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4"/>
    <sheet state="visible" name="Antropometría" sheetId="2" r:id="rId5"/>
    <sheet state="hidden" name="Hoja1" sheetId="3" r:id="rId6"/>
    <sheet state="visible" name="Ev. Consumo" sheetId="4" r:id="rId7"/>
    <sheet state="visible" name="Adulto" sheetId="5" r:id="rId8"/>
    <sheet state="visible" name="Pediatría" sheetId="6" r:id="rId9"/>
    <sheet state="visible" name="Gestante" sheetId="7" r:id="rId10"/>
    <sheet state="visible" name="Ges Adoles" sheetId="8" r:id="rId11"/>
    <sheet state="visible" name="Hospitalizado" sheetId="9" r:id="rId12"/>
    <sheet state="visible" name="Deportista" sheetId="10" r:id="rId13"/>
    <sheet state="visible" name="F. Desarrollada" sheetId="11" r:id="rId14"/>
    <sheet state="visible" name="Otros" sheetId="12" r:id="rId15"/>
    <sheet state="visible" name="Notas" sheetId="13" r:id="rId16"/>
  </sheets>
  <definedNames>
    <definedName name="Actividad_fisica">'Pediatría'!$L$55:$L$57</definedName>
    <definedName localSheetId="12" name="Actividad_fisica">'Pediatría'!$L$55:$L$57</definedName>
    <definedName localSheetId="1" name="Z_EED67FAE_D7A7_442D_B29B_6BF40C688036_.wvu.Cols">'Antropometría'!$E:$E</definedName>
  </definedNames>
  <calcPr/>
  <extLst>
    <ext uri="GoogleSheetsCustomDataVersion2">
      <go:sheetsCustomData xmlns:go="http://customooxmlschemas.google.com/" r:id="rId17" roundtripDataChecksum="S8jOq5wRo4TspUULXhn2zv0c//tvFLrZzKXxD68xt+U="/>
    </ext>
  </extLst>
</workbook>
</file>

<file path=xl/sharedStrings.xml><?xml version="1.0" encoding="utf-8"?>
<sst xmlns="http://schemas.openxmlformats.org/spreadsheetml/2006/main" count="3410" uniqueCount="876">
  <si>
    <r>
      <rPr>
        <rFont val="Calibri"/>
        <color theme="1"/>
        <sz val="12.0"/>
      </rPr>
      <t xml:space="preserve">Bienvenid@, a continuación encontrará cada uno de los botones para ingresar a la sección de su interés. En caso de requerir ayuda comuníquese al correo evanut.app@gmail.com o a través de Whatsapp +57 300 2881395.
</t>
    </r>
    <r>
      <rPr>
        <rFont val="Calibri"/>
        <i/>
        <color theme="1"/>
        <sz val="12.0"/>
      </rPr>
      <t xml:space="preserve">Con la compra de EVANUT apoyas el sostenimiento estudiantil, te invitamos a ser una persona ética y honesta, 
</t>
    </r>
    <r>
      <rPr>
        <rFont val="Calibri"/>
        <b/>
        <i/>
        <color theme="1"/>
        <sz val="12.0"/>
      </rPr>
      <t>evita compartir esta herramienta con otras personas</t>
    </r>
    <r>
      <rPr>
        <rFont val="Calibri"/>
        <i/>
        <color theme="1"/>
        <sz val="12.0"/>
      </rPr>
      <t>.</t>
    </r>
  </si>
  <si>
    <t xml:space="preserve">Evaluación de la composición corporal del adulto </t>
  </si>
  <si>
    <t>Evaluación del consumo de alimentos de un paciente, puede usar un R24h</t>
  </si>
  <si>
    <t>Fórmulas de requerimiento y planeación dietética del paciente adulto</t>
  </si>
  <si>
    <t>Evaluación de la composición corporal y planeación dietética del paciente pediátrico (0 a 18 años)</t>
  </si>
  <si>
    <t>Evaluación, seguimiento y planeación dietética de la gestante adulta</t>
  </si>
  <si>
    <t>Evaluación, seguimiento y planeación dietética de la gestante adolescente</t>
  </si>
  <si>
    <t>Estimación de peso y talla, determinación de requerimiento energético y de líquidos, fórmulas de nutrición parenteral en el adulto hospitalizado</t>
  </si>
  <si>
    <t>Evaluación de la composición corporal, somatocarta y planeación dietética del deportista</t>
  </si>
  <si>
    <t>Planeación dietética (solo fórmula desarrollada, fórmula sintética final, minuta patrón y ejemplo de menú) en pacientes de todas las edades</t>
  </si>
  <si>
    <t>Fórmulas de porcentaje de grasa de Durnin y Womersley, y Jackson y Pollock, de años anteriores y en diferentes grupos poblacionales</t>
  </si>
  <si>
    <t>Espacio para poner las notas que requiera frente al análisis del paciente que está tratando</t>
  </si>
  <si>
    <t>EVALUACIÓN ANTROPOMÉTRICA</t>
  </si>
  <si>
    <t>Nombre</t>
  </si>
  <si>
    <t>Hombre</t>
  </si>
  <si>
    <t>Apellido</t>
  </si>
  <si>
    <t>Mujer</t>
  </si>
  <si>
    <t>Identificación</t>
  </si>
  <si>
    <t>Sexo</t>
  </si>
  <si>
    <t>Edad años</t>
  </si>
  <si>
    <t>Peso kg</t>
  </si>
  <si>
    <t>Altura m</t>
  </si>
  <si>
    <t>Altura cm</t>
  </si>
  <si>
    <t>Perímetro cintura cm</t>
  </si>
  <si>
    <t>NOTA: El porcentaje de grasa se calcula automáticamente bajo la fórmula de Durnin y Womersley del 2011 para población hispana. En caso de requerir una diferente diríjase a la hoja "Otros".</t>
  </si>
  <si>
    <t>Perímetro abdomen cm</t>
  </si>
  <si>
    <t>Pliegue biceps mm</t>
  </si>
  <si>
    <t>Pliegue triceps mm</t>
  </si>
  <si>
    <t>Pliegue subescapular mm</t>
  </si>
  <si>
    <t>Pliegue ileocrestal mm</t>
  </si>
  <si>
    <t>Pliegue muslo mm</t>
  </si>
  <si>
    <t>CLASIFICACIÓN % GRASA</t>
  </si>
  <si>
    <t>HOMBRES</t>
  </si>
  <si>
    <t>MUJERES</t>
  </si>
  <si>
    <t>RESULTADOS</t>
  </si>
  <si>
    <t>Normopeso</t>
  </si>
  <si>
    <t>12-20</t>
  </si>
  <si>
    <t>20-30</t>
  </si>
  <si>
    <t>IMC</t>
  </si>
  <si>
    <t>Limite</t>
  </si>
  <si>
    <t>21-25</t>
  </si>
  <si>
    <t>31-33</t>
  </si>
  <si>
    <t xml:space="preserve">IMC Clasificación </t>
  </si>
  <si>
    <t>Obesidad</t>
  </si>
  <si>
    <t>&gt;25</t>
  </si>
  <si>
    <t>&gt;33</t>
  </si>
  <si>
    <t>IMC saludable</t>
  </si>
  <si>
    <t>Peso saludable IMC 25-30</t>
  </si>
  <si>
    <t>CLASIFICACIÓN IMG</t>
  </si>
  <si>
    <t>Peso ajustado IMC &gt;30</t>
  </si>
  <si>
    <t>Cintura/Estatura</t>
  </si>
  <si>
    <t>Deficit</t>
  </si>
  <si>
    <t>&lt;3</t>
  </si>
  <si>
    <t>&lt;5</t>
  </si>
  <si>
    <t xml:space="preserve">Clasificación </t>
  </si>
  <si>
    <t>Normal</t>
  </si>
  <si>
    <t>3-6</t>
  </si>
  <si>
    <t>5-9</t>
  </si>
  <si>
    <t>Cintura cm</t>
  </si>
  <si>
    <t>Exceso</t>
  </si>
  <si>
    <t>&gt;6</t>
  </si>
  <si>
    <t>&gt;9</t>
  </si>
  <si>
    <t>%Grasa</t>
  </si>
  <si>
    <t>CLASIFICACIÓN IMLG</t>
  </si>
  <si>
    <t>Masa grasa kg</t>
  </si>
  <si>
    <t>Malnutricion</t>
  </si>
  <si>
    <t>&lt;17</t>
  </si>
  <si>
    <t>&lt;15</t>
  </si>
  <si>
    <t>IMG</t>
  </si>
  <si>
    <t>Adecuada</t>
  </si>
  <si>
    <t>17-21</t>
  </si>
  <si>
    <t>15-18</t>
  </si>
  <si>
    <t>REFERENCIAS</t>
  </si>
  <si>
    <t>Muy buena</t>
  </si>
  <si>
    <t>&gt;21</t>
  </si>
  <si>
    <t>&gt;18</t>
  </si>
  <si>
    <t>IMC: Res 2465 de 2016 Ministerio de salud y proteccion social</t>
  </si>
  <si>
    <t>Masa libre de grasa kg</t>
  </si>
  <si>
    <t>Cintura/Estatura: Browning LM, Hsieh SD, Ashwell M. A systematic review of waist-to-height ratio as a screening tool for the prediction of cardiovascular disease and diabetes: 0·5 could be a suitable global boundary value. Nutr Res Rev. 2010;23(2):247-69. doi: 10.1017/S0954422410000144</t>
  </si>
  <si>
    <t>IMLG</t>
  </si>
  <si>
    <t>Cintura: Res 2465 de 2016 Ministerio de salud y proteccion social</t>
  </si>
  <si>
    <t>En caso Malnutrición</t>
  </si>
  <si>
    <t>%Grasa: Davidson LE, Wang J, Thornton JC, Kaleem Z, Silva-Palacios F, Person RN, et al. Predicting fat percent by skinfolds in racial groups: Durnin and Womersley revisited. Medicine and science in sports and exercise. 2011; 43(3): 542-9</t>
  </si>
  <si>
    <t>%Grasa deseado</t>
  </si>
  <si>
    <t>Clasificación %Grasa: Consenso SEEDO 2000 para la evaluacion del sobrepeso y la obesidad y el establecimiento de criterios de intervencion terapeutica. Medicina clinica. 115 (15).</t>
  </si>
  <si>
    <t>Peso deseado %G kg</t>
  </si>
  <si>
    <t>IMLG kg deseado</t>
  </si>
  <si>
    <t>Clasificación IMG: Kelly TL, Wilson KE, Heymsfield SB. Dual energy X-Ray absorptiometry body composition reference values from NHANES. PLoS One. 2009 Sep 15;4(9):e7038. doi: 10.1371/journal.pone.0007038.</t>
  </si>
  <si>
    <t>Distribucion Grasa</t>
  </si>
  <si>
    <t>MLG kg Adecuada</t>
  </si>
  <si>
    <t xml:space="preserve">Clasificación IMLG: Cederholm, T., Jensen, G. L., Correia, M. I. T. D., Gonzalez, M. C., Fukushima, R., Higashiguchi, T., … Coats, A. (2018). GLIM criteria for the diagnosis of malnutrition – A consensus report from the global clinical nutrition community. Clinical Nutrition. doi:10.1016/j.clnu.2018.08.002 </t>
  </si>
  <si>
    <t>Peso deseado %G Kg</t>
  </si>
  <si>
    <t xml:space="preserve">Distribución de la grasa: Malina, R.M. (1996) Regional body composition: Age, sex and ethnic variation. In: Roche, A.F., Heymsfield, S.B. and Lohman, T.G., Eds., Human Body Composition, Human Kinetics, Champaign, 217-256.
</t>
  </si>
  <si>
    <t>EVALUACIÓN DE CONSUMO</t>
  </si>
  <si>
    <t>Tamaño de porción Aprox</t>
  </si>
  <si>
    <t>Grupo de alimentos</t>
  </si>
  <si>
    <t>Porciones</t>
  </si>
  <si>
    <t>Kcal</t>
  </si>
  <si>
    <t>Prot</t>
  </si>
  <si>
    <t>Grasa</t>
  </si>
  <si>
    <t>GS</t>
  </si>
  <si>
    <t>GM</t>
  </si>
  <si>
    <t>GP</t>
  </si>
  <si>
    <t>COL</t>
  </si>
  <si>
    <t>CHOS</t>
  </si>
  <si>
    <t>FD</t>
  </si>
  <si>
    <t>Calcio (mg)</t>
  </si>
  <si>
    <t>P (mg)</t>
  </si>
  <si>
    <t>Fe (mg)</t>
  </si>
  <si>
    <t>Na (mg)</t>
  </si>
  <si>
    <t>K (mg)</t>
  </si>
  <si>
    <t>Mg (mg)</t>
  </si>
  <si>
    <t>Zn (mg)</t>
  </si>
  <si>
    <t>Cu (mg)</t>
  </si>
  <si>
    <t>Mn (mg)</t>
  </si>
  <si>
    <t>Vit A (ER)</t>
  </si>
  <si>
    <t>Tiamina (mg)</t>
  </si>
  <si>
    <t>Riboflavina (mg)</t>
  </si>
  <si>
    <t>Niacina (mg)</t>
  </si>
  <si>
    <t>Ac, Pantotenico (mg)</t>
  </si>
  <si>
    <t>Priridox. (mg)</t>
  </si>
  <si>
    <t>Acido Folico (ug)</t>
  </si>
  <si>
    <t>Vit B12 (ug)</t>
  </si>
  <si>
    <t>Vit C (mg)</t>
  </si>
  <si>
    <t>200g</t>
  </si>
  <si>
    <t>1 Vaso pequeño</t>
  </si>
  <si>
    <t>Leches enteras frescas y fermentadas</t>
  </si>
  <si>
    <t>Leches semidescremadas frescas y fermentadas</t>
  </si>
  <si>
    <t>Leches descremadas frescas y fermentadas</t>
  </si>
  <si>
    <t>Leches frescas y fermentadas enteras altas en calorías y azucares</t>
  </si>
  <si>
    <t>60g</t>
  </si>
  <si>
    <t>1/3 Vaso pequeño</t>
  </si>
  <si>
    <t>Leches frescas, fermentadas y productos lácteos menores de 2 años</t>
  </si>
  <si>
    <t>100ml</t>
  </si>
  <si>
    <t>1 toma</t>
  </si>
  <si>
    <t>Leche materna</t>
  </si>
  <si>
    <t>30g</t>
  </si>
  <si>
    <t>1 tajada/1 unidad mediana</t>
  </si>
  <si>
    <t>Sustitutos</t>
  </si>
  <si>
    <t>1 unidad</t>
  </si>
  <si>
    <t>Huevo menores de 2 años</t>
  </si>
  <si>
    <t>100g</t>
  </si>
  <si>
    <t>1/5 libra</t>
  </si>
  <si>
    <t>Carnes magras crudas y proteínas texturizada adultos y niños</t>
  </si>
  <si>
    <t>25g</t>
  </si>
  <si>
    <t>3 cucharas dulceras colmadas</t>
  </si>
  <si>
    <t>Carnes magras cocidas menores de 2 años</t>
  </si>
  <si>
    <t>90g</t>
  </si>
  <si>
    <t>&lt; 1/5 libra</t>
  </si>
  <si>
    <t>Carnes crudas altas en lípidos adultos y niños</t>
  </si>
  <si>
    <t>Carnes cocidas altas en lípidos menores de 2 años</t>
  </si>
  <si>
    <t>110g</t>
  </si>
  <si>
    <t>1 cucharón colmado</t>
  </si>
  <si>
    <t>Leguminosas adultos</t>
  </si>
  <si>
    <t>1/2 cucharón</t>
  </si>
  <si>
    <t>Leguminosas niños</t>
  </si>
  <si>
    <t>Leguminosas menores de 2 años</t>
  </si>
  <si>
    <t>50g</t>
  </si>
  <si>
    <t>1 unidad/ 2/3 pocillo</t>
  </si>
  <si>
    <t>Cereales adultos</t>
  </si>
  <si>
    <t>40g</t>
  </si>
  <si>
    <t>1/2 pocillo</t>
  </si>
  <si>
    <t>Cereales niños</t>
  </si>
  <si>
    <t>20g</t>
  </si>
  <si>
    <t>1/4 de unidad</t>
  </si>
  <si>
    <t>Cereales menores de 2 años</t>
  </si>
  <si>
    <t>1 unidad mediana/1 trozo</t>
  </si>
  <si>
    <t>Raíces, tubérculos y plátanos adultos</t>
  </si>
  <si>
    <t>1 unidad pequeña/ 1 trozo mediano</t>
  </si>
  <si>
    <t>Raíces, tubérculos y plátanos niños</t>
  </si>
  <si>
    <t>4 cucharas dulceras colmadas</t>
  </si>
  <si>
    <t>Raíces, tubérculos y plátanos menores de 2 años</t>
  </si>
  <si>
    <t>70g</t>
  </si>
  <si>
    <t>Promedio harinas adultos</t>
  </si>
  <si>
    <t>Promedio harinas niños</t>
  </si>
  <si>
    <t>Promedio harinas menores de 2 años</t>
  </si>
  <si>
    <t>Verduras y hortalizas adultos y niños</t>
  </si>
  <si>
    <t>Verduras y hortalizas menores de 2 años</t>
  </si>
  <si>
    <t>1-2 unidades</t>
  </si>
  <si>
    <t>Frutas adultos y niños</t>
  </si>
  <si>
    <t>1/2 unidad</t>
  </si>
  <si>
    <t>Frutas menores de 2 años</t>
  </si>
  <si>
    <t>10g</t>
  </si>
  <si>
    <t>1 cuchara sopera colmada / 3-5 und</t>
  </si>
  <si>
    <t>Nueces adultos y niños</t>
  </si>
  <si>
    <t>1 cuchara sopera colmada</t>
  </si>
  <si>
    <t>Semillas adultos y niños</t>
  </si>
  <si>
    <t>26g</t>
  </si>
  <si>
    <t>2 cucharas soperas colmadas</t>
  </si>
  <si>
    <t>Azucares y dulces adultos</t>
  </si>
  <si>
    <t>13g</t>
  </si>
  <si>
    <t>1 cucharas soperas colmadas</t>
  </si>
  <si>
    <t>Azucares y dulces niños</t>
  </si>
  <si>
    <t>5g</t>
  </si>
  <si>
    <t>1 cuchara sopera</t>
  </si>
  <si>
    <t>Grasas poliinsaturadas adultos y niños</t>
  </si>
  <si>
    <t>Grasas monoinsaturadas adultos y niños</t>
  </si>
  <si>
    <t>Grasas saturadas adultos y niños</t>
  </si>
  <si>
    <t>Promedio grasas adultos y niños</t>
  </si>
  <si>
    <t>1 cuchara sopera alta</t>
  </si>
  <si>
    <t>Productos con reducción de grasa adultos y niños</t>
  </si>
  <si>
    <t>3g</t>
  </si>
  <si>
    <t>1 cuchara dulcera</t>
  </si>
  <si>
    <t>Grasas poliinsaturadas menores de 2 años</t>
  </si>
  <si>
    <t>Grasas monoinsaturadas menores de 2 años</t>
  </si>
  <si>
    <t>Grasas saturadas menores de 2 años</t>
  </si>
  <si>
    <t>Promedio grasas menores de 2 años</t>
  </si>
  <si>
    <t>1u</t>
  </si>
  <si>
    <t>1 porción</t>
  </si>
  <si>
    <r>
      <rPr>
        <rFont val="Calibri"/>
        <b/>
        <color theme="1"/>
        <sz val="11.0"/>
      </rPr>
      <t xml:space="preserve">Suplemento </t>
    </r>
    <r>
      <rPr>
        <rFont val="Calibri"/>
        <b val="0"/>
        <color theme="1"/>
        <sz val="11.0"/>
      </rPr>
      <t>(Introduzca manualmente los nutrientes por porción)</t>
    </r>
  </si>
  <si>
    <t>Azucares y dulces niños y niñas</t>
  </si>
  <si>
    <t>suplemento</t>
  </si>
  <si>
    <t>TOTAL</t>
  </si>
  <si>
    <t>REQUERIDO</t>
  </si>
  <si>
    <t>%ADECUACI</t>
  </si>
  <si>
    <t>FÓRMULA SINTÉTICA DE CONSUMO</t>
  </si>
  <si>
    <t>Recomendaciones RIEN</t>
  </si>
  <si>
    <t>Nutrientes</t>
  </si>
  <si>
    <t>Gramos</t>
  </si>
  <si>
    <t>Calorías</t>
  </si>
  <si>
    <t>% AMDR</t>
  </si>
  <si>
    <t>Otros</t>
  </si>
  <si>
    <t>Proteinas</t>
  </si>
  <si>
    <t xml:space="preserve">14-20% </t>
  </si>
  <si>
    <t>Proteínas</t>
  </si>
  <si>
    <t>g AVB</t>
  </si>
  <si>
    <t>Prote g/kg/peso</t>
  </si>
  <si>
    <t>1,11-1,16</t>
  </si>
  <si>
    <t>% AVB</t>
  </si>
  <si>
    <t>Prote AVB</t>
  </si>
  <si>
    <t>60-80%</t>
  </si>
  <si>
    <t>g/kg/peso</t>
  </si>
  <si>
    <t>Carbohidratos totales</t>
  </si>
  <si>
    <t>50-65%</t>
  </si>
  <si>
    <t>Grasas</t>
  </si>
  <si>
    <t>g GS</t>
  </si>
  <si>
    <t>Carbohidratos simples</t>
  </si>
  <si>
    <t>&lt;10%</t>
  </si>
  <si>
    <t>%AMDR GS</t>
  </si>
  <si>
    <t>Grasa total</t>
  </si>
  <si>
    <t xml:space="preserve">20-35% </t>
  </si>
  <si>
    <t>g GM</t>
  </si>
  <si>
    <t>G saturada</t>
  </si>
  <si>
    <t>%AMDR GM</t>
  </si>
  <si>
    <t>G mono</t>
  </si>
  <si>
    <t>GS-GM</t>
  </si>
  <si>
    <t>g GP</t>
  </si>
  <si>
    <t>G poli</t>
  </si>
  <si>
    <t>5-10%</t>
  </si>
  <si>
    <t>%AMDR GP</t>
  </si>
  <si>
    <t>G trans</t>
  </si>
  <si>
    <t>&lt;1%</t>
  </si>
  <si>
    <t>Colesterol</t>
  </si>
  <si>
    <t>&lt;300mg</t>
  </si>
  <si>
    <t>CHOs</t>
  </si>
  <si>
    <t>g Concent</t>
  </si>
  <si>
    <t>Colesterol enf.card</t>
  </si>
  <si>
    <t>&lt;200mg</t>
  </si>
  <si>
    <t>%AMDR</t>
  </si>
  <si>
    <t>Fibra</t>
  </si>
  <si>
    <t>14/1000cal</t>
  </si>
  <si>
    <t>Total:</t>
  </si>
  <si>
    <t>Sodio</t>
  </si>
  <si>
    <t>&lt;2300mg</t>
  </si>
  <si>
    <t>Kg Ref</t>
  </si>
  <si>
    <t>REQUERIMIENTO ENERGÉTICO Y PESO SALUDABLE</t>
  </si>
  <si>
    <t>PESO SALUDABLE IMC</t>
  </si>
  <si>
    <t>TMR FAO/Schofield</t>
  </si>
  <si>
    <t>ACTIVIDAD FISICA</t>
  </si>
  <si>
    <t>REQUERIMIENTO DRI</t>
  </si>
  <si>
    <t>FACTOR ACTIVIDAD FISICA PAL</t>
  </si>
  <si>
    <t>Peso Ref</t>
  </si>
  <si>
    <t>Sedentario</t>
  </si>
  <si>
    <t>(1,4-1,69)</t>
  </si>
  <si>
    <t>Edad</t>
  </si>
  <si>
    <t>Hombres</t>
  </si>
  <si>
    <t>Mujeres</t>
  </si>
  <si>
    <t>Talla m</t>
  </si>
  <si>
    <t>TMR HOMBRES</t>
  </si>
  <si>
    <t>Moderado</t>
  </si>
  <si>
    <t>(1,7-1,99)</t>
  </si>
  <si>
    <t>18-30 años</t>
  </si>
  <si>
    <t>Vigoroso</t>
  </si>
  <si>
    <t>(2,0-2,4)</t>
  </si>
  <si>
    <t>Poco activo</t>
  </si>
  <si>
    <t>IMC deseado</t>
  </si>
  <si>
    <t>31-60 años</t>
  </si>
  <si>
    <t>Factor act</t>
  </si>
  <si>
    <t>Activo</t>
  </si>
  <si>
    <t>&gt;60  años</t>
  </si>
  <si>
    <t>REQUERIMIENTO</t>
  </si>
  <si>
    <t>Muy activo</t>
  </si>
  <si>
    <t>PS</t>
  </si>
  <si>
    <t>TMR MUJERES</t>
  </si>
  <si>
    <t>TMR</t>
  </si>
  <si>
    <t>RDE</t>
  </si>
  <si>
    <t>ACT FIS</t>
  </si>
  <si>
    <t>PA</t>
  </si>
  <si>
    <t>Calorias</t>
  </si>
  <si>
    <t>FÓRMULA SINTÉTICA DE CONSUMO Y PLANEADA</t>
  </si>
  <si>
    <t>FÓRMULA SINTÉTICA PLANEADA</t>
  </si>
  <si>
    <t>14-20% AMDR</t>
  </si>
  <si>
    <t>CHOs totales</t>
  </si>
  <si>
    <t>CHOs simples</t>
  </si>
  <si>
    <t>Grasa total 27,5</t>
  </si>
  <si>
    <t>20-35% AMDR</t>
  </si>
  <si>
    <t>14g/1000cal</t>
  </si>
  <si>
    <t>Sodio hipertensos</t>
  </si>
  <si>
    <t>&lt;1500mg</t>
  </si>
  <si>
    <t>REQUERIMIENTO FINAL</t>
  </si>
  <si>
    <t>FÓRMULA SINTÉTICA DESARROLLADA</t>
  </si>
  <si>
    <t>Carnes magras crudas y proteínas texturizada</t>
  </si>
  <si>
    <t>Carnes crudas altas en lípidos</t>
  </si>
  <si>
    <t>Promedio "Harinas" adultos</t>
  </si>
  <si>
    <t>FÓRMULA SINTÉTICA PLANEADA FINAL</t>
  </si>
  <si>
    <t>Respaldo calórico no proteico</t>
  </si>
  <si>
    <t>Gramos N</t>
  </si>
  <si>
    <t>Calorías no proteicas</t>
  </si>
  <si>
    <t>Respaldo calórico</t>
  </si>
  <si>
    <t>MINUTA PATRÓN</t>
  </si>
  <si>
    <t>D</t>
  </si>
  <si>
    <t>MM</t>
  </si>
  <si>
    <t>A</t>
  </si>
  <si>
    <t>MT</t>
  </si>
  <si>
    <t>C</t>
  </si>
  <si>
    <t>ME</t>
  </si>
  <si>
    <r>
      <rPr>
        <rFont val="Calibri"/>
        <b/>
        <color theme="1"/>
        <sz val="11.0"/>
      </rPr>
      <t>D:</t>
    </r>
    <r>
      <rPr>
        <rFont val="Calibri"/>
        <color theme="1"/>
        <sz val="11.0"/>
      </rPr>
      <t xml:space="preserve"> Desayuno</t>
    </r>
  </si>
  <si>
    <r>
      <rPr>
        <rFont val="Calibri"/>
        <b/>
        <color theme="1"/>
        <sz val="11.0"/>
      </rPr>
      <t>MM:</t>
    </r>
    <r>
      <rPr>
        <rFont val="Calibri"/>
        <color theme="1"/>
        <sz val="11.0"/>
      </rPr>
      <t xml:space="preserve"> Media Mañana</t>
    </r>
  </si>
  <si>
    <r>
      <rPr>
        <rFont val="Calibri"/>
        <b/>
        <color theme="1"/>
        <sz val="11.0"/>
      </rPr>
      <t xml:space="preserve">A: </t>
    </r>
    <r>
      <rPr>
        <rFont val="Calibri"/>
        <color theme="1"/>
        <sz val="11.0"/>
      </rPr>
      <t>Almuerzo</t>
    </r>
  </si>
  <si>
    <r>
      <rPr>
        <rFont val="Calibri"/>
        <b/>
        <color theme="1"/>
        <sz val="11.0"/>
      </rPr>
      <t xml:space="preserve">MT: </t>
    </r>
    <r>
      <rPr>
        <rFont val="Calibri"/>
        <color theme="1"/>
        <sz val="11.0"/>
      </rPr>
      <t>Media Tarde</t>
    </r>
  </si>
  <si>
    <r>
      <rPr>
        <rFont val="Calibri"/>
        <b/>
        <color theme="1"/>
        <sz val="11.0"/>
      </rPr>
      <t>C:</t>
    </r>
    <r>
      <rPr>
        <rFont val="Calibri"/>
        <color theme="1"/>
        <sz val="11.0"/>
      </rPr>
      <t xml:space="preserve"> Cena</t>
    </r>
  </si>
  <si>
    <r>
      <rPr>
        <rFont val="Calibri"/>
        <b/>
        <color theme="1"/>
        <sz val="11.0"/>
      </rPr>
      <t>ME:</t>
    </r>
    <r>
      <rPr>
        <rFont val="Calibri"/>
        <color theme="1"/>
        <sz val="11.0"/>
      </rPr>
      <t xml:space="preserve"> Merienda</t>
    </r>
  </si>
  <si>
    <t>Leguminosas niños y niñas</t>
  </si>
  <si>
    <t>Cereales niños y niñas</t>
  </si>
  <si>
    <t>Promedio "Harinas" niños</t>
  </si>
  <si>
    <t>EJEMPLO DE MENÚ</t>
  </si>
  <si>
    <t>Desayuno</t>
  </si>
  <si>
    <t>Media mañana</t>
  </si>
  <si>
    <t>Almuerzo</t>
  </si>
  <si>
    <t>Media tarde</t>
  </si>
  <si>
    <t>Cena</t>
  </si>
  <si>
    <t>Merienda</t>
  </si>
  <si>
    <t>EVALUACIÓN Y PLANEACIÓN NUTRICIONAL DEL PACIENTE PEDIÁTRICO</t>
  </si>
  <si>
    <t>Área muscular y Área grasa HOMBRES</t>
  </si>
  <si>
    <t>Área muscular y Área grasa MUJERES</t>
  </si>
  <si>
    <t>Peso/talla</t>
  </si>
  <si>
    <t>Sobrepeso</t>
  </si>
  <si>
    <t>Riesgo sobrepeso</t>
  </si>
  <si>
    <t>Talla/Longitud cm</t>
  </si>
  <si>
    <t>Adecuado</t>
  </si>
  <si>
    <t>Talla/Longitud m</t>
  </si>
  <si>
    <t>Riesgo desnutricion aguda</t>
  </si>
  <si>
    <t>Antropometria Braquial</t>
  </si>
  <si>
    <t>Desnutricion aguda moderada</t>
  </si>
  <si>
    <t>Perimetro brazo mm</t>
  </si>
  <si>
    <t>Desnutricion aguda severa</t>
  </si>
  <si>
    <t>Pliegue tricipital mm</t>
  </si>
  <si>
    <t>Talla/Edad &lt;5</t>
  </si>
  <si>
    <t>Perímetro Muscular Brazo mm</t>
  </si>
  <si>
    <t>Riesgo talla baja</t>
  </si>
  <si>
    <t>Área Muscular del Brazo mm2</t>
  </si>
  <si>
    <t>Retraso en talla</t>
  </si>
  <si>
    <t>Percentil AMB</t>
  </si>
  <si>
    <t>Clasificación AMB mm2</t>
  </si>
  <si>
    <t>Perimetro cef</t>
  </si>
  <si>
    <t>Area Total del Brazo mm2</t>
  </si>
  <si>
    <t>Riesgo neurodesarrollo</t>
  </si>
  <si>
    <t>Area Grasa del Brazo mm2</t>
  </si>
  <si>
    <t>Percentil AGB</t>
  </si>
  <si>
    <t>Adiposidad HOMBRES</t>
  </si>
  <si>
    <t>Adiposidad MUJERES</t>
  </si>
  <si>
    <t>Clasificación AGB mm2</t>
  </si>
  <si>
    <t>Talla/Edad &gt;5</t>
  </si>
  <si>
    <t>Adiposidad</t>
  </si>
  <si>
    <t>Percentil Adiposidad</t>
  </si>
  <si>
    <t>Riesgo retraso en talla</t>
  </si>
  <si>
    <t>Clasificación Adiposidad</t>
  </si>
  <si>
    <t>Talla baja para edad</t>
  </si>
  <si>
    <t>RESULTADOS &lt; 5 AÑOS</t>
  </si>
  <si>
    <t>Peso/Talla pZ</t>
  </si>
  <si>
    <t xml:space="preserve">Peso/Talla Clasificación </t>
  </si>
  <si>
    <t>Talla/Edad pZ</t>
  </si>
  <si>
    <t>Riesgo delgadez</t>
  </si>
  <si>
    <t xml:space="preserve">Talla/Edad Clasificación </t>
  </si>
  <si>
    <t>Delgadez</t>
  </si>
  <si>
    <t>Perim Cefalico pZ</t>
  </si>
  <si>
    <t>Percentiles</t>
  </si>
  <si>
    <t xml:space="preserve">Perim Cefalico Clasificación </t>
  </si>
  <si>
    <t>RESULTADOS 5-17 AÑOS</t>
  </si>
  <si>
    <t>5-25</t>
  </si>
  <si>
    <t>25-75</t>
  </si>
  <si>
    <t>&gt;75</t>
  </si>
  <si>
    <t>IMC/Edad pZ</t>
  </si>
  <si>
    <t>IMC/Edad Clasificación</t>
  </si>
  <si>
    <t>REQUERIMIENTO ENERGÉTICO</t>
  </si>
  <si>
    <t>75-95</t>
  </si>
  <si>
    <t>&gt;95</t>
  </si>
  <si>
    <t>Peso de referencia kg</t>
  </si>
  <si>
    <t>Utilice el peso de referencia solo en caso de EXCESO de peso, para menores de 5 años Peso/Talla referencia y para mayores IMC/Edad</t>
  </si>
  <si>
    <t>Gasto energético en reposo</t>
  </si>
  <si>
    <t>0-1 año leche materna</t>
  </si>
  <si>
    <t>5-15</t>
  </si>
  <si>
    <t>0-1 año solo formula infantil</t>
  </si>
  <si>
    <t>15-85</t>
  </si>
  <si>
    <t>0-1 año mixto</t>
  </si>
  <si>
    <t>85-95</t>
  </si>
  <si>
    <t>1-18 años</t>
  </si>
  <si>
    <t>Calorías adicionales crecimiento</t>
  </si>
  <si>
    <t>Gasto energético</t>
  </si>
  <si>
    <t>Ganancia gramos/dia</t>
  </si>
  <si>
    <t>Calorias x gramo</t>
  </si>
  <si>
    <t>Total adicionales</t>
  </si>
  <si>
    <t>Actividad fisica</t>
  </si>
  <si>
    <t>Requerimiento</t>
  </si>
  <si>
    <t xml:space="preserve">Peso referencia IMC </t>
  </si>
  <si>
    <t>En caso deficit de peso</t>
  </si>
  <si>
    <t>Duplicar</t>
  </si>
  <si>
    <t>Duplicar o triplicar ganancia</t>
  </si>
  <si>
    <t>Triplicar</t>
  </si>
  <si>
    <t>Estos requerimientos son calculados a partir de las formulas de la FAO, OMS, 2005. Para el déficit de peso, el programa calcula la ganancia de 1g de tejido/día x 5 calorías.</t>
  </si>
  <si>
    <t>Recomendac RIEN</t>
  </si>
  <si>
    <t>0-6 meses</t>
  </si>
  <si>
    <t>7-12 meses</t>
  </si>
  <si>
    <t>1-3 años</t>
  </si>
  <si>
    <t>4-13 años</t>
  </si>
  <si>
    <t>14-18</t>
  </si>
  <si>
    <t>Proteína %AMDR</t>
  </si>
  <si>
    <t>-</t>
  </si>
  <si>
    <t>10-20%</t>
  </si>
  <si>
    <t>95g</t>
  </si>
  <si>
    <t>31g</t>
  </si>
  <si>
    <t>30-40%</t>
  </si>
  <si>
    <t>25-35%</t>
  </si>
  <si>
    <t>4,4g</t>
  </si>
  <si>
    <t>4,6g</t>
  </si>
  <si>
    <t>120mg</t>
  </si>
  <si>
    <t>370mg</t>
  </si>
  <si>
    <t>&lt;1900mg</t>
  </si>
  <si>
    <t>Vit C (ug)</t>
  </si>
  <si>
    <t>Leche materna toma/100ml*</t>
  </si>
  <si>
    <t>*La información de la leche materna fue obtenida a través de la TCA del ICBF 2018</t>
  </si>
  <si>
    <t>Vit BC (ug)</t>
  </si>
  <si>
    <t>Leche materna toma/100ml</t>
  </si>
  <si>
    <t>FORMULA SINTETICA PLANEADA FINAL</t>
  </si>
  <si>
    <r>
      <rPr>
        <rFont val="Calibri"/>
        <b/>
        <color theme="1"/>
        <sz val="11.0"/>
      </rPr>
      <t>D:</t>
    </r>
    <r>
      <rPr>
        <rFont val="Calibri"/>
        <color theme="1"/>
        <sz val="11.0"/>
      </rPr>
      <t xml:space="preserve"> Desayuno</t>
    </r>
  </si>
  <si>
    <r>
      <rPr>
        <rFont val="Calibri"/>
        <b/>
        <color theme="1"/>
        <sz val="11.0"/>
      </rPr>
      <t>MM:</t>
    </r>
    <r>
      <rPr>
        <rFont val="Calibri"/>
        <color theme="1"/>
        <sz val="11.0"/>
      </rPr>
      <t xml:space="preserve"> Media Mañana</t>
    </r>
  </si>
  <si>
    <r>
      <rPr>
        <rFont val="Calibri"/>
        <b/>
        <color theme="1"/>
        <sz val="11.0"/>
      </rPr>
      <t xml:space="preserve">A: </t>
    </r>
    <r>
      <rPr>
        <rFont val="Calibri"/>
        <color theme="1"/>
        <sz val="11.0"/>
      </rPr>
      <t>Almuerzo</t>
    </r>
  </si>
  <si>
    <r>
      <rPr>
        <rFont val="Calibri"/>
        <b/>
        <color theme="1"/>
        <sz val="11.0"/>
      </rPr>
      <t xml:space="preserve">MT: </t>
    </r>
    <r>
      <rPr>
        <rFont val="Calibri"/>
        <color theme="1"/>
        <sz val="11.0"/>
      </rPr>
      <t>Media Tarde</t>
    </r>
  </si>
  <si>
    <r>
      <rPr>
        <rFont val="Calibri"/>
        <b/>
        <color theme="1"/>
        <sz val="11.0"/>
      </rPr>
      <t>C:</t>
    </r>
    <r>
      <rPr>
        <rFont val="Calibri"/>
        <color theme="1"/>
        <sz val="11.0"/>
      </rPr>
      <t xml:space="preserve"> Cena</t>
    </r>
  </si>
  <si>
    <r>
      <rPr>
        <rFont val="Calibri"/>
        <b/>
        <color theme="1"/>
        <sz val="11.0"/>
      </rPr>
      <t>ME:</t>
    </r>
    <r>
      <rPr>
        <rFont val="Calibri"/>
        <color theme="1"/>
        <sz val="11.0"/>
      </rPr>
      <t xml:space="preserve"> Merienda</t>
    </r>
  </si>
  <si>
    <t xml:space="preserve">ESTIMACIÓN Y EVALUACIÓN DE LA GANANCIA </t>
  </si>
  <si>
    <t>Ganancia de peso esperada según trimestre de gestación</t>
  </si>
  <si>
    <t>IMC Atalah</t>
  </si>
  <si>
    <t>Ganancia Total</t>
  </si>
  <si>
    <t>1er trimestre</t>
  </si>
  <si>
    <t>Promedio</t>
  </si>
  <si>
    <t>2do y 3er trim</t>
  </si>
  <si>
    <t>% Peso</t>
  </si>
  <si>
    <t>sem 0 - 13</t>
  </si>
  <si>
    <t>g/semana</t>
  </si>
  <si>
    <t>sem 14 - 40</t>
  </si>
  <si>
    <t>Total</t>
  </si>
  <si>
    <t>Bajo peso</t>
  </si>
  <si>
    <t>&lt;20</t>
  </si>
  <si>
    <t>12kg - 18kg</t>
  </si>
  <si>
    <t>2,5kg</t>
  </si>
  <si>
    <t>192,3g</t>
  </si>
  <si>
    <t>400g - 600g</t>
  </si>
  <si>
    <t>500g</t>
  </si>
  <si>
    <t>30%</t>
  </si>
  <si>
    <t>Normo peso</t>
  </si>
  <si>
    <t>20-25</t>
  </si>
  <si>
    <t>10kg - 13kg</t>
  </si>
  <si>
    <t>1,5kg</t>
  </si>
  <si>
    <t>115,4g</t>
  </si>
  <si>
    <t>330g - 430g</t>
  </si>
  <si>
    <t>400g</t>
  </si>
  <si>
    <t>20%</t>
  </si>
  <si>
    <t>25-30</t>
  </si>
  <si>
    <t>7kg - 10kg</t>
  </si>
  <si>
    <t>0,9kg</t>
  </si>
  <si>
    <t>69,2g</t>
  </si>
  <si>
    <t>230g - 330g</t>
  </si>
  <si>
    <t>300g</t>
  </si>
  <si>
    <t>15%</t>
  </si>
  <si>
    <t>&gt;30</t>
  </si>
  <si>
    <t>6kg - 7kg</t>
  </si>
  <si>
    <t>200g - 230g</t>
  </si>
  <si>
    <t>Evaluacion de la ganancia</t>
  </si>
  <si>
    <t>NOTA: Usar ajustes para semana &gt;13</t>
  </si>
  <si>
    <t>Semana gestacional</t>
  </si>
  <si>
    <t>Peso preg kg</t>
  </si>
  <si>
    <t>Debió ganar Kg</t>
  </si>
  <si>
    <t>Estatura m</t>
  </si>
  <si>
    <t>Ganancia presentada</t>
  </si>
  <si>
    <t>IMC gestacional</t>
  </si>
  <si>
    <t>Clasificacion</t>
  </si>
  <si>
    <t>Estimacion de la ganancia</t>
  </si>
  <si>
    <t>Ajuste 1</t>
  </si>
  <si>
    <t>Kg Sem 0 - 13</t>
  </si>
  <si>
    <t>Objetivo x semana g</t>
  </si>
  <si>
    <t>Kg Sem 14 - 40</t>
  </si>
  <si>
    <t>Evaluac ganancia absoluta</t>
  </si>
  <si>
    <t>AJUSTE 1 RESULTADO en Kg</t>
  </si>
  <si>
    <t>Total kg</t>
  </si>
  <si>
    <t xml:space="preserve">Ganancia esperada entre semana </t>
  </si>
  <si>
    <t>y</t>
  </si>
  <si>
    <t>:</t>
  </si>
  <si>
    <t>% Peso pregestacion</t>
  </si>
  <si>
    <t>Ganancia presentada entre semana</t>
  </si>
  <si>
    <t>Ganancia esperada hasta semana</t>
  </si>
  <si>
    <t>En exceso de peso</t>
  </si>
  <si>
    <t>Ganancia absoluta hasta semana</t>
  </si>
  <si>
    <t>Peso saludble</t>
  </si>
  <si>
    <t>Antropometría Braquial</t>
  </si>
  <si>
    <t>Ajuste 2</t>
  </si>
  <si>
    <t>Perímetro brazo mm</t>
  </si>
  <si>
    <t>Plig tricipital mm</t>
  </si>
  <si>
    <t>AJUSTE 2 RESULTADO en Kg</t>
  </si>
  <si>
    <t>Plig subescap mm</t>
  </si>
  <si>
    <t>Perím Musc Brazo mm</t>
  </si>
  <si>
    <t>Área Mus Brazo mm2</t>
  </si>
  <si>
    <t>Área Total del Brazo mm2</t>
  </si>
  <si>
    <t>Ajuste 3</t>
  </si>
  <si>
    <t>Área Grasa del Brazo mm2</t>
  </si>
  <si>
    <t>AJUSTE 3 RESULTADO en Kg</t>
  </si>
  <si>
    <t>REQUERIMIENTO CALORICO BRUTO</t>
  </si>
  <si>
    <t>GRÁFICA DE SEGUIMIENTO</t>
  </si>
  <si>
    <t>ACTIVIDAD FÍSICA</t>
  </si>
  <si>
    <t>&gt;30 años</t>
  </si>
  <si>
    <t>Peso saludable IMC &gt;25</t>
  </si>
  <si>
    <t xml:space="preserve">ADICIÓN DE CALORÍAS POR GESTACIÓN </t>
  </si>
  <si>
    <t>Adicionar</t>
  </si>
  <si>
    <t>2do trimestre</t>
  </si>
  <si>
    <t>3er trimestre</t>
  </si>
  <si>
    <t>Requerimiento TOTAL</t>
  </si>
  <si>
    <t>500</t>
  </si>
  <si>
    <t>Calorías adicionales</t>
  </si>
  <si>
    <t>85</t>
  </si>
  <si>
    <t>285</t>
  </si>
  <si>
    <t>475</t>
  </si>
  <si>
    <t>Calorías TMB</t>
  </si>
  <si>
    <t>360</t>
  </si>
  <si>
    <t>Calorías totales</t>
  </si>
  <si>
    <t>200-250</t>
  </si>
  <si>
    <t>100</t>
  </si>
  <si>
    <t>CalorÍas</t>
  </si>
  <si>
    <t>Prote bajo peso g/kg</t>
  </si>
  <si>
    <t>28g</t>
  </si>
  <si>
    <t>Folato (ug)</t>
  </si>
  <si>
    <r>
      <rPr>
        <rFont val="Calibri"/>
        <b/>
        <color theme="1"/>
        <sz val="11.0"/>
      </rPr>
      <t>D:</t>
    </r>
    <r>
      <rPr>
        <rFont val="Calibri"/>
        <color theme="1"/>
        <sz val="11.0"/>
      </rPr>
      <t xml:space="preserve"> Desayuno</t>
    </r>
  </si>
  <si>
    <r>
      <rPr>
        <rFont val="Calibri"/>
        <b/>
        <color theme="1"/>
        <sz val="11.0"/>
      </rPr>
      <t>MM:</t>
    </r>
    <r>
      <rPr>
        <rFont val="Calibri"/>
        <color theme="1"/>
        <sz val="11.0"/>
      </rPr>
      <t xml:space="preserve"> Media Mañana</t>
    </r>
  </si>
  <si>
    <r>
      <rPr>
        <rFont val="Calibri"/>
        <b/>
        <color theme="1"/>
        <sz val="11.0"/>
      </rPr>
      <t xml:space="preserve">A: </t>
    </r>
    <r>
      <rPr>
        <rFont val="Calibri"/>
        <color theme="1"/>
        <sz val="11.0"/>
      </rPr>
      <t>Almuerzo</t>
    </r>
  </si>
  <si>
    <r>
      <rPr>
        <rFont val="Calibri"/>
        <b/>
        <color theme="1"/>
        <sz val="11.0"/>
      </rPr>
      <t xml:space="preserve">MT: </t>
    </r>
    <r>
      <rPr>
        <rFont val="Calibri"/>
        <color theme="1"/>
        <sz val="11.0"/>
      </rPr>
      <t>Media Tarde</t>
    </r>
  </si>
  <si>
    <r>
      <rPr>
        <rFont val="Calibri"/>
        <b/>
        <color theme="1"/>
        <sz val="11.0"/>
      </rPr>
      <t>C:</t>
    </r>
    <r>
      <rPr>
        <rFont val="Calibri"/>
        <color theme="1"/>
        <sz val="11.0"/>
      </rPr>
      <t xml:space="preserve"> Cena</t>
    </r>
  </si>
  <si>
    <r>
      <rPr>
        <rFont val="Calibri"/>
        <b/>
        <color theme="1"/>
        <sz val="11.0"/>
      </rPr>
      <t>ME:</t>
    </r>
    <r>
      <rPr>
        <rFont val="Calibri"/>
        <color theme="1"/>
        <sz val="11.0"/>
      </rPr>
      <t xml:space="preserve"> Merienda</t>
    </r>
  </si>
  <si>
    <t>ESTIMACIÓN Y EVALUACIÓN DE LA GANANCIA EN GESTANTE ADOLESCENTE</t>
  </si>
  <si>
    <t>Ganancia de peso esperada por trimestre</t>
  </si>
  <si>
    <t>% P, pregest</t>
  </si>
  <si>
    <t>12,6kg - 18kg</t>
  </si>
  <si>
    <t>2,25kg</t>
  </si>
  <si>
    <t>173g</t>
  </si>
  <si>
    <t>&gt;450g</t>
  </si>
  <si>
    <t>35%</t>
  </si>
  <si>
    <t>11,2kg - 15,7kg</t>
  </si>
  <si>
    <t>1,3kg</t>
  </si>
  <si>
    <t>6,7kg - 11,3kg</t>
  </si>
  <si>
    <t>69g</t>
  </si>
  <si>
    <t>&gt;297g</t>
  </si>
  <si>
    <t>6,7kg</t>
  </si>
  <si>
    <t>0,675kg</t>
  </si>
  <si>
    <t>52g</t>
  </si>
  <si>
    <t>&gt;225g</t>
  </si>
  <si>
    <t>Evaluación de la ganancia</t>
  </si>
  <si>
    <t>Puntaje Z</t>
  </si>
  <si>
    <t>Clasificación</t>
  </si>
  <si>
    <t>Estimación de la ganancia</t>
  </si>
  <si>
    <t>% Peso pregestación</t>
  </si>
  <si>
    <t>REQUERIMIENTO CALÓRICO</t>
  </si>
  <si>
    <t>Peso preg</t>
  </si>
  <si>
    <t>Calorías adicionales x gestación</t>
  </si>
  <si>
    <t>Ganancia diaria</t>
  </si>
  <si>
    <t>GET</t>
  </si>
  <si>
    <t>1er trim</t>
  </si>
  <si>
    <t>2do trim</t>
  </si>
  <si>
    <t>Gncia diaria</t>
  </si>
  <si>
    <t>10-11</t>
  </si>
  <si>
    <t>12,3</t>
  </si>
  <si>
    <t>Actividad física</t>
  </si>
  <si>
    <t>11-12</t>
  </si>
  <si>
    <t>300</t>
  </si>
  <si>
    <t>12-13</t>
  </si>
  <si>
    <t>12,6</t>
  </si>
  <si>
    <t>200</t>
  </si>
  <si>
    <t>13-14</t>
  </si>
  <si>
    <t>11,5</t>
  </si>
  <si>
    <t>14-15</t>
  </si>
  <si>
    <t>9,3</t>
  </si>
  <si>
    <t>15-16</t>
  </si>
  <si>
    <t>6,0</t>
  </si>
  <si>
    <t>16-17</t>
  </si>
  <si>
    <t>2,2</t>
  </si>
  <si>
    <t>17-18</t>
  </si>
  <si>
    <t>0,0</t>
  </si>
  <si>
    <t>Grasas saturadas</t>
  </si>
  <si>
    <t>Productos con reducción de grasa</t>
  </si>
  <si>
    <t>% ADECUACIÓN</t>
  </si>
  <si>
    <r>
      <rPr>
        <rFont val="Calibri"/>
        <b/>
        <color theme="1"/>
        <sz val="11.0"/>
      </rPr>
      <t>D:</t>
    </r>
    <r>
      <rPr>
        <rFont val="Calibri"/>
        <color theme="1"/>
        <sz val="11.0"/>
      </rPr>
      <t xml:space="preserve"> Desayuno</t>
    </r>
  </si>
  <si>
    <r>
      <rPr>
        <rFont val="Calibri"/>
        <b/>
        <color theme="1"/>
        <sz val="11.0"/>
      </rPr>
      <t>MM:</t>
    </r>
    <r>
      <rPr>
        <rFont val="Calibri"/>
        <color theme="1"/>
        <sz val="11.0"/>
      </rPr>
      <t xml:space="preserve"> Media Mañana</t>
    </r>
  </si>
  <si>
    <r>
      <rPr>
        <rFont val="Calibri"/>
        <b/>
        <color theme="1"/>
        <sz val="11.0"/>
      </rPr>
      <t xml:space="preserve">A: </t>
    </r>
    <r>
      <rPr>
        <rFont val="Calibri"/>
        <color theme="1"/>
        <sz val="11.0"/>
      </rPr>
      <t>Almuerzo</t>
    </r>
  </si>
  <si>
    <r>
      <rPr>
        <rFont val="Calibri"/>
        <b/>
        <color theme="1"/>
        <sz val="11.0"/>
      </rPr>
      <t xml:space="preserve">MT: </t>
    </r>
    <r>
      <rPr>
        <rFont val="Calibri"/>
        <color theme="1"/>
        <sz val="11.0"/>
      </rPr>
      <t>Media Tarde</t>
    </r>
  </si>
  <si>
    <r>
      <rPr>
        <rFont val="Calibri"/>
        <b/>
        <color theme="1"/>
        <sz val="11.0"/>
      </rPr>
      <t>C:</t>
    </r>
    <r>
      <rPr>
        <rFont val="Calibri"/>
        <color theme="1"/>
        <sz val="11.0"/>
      </rPr>
      <t xml:space="preserve"> Cena</t>
    </r>
  </si>
  <si>
    <r>
      <rPr>
        <rFont val="Calibri"/>
        <b/>
        <color theme="1"/>
        <sz val="11.0"/>
      </rPr>
      <t>ME:</t>
    </r>
    <r>
      <rPr>
        <rFont val="Calibri"/>
        <color theme="1"/>
        <sz val="11.0"/>
      </rPr>
      <t xml:space="preserve"> Merienda</t>
    </r>
  </si>
  <si>
    <t>PACIENTE HOSPITALIZADO</t>
  </si>
  <si>
    <t>GASTO ENERGÉTICO</t>
  </si>
  <si>
    <t>FACTOR DE ACTIVIDAD</t>
  </si>
  <si>
    <t>Inconsciente/Coma</t>
  </si>
  <si>
    <t>Peso Kg</t>
  </si>
  <si>
    <t>En cama</t>
  </si>
  <si>
    <t>1,1 - 1,2</t>
  </si>
  <si>
    <t>Ambulatorio</t>
  </si>
  <si>
    <t>FACTOR DE ESTRÉS</t>
  </si>
  <si>
    <t>Factor actividad</t>
  </si>
  <si>
    <t>Cirugía mayor</t>
  </si>
  <si>
    <t>Factor estrés</t>
  </si>
  <si>
    <t>Cirugía menor</t>
  </si>
  <si>
    <t>Harris y Benedict</t>
  </si>
  <si>
    <t>Infección leve</t>
  </si>
  <si>
    <t>Requerimiento total</t>
  </si>
  <si>
    <t>Infección moderada</t>
  </si>
  <si>
    <t>Estimación Talla</t>
  </si>
  <si>
    <t>Mifflin y St Jeor</t>
  </si>
  <si>
    <t>Infección severa</t>
  </si>
  <si>
    <t>Talón rodilla cm</t>
  </si>
  <si>
    <t>Trauma esqueleto</t>
  </si>
  <si>
    <t>Talla estimada cm</t>
  </si>
  <si>
    <t>Ireton y Jones</t>
  </si>
  <si>
    <t>Trauma contusión</t>
  </si>
  <si>
    <t>Estimación Peso</t>
  </si>
  <si>
    <t>Soporte ventilatorio</t>
  </si>
  <si>
    <t>No</t>
  </si>
  <si>
    <t>Lesión de cabeza</t>
  </si>
  <si>
    <t>Quemadura 40%</t>
  </si>
  <si>
    <t>Perimetro brazo cm</t>
  </si>
  <si>
    <t>Trauma</t>
  </si>
  <si>
    <t>Quemadura 100%</t>
  </si>
  <si>
    <t>Perimetro pantorrilla cm</t>
  </si>
  <si>
    <t>Quemadura</t>
  </si>
  <si>
    <t>Peritonitis</t>
  </si>
  <si>
    <t>1,05 - 1,25</t>
  </si>
  <si>
    <t>Cáncer</t>
  </si>
  <si>
    <t>1,1 - 1,45</t>
  </si>
  <si>
    <t>Estimación del peso Kg</t>
  </si>
  <si>
    <t>Método del pulgar</t>
  </si>
  <si>
    <t>Kcal/kg/Día</t>
  </si>
  <si>
    <t>Para el cálculo de requerimiento SIEMPRE debe colocar factor de actividad y estrés. Calcule el requerimiento con el peso actual en caso de desnutrición; con peso ideal en sobrepeso; y con peso ajustado en obesidad.</t>
  </si>
  <si>
    <t>LÍQUIDOS</t>
  </si>
  <si>
    <t>cc/kg/día</t>
  </si>
  <si>
    <t>Referencias</t>
  </si>
  <si>
    <t>ml totales</t>
  </si>
  <si>
    <t>Estimación talla: Chumlea W, Roche A, Steinbaugh M. Estimating stature from knee height for persons 60-90 years of age. J Am Geriatr Soc 1985; 33: 116-120.</t>
  </si>
  <si>
    <t>Calcule los líquidos con peso actual idealmente con 30cc a 40cc</t>
  </si>
  <si>
    <t>Estimación peso: Chumlea WC, Guo S, Roche AF, Steinbaugh ML. Prediction of body weight for the nonambulatory elderly from anthropo – metry. J Am Diet Assoc 1988; 88 (5): 564-568</t>
  </si>
  <si>
    <t xml:space="preserve">Ec Harris y Benedict: Banta, A. M. (1918). Sex and Sex Intergrades in Cladocera. Proceedings of the National Academy of Sciences, 4(12), 373–379. doi:10.1073/pnas.4.12.373 </t>
  </si>
  <si>
    <t>Ec Miflin y St Jeor: Am J Clin Nutr 1990; 51: 241-7.</t>
  </si>
  <si>
    <t>NUTRICIÓN PARENTERAL ADULTO</t>
  </si>
  <si>
    <r>
      <rPr>
        <rFont val="Calibri"/>
        <color theme="1"/>
        <sz val="11.0"/>
      </rPr>
      <t xml:space="preserve">   </t>
    </r>
    <r>
      <rPr>
        <rFont val="Calibri"/>
        <b/>
        <color theme="1"/>
        <sz val="11.0"/>
      </rPr>
      <t xml:space="preserve">1. </t>
    </r>
    <r>
      <rPr>
        <rFont val="Calibri"/>
        <color theme="1"/>
        <sz val="11.0"/>
      </rPr>
      <t>Introduzca las calorías y la cantidad de líquido que va a suministrar al paciente</t>
    </r>
  </si>
  <si>
    <t>Peso del paciente (kg)</t>
  </si>
  <si>
    <t>Líquidos totales (ml)</t>
  </si>
  <si>
    <r>
      <rPr>
        <rFont val="Calibri"/>
        <color theme="1"/>
        <sz val="11.0"/>
      </rPr>
      <t xml:space="preserve">   </t>
    </r>
    <r>
      <rPr>
        <rFont val="Calibri"/>
        <b/>
        <color theme="1"/>
        <sz val="11.0"/>
      </rPr>
      <t>2.</t>
    </r>
    <r>
      <rPr>
        <rFont val="Calibri"/>
        <color theme="1"/>
        <sz val="11.0"/>
      </rPr>
      <t xml:space="preserve"> Defina el aporte de macro y micronutrientes, guiese por la tabla adjunta</t>
    </r>
  </si>
  <si>
    <t>Proteína (g/kg/día)</t>
  </si>
  <si>
    <t>Requerimientos usuales</t>
  </si>
  <si>
    <t>La cantidad de lípidos es el resultado de la diferencia del total de calorias, con las calorias de (CHOs + proteína), que se requieren para completar el total de calorias programadas</t>
  </si>
  <si>
    <t>CHOs (g/kg/día)</t>
  </si>
  <si>
    <t>0,8 - 1,8</t>
  </si>
  <si>
    <t>Flujo metabolico(mg/kg/min)</t>
  </si>
  <si>
    <t>3,0 - 7,0</t>
  </si>
  <si>
    <t>Lípidos (g/kg/día)</t>
  </si>
  <si>
    <t>Estable</t>
  </si>
  <si>
    <t>0,7 - 1,3</t>
  </si>
  <si>
    <t>Sodio (mEq/kg)</t>
  </si>
  <si>
    <t>Alta demanda energética</t>
  </si>
  <si>
    <t>1,5 - 2,5</t>
  </si>
  <si>
    <t>Potasio (mEq/kg)</t>
  </si>
  <si>
    <t>1 - 2</t>
  </si>
  <si>
    <t>Calcio (mEq/día)</t>
  </si>
  <si>
    <t>Fósforo (mMol/día)</t>
  </si>
  <si>
    <t>10 - 15</t>
  </si>
  <si>
    <t>Magnesio (mEq/día)</t>
  </si>
  <si>
    <t>20 - 40</t>
  </si>
  <si>
    <t>8 - 20</t>
  </si>
  <si>
    <r>
      <rPr>
        <rFont val="Calibri"/>
        <color theme="1"/>
        <sz val="11.0"/>
      </rPr>
      <t xml:space="preserve">   </t>
    </r>
    <r>
      <rPr>
        <rFont val="Calibri"/>
        <b/>
        <color theme="1"/>
        <sz val="11.0"/>
      </rPr>
      <t>3.</t>
    </r>
    <r>
      <rPr>
        <rFont val="Calibri"/>
        <color theme="1"/>
        <sz val="11.0"/>
      </rPr>
      <t xml:space="preserve"> Defina los productos que va a usar en la nutrición parenteral</t>
    </r>
  </si>
  <si>
    <t>Nutriente</t>
  </si>
  <si>
    <t>Aminoácidos</t>
  </si>
  <si>
    <t>Dextrosa</t>
  </si>
  <si>
    <t>Lípidos</t>
  </si>
  <si>
    <t>Potasio</t>
  </si>
  <si>
    <t>Calcio</t>
  </si>
  <si>
    <t>Magnesio</t>
  </si>
  <si>
    <t>Fósforo</t>
  </si>
  <si>
    <t>Producto</t>
  </si>
  <si>
    <t>Vitaminas</t>
  </si>
  <si>
    <t>Oligoelementos</t>
  </si>
  <si>
    <t>*S.E Sin electrólitos; C.E Con electrólitos</t>
  </si>
  <si>
    <r>
      <rPr>
        <rFont val="Calibri"/>
        <color theme="1"/>
        <sz val="11.0"/>
      </rPr>
      <t xml:space="preserve">  </t>
    </r>
    <r>
      <rPr>
        <rFont val="Calibri"/>
        <b/>
        <color theme="1"/>
        <sz val="11.0"/>
      </rPr>
      <t xml:space="preserve"> 4.</t>
    </r>
    <r>
      <rPr>
        <rFont val="Calibri"/>
        <color theme="1"/>
        <sz val="11.0"/>
      </rPr>
      <t xml:space="preserve"> De acuerdo a lo anterior la siguiente tabla presenta el resumen de la NPT</t>
    </r>
  </si>
  <si>
    <t>Cantidad en producto</t>
  </si>
  <si>
    <t>Necesidad</t>
  </si>
  <si>
    <t>Volumen ml</t>
  </si>
  <si>
    <t>mOsml/L</t>
  </si>
  <si>
    <t>mOsml total</t>
  </si>
  <si>
    <t>g/ml</t>
  </si>
  <si>
    <t>g/día</t>
  </si>
  <si>
    <t>Tenga en cuenta que el programa resta automaticamente el excedente de sodio o potasio aportado por el Glicerol fosfato de sodio o  Fosfato de potasio respectivamente</t>
  </si>
  <si>
    <t>mEq/ml</t>
  </si>
  <si>
    <t>mEq/día</t>
  </si>
  <si>
    <t>mMol/ml</t>
  </si>
  <si>
    <t>mMol/día</t>
  </si>
  <si>
    <t>No aplica</t>
  </si>
  <si>
    <t>Agua estéril</t>
  </si>
  <si>
    <t>Agua</t>
  </si>
  <si>
    <r>
      <rPr>
        <rFont val="Calibri"/>
        <color theme="1"/>
        <sz val="11.0"/>
      </rPr>
      <t xml:space="preserve">  </t>
    </r>
    <r>
      <rPr>
        <rFont val="Calibri"/>
        <b/>
        <color theme="1"/>
        <sz val="11.0"/>
      </rPr>
      <t xml:space="preserve">5. </t>
    </r>
    <r>
      <rPr>
        <rFont val="Calibri"/>
        <color theme="1"/>
        <sz val="11.0"/>
      </rPr>
      <t>Tenga en cuenta la osmolaridad de cada uno de los productos relacionados, si usa un producto de marca u osmolaridad diferente se podrán presentar errores</t>
    </r>
  </si>
  <si>
    <t>Marca</t>
  </si>
  <si>
    <t>Osmolaridad/L</t>
  </si>
  <si>
    <t>Aminoacidos 10%</t>
  </si>
  <si>
    <t>Aminoven 10%</t>
  </si>
  <si>
    <t>Fresenius</t>
  </si>
  <si>
    <t>Aminoacidos 15%</t>
  </si>
  <si>
    <t>Aminoven 15%</t>
  </si>
  <si>
    <t xml:space="preserve">Aminoacidos 10% </t>
  </si>
  <si>
    <t>Trophamine</t>
  </si>
  <si>
    <t>Bbraun</t>
  </si>
  <si>
    <t>Aminoplasmal</t>
  </si>
  <si>
    <t>Primene 10%</t>
  </si>
  <si>
    <t>Baxter</t>
  </si>
  <si>
    <t>Travasol 10% S.E</t>
  </si>
  <si>
    <t>Travasol 10% C.E</t>
  </si>
  <si>
    <t xml:space="preserve">Aminoacidos 15% </t>
  </si>
  <si>
    <t>Travasol plus</t>
  </si>
  <si>
    <t>Dextrosa 20%</t>
  </si>
  <si>
    <t>Dextrosa 50%</t>
  </si>
  <si>
    <t>Dextrosa 70%</t>
  </si>
  <si>
    <t>Corpaul</t>
  </si>
  <si>
    <t>Lípidos 20%</t>
  </si>
  <si>
    <t>Smoflipid</t>
  </si>
  <si>
    <t>Lipovenos</t>
  </si>
  <si>
    <t>Clinoleic</t>
  </si>
  <si>
    <t>Lipofundin</t>
  </si>
  <si>
    <t>Lípidos 10%</t>
  </si>
  <si>
    <t>Omegaven</t>
  </si>
  <si>
    <t>Cloruro de sodio</t>
  </si>
  <si>
    <t>Natrol</t>
  </si>
  <si>
    <t>Cloruro de potasio</t>
  </si>
  <si>
    <t>Katrol</t>
  </si>
  <si>
    <t>Gluconato de calcio 10%</t>
  </si>
  <si>
    <t>Sulfato de magnesio 20%</t>
  </si>
  <si>
    <t>Sulfato de magnesio</t>
  </si>
  <si>
    <t>Fosfato de potasio</t>
  </si>
  <si>
    <t>Glicerol fosfato de sodio</t>
  </si>
  <si>
    <t>Glycophos</t>
  </si>
  <si>
    <t>Multiviminas</t>
  </si>
  <si>
    <t>Soluvit+Vitalipid</t>
  </si>
  <si>
    <t>Cernevit</t>
  </si>
  <si>
    <t>Elementos traza</t>
  </si>
  <si>
    <t>Addaven</t>
  </si>
  <si>
    <t>Nulanza</t>
  </si>
  <si>
    <t>SOMATOCARTA</t>
  </si>
  <si>
    <t>SOMATOTIPO</t>
  </si>
  <si>
    <t>CLASIFICACIÓN</t>
  </si>
  <si>
    <t>Triceps mm</t>
  </si>
  <si>
    <t>A. Mesomorfo balanceado</t>
  </si>
  <si>
    <t>Subescapular mm</t>
  </si>
  <si>
    <t>B. Endomorfo balanceado</t>
  </si>
  <si>
    <t>Supraespinal mm</t>
  </si>
  <si>
    <t>C. Ectomorfo balanceado</t>
  </si>
  <si>
    <t>Sumatoria</t>
  </si>
  <si>
    <t>D. Mesomorfo-Endomorfo</t>
  </si>
  <si>
    <t>Corrección proporcionalidad</t>
  </si>
  <si>
    <t>E. Mesomorfo-Ectomorfo</t>
  </si>
  <si>
    <t>Estatura cm</t>
  </si>
  <si>
    <t>F. Endomorfo-Ectomorfo</t>
  </si>
  <si>
    <t>Diámetro humero cm</t>
  </si>
  <si>
    <t>G. Endo-Mesomorfo</t>
  </si>
  <si>
    <t>Diámetro femur cm</t>
  </si>
  <si>
    <t>H. Meso-Endomorfo</t>
  </si>
  <si>
    <t>Perímetro brazo tenso cm</t>
  </si>
  <si>
    <t>I.  Meso-Ectomorfo</t>
  </si>
  <si>
    <t>Perímetro brazo corregido</t>
  </si>
  <si>
    <t>J.  Ecto-Mesomorfo</t>
  </si>
  <si>
    <t>Perímetro pantorrilla cm</t>
  </si>
  <si>
    <t>K. Ecto-Endomorfo</t>
  </si>
  <si>
    <t>Pliegue pantorrilla mm</t>
  </si>
  <si>
    <t>L.  Endo-Ectomorfo</t>
  </si>
  <si>
    <t>Perímetro pantorrilla corregido</t>
  </si>
  <si>
    <t>HWR</t>
  </si>
  <si>
    <t>Componentes</t>
  </si>
  <si>
    <t>ENDOMORFIA</t>
  </si>
  <si>
    <t>MESOMORFIA</t>
  </si>
  <si>
    <t>ECTOMORFIA</t>
  </si>
  <si>
    <t>Coordenadas</t>
  </si>
  <si>
    <t>X</t>
  </si>
  <si>
    <t>Y</t>
  </si>
  <si>
    <t>% Grasa Yuhasz</t>
  </si>
  <si>
    <t>Pantorrilla mm</t>
  </si>
  <si>
    <t>Abdominal mm</t>
  </si>
  <si>
    <t>Muslo medio mm</t>
  </si>
  <si>
    <t>% Grasa</t>
  </si>
  <si>
    <t>Peso graso kg</t>
  </si>
  <si>
    <t>Índice Sustancia Corporal Activa</t>
  </si>
  <si>
    <t>Clasificación AKS</t>
  </si>
  <si>
    <t>Peso optimo</t>
  </si>
  <si>
    <t>% grasa esperado</t>
  </si>
  <si>
    <t>Peso optimo Kg</t>
  </si>
  <si>
    <t>Recomendaciones</t>
  </si>
  <si>
    <r>
      <rPr>
        <rFont val="Calibri"/>
        <b/>
        <color theme="1"/>
        <sz val="14.0"/>
      </rPr>
      <t>NOTA:</t>
    </r>
    <r>
      <rPr>
        <rFont val="Calibri"/>
        <b val="0"/>
        <color theme="1"/>
        <sz val="14.0"/>
      </rPr>
      <t xml:space="preserve"> Para definir la calorías totales utilice las fórmulas de requerimientos generales o el cálculo de METs</t>
    </r>
  </si>
  <si>
    <t>1,11-2,00</t>
  </si>
  <si>
    <r>
      <rPr>
        <rFont val="Calibri"/>
        <b/>
        <color theme="1"/>
        <sz val="11.0"/>
      </rPr>
      <t>NOTA:</t>
    </r>
    <r>
      <rPr>
        <rFont val="Calibri"/>
        <color theme="1"/>
        <sz val="11.0"/>
      </rPr>
      <t xml:space="preserve"> Puede introducir manualmente cada uno de los nutrientes por porción del suplemento especifico que el deportista este usando o que usted recomiende</t>
    </r>
  </si>
  <si>
    <r>
      <rPr>
        <rFont val="Calibri"/>
        <b/>
        <color theme="1"/>
        <sz val="11.0"/>
      </rPr>
      <t xml:space="preserve">Suplementos </t>
    </r>
    <r>
      <rPr>
        <rFont val="Calibri"/>
        <b val="0"/>
        <color theme="1"/>
        <sz val="11.0"/>
      </rPr>
      <t>(Introduzca la información nutricional de 1 porción de suplemento)</t>
    </r>
  </si>
  <si>
    <t xml:space="preserve">Suplementos </t>
  </si>
  <si>
    <r>
      <rPr>
        <rFont val="Calibri"/>
        <b/>
        <color theme="1"/>
        <sz val="11.0"/>
      </rPr>
      <t>D:</t>
    </r>
    <r>
      <rPr>
        <rFont val="Calibri"/>
        <color theme="1"/>
        <sz val="11.0"/>
      </rPr>
      <t xml:space="preserve"> Desayuno</t>
    </r>
  </si>
  <si>
    <r>
      <rPr>
        <rFont val="Calibri"/>
        <b/>
        <color theme="1"/>
        <sz val="11.0"/>
      </rPr>
      <t>MM:</t>
    </r>
    <r>
      <rPr>
        <rFont val="Calibri"/>
        <color theme="1"/>
        <sz val="11.0"/>
      </rPr>
      <t xml:space="preserve"> Media Mañana</t>
    </r>
  </si>
  <si>
    <r>
      <rPr>
        <rFont val="Calibri"/>
        <b/>
        <color theme="1"/>
        <sz val="11.0"/>
      </rPr>
      <t xml:space="preserve">A: </t>
    </r>
    <r>
      <rPr>
        <rFont val="Calibri"/>
        <color theme="1"/>
        <sz val="11.0"/>
      </rPr>
      <t>Almuerzo</t>
    </r>
  </si>
  <si>
    <r>
      <rPr>
        <rFont val="Calibri"/>
        <b/>
        <color theme="1"/>
        <sz val="11.0"/>
      </rPr>
      <t xml:space="preserve">MT: </t>
    </r>
    <r>
      <rPr>
        <rFont val="Calibri"/>
        <color theme="1"/>
        <sz val="11.0"/>
      </rPr>
      <t>Media Tarde</t>
    </r>
  </si>
  <si>
    <r>
      <rPr>
        <rFont val="Calibri"/>
        <b/>
        <color theme="1"/>
        <sz val="11.0"/>
      </rPr>
      <t>C:</t>
    </r>
    <r>
      <rPr>
        <rFont val="Calibri"/>
        <color theme="1"/>
        <sz val="11.0"/>
      </rPr>
      <t xml:space="preserve"> Cena</t>
    </r>
  </si>
  <si>
    <r>
      <rPr>
        <rFont val="Calibri"/>
        <b/>
        <color theme="1"/>
        <sz val="11.0"/>
      </rPr>
      <t>ME:</t>
    </r>
    <r>
      <rPr>
        <rFont val="Calibri"/>
        <color theme="1"/>
        <sz val="11.0"/>
      </rPr>
      <t xml:space="preserve"> Merienda</t>
    </r>
  </si>
  <si>
    <r>
      <rPr>
        <rFont val="Calibri"/>
        <b/>
        <color theme="1"/>
        <sz val="11.0"/>
      </rPr>
      <t xml:space="preserve">Suplemento </t>
    </r>
    <r>
      <rPr>
        <rFont val="Calibri"/>
        <b val="0"/>
        <color theme="1"/>
        <sz val="11.0"/>
      </rPr>
      <t>(Introduzca manualmente los nutrientes por porción)</t>
    </r>
  </si>
  <si>
    <t>Suplemento</t>
  </si>
  <si>
    <r>
      <rPr>
        <rFont val="Calibri"/>
        <b/>
        <color theme="1"/>
        <sz val="11.0"/>
      </rPr>
      <t>D:</t>
    </r>
    <r>
      <rPr>
        <rFont val="Calibri"/>
        <color theme="1"/>
        <sz val="11.0"/>
      </rPr>
      <t xml:space="preserve"> Desayuno</t>
    </r>
  </si>
  <si>
    <r>
      <rPr>
        <rFont val="Calibri"/>
        <b/>
        <color theme="1"/>
        <sz val="11.0"/>
      </rPr>
      <t>MM:</t>
    </r>
    <r>
      <rPr>
        <rFont val="Calibri"/>
        <color theme="1"/>
        <sz val="11.0"/>
      </rPr>
      <t xml:space="preserve"> Media Mañana</t>
    </r>
  </si>
  <si>
    <r>
      <rPr>
        <rFont val="Calibri"/>
        <b/>
        <color theme="1"/>
        <sz val="11.0"/>
      </rPr>
      <t xml:space="preserve">A: </t>
    </r>
    <r>
      <rPr>
        <rFont val="Calibri"/>
        <color theme="1"/>
        <sz val="11.0"/>
      </rPr>
      <t>Almuerzo</t>
    </r>
  </si>
  <si>
    <r>
      <rPr>
        <rFont val="Calibri"/>
        <b/>
        <color theme="1"/>
        <sz val="11.0"/>
      </rPr>
      <t xml:space="preserve">MT: </t>
    </r>
    <r>
      <rPr>
        <rFont val="Calibri"/>
        <color theme="1"/>
        <sz val="11.0"/>
      </rPr>
      <t>Media Tarde</t>
    </r>
  </si>
  <si>
    <r>
      <rPr>
        <rFont val="Calibri"/>
        <b/>
        <color theme="1"/>
        <sz val="11.0"/>
      </rPr>
      <t>C:</t>
    </r>
    <r>
      <rPr>
        <rFont val="Calibri"/>
        <color theme="1"/>
        <sz val="11.0"/>
      </rPr>
      <t xml:space="preserve"> Cena</t>
    </r>
  </si>
  <si>
    <r>
      <rPr>
        <rFont val="Calibri"/>
        <b/>
        <color theme="1"/>
        <sz val="11.0"/>
      </rPr>
      <t>ME:</t>
    </r>
    <r>
      <rPr>
        <rFont val="Calibri"/>
        <color theme="1"/>
        <sz val="11.0"/>
      </rPr>
      <t xml:space="preserve"> Merienda</t>
    </r>
  </si>
  <si>
    <t>JACKSON Y POLLOCK</t>
  </si>
  <si>
    <t>FORMULAS JACKSON Y POLLOCK GENERALES</t>
  </si>
  <si>
    <t>NUEVAS FORMULAS JACKSON Y POLLOCK 17 - 35 años</t>
  </si>
  <si>
    <t>PLIEGUE mm</t>
  </si>
  <si>
    <t>VALOR</t>
  </si>
  <si>
    <t>Pecho</t>
  </si>
  <si>
    <t>Triceps</t>
  </si>
  <si>
    <t>Abdomen</t>
  </si>
  <si>
    <t>Suprailiaco</t>
  </si>
  <si>
    <t>Muslo</t>
  </si>
  <si>
    <t>M</t>
  </si>
  <si>
    <t>F</t>
  </si>
  <si>
    <t>Densidad</t>
  </si>
  <si>
    <t>%Grasa Siri</t>
  </si>
  <si>
    <t>DURNIN Y WOMERSLEY</t>
  </si>
  <si>
    <t>ANTIGUA DyM</t>
  </si>
  <si>
    <t>NUEVAS FÓRMULAS DyM HISPANOS</t>
  </si>
  <si>
    <t>Biceps</t>
  </si>
  <si>
    <t>Para esta fórmula por favor ingrese el valor de C y M correspondiente según el sexo y la edad de la persona, en la tabla que se encuentra en la parte inferior</t>
  </si>
  <si>
    <t>VARIABLE</t>
  </si>
  <si>
    <t>Subescapular</t>
  </si>
  <si>
    <t>Ileocrestal</t>
  </si>
  <si>
    <t>Abdomen cm</t>
  </si>
  <si>
    <t>Biceps mm</t>
  </si>
  <si>
    <t>Ileocrestal mm</t>
  </si>
  <si>
    <t>NUEVAS FÓRMULAS DyM AFROAMERICANOS</t>
  </si>
  <si>
    <t>17-19</t>
  </si>
  <si>
    <t>20-29</t>
  </si>
  <si>
    <t>30-39</t>
  </si>
  <si>
    <t>40-49</t>
  </si>
  <si>
    <t>50+</t>
  </si>
  <si>
    <t>CLASIFICACIÓN SEEDO</t>
  </si>
  <si>
    <t>1.</t>
  </si>
  <si>
    <t>Durnin JVGA, Womersley J. Body fat assessed from total body density and its estimation from skinfold thickness: measurements on 481 men and women aged from 16 to 72 Years. British Journal of Nutrition. 1974;32(1):77-97.</t>
  </si>
  <si>
    <t>2.</t>
  </si>
  <si>
    <t>Jackson AS, Pollock ML. Practical assessment of body composition. The physician and sport medicine. 1985;13(5):76-90.</t>
  </si>
  <si>
    <t>3.</t>
  </si>
  <si>
    <t>Davidson LE, Wang J, Thornton JC, Kaleem Z, Silva-Palacios F, Pierson RN, et al. Predicting fat percent by skinfolds in racial groups: Durnin and Womersley revisited. Medicine and science in sports and exercise. 2011;43(3):542-9.</t>
  </si>
  <si>
    <t>4.</t>
  </si>
  <si>
    <t>Jackson AS, Ellis KJ, McFarlin BK, Sailors MH, Bray MS. Cross-validation of generalised body composition equations with diverse young men and women: the Training Intervention and Genetics of Exercise Response (TIGER) Study. Br J Nutr. 2009;101(6):871-8.</t>
  </si>
  <si>
    <t>5.</t>
  </si>
  <si>
    <t>SEEDO. Consenso Sociedad Española para el Estudio de la Obesidad 2000 para la evaluación del sobrepeso y la obesidad y el establecimiento de criterios de intervención terapéutica. Barcelona: 2000 (115). p. 587-597.</t>
  </si>
  <si>
    <t>NOTAS</t>
  </si>
  <si>
    <t xml:space="preserve">R/.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</si>
</sst>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;;;"/>
    <numFmt numFmtId="166" formatCode="0.000"/>
    <numFmt numFmtId="167" formatCode="0.0000"/>
  </numFmts>
  <fonts count="24">
    <font>
      <sz val="11.0"/>
      <color theme="1"/>
      <name val="Calibri"/>
      <scheme val="minor"/>
    </font>
    <font>
      <sz val="12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sz val="18.0"/>
      <color theme="1"/>
      <name val="Bahnschrift SemiLight"/>
    </font>
    <font>
      <u/>
      <sz val="11.0"/>
      <color theme="1"/>
      <name val="Calibri"/>
    </font>
    <font>
      <b/>
      <sz val="11.0"/>
      <color rgb="FFD8D8D8"/>
      <name val="Arial"/>
    </font>
    <font>
      <b/>
      <sz val="11.0"/>
      <color rgb="FFD8D8D8"/>
      <name val="Calibri"/>
    </font>
    <font>
      <sz val="11.0"/>
      <color rgb="FFD8D8D8"/>
      <name val="Calibri"/>
    </font>
    <font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  <font>
      <sz val="11.0"/>
      <color rgb="FFC2E4E2"/>
      <name val="Calibri"/>
    </font>
    <font>
      <sz val="11.0"/>
      <color rgb="FF92CECB"/>
      <name val="Calibri"/>
    </font>
    <font>
      <i/>
      <sz val="11.0"/>
      <color theme="1"/>
      <name val="Calibri"/>
    </font>
    <font>
      <sz val="11.0"/>
      <color rgb="FF4BA8A4"/>
      <name val="Calibri"/>
    </font>
    <font>
      <b/>
      <sz val="14.0"/>
      <color theme="1"/>
      <name val="Calibri"/>
    </font>
    <font>
      <sz val="11.0"/>
      <color rgb="FF2E75B5"/>
      <name val="Calibri"/>
    </font>
    <font>
      <u/>
      <sz val="11.0"/>
      <color theme="1"/>
      <name val="Calibri"/>
    </font>
    <font>
      <u/>
      <sz val="11.0"/>
      <color theme="10"/>
      <name val="Calibri"/>
    </font>
    <font>
      <b/>
      <sz val="11.0"/>
      <color theme="0"/>
      <name val="Calibri"/>
    </font>
    <font>
      <sz val="11.0"/>
      <color theme="0"/>
      <name val="Calibri"/>
    </font>
    <font>
      <sz val="10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92CECB"/>
        <bgColor rgb="FF92CECB"/>
      </patternFill>
    </fill>
    <fill>
      <patternFill patternType="solid">
        <fgColor rgb="FFC2E4E2"/>
        <bgColor rgb="FFC2E4E2"/>
      </patternFill>
    </fill>
    <fill>
      <patternFill patternType="solid">
        <fgColor rgb="FF4BA8A4"/>
        <bgColor rgb="FF4BA8A4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FF66CC"/>
        <bgColor rgb="FFFF66CC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00B0F0"/>
        <bgColor rgb="FF00B0F0"/>
      </patternFill>
    </fill>
    <fill>
      <patternFill patternType="solid">
        <fgColor rgb="FFFF66FF"/>
        <bgColor rgb="FFFF66FF"/>
      </patternFill>
    </fill>
  </fills>
  <borders count="45">
    <border/>
    <border>
      <left/>
      <top/>
    </border>
    <border>
      <top/>
    </border>
    <border>
      <left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top style="thin">
        <color rgb="FF000000"/>
      </top>
      <bottom/>
    </border>
    <border>
      <left/>
      <right/>
      <top style="thin">
        <color rgb="FF000000"/>
      </top>
    </border>
    <border>
      <left/>
      <right/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0" fillId="0" fontId="3" numFmtId="0" xfId="0" applyFont="1"/>
    <xf borderId="1" fillId="3" fontId="3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/>
    </xf>
    <xf borderId="5" fillId="0" fontId="2" numFmtId="0" xfId="0" applyBorder="1" applyFont="1"/>
    <xf borderId="6" fillId="5" fontId="3" numFmtId="0" xfId="0" applyBorder="1" applyFill="1" applyFont="1"/>
    <xf borderId="0" fillId="0" fontId="5" numFmtId="0" xfId="0" applyAlignment="1" applyFont="1">
      <alignment horizontal="center" vertical="center"/>
    </xf>
    <xf borderId="7" fillId="2" fontId="3" numFmtId="0" xfId="0" applyAlignment="1" applyBorder="1" applyFont="1">
      <alignment horizontal="right"/>
    </xf>
    <xf borderId="8" fillId="6" fontId="3" numFmtId="0" xfId="0" applyAlignment="1" applyBorder="1" applyFill="1" applyFont="1">
      <alignment horizontal="center"/>
    </xf>
    <xf borderId="9" fillId="2" fontId="3" numFmtId="0" xfId="0" applyAlignment="1" applyBorder="1" applyFont="1">
      <alignment horizontal="right"/>
    </xf>
    <xf borderId="8" fillId="2" fontId="3" numFmtId="0" xfId="0" applyAlignment="1" applyBorder="1" applyFont="1">
      <alignment horizontal="center"/>
    </xf>
    <xf borderId="0" fillId="0" fontId="6" numFmtId="0" xfId="0" applyFont="1"/>
    <xf borderId="1" fillId="2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top"/>
    </xf>
    <xf borderId="10" fillId="2" fontId="3" numFmtId="0" xfId="0" applyAlignment="1" applyBorder="1" applyFont="1">
      <alignment horizontal="right"/>
    </xf>
    <xf borderId="11" fillId="4" fontId="4" numFmtId="0" xfId="0" applyAlignment="1" applyBorder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8" fillId="2" fontId="4" numFmtId="0" xfId="0" applyAlignment="1" applyBorder="1" applyFont="1">
      <alignment horizontal="center"/>
    </xf>
    <xf borderId="14" fillId="2" fontId="4" numFmtId="0" xfId="0" applyAlignment="1" applyBorder="1" applyFont="1">
      <alignment horizontal="center"/>
    </xf>
    <xf borderId="0" fillId="0" fontId="7" numFmtId="0" xfId="0" applyAlignment="1" applyFont="1">
      <alignment horizontal="center" shrinkToFit="0" vertical="center" wrapText="1"/>
    </xf>
    <xf borderId="8" fillId="3" fontId="3" numFmtId="49" xfId="0" applyAlignment="1" applyBorder="1" applyFont="1" applyNumberFormat="1">
      <alignment horizontal="center"/>
    </xf>
    <xf borderId="14" fillId="3" fontId="3" numFmtId="0" xfId="0" applyAlignment="1" applyBorder="1" applyFont="1">
      <alignment horizontal="center"/>
    </xf>
    <xf borderId="15" fillId="2" fontId="3" numFmtId="0" xfId="0" applyBorder="1" applyFont="1"/>
    <xf borderId="16" fillId="3" fontId="3" numFmtId="164" xfId="0" applyAlignment="1" applyBorder="1" applyFont="1" applyNumberFormat="1">
      <alignment horizontal="center"/>
    </xf>
    <xf borderId="8" fillId="3" fontId="3" numFmtId="0" xfId="0" applyAlignment="1" applyBorder="1" applyFont="1">
      <alignment horizontal="center"/>
    </xf>
    <xf borderId="17" fillId="2" fontId="3" numFmtId="0" xfId="0" applyBorder="1" applyFont="1"/>
    <xf borderId="18" fillId="3" fontId="4" numFmtId="0" xfId="0" applyAlignment="1" applyBorder="1" applyFont="1">
      <alignment horizontal="center"/>
    </xf>
    <xf borderId="19" fillId="2" fontId="3" numFmtId="0" xfId="0" applyBorder="1" applyFont="1"/>
    <xf borderId="18" fillId="3" fontId="3" numFmtId="164" xfId="0" applyAlignment="1" applyBorder="1" applyFont="1" applyNumberFormat="1">
      <alignment horizontal="center"/>
    </xf>
    <xf borderId="8" fillId="3" fontId="3" numFmtId="164" xfId="0" applyAlignment="1" applyBorder="1" applyFont="1" applyNumberFormat="1">
      <alignment horizontal="center"/>
    </xf>
    <xf borderId="7" fillId="2" fontId="3" numFmtId="49" xfId="0" applyAlignment="1" applyBorder="1" applyFont="1" applyNumberFormat="1">
      <alignment horizontal="right"/>
    </xf>
    <xf borderId="8" fillId="2" fontId="4" numFmtId="49" xfId="0" applyAlignment="1" applyBorder="1" applyFont="1" applyNumberFormat="1">
      <alignment horizontal="center"/>
    </xf>
    <xf borderId="14" fillId="2" fontId="4" numFmtId="49" xfId="0" applyAlignment="1" applyBorder="1" applyFont="1" applyNumberFormat="1">
      <alignment horizontal="center"/>
    </xf>
    <xf borderId="18" fillId="3" fontId="3" numFmtId="2" xfId="0" applyAlignment="1" applyBorder="1" applyFont="1" applyNumberFormat="1">
      <alignment horizontal="center"/>
    </xf>
    <xf borderId="9" fillId="2" fontId="3" numFmtId="49" xfId="0" applyAlignment="1" applyBorder="1" applyFont="1" applyNumberFormat="1">
      <alignment horizontal="right"/>
    </xf>
    <xf borderId="14" fillId="3" fontId="3" numFmtId="49" xfId="0" applyAlignment="1" applyBorder="1" applyFont="1" applyNumberFormat="1">
      <alignment horizontal="center"/>
    </xf>
    <xf borderId="18" fillId="3" fontId="4" numFmtId="2" xfId="0" applyAlignment="1" applyBorder="1" applyFont="1" applyNumberFormat="1">
      <alignment horizontal="center"/>
    </xf>
    <xf borderId="10" fillId="2" fontId="3" numFmtId="49" xfId="0" applyAlignment="1" applyBorder="1" applyFont="1" applyNumberFormat="1">
      <alignment horizontal="right"/>
    </xf>
    <xf borderId="0" fillId="0" fontId="3" numFmtId="49" xfId="0" applyFont="1" applyNumberFormat="1"/>
    <xf borderId="16" fillId="3" fontId="3" numFmtId="2" xfId="0" applyAlignment="1" applyBorder="1" applyFont="1" applyNumberFormat="1">
      <alignment horizontal="center"/>
    </xf>
    <xf borderId="11" fillId="4" fontId="4" numFmtId="49" xfId="0" applyAlignment="1" applyBorder="1" applyFont="1" applyNumberFormat="1">
      <alignment horizontal="center"/>
    </xf>
    <xf borderId="7" fillId="2" fontId="4" numFmtId="49" xfId="0" applyAlignment="1" applyBorder="1" applyFont="1" applyNumberFormat="1">
      <alignment horizontal="right"/>
    </xf>
    <xf borderId="0" fillId="0" fontId="8" numFmtId="0" xfId="0" applyAlignment="1" applyFont="1">
      <alignment horizontal="left" vertical="center"/>
    </xf>
    <xf borderId="20" fillId="2" fontId="3" numFmtId="0" xfId="0" applyBorder="1" applyFont="1"/>
    <xf borderId="21" fillId="3" fontId="4" numFmtId="0" xfId="0" applyAlignment="1" applyBorder="1" applyFont="1">
      <alignment horizontal="center"/>
    </xf>
    <xf borderId="0" fillId="0" fontId="9" numFmtId="0" xfId="0" applyAlignment="1" applyFont="1">
      <alignment horizontal="left" vertical="center"/>
    </xf>
    <xf borderId="11" fillId="2" fontId="3" numFmtId="0" xfId="0" applyAlignment="1" applyBorder="1" applyFont="1">
      <alignment horizontal="center"/>
    </xf>
    <xf borderId="14" fillId="3" fontId="3" numFmtId="0" xfId="0" applyBorder="1" applyFont="1"/>
    <xf borderId="14" fillId="6" fontId="3" numFmtId="0" xfId="0" applyAlignment="1" applyBorder="1" applyFont="1">
      <alignment horizontal="center"/>
    </xf>
    <xf borderId="0" fillId="0" fontId="10" numFmtId="0" xfId="0" applyFont="1"/>
    <xf borderId="14" fillId="3" fontId="3" numFmtId="164" xfId="0" applyAlignment="1" applyBorder="1" applyFont="1" applyNumberFormat="1">
      <alignment horizontal="center"/>
    </xf>
    <xf borderId="21" fillId="3" fontId="4" numFmtId="2" xfId="0" applyAlignment="1" applyBorder="1" applyFont="1" applyNumberFormat="1">
      <alignment horizontal="center"/>
    </xf>
    <xf borderId="0" fillId="0" fontId="9" numFmtId="0" xfId="0" applyAlignment="1" applyFont="1">
      <alignment horizontal="left" shrinkToFit="0" vertical="center" wrapText="1"/>
    </xf>
    <xf borderId="6" fillId="4" fontId="3" numFmtId="0" xfId="0" applyBorder="1" applyFont="1"/>
    <xf borderId="22" fillId="4" fontId="11" numFmtId="0" xfId="0" applyAlignment="1" applyBorder="1" applyFont="1">
      <alignment horizontal="center" vertical="center"/>
    </xf>
    <xf borderId="23" fillId="0" fontId="2" numFmtId="0" xfId="0" applyBorder="1" applyFont="1"/>
    <xf borderId="6" fillId="4" fontId="11" numFmtId="0" xfId="0" applyAlignment="1" applyBorder="1" applyFont="1">
      <alignment vertical="center"/>
    </xf>
    <xf borderId="11" fillId="2" fontId="4" numFmtId="0" xfId="0" applyAlignment="1" applyBorder="1" applyFont="1">
      <alignment horizontal="center" shrinkToFit="0" vertical="center" wrapText="1"/>
    </xf>
    <xf borderId="14" fillId="2" fontId="4" numFmtId="0" xfId="0" applyAlignment="1" applyBorder="1" applyFont="1">
      <alignment horizontal="center" shrinkToFit="0" vertical="center" wrapText="1"/>
    </xf>
    <xf borderId="14" fillId="6" fontId="3" numFmtId="0" xfId="0" applyBorder="1" applyFont="1"/>
    <xf borderId="11" fillId="7" fontId="4" numFmtId="0" xfId="0" applyAlignment="1" applyBorder="1" applyFill="1" applyFont="1">
      <alignment horizontal="left"/>
    </xf>
    <xf borderId="14" fillId="6" fontId="3" numFmtId="164" xfId="0" applyAlignment="1" applyBorder="1" applyFont="1" applyNumberFormat="1">
      <alignment horizontal="center" vertical="center"/>
    </xf>
    <xf borderId="14" fillId="6" fontId="3" numFmtId="1" xfId="0" applyBorder="1" applyFont="1" applyNumberFormat="1"/>
    <xf borderId="14" fillId="6" fontId="3" numFmtId="164" xfId="0" applyBorder="1" applyFont="1" applyNumberFormat="1"/>
    <xf borderId="14" fillId="6" fontId="3" numFmtId="2" xfId="0" applyBorder="1" applyFont="1" applyNumberFormat="1"/>
    <xf borderId="11" fillId="4" fontId="4" numFmtId="0" xfId="0" applyAlignment="1" applyBorder="1" applyFont="1">
      <alignment horizontal="left"/>
    </xf>
    <xf borderId="11" fillId="3" fontId="4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0" fillId="0" fontId="3" numFmtId="1" xfId="0" applyFont="1" applyNumberFormat="1"/>
    <xf borderId="11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left"/>
    </xf>
    <xf borderId="14" fillId="0" fontId="3" numFmtId="164" xfId="0" applyAlignment="1" applyBorder="1" applyFont="1" applyNumberFormat="1">
      <alignment horizontal="center" vertical="center"/>
    </xf>
    <xf borderId="14" fillId="0" fontId="3" numFmtId="1" xfId="0" applyBorder="1" applyFont="1" applyNumberFormat="1"/>
    <xf borderId="14" fillId="0" fontId="3" numFmtId="164" xfId="0" applyBorder="1" applyFont="1" applyNumberFormat="1"/>
    <xf borderId="14" fillId="0" fontId="3" numFmtId="2" xfId="0" applyBorder="1" applyFont="1" applyNumberFormat="1"/>
    <xf borderId="12" fillId="0" fontId="4" numFmtId="0" xfId="0" applyAlignment="1" applyBorder="1" applyFont="1">
      <alignment horizontal="left"/>
    </xf>
    <xf borderId="13" fillId="0" fontId="4" numFmtId="0" xfId="0" applyAlignment="1" applyBorder="1" applyFont="1">
      <alignment horizontal="left"/>
    </xf>
    <xf borderId="11" fillId="2" fontId="4" numFmtId="0" xfId="0" applyAlignment="1" applyBorder="1" applyFont="1">
      <alignment horizontal="right"/>
    </xf>
    <xf borderId="14" fillId="3" fontId="3" numFmtId="1" xfId="0" applyBorder="1" applyFont="1" applyNumberFormat="1"/>
    <xf borderId="14" fillId="3" fontId="3" numFmtId="164" xfId="0" applyBorder="1" applyFont="1" applyNumberFormat="1"/>
    <xf borderId="14" fillId="3" fontId="3" numFmtId="2" xfId="0" applyBorder="1" applyFont="1" applyNumberFormat="1"/>
    <xf borderId="24" fillId="0" fontId="4" numFmtId="0" xfId="0" applyBorder="1" applyFont="1"/>
    <xf borderId="14" fillId="0" fontId="3" numFmtId="0" xfId="0" applyBorder="1" applyFont="1"/>
    <xf borderId="14" fillId="0" fontId="4" numFmtId="0" xfId="0" applyBorder="1" applyFont="1"/>
    <xf borderId="22" fillId="4" fontId="11" numFmtId="0" xfId="0" applyAlignment="1" applyBorder="1" applyFont="1">
      <alignment horizontal="center"/>
    </xf>
    <xf borderId="19" fillId="2" fontId="4" numFmtId="0" xfId="0" applyAlignment="1" applyBorder="1" applyFont="1">
      <alignment horizontal="center"/>
    </xf>
    <xf borderId="19" fillId="2" fontId="3" numFmtId="0" xfId="0" applyAlignment="1" applyBorder="1" applyFont="1">
      <alignment horizontal="left"/>
    </xf>
    <xf borderId="8" fillId="2" fontId="3" numFmtId="0" xfId="0" applyAlignment="1" applyBorder="1" applyFont="1">
      <alignment horizontal="left"/>
    </xf>
    <xf borderId="25" fillId="2" fontId="3" numFmtId="0" xfId="0" applyAlignment="1" applyBorder="1" applyFont="1">
      <alignment horizontal="center" vertical="center"/>
    </xf>
    <xf borderId="25" fillId="3" fontId="3" numFmtId="164" xfId="0" applyAlignment="1" applyBorder="1" applyFont="1" applyNumberFormat="1">
      <alignment horizontal="center" vertical="center"/>
    </xf>
    <xf borderId="25" fillId="3" fontId="3" numFmtId="1" xfId="0" applyAlignment="1" applyBorder="1" applyFont="1" applyNumberFormat="1">
      <alignment horizontal="center" vertical="center"/>
    </xf>
    <xf borderId="14" fillId="2" fontId="3" numFmtId="0" xfId="0" applyAlignment="1" applyBorder="1" applyFont="1">
      <alignment horizontal="left"/>
    </xf>
    <xf borderId="19" fillId="3" fontId="3" numFmtId="164" xfId="0" applyAlignment="1" applyBorder="1" applyFont="1" applyNumberFormat="1">
      <alignment horizontal="center"/>
    </xf>
    <xf borderId="26" fillId="0" fontId="2" numFmtId="0" xfId="0" applyBorder="1" applyFont="1"/>
    <xf borderId="24" fillId="0" fontId="2" numFmtId="0" xfId="0" applyBorder="1" applyFont="1"/>
    <xf borderId="19" fillId="3" fontId="3" numFmtId="2" xfId="0" applyAlignment="1" applyBorder="1" applyFont="1" applyNumberFormat="1">
      <alignment horizontal="center"/>
    </xf>
    <xf borderId="19" fillId="3" fontId="3" numFmtId="1" xfId="0" applyAlignment="1" applyBorder="1" applyFont="1" applyNumberFormat="1">
      <alignment horizontal="center"/>
    </xf>
    <xf borderId="25" fillId="3" fontId="3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vertical="center"/>
    </xf>
    <xf borderId="14" fillId="3" fontId="3" numFmtId="1" xfId="0" applyAlignment="1" applyBorder="1" applyFont="1" applyNumberFormat="1">
      <alignment horizontal="center" vertical="center"/>
    </xf>
    <xf borderId="14" fillId="3" fontId="3" numFmtId="0" xfId="0" applyAlignment="1" applyBorder="1" applyFont="1">
      <alignment horizontal="center" vertical="center"/>
    </xf>
    <xf borderId="19" fillId="3" fontId="3" numFmtId="164" xfId="0" applyBorder="1" applyFont="1" applyNumberFormat="1"/>
    <xf borderId="10" fillId="2" fontId="3" numFmtId="0" xfId="0" applyAlignment="1" applyBorder="1" applyFont="1">
      <alignment horizontal="center" vertical="center"/>
    </xf>
    <xf borderId="14" fillId="6" fontId="3" numFmtId="0" xfId="0" applyAlignment="1" applyBorder="1" applyFont="1">
      <alignment horizontal="center" vertical="center"/>
    </xf>
    <xf borderId="0" fillId="8" fontId="12" numFmtId="0" xfId="0" applyFill="1" applyFont="1"/>
    <xf borderId="11" fillId="4" fontId="3" numFmtId="0" xfId="0" applyAlignment="1" applyBorder="1" applyFont="1">
      <alignment horizontal="center"/>
    </xf>
    <xf borderId="11" fillId="8" fontId="3" numFmtId="0" xfId="0" applyAlignment="1" applyBorder="1" applyFont="1">
      <alignment horizontal="center"/>
    </xf>
    <xf borderId="14" fillId="2" fontId="3" numFmtId="0" xfId="0" applyBorder="1" applyFont="1"/>
    <xf borderId="14" fillId="6" fontId="3" numFmtId="0" xfId="0" applyAlignment="1" applyBorder="1" applyFont="1">
      <alignment horizontal="center" readingOrder="0"/>
    </xf>
    <xf borderId="14" fillId="8" fontId="3" numFmtId="0" xfId="0" applyBorder="1" applyFont="1"/>
    <xf borderId="14" fillId="8" fontId="3" numFmtId="0" xfId="0" applyAlignment="1" applyBorder="1" applyFont="1">
      <alignment horizontal="center"/>
    </xf>
    <xf borderId="14" fillId="8" fontId="3" numFmtId="164" xfId="0" applyAlignment="1" applyBorder="1" applyFont="1" applyNumberFormat="1">
      <alignment horizontal="center"/>
    </xf>
    <xf borderId="14" fillId="3" fontId="3" numFmtId="1" xfId="0" applyAlignment="1" applyBorder="1" applyFont="1" applyNumberFormat="1">
      <alignment horizontal="center"/>
    </xf>
    <xf borderId="14" fillId="8" fontId="3" numFmtId="2" xfId="0" applyAlignment="1" applyBorder="1" applyFont="1" applyNumberFormat="1">
      <alignment horizontal="center"/>
    </xf>
    <xf borderId="14" fillId="6" fontId="3" numFmtId="164" xfId="0" applyAlignment="1" applyBorder="1" applyFont="1" applyNumberFormat="1">
      <alignment horizontal="center"/>
    </xf>
    <xf borderId="11" fillId="4" fontId="3" numFmtId="0" xfId="0" applyAlignment="1" applyBorder="1" applyFont="1">
      <alignment horizontal="center" vertical="center"/>
    </xf>
    <xf borderId="14" fillId="8" fontId="3" numFmtId="1" xfId="0" applyAlignment="1" applyBorder="1" applyFont="1" applyNumberFormat="1">
      <alignment horizontal="center"/>
    </xf>
    <xf borderId="7" fillId="2" fontId="3" numFmtId="0" xfId="0" applyBorder="1" applyFont="1"/>
    <xf borderId="7" fillId="3" fontId="3" numFmtId="164" xfId="0" applyAlignment="1" applyBorder="1" applyFont="1" applyNumberFormat="1">
      <alignment horizontal="center"/>
    </xf>
    <xf borderId="27" fillId="0" fontId="3" numFmtId="0" xfId="0" applyBorder="1" applyFont="1"/>
    <xf borderId="27" fillId="0" fontId="3" numFmtId="164" xfId="0" applyBorder="1" applyFont="1" applyNumberFormat="1"/>
    <xf borderId="11" fillId="8" fontId="4" numFmtId="0" xfId="0" applyAlignment="1" applyBorder="1" applyFont="1">
      <alignment horizontal="center"/>
    </xf>
    <xf borderId="11" fillId="9" fontId="4" numFmtId="0" xfId="0" applyAlignment="1" applyBorder="1" applyFill="1" applyFont="1">
      <alignment horizontal="center"/>
    </xf>
    <xf borderId="14" fillId="8" fontId="4" numFmtId="0" xfId="0" applyAlignment="1" applyBorder="1" applyFont="1">
      <alignment horizontal="center"/>
    </xf>
    <xf borderId="11" fillId="2" fontId="4" numFmtId="0" xfId="0" applyAlignment="1" applyBorder="1" applyFont="1">
      <alignment horizontal="center"/>
    </xf>
    <xf borderId="11" fillId="9" fontId="3" numFmtId="0" xfId="0" applyAlignment="1" applyBorder="1" applyFont="1">
      <alignment horizontal="left"/>
    </xf>
    <xf borderId="14" fillId="9" fontId="3" numFmtId="0" xfId="0" applyBorder="1" applyFont="1"/>
    <xf borderId="25" fillId="8" fontId="3" numFmtId="0" xfId="0" applyAlignment="1" applyBorder="1" applyFont="1">
      <alignment horizontal="center" vertical="center"/>
    </xf>
    <xf borderId="25" fillId="8" fontId="3" numFmtId="164" xfId="0" applyAlignment="1" applyBorder="1" applyFont="1" applyNumberFormat="1">
      <alignment horizontal="center" vertical="center"/>
    </xf>
    <xf borderId="25" fillId="8" fontId="3" numFmtId="1" xfId="0" applyAlignment="1" applyBorder="1" applyFont="1" applyNumberFormat="1">
      <alignment horizontal="center" vertical="center"/>
    </xf>
    <xf borderId="14" fillId="8" fontId="3" numFmtId="164" xfId="0" applyAlignment="1" applyBorder="1" applyFont="1" applyNumberFormat="1">
      <alignment horizontal="right"/>
    </xf>
    <xf borderId="14" fillId="3" fontId="3" numFmtId="2" xfId="0" applyAlignment="1" applyBorder="1" applyFont="1" applyNumberFormat="1">
      <alignment horizontal="right"/>
    </xf>
    <xf borderId="14" fillId="6" fontId="3" numFmtId="0" xfId="0" applyAlignment="1" applyBorder="1" applyFont="1">
      <alignment horizontal="right" readingOrder="0"/>
    </xf>
    <xf borderId="14" fillId="8" fontId="3" numFmtId="2" xfId="0" applyAlignment="1" applyBorder="1" applyFont="1" applyNumberFormat="1">
      <alignment horizontal="right"/>
    </xf>
    <xf borderId="25" fillId="6" fontId="3" numFmtId="0" xfId="0" applyAlignment="1" applyBorder="1" applyFont="1">
      <alignment horizontal="center" readingOrder="0" vertical="center"/>
    </xf>
    <xf borderId="14" fillId="3" fontId="3" numFmtId="0" xfId="0" applyAlignment="1" applyBorder="1" applyFont="1">
      <alignment horizontal="right"/>
    </xf>
    <xf borderId="14" fillId="8" fontId="3" numFmtId="1" xfId="0" applyAlignment="1" applyBorder="1" applyFont="1" applyNumberFormat="1">
      <alignment horizontal="right"/>
    </xf>
    <xf borderId="11" fillId="8" fontId="4" numFmtId="0" xfId="0" applyAlignment="1" applyBorder="1" applyFont="1">
      <alignment horizontal="center" vertical="center"/>
    </xf>
    <xf borderId="14" fillId="8" fontId="3" numFmtId="1" xfId="0" applyAlignment="1" applyBorder="1" applyFont="1" applyNumberFormat="1">
      <alignment horizontal="center" vertical="center"/>
    </xf>
    <xf borderId="14" fillId="8" fontId="3" numFmtId="0" xfId="0" applyAlignment="1" applyBorder="1" applyFont="1">
      <alignment horizontal="center" vertical="center"/>
    </xf>
    <xf borderId="7" fillId="3" fontId="3" numFmtId="1" xfId="0" applyAlignment="1" applyBorder="1" applyFont="1" applyNumberFormat="1">
      <alignment horizontal="center" readingOrder="0"/>
    </xf>
    <xf borderId="7" fillId="3" fontId="3" numFmtId="164" xfId="0" applyBorder="1" applyFont="1" applyNumberFormat="1"/>
    <xf borderId="7" fillId="6" fontId="3" numFmtId="0" xfId="0" applyAlignment="1" applyBorder="1" applyFont="1">
      <alignment horizontal="right" readingOrder="0"/>
    </xf>
    <xf borderId="10" fillId="8" fontId="3" numFmtId="0" xfId="0" applyAlignment="1" applyBorder="1" applyFont="1">
      <alignment horizontal="center" vertical="center"/>
    </xf>
    <xf borderId="6" fillId="8" fontId="3" numFmtId="0" xfId="0" applyBorder="1" applyFont="1"/>
    <xf borderId="19" fillId="3" fontId="3" numFmtId="0" xfId="0" applyAlignment="1" applyBorder="1" applyFont="1">
      <alignment readingOrder="0"/>
    </xf>
    <xf borderId="19" fillId="3" fontId="13" numFmtId="1" xfId="0" applyBorder="1" applyFont="1" applyNumberFormat="1"/>
    <xf borderId="28" fillId="3" fontId="13" numFmtId="164" xfId="0" applyBorder="1" applyFont="1" applyNumberFormat="1"/>
    <xf borderId="28" fillId="3" fontId="13" numFmtId="0" xfId="0" applyBorder="1" applyFont="1"/>
    <xf borderId="8" fillId="3" fontId="13" numFmtId="0" xfId="0" applyBorder="1" applyFont="1"/>
    <xf borderId="14" fillId="3" fontId="3" numFmtId="2" xfId="0" applyAlignment="1" applyBorder="1" applyFont="1" applyNumberFormat="1">
      <alignment horizontal="center"/>
    </xf>
    <xf borderId="14" fillId="4" fontId="4" numFmtId="0" xfId="0" applyAlignment="1" applyBorder="1" applyFont="1">
      <alignment horizontal="center" shrinkToFit="0" vertical="center" wrapText="1"/>
    </xf>
    <xf borderId="11" fillId="7" fontId="4" numFmtId="0" xfId="0" applyAlignment="1" applyBorder="1" applyFont="1">
      <alignment horizontal="left" vertical="center"/>
    </xf>
    <xf borderId="14" fillId="6" fontId="3" numFmtId="164" xfId="0" applyAlignment="1" applyBorder="1" applyFont="1" applyNumberFormat="1">
      <alignment horizontal="center" readingOrder="0" vertical="center"/>
    </xf>
    <xf borderId="11" fillId="3" fontId="4" numFmtId="0" xfId="0" applyAlignment="1" applyBorder="1" applyFont="1">
      <alignment horizontal="left" vertical="center"/>
    </xf>
    <xf borderId="14" fillId="3" fontId="3" numFmtId="164" xfId="0" applyAlignment="1" applyBorder="1" applyFont="1" applyNumberFormat="1">
      <alignment horizontal="center" vertical="center"/>
    </xf>
    <xf borderId="14" fillId="4" fontId="4" numFmtId="0" xfId="0" applyBorder="1" applyFont="1"/>
    <xf borderId="14" fillId="2" fontId="3" numFmtId="1" xfId="0" applyBorder="1" applyFont="1" applyNumberFormat="1"/>
    <xf borderId="14" fillId="2" fontId="3" numFmtId="164" xfId="0" applyBorder="1" applyFont="1" applyNumberFormat="1"/>
    <xf borderId="14" fillId="2" fontId="3" numFmtId="2" xfId="0" applyBorder="1" applyFont="1" applyNumberFormat="1"/>
    <xf borderId="14" fillId="7" fontId="3" numFmtId="2" xfId="0" applyBorder="1" applyFont="1" applyNumberFormat="1"/>
    <xf borderId="11" fillId="10" fontId="4" numFmtId="0" xfId="0" applyAlignment="1" applyBorder="1" applyFill="1" applyFont="1">
      <alignment horizontal="center"/>
    </xf>
    <xf borderId="14" fillId="10" fontId="4" numFmtId="0" xfId="0" applyAlignment="1" applyBorder="1" applyFont="1">
      <alignment horizontal="center"/>
    </xf>
    <xf borderId="19" fillId="10" fontId="4" numFmtId="0" xfId="0" applyAlignment="1" applyBorder="1" applyFont="1">
      <alignment horizontal="center"/>
    </xf>
    <xf borderId="8" fillId="10" fontId="4" numFmtId="0" xfId="0" applyAlignment="1" applyBorder="1" applyFont="1">
      <alignment horizontal="center"/>
    </xf>
    <xf borderId="19" fillId="10" fontId="3" numFmtId="0" xfId="0" applyAlignment="1" applyBorder="1" applyFont="1">
      <alignment horizontal="left"/>
    </xf>
    <xf borderId="8" fillId="10" fontId="3" numFmtId="0" xfId="0" applyAlignment="1" applyBorder="1" applyFont="1">
      <alignment horizontal="left"/>
    </xf>
    <xf borderId="14" fillId="10" fontId="3" numFmtId="0" xfId="0" applyBorder="1" applyFont="1"/>
    <xf borderId="11" fillId="2" fontId="3" numFmtId="0" xfId="0" applyAlignment="1" applyBorder="1" applyFont="1">
      <alignment horizontal="left"/>
    </xf>
    <xf borderId="25" fillId="10" fontId="3" numFmtId="0" xfId="0" applyAlignment="1" applyBorder="1" applyFont="1">
      <alignment horizontal="center" vertical="center"/>
    </xf>
    <xf borderId="25" fillId="10" fontId="3" numFmtId="164" xfId="0" applyAlignment="1" applyBorder="1" applyFont="1" applyNumberFormat="1">
      <alignment horizontal="center" vertical="center"/>
    </xf>
    <xf borderId="25" fillId="10" fontId="3" numFmtId="1" xfId="0" applyAlignment="1" applyBorder="1" applyFont="1" applyNumberFormat="1">
      <alignment horizontal="center" vertical="center"/>
    </xf>
    <xf borderId="19" fillId="10" fontId="3" numFmtId="164" xfId="0" applyAlignment="1" applyBorder="1" applyFont="1" applyNumberFormat="1">
      <alignment horizontal="center"/>
    </xf>
    <xf borderId="19" fillId="10" fontId="3" numFmtId="2" xfId="0" applyAlignment="1" applyBorder="1" applyFont="1" applyNumberFormat="1">
      <alignment horizontal="center"/>
    </xf>
    <xf borderId="19" fillId="10" fontId="3" numFmtId="1" xfId="0" applyAlignment="1" applyBorder="1" applyFont="1" applyNumberFormat="1">
      <alignment horizontal="center"/>
    </xf>
    <xf borderId="19" fillId="10" fontId="4" numFmtId="0" xfId="0" applyAlignment="1" applyBorder="1" applyFont="1">
      <alignment horizontal="center" vertical="center"/>
    </xf>
    <xf borderId="8" fillId="10" fontId="3" numFmtId="0" xfId="0" applyAlignment="1" applyBorder="1" applyFont="1">
      <alignment horizontal="center" vertical="center"/>
    </xf>
    <xf borderId="14" fillId="10" fontId="3" numFmtId="1" xfId="0" applyAlignment="1" applyBorder="1" applyFont="1" applyNumberFormat="1">
      <alignment horizontal="center" vertical="center"/>
    </xf>
    <xf borderId="14" fillId="10" fontId="3" numFmtId="164" xfId="0" applyAlignment="1" applyBorder="1" applyFont="1" applyNumberFormat="1">
      <alignment horizontal="center" vertical="center"/>
    </xf>
    <xf borderId="19" fillId="10" fontId="3" numFmtId="164" xfId="0" applyBorder="1" applyFont="1" applyNumberFormat="1"/>
    <xf borderId="14" fillId="10" fontId="3" numFmtId="0" xfId="0" applyAlignment="1" applyBorder="1" applyFont="1">
      <alignment horizontal="center" vertical="center"/>
    </xf>
    <xf borderId="19" fillId="10" fontId="3" numFmtId="0" xfId="0" applyAlignment="1" applyBorder="1" applyFont="1">
      <alignment horizontal="center"/>
    </xf>
    <xf borderId="28" fillId="10" fontId="3" numFmtId="0" xfId="0" applyAlignment="1" applyBorder="1" applyFont="1">
      <alignment horizontal="center"/>
    </xf>
    <xf borderId="8" fillId="10" fontId="3" numFmtId="0" xfId="0" applyAlignment="1" applyBorder="1" applyFont="1">
      <alignment horizontal="center"/>
    </xf>
    <xf borderId="22" fillId="2" fontId="3" numFmtId="0" xfId="0" applyAlignment="1" applyBorder="1" applyFont="1">
      <alignment horizontal="left" shrinkToFit="0" vertical="center" wrapText="1"/>
    </xf>
    <xf borderId="22" fillId="2" fontId="3" numFmtId="0" xfId="0" applyAlignment="1" applyBorder="1" applyFont="1">
      <alignment horizontal="left"/>
    </xf>
    <xf borderId="29" fillId="6" fontId="3" numFmtId="164" xfId="0" applyAlignment="1" applyBorder="1" applyFont="1" applyNumberFormat="1">
      <alignment horizontal="center" shrinkToFit="0" vertical="center" wrapText="1"/>
    </xf>
    <xf borderId="30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22" fillId="11" fontId="4" numFmtId="0" xfId="0" applyAlignment="1" applyBorder="1" applyFill="1" applyFont="1">
      <alignment horizontal="center"/>
    </xf>
    <xf borderId="22" fillId="12" fontId="4" numFmtId="0" xfId="0" applyAlignment="1" applyBorder="1" applyFill="1" applyFont="1">
      <alignment horizontal="center"/>
    </xf>
    <xf borderId="0" fillId="0" fontId="4" numFmtId="0" xfId="0" applyFont="1"/>
    <xf borderId="8" fillId="6" fontId="3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vertical="center"/>
    </xf>
    <xf borderId="35" fillId="4" fontId="4" numFmtId="0" xfId="0" applyAlignment="1" applyBorder="1" applyFont="1">
      <alignment horizontal="center"/>
    </xf>
    <xf borderId="36" fillId="0" fontId="2" numFmtId="0" xfId="0" applyBorder="1" applyFont="1"/>
    <xf borderId="8" fillId="3" fontId="3" numFmtId="1" xfId="0" applyAlignment="1" applyBorder="1" applyFont="1" applyNumberFormat="1">
      <alignment horizontal="center" vertical="center"/>
    </xf>
    <xf borderId="10" fillId="2" fontId="3" numFmtId="0" xfId="0" applyAlignment="1" applyBorder="1" applyFont="1">
      <alignment horizontal="right" vertical="center"/>
    </xf>
    <xf borderId="8" fillId="2" fontId="4" numFmtId="0" xfId="0" applyAlignment="1" applyBorder="1" applyFont="1">
      <alignment horizontal="center" shrinkToFit="0" vertical="center" wrapText="1"/>
    </xf>
    <xf borderId="22" fillId="11" fontId="4" numFmtId="0" xfId="0" applyAlignment="1" applyBorder="1" applyFont="1">
      <alignment horizontal="right"/>
    </xf>
    <xf borderId="6" fillId="11" fontId="4" numFmtId="0" xfId="0" applyBorder="1" applyFont="1"/>
    <xf borderId="6" fillId="11" fontId="3" numFmtId="0" xfId="0" applyBorder="1" applyFont="1"/>
    <xf borderId="7" fillId="2" fontId="3" numFmtId="0" xfId="0" applyAlignment="1" applyBorder="1" applyFont="1">
      <alignment horizontal="right" vertical="center"/>
    </xf>
    <xf borderId="8" fillId="6" fontId="3" numFmtId="0" xfId="0" applyAlignment="1" applyBorder="1" applyFont="1">
      <alignment vertical="center"/>
    </xf>
    <xf borderId="9" fillId="2" fontId="3" numFmtId="0" xfId="0" applyAlignment="1" applyBorder="1" applyFont="1">
      <alignment horizontal="right" vertical="center"/>
    </xf>
    <xf borderId="8" fillId="3" fontId="3" numFmtId="0" xfId="0" applyAlignment="1" applyBorder="1" applyFont="1">
      <alignment horizontal="center" shrinkToFit="0" vertical="center" wrapText="1"/>
    </xf>
    <xf borderId="35" fillId="4" fontId="4" numFmtId="0" xfId="0" applyAlignment="1" applyBorder="1" applyFont="1">
      <alignment horizontal="center" vertical="center"/>
    </xf>
    <xf borderId="8" fillId="3" fontId="3" numFmtId="164" xfId="0" applyAlignment="1" applyBorder="1" applyFont="1" applyNumberFormat="1">
      <alignment horizontal="center" shrinkToFit="0" vertical="center" wrapText="1"/>
    </xf>
    <xf borderId="6" fillId="4" fontId="4" numFmtId="49" xfId="0" applyBorder="1" applyFont="1" applyNumberFormat="1"/>
    <xf borderId="6" fillId="4" fontId="4" numFmtId="0" xfId="0" applyBorder="1" applyFont="1"/>
    <xf borderId="14" fillId="2" fontId="3" numFmtId="0" xfId="0" applyAlignment="1" applyBorder="1" applyFont="1">
      <alignment horizontal="right"/>
    </xf>
    <xf borderId="29" fillId="3" fontId="4" numFmtId="0" xfId="0" applyAlignment="1" applyBorder="1" applyFont="1">
      <alignment horizontal="center" shrinkToFit="0" vertical="center" wrapText="1"/>
    </xf>
    <xf borderId="8" fillId="3" fontId="3" numFmtId="1" xfId="0" applyAlignment="1" applyBorder="1" applyFont="1" applyNumberFormat="1">
      <alignment horizontal="center"/>
    </xf>
    <xf borderId="11" fillId="2" fontId="3" numFmtId="0" xfId="0" applyAlignment="1" applyBorder="1" applyFont="1">
      <alignment horizontal="center" vertical="center"/>
    </xf>
    <xf borderId="29" fillId="3" fontId="3" numFmtId="0" xfId="0" applyAlignment="1" applyBorder="1" applyFont="1">
      <alignment horizontal="center" shrinkToFit="0" vertical="center" wrapText="1"/>
    </xf>
    <xf borderId="14" fillId="4" fontId="4" numFmtId="0" xfId="0" applyAlignment="1" applyBorder="1" applyFont="1">
      <alignment horizontal="center" vertical="center"/>
    </xf>
    <xf borderId="14" fillId="3" fontId="3" numFmtId="17" xfId="0" applyAlignment="1" applyBorder="1" applyFont="1" applyNumberFormat="1">
      <alignment horizontal="center" vertical="center"/>
    </xf>
    <xf borderId="14" fillId="6" fontId="3" numFmtId="0" xfId="0" applyAlignment="1" applyBorder="1" applyFont="1">
      <alignment horizontal="right"/>
    </xf>
    <xf borderId="25" fillId="6" fontId="3" numFmtId="0" xfId="0" applyAlignment="1" applyBorder="1" applyFont="1">
      <alignment horizontal="center" vertical="center"/>
    </xf>
    <xf borderId="7" fillId="6" fontId="3" numFmtId="0" xfId="0" applyAlignment="1" applyBorder="1" applyFont="1">
      <alignment horizontal="center"/>
    </xf>
    <xf borderId="7" fillId="3" fontId="3" numFmtId="0" xfId="0" applyBorder="1" applyFont="1"/>
    <xf borderId="7" fillId="3" fontId="3" numFmtId="0" xfId="0" applyAlignment="1" applyBorder="1" applyFont="1">
      <alignment horizontal="right"/>
    </xf>
    <xf borderId="19" fillId="3" fontId="3" numFmtId="0" xfId="0" applyBorder="1" applyFont="1"/>
    <xf borderId="19" fillId="2" fontId="14" numFmtId="1" xfId="0" applyBorder="1" applyFont="1" applyNumberFormat="1"/>
    <xf borderId="28" fillId="2" fontId="14" numFmtId="164" xfId="0" applyBorder="1" applyFont="1" applyNumberFormat="1"/>
    <xf borderId="28" fillId="2" fontId="14" numFmtId="0" xfId="0" applyBorder="1" applyFont="1"/>
    <xf borderId="8" fillId="2" fontId="14" numFmtId="0" xfId="0" applyBorder="1" applyFont="1"/>
    <xf borderId="6" fillId="2" fontId="3" numFmtId="49" xfId="0" applyBorder="1" applyFont="1" applyNumberFormat="1"/>
    <xf borderId="6" fillId="6" fontId="3" numFmtId="49" xfId="0" applyBorder="1" applyFont="1" applyNumberFormat="1"/>
    <xf borderId="22" fillId="3" fontId="15" numFmtId="0" xfId="0" applyAlignment="1" applyBorder="1" applyFont="1">
      <alignment horizontal="left"/>
    </xf>
    <xf borderId="6" fillId="3" fontId="3" numFmtId="49" xfId="0" applyBorder="1" applyFont="1" applyNumberFormat="1"/>
    <xf borderId="6" fillId="7" fontId="3" numFmtId="49" xfId="0" applyBorder="1" applyFont="1" applyNumberFormat="1"/>
    <xf borderId="0" fillId="0" fontId="16" numFmtId="0" xfId="0" applyFont="1"/>
    <xf borderId="10" fillId="2" fontId="4" numFmtId="0" xfId="0" applyAlignment="1" applyBorder="1" applyFont="1">
      <alignment horizontal="center"/>
    </xf>
    <xf borderId="20" fillId="2" fontId="4" numFmtId="0" xfId="0" applyAlignment="1" applyBorder="1" applyFont="1">
      <alignment horizontal="center"/>
    </xf>
    <xf borderId="21" fillId="2" fontId="4" numFmtId="0" xfId="0" applyAlignment="1" applyBorder="1" applyFont="1">
      <alignment horizontal="center"/>
    </xf>
    <xf borderId="20" fillId="2" fontId="3" numFmtId="0" xfId="0" applyAlignment="1" applyBorder="1" applyFont="1">
      <alignment horizontal="left"/>
    </xf>
    <xf borderId="21" fillId="2" fontId="3" numFmtId="0" xfId="0" applyAlignment="1" applyBorder="1" applyFont="1">
      <alignment horizontal="left"/>
    </xf>
    <xf borderId="10" fillId="3" fontId="3" numFmtId="0" xfId="0" applyBorder="1" applyFont="1"/>
    <xf borderId="19" fillId="2" fontId="4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vertical="center"/>
    </xf>
    <xf borderId="14" fillId="2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/>
    </xf>
    <xf borderId="28" fillId="3" fontId="3" numFmtId="0" xfId="0" applyAlignment="1" applyBorder="1" applyFont="1">
      <alignment horizontal="center"/>
    </xf>
    <xf borderId="0" fillId="0" fontId="4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27" fillId="0" fontId="2" numFmtId="0" xfId="0" applyBorder="1" applyFont="1"/>
    <xf borderId="37" fillId="0" fontId="2" numFmtId="0" xfId="0" applyBorder="1" applyFont="1"/>
    <xf borderId="22" fillId="4" fontId="4" numFmtId="0" xfId="0" applyAlignment="1" applyBorder="1" applyFont="1">
      <alignment horizontal="center"/>
    </xf>
    <xf borderId="7" fillId="4" fontId="3" numFmtId="49" xfId="0" applyBorder="1" applyFont="1" applyNumberFormat="1"/>
    <xf borderId="25" fillId="4" fontId="3" numFmtId="0" xfId="0" applyAlignment="1" applyBorder="1" applyFont="1">
      <alignment horizontal="center" shrinkToFit="0" vertical="center" wrapText="1"/>
    </xf>
    <xf borderId="25" fillId="4" fontId="3" numFmtId="49" xfId="0" applyAlignment="1" applyBorder="1" applyFont="1" applyNumberFormat="1">
      <alignment horizontal="center" shrinkToFit="0" vertical="center" wrapText="1"/>
    </xf>
    <xf borderId="15" fillId="4" fontId="3" numFmtId="49" xfId="0" applyAlignment="1" applyBorder="1" applyFont="1" applyNumberFormat="1">
      <alignment horizontal="center" vertical="center"/>
    </xf>
    <xf borderId="16" fillId="4" fontId="3" numFmtId="0" xfId="0" applyAlignment="1" applyBorder="1" applyFont="1">
      <alignment horizontal="center" vertical="center"/>
    </xf>
    <xf borderId="16" fillId="4" fontId="3" numFmtId="49" xfId="0" applyAlignment="1" applyBorder="1" applyFont="1" applyNumberFormat="1">
      <alignment horizontal="center" vertical="center"/>
    </xf>
    <xf borderId="7" fillId="4" fontId="3" numFmtId="49" xfId="0" applyAlignment="1" applyBorder="1" applyFont="1" applyNumberFormat="1">
      <alignment horizontal="center" vertical="center"/>
    </xf>
    <xf borderId="10" fillId="4" fontId="3" numFmtId="49" xfId="0" applyBorder="1" applyFont="1" applyNumberFormat="1"/>
    <xf borderId="20" fillId="4" fontId="3" numFmtId="0" xfId="0" applyAlignment="1" applyBorder="1" applyFont="1">
      <alignment horizontal="center" vertical="center"/>
    </xf>
    <xf borderId="21" fillId="4" fontId="3" numFmtId="0" xfId="0" applyAlignment="1" applyBorder="1" applyFont="1">
      <alignment horizontal="center" vertical="center"/>
    </xf>
    <xf borderId="20" fillId="4" fontId="3" numFmtId="49" xfId="0" applyAlignment="1" applyBorder="1" applyFont="1" applyNumberFormat="1">
      <alignment horizontal="center" vertical="center"/>
    </xf>
    <xf borderId="21" fillId="4" fontId="3" numFmtId="49" xfId="0" applyAlignment="1" applyBorder="1" applyFont="1" applyNumberFormat="1">
      <alignment horizontal="center" vertical="center"/>
    </xf>
    <xf borderId="10" fillId="4" fontId="3" numFmtId="49" xfId="0" applyAlignment="1" applyBorder="1" applyFont="1" applyNumberFormat="1">
      <alignment horizontal="center" vertical="center"/>
    </xf>
    <xf borderId="9" fillId="2" fontId="3" numFmtId="49" xfId="0" applyAlignment="1" applyBorder="1" applyFont="1" applyNumberFormat="1">
      <alignment horizontal="center" vertical="center"/>
    </xf>
    <xf borderId="7" fillId="3" fontId="3" numFmtId="0" xfId="0" applyAlignment="1" applyBorder="1" applyFont="1">
      <alignment horizontal="center" vertical="center"/>
    </xf>
    <xf borderId="9" fillId="3" fontId="3" numFmtId="49" xfId="0" applyAlignment="1" applyBorder="1" applyFont="1" applyNumberFormat="1">
      <alignment horizontal="center" vertical="center"/>
    </xf>
    <xf borderId="17" fillId="3" fontId="3" numFmtId="49" xfId="0" applyAlignment="1" applyBorder="1" applyFont="1" applyNumberFormat="1">
      <alignment horizontal="center" vertical="center"/>
    </xf>
    <xf borderId="18" fillId="3" fontId="3" numFmtId="0" xfId="0" applyAlignment="1" applyBorder="1" applyFont="1">
      <alignment horizontal="center" vertical="center"/>
    </xf>
    <xf borderId="18" fillId="3" fontId="3" numFmtId="49" xfId="0" applyAlignment="1" applyBorder="1" applyFont="1" applyNumberFormat="1">
      <alignment horizontal="center" vertical="center"/>
    </xf>
    <xf borderId="9" fillId="3" fontId="3" numFmtId="0" xfId="0" applyAlignment="1" applyBorder="1" applyFont="1">
      <alignment horizontal="center" vertical="center"/>
    </xf>
    <xf borderId="10" fillId="2" fontId="3" numFmtId="49" xfId="0" applyAlignment="1" applyBorder="1" applyFont="1" applyNumberFormat="1">
      <alignment horizontal="center" vertical="center"/>
    </xf>
    <xf borderId="10" fillId="3" fontId="3" numFmtId="0" xfId="0" applyAlignment="1" applyBorder="1" applyFont="1">
      <alignment horizontal="center" vertical="center"/>
    </xf>
    <xf borderId="10" fillId="3" fontId="3" numFmtId="49" xfId="0" applyAlignment="1" applyBorder="1" applyFont="1" applyNumberFormat="1">
      <alignment horizontal="center" vertical="center"/>
    </xf>
    <xf borderId="20" fillId="3" fontId="3" numFmtId="49" xfId="0" applyAlignment="1" applyBorder="1" applyFont="1" applyNumberFormat="1">
      <alignment horizontal="center" vertical="center"/>
    </xf>
    <xf borderId="21" fillId="3" fontId="3" numFmtId="0" xfId="0" applyAlignment="1" applyBorder="1" applyFont="1">
      <alignment horizontal="center" vertical="center"/>
    </xf>
    <xf borderId="21" fillId="3" fontId="3" numFmtId="49" xfId="0" applyAlignment="1" applyBorder="1" applyFont="1" applyNumberFormat="1">
      <alignment horizontal="center" vertical="center"/>
    </xf>
    <xf borderId="29" fillId="2" fontId="17" numFmtId="49" xfId="0" applyAlignment="1" applyBorder="1" applyFont="1" applyNumberFormat="1">
      <alignment horizontal="center" shrinkToFit="0" vertical="center" wrapText="1"/>
    </xf>
    <xf borderId="14" fillId="3" fontId="3" numFmtId="2" xfId="0" applyAlignment="1" applyBorder="1" applyFont="1" applyNumberFormat="1">
      <alignment horizontal="center" vertical="center"/>
    </xf>
    <xf borderId="0" fillId="0" fontId="18" numFmtId="0" xfId="0" applyFont="1"/>
    <xf borderId="0" fillId="0" fontId="3" numFmtId="165" xfId="0" applyFont="1" applyNumberFormat="1"/>
    <xf borderId="11" fillId="6" fontId="3" numFmtId="0" xfId="0" applyAlignment="1" applyBorder="1" applyFont="1">
      <alignment horizontal="center"/>
    </xf>
    <xf borderId="28" fillId="6" fontId="3" numFmtId="0" xfId="0" applyAlignment="1" applyBorder="1" applyFont="1">
      <alignment horizontal="center"/>
    </xf>
    <xf borderId="38" fillId="6" fontId="3" numFmtId="0" xfId="0" applyAlignment="1" applyBorder="1" applyFont="1">
      <alignment horizontal="center"/>
    </xf>
    <xf borderId="16" fillId="6" fontId="3" numFmtId="0" xfId="0" applyAlignment="1" applyBorder="1" applyFont="1">
      <alignment horizontal="center"/>
    </xf>
    <xf borderId="11" fillId="6" fontId="3" numFmtId="164" xfId="0" applyAlignment="1" applyBorder="1" applyFont="1" applyNumberFormat="1">
      <alignment horizontal="center"/>
    </xf>
    <xf borderId="8" fillId="3" fontId="3" numFmtId="164" xfId="0" applyBorder="1" applyFont="1" applyNumberFormat="1"/>
    <xf borderId="11" fillId="13" fontId="4" numFmtId="0" xfId="0" applyAlignment="1" applyBorder="1" applyFill="1" applyFont="1">
      <alignment horizontal="center"/>
    </xf>
    <xf borderId="14" fillId="7" fontId="3" numFmtId="0" xfId="0" applyBorder="1" applyFont="1"/>
    <xf borderId="0" fillId="0" fontId="19" numFmtId="165" xfId="0" applyFont="1" applyNumberFormat="1"/>
    <xf borderId="14" fillId="14" fontId="3" numFmtId="1" xfId="0" applyAlignment="1" applyBorder="1" applyFill="1" applyFont="1" applyNumberFormat="1">
      <alignment horizontal="center" vertical="center"/>
    </xf>
    <xf borderId="0" fillId="0" fontId="4" numFmtId="165" xfId="0" applyFont="1" applyNumberFormat="1"/>
    <xf borderId="25" fillId="7" fontId="3" numFmtId="0" xfId="0" applyAlignment="1" applyBorder="1" applyFont="1">
      <alignment horizontal="center" shrinkToFit="0" vertical="center" wrapText="1"/>
    </xf>
    <xf borderId="25" fillId="7" fontId="4" numFmtId="0" xfId="0" applyAlignment="1" applyBorder="1" applyFont="1">
      <alignment horizontal="center" shrinkToFit="0" vertical="center" wrapText="1"/>
    </xf>
    <xf borderId="22" fillId="13" fontId="4" numFmtId="0" xfId="0" applyAlignment="1" applyBorder="1" applyFont="1">
      <alignment horizontal="center" vertical="center"/>
    </xf>
    <xf borderId="14" fillId="2" fontId="3" numFmtId="49" xfId="0" applyBorder="1" applyFont="1" applyNumberFormat="1"/>
    <xf borderId="14" fillId="3" fontId="3" numFmtId="0" xfId="0" applyAlignment="1" applyBorder="1" applyFont="1">
      <alignment horizontal="left"/>
    </xf>
    <xf borderId="14" fillId="3" fontId="3" numFmtId="1" xfId="0" applyAlignment="1" applyBorder="1" applyFont="1" applyNumberFormat="1">
      <alignment horizontal="right"/>
    </xf>
    <xf borderId="11" fillId="2" fontId="4" numFmtId="0" xfId="0" applyAlignment="1" applyBorder="1" applyFont="1">
      <alignment horizontal="left" shrinkToFit="0" vertical="center" wrapText="1"/>
    </xf>
    <xf borderId="14" fillId="7" fontId="3" numFmtId="1" xfId="0" applyBorder="1" applyFont="1" applyNumberFormat="1"/>
    <xf borderId="15" fillId="4" fontId="3" numFmtId="49" xfId="0" applyBorder="1" applyFont="1" applyNumberFormat="1"/>
    <xf borderId="25" fillId="4" fontId="4" numFmtId="49" xfId="0" applyAlignment="1" applyBorder="1" applyFont="1" applyNumberFormat="1">
      <alignment horizontal="center" vertical="center"/>
    </xf>
    <xf borderId="15" fillId="4" fontId="4" numFmtId="49" xfId="0" applyAlignment="1" applyBorder="1" applyFont="1" applyNumberFormat="1">
      <alignment horizontal="center" vertical="center"/>
    </xf>
    <xf borderId="16" fillId="4" fontId="4" numFmtId="0" xfId="0" applyAlignment="1" applyBorder="1" applyFont="1">
      <alignment horizontal="center" vertical="center"/>
    </xf>
    <xf borderId="7" fillId="4" fontId="4" numFmtId="49" xfId="0" applyAlignment="1" applyBorder="1" applyFont="1" applyNumberFormat="1">
      <alignment horizontal="center" vertical="center"/>
    </xf>
    <xf borderId="20" fillId="4" fontId="3" numFmtId="49" xfId="0" applyBorder="1" applyFont="1" applyNumberFormat="1"/>
    <xf borderId="20" fillId="4" fontId="4" numFmtId="0" xfId="0" applyAlignment="1" applyBorder="1" applyFont="1">
      <alignment horizontal="center" vertical="center"/>
    </xf>
    <xf borderId="21" fillId="4" fontId="4" numFmtId="0" xfId="0" applyAlignment="1" applyBorder="1" applyFont="1">
      <alignment horizontal="center" vertical="center"/>
    </xf>
    <xf borderId="20" fillId="4" fontId="4" numFmtId="49" xfId="0" applyAlignment="1" applyBorder="1" applyFont="1" applyNumberFormat="1">
      <alignment horizontal="center" vertical="center"/>
    </xf>
    <xf borderId="10" fillId="4" fontId="4" numFmtId="49" xfId="0" applyAlignment="1" applyBorder="1" applyFont="1" applyNumberFormat="1">
      <alignment horizontal="center" vertical="center"/>
    </xf>
    <xf borderId="7" fillId="2" fontId="3" numFmtId="49" xfId="0" applyBorder="1" applyFont="1" applyNumberFormat="1"/>
    <xf borderId="9" fillId="3" fontId="3" numFmtId="49" xfId="0" applyAlignment="1" applyBorder="1" applyFont="1" applyNumberFormat="1">
      <alignment horizontal="center"/>
    </xf>
    <xf borderId="17" fillId="3" fontId="3" numFmtId="49" xfId="0" applyAlignment="1" applyBorder="1" applyFont="1" applyNumberFormat="1">
      <alignment horizontal="center"/>
    </xf>
    <xf borderId="18" fillId="3" fontId="3" numFmtId="0" xfId="0" applyAlignment="1" applyBorder="1" applyFont="1">
      <alignment horizontal="center"/>
    </xf>
    <xf borderId="18" fillId="3" fontId="3" numFmtId="49" xfId="0" applyAlignment="1" applyBorder="1" applyFont="1" applyNumberFormat="1">
      <alignment horizontal="center"/>
    </xf>
    <xf borderId="9" fillId="2" fontId="3" numFmtId="49" xfId="0" applyBorder="1" applyFont="1" applyNumberFormat="1"/>
    <xf borderId="10" fillId="2" fontId="3" numFmtId="49" xfId="0" applyBorder="1" applyFont="1" applyNumberFormat="1"/>
    <xf borderId="10" fillId="3" fontId="3" numFmtId="49" xfId="0" applyAlignment="1" applyBorder="1" applyFont="1" applyNumberFormat="1">
      <alignment horizontal="center"/>
    </xf>
    <xf borderId="20" fillId="3" fontId="3" numFmtId="49" xfId="0" applyAlignment="1" applyBorder="1" applyFont="1" applyNumberFormat="1">
      <alignment horizontal="center"/>
    </xf>
    <xf borderId="21" fillId="3" fontId="3" numFmtId="0" xfId="0" applyAlignment="1" applyBorder="1" applyFont="1">
      <alignment horizontal="center"/>
    </xf>
    <xf borderId="21" fillId="3" fontId="3" numFmtId="49" xfId="0" applyAlignment="1" applyBorder="1" applyFont="1" applyNumberFormat="1">
      <alignment horizontal="center"/>
    </xf>
    <xf borderId="9" fillId="2" fontId="3" numFmtId="0" xfId="0" applyBorder="1" applyFont="1"/>
    <xf borderId="0" fillId="0" fontId="4" numFmtId="49" xfId="0" applyFont="1" applyNumberFormat="1"/>
    <xf borderId="11" fillId="3" fontId="3" numFmtId="164" xfId="0" applyAlignment="1" applyBorder="1" applyFont="1" applyNumberFormat="1">
      <alignment horizontal="center"/>
    </xf>
    <xf borderId="14" fillId="2" fontId="3" numFmtId="49" xfId="0" applyAlignment="1" applyBorder="1" applyFont="1" applyNumberFormat="1">
      <alignment horizontal="center"/>
    </xf>
    <xf borderId="14" fillId="2" fontId="3" numFmtId="49" xfId="0" applyAlignment="1" applyBorder="1" applyFont="1" applyNumberFormat="1">
      <alignment horizontal="center" vertical="center"/>
    </xf>
    <xf borderId="14" fillId="3" fontId="3" numFmtId="49" xfId="0" applyAlignment="1" applyBorder="1" applyFont="1" applyNumberFormat="1">
      <alignment horizontal="center" vertical="center"/>
    </xf>
    <xf borderId="0" fillId="0" fontId="18" numFmtId="165" xfId="0" applyFont="1" applyNumberFormat="1"/>
    <xf borderId="14" fillId="2" fontId="3" numFmtId="49" xfId="0" applyAlignment="1" applyBorder="1" applyFont="1" applyNumberFormat="1">
      <alignment horizontal="left"/>
    </xf>
    <xf borderId="11" fillId="2" fontId="3" numFmtId="49" xfId="0" applyAlignment="1" applyBorder="1" applyFont="1" applyNumberFormat="1">
      <alignment horizontal="left"/>
    </xf>
    <xf borderId="28" fillId="3" fontId="18" numFmtId="0" xfId="0" applyBorder="1" applyFont="1"/>
    <xf borderId="8" fillId="3" fontId="18" numFmtId="0" xfId="0" applyBorder="1" applyFont="1"/>
    <xf borderId="14" fillId="4" fontId="4" numFmtId="1" xfId="0" applyAlignment="1" applyBorder="1" applyFont="1" applyNumberFormat="1">
      <alignment horizontal="center" shrinkToFit="0" vertical="center" wrapText="1"/>
    </xf>
    <xf borderId="14" fillId="2" fontId="4" numFmtId="0" xfId="0" applyBorder="1" applyFont="1"/>
    <xf borderId="4" fillId="4" fontId="4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1" fillId="4" fontId="4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right" vertical="center"/>
    </xf>
    <xf borderId="14" fillId="3" fontId="3" numFmtId="0" xfId="0" applyAlignment="1" applyBorder="1" applyFont="1">
      <alignment vertical="center"/>
    </xf>
    <xf borderId="11" fillId="3" fontId="3" numFmtId="0" xfId="0" applyAlignment="1" applyBorder="1" applyFont="1">
      <alignment horizontal="left" vertical="center"/>
    </xf>
    <xf borderId="14" fillId="6" fontId="3" numFmtId="0" xfId="0" applyAlignment="1" applyBorder="1" applyFont="1">
      <alignment vertical="center"/>
    </xf>
    <xf borderId="14" fillId="6" fontId="3" numFmtId="2" xfId="0" applyAlignment="1" applyBorder="1" applyFont="1" applyNumberFormat="1">
      <alignment horizontal="center" vertical="center"/>
    </xf>
    <xf borderId="0" fillId="0" fontId="20" numFmtId="0" xfId="0" applyFont="1"/>
    <xf borderId="16" fillId="2" fontId="3" numFmtId="0" xfId="0" applyAlignment="1" applyBorder="1" applyFont="1">
      <alignment horizontal="center" vertical="center"/>
    </xf>
    <xf borderId="14" fillId="3" fontId="4" numFmtId="1" xfId="0" applyAlignment="1" applyBorder="1" applyFont="1" applyNumberFormat="1">
      <alignment horizontal="right" vertical="center"/>
    </xf>
    <xf borderId="19" fillId="2" fontId="3" numFmtId="0" xfId="0" applyAlignment="1" applyBorder="1" applyFont="1">
      <alignment horizontal="right" vertical="center"/>
    </xf>
    <xf borderId="14" fillId="6" fontId="3" numFmtId="0" xfId="0" applyAlignment="1" applyBorder="1" applyFont="1">
      <alignment horizontal="right" vertical="center"/>
    </xf>
    <xf borderId="15" fillId="2" fontId="3" numFmtId="0" xfId="0" applyAlignment="1" applyBorder="1" applyFont="1">
      <alignment horizontal="right" vertical="center"/>
    </xf>
    <xf borderId="15" fillId="2" fontId="3" numFmtId="0" xfId="0" applyAlignment="1" applyBorder="1" applyFont="1">
      <alignment horizontal="right" shrinkToFit="0" vertical="center" wrapText="1"/>
    </xf>
    <xf borderId="14" fillId="3" fontId="4" numFmtId="0" xfId="0" applyAlignment="1" applyBorder="1" applyFont="1">
      <alignment horizontal="right" vertical="center"/>
    </xf>
    <xf borderId="1" fillId="3" fontId="4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right" vertical="center"/>
    </xf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vertical="center"/>
    </xf>
    <xf borderId="0" fillId="0" fontId="22" numFmtId="0" xfId="0" applyFont="1"/>
    <xf borderId="39" fillId="4" fontId="4" numFmtId="0" xfId="0" applyAlignment="1" applyBorder="1" applyFont="1">
      <alignment horizontal="center" vertical="center"/>
    </xf>
    <xf borderId="40" fillId="0" fontId="2" numFmtId="0" xfId="0" applyBorder="1" applyFont="1"/>
    <xf borderId="22" fillId="3" fontId="3" numFmtId="0" xfId="0" applyAlignment="1" applyBorder="1" applyFont="1">
      <alignment horizontal="left" vertical="center"/>
    </xf>
    <xf borderId="14" fillId="6" fontId="3" numFmtId="1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11" fillId="6" fontId="3" numFmtId="164" xfId="0" applyAlignment="1" applyBorder="1" applyFont="1" applyNumberFormat="1">
      <alignment horizontal="center" vertical="center"/>
    </xf>
    <xf borderId="11" fillId="6" fontId="3" numFmtId="49" xfId="0" applyAlignment="1" applyBorder="1" applyFont="1" applyNumberFormat="1">
      <alignment horizontal="center" vertical="center"/>
    </xf>
    <xf borderId="29" fillId="2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/>
    </xf>
    <xf borderId="14" fillId="2" fontId="4" numFmtId="0" xfId="0" applyAlignment="1" applyBorder="1" applyFont="1">
      <alignment horizontal="right" vertical="center"/>
    </xf>
    <xf borderId="11" fillId="3" fontId="4" numFmtId="0" xfId="0" applyAlignment="1" applyBorder="1" applyFont="1">
      <alignment horizontal="center"/>
    </xf>
    <xf borderId="1" fillId="3" fontId="3" numFmtId="0" xfId="0" applyAlignment="1" applyBorder="1" applyFont="1">
      <alignment horizontal="center" shrinkToFit="0" wrapText="1"/>
    </xf>
    <xf borderId="22" fillId="3" fontId="3" numFmtId="0" xfId="0" applyAlignment="1" applyBorder="1" applyFont="1">
      <alignment horizontal="left"/>
    </xf>
    <xf borderId="14" fillId="4" fontId="4" numFmtId="0" xfId="0" applyAlignment="1" applyBorder="1" applyFont="1">
      <alignment horizontal="center"/>
    </xf>
    <xf borderId="41" fillId="0" fontId="2" numFmtId="0" xfId="0" applyBorder="1" applyFont="1"/>
    <xf borderId="8" fillId="4" fontId="4" numFmtId="0" xfId="0" applyAlignment="1" applyBorder="1" applyFont="1">
      <alignment horizontal="center"/>
    </xf>
    <xf borderId="14" fillId="2" fontId="3" numFmtId="164" xfId="0" applyAlignment="1" applyBorder="1" applyFont="1" applyNumberFormat="1">
      <alignment horizontal="left" vertical="center"/>
    </xf>
    <xf borderId="19" fillId="6" fontId="3" numFmtId="0" xfId="0" applyBorder="1" applyFont="1"/>
    <xf borderId="15" fillId="6" fontId="3" numFmtId="2" xfId="0" applyBorder="1" applyFont="1" applyNumberFormat="1"/>
    <xf borderId="38" fillId="6" fontId="3" numFmtId="0" xfId="0" applyBorder="1" applyFont="1"/>
    <xf borderId="19" fillId="6" fontId="3" numFmtId="164" xfId="0" applyBorder="1" applyFont="1" applyNumberFormat="1"/>
    <xf borderId="8" fillId="6" fontId="3" numFmtId="0" xfId="0" applyBorder="1" applyFont="1"/>
    <xf borderId="8" fillId="6" fontId="3" numFmtId="164" xfId="0" applyBorder="1" applyFont="1" applyNumberFormat="1"/>
    <xf borderId="19" fillId="6" fontId="3" numFmtId="2" xfId="0" applyBorder="1" applyFont="1" applyNumberFormat="1"/>
    <xf borderId="28" fillId="6" fontId="3" numFmtId="0" xfId="0" applyBorder="1" applyFont="1"/>
    <xf borderId="42" fillId="2" fontId="3" numFmtId="164" xfId="0" applyAlignment="1" applyBorder="1" applyFont="1" applyNumberFormat="1">
      <alignment horizontal="left" vertical="center"/>
    </xf>
    <xf borderId="25" fillId="6" fontId="3" numFmtId="164" xfId="0" applyAlignment="1" applyBorder="1" applyFont="1" applyNumberFormat="1">
      <alignment horizontal="right" vertical="center"/>
    </xf>
    <xf borderId="25" fillId="6" fontId="3" numFmtId="0" xfId="0" applyAlignment="1" applyBorder="1" applyFont="1">
      <alignment horizontal="right" vertical="center"/>
    </xf>
    <xf borderId="25" fillId="6" fontId="3" numFmtId="1" xfId="0" applyAlignment="1" applyBorder="1" applyFont="1" applyNumberFormat="1">
      <alignment horizontal="right" vertical="center"/>
    </xf>
    <xf borderId="43" fillId="0" fontId="2" numFmtId="0" xfId="0" applyBorder="1" applyFont="1"/>
    <xf borderId="11" fillId="6" fontId="3" numFmtId="2" xfId="0" applyAlignment="1" applyBorder="1" applyFont="1" applyNumberFormat="1">
      <alignment horizontal="center"/>
    </xf>
    <xf borderId="11" fillId="2" fontId="4" numFmtId="164" xfId="0" applyAlignment="1" applyBorder="1" applyFont="1" applyNumberFormat="1">
      <alignment horizontal="right"/>
    </xf>
    <xf borderId="0" fillId="0" fontId="3" numFmtId="164" xfId="0" applyFont="1" applyNumberFormat="1"/>
    <xf borderId="0" fillId="0" fontId="4" numFmtId="0" xfId="0" applyAlignment="1" applyFont="1">
      <alignment horizontal="center"/>
    </xf>
    <xf borderId="14" fillId="6" fontId="3" numFmtId="0" xfId="0" applyAlignment="1" applyBorder="1" applyFont="1">
      <alignment horizontal="left"/>
    </xf>
    <xf borderId="19" fillId="6" fontId="3" numFmtId="0" xfId="0" applyAlignment="1" applyBorder="1" applyFont="1">
      <alignment horizontal="left"/>
    </xf>
    <xf borderId="11" fillId="2" fontId="3" numFmtId="0" xfId="0" applyBorder="1" applyFont="1"/>
    <xf borderId="8" fillId="3" fontId="3" numFmtId="0" xfId="0" applyBorder="1" applyFont="1"/>
    <xf borderId="21" fillId="3" fontId="3" numFmtId="0" xfId="0" applyBorder="1" applyFont="1"/>
    <xf borderId="20" fillId="2" fontId="3" numFmtId="0" xfId="0" applyAlignment="1" applyBorder="1" applyFont="1">
      <alignment vertical="center"/>
    </xf>
    <xf borderId="21" fillId="3" fontId="3" numFmtId="164" xfId="0" applyAlignment="1" applyBorder="1" applyFont="1" applyNumberFormat="1">
      <alignment horizontal="center" shrinkToFit="0" vertical="center" wrapText="1"/>
    </xf>
    <xf borderId="1" fillId="2" fontId="17" numFmtId="49" xfId="0" applyAlignment="1" applyBorder="1" applyFont="1" applyNumberFormat="1">
      <alignment horizontal="center" shrinkToFit="0" vertical="center" wrapText="1"/>
    </xf>
    <xf borderId="7" fillId="6" fontId="3" numFmtId="0" xfId="0" applyAlignment="1" applyBorder="1" applyFont="1">
      <alignment horizontal="right"/>
    </xf>
    <xf borderId="0" fillId="0" fontId="3" numFmtId="0" xfId="0" applyAlignment="1" applyFont="1">
      <alignment horizontal="center" vertical="center"/>
    </xf>
    <xf borderId="22" fillId="3" fontId="3" numFmtId="0" xfId="0" applyAlignment="1" applyBorder="1" applyFont="1">
      <alignment horizontal="center"/>
    </xf>
    <xf borderId="11" fillId="4" fontId="4" numFmtId="0" xfId="0" applyAlignment="1" applyBorder="1" applyFont="1">
      <alignment horizontal="left" vertical="center"/>
    </xf>
    <xf borderId="7" fillId="3" fontId="3" numFmtId="1" xfId="0" applyBorder="1" applyFont="1" applyNumberFormat="1"/>
    <xf borderId="14" fillId="2" fontId="4" numFmtId="0" xfId="0" applyAlignment="1" applyBorder="1" applyFont="1">
      <alignment horizontal="left" shrinkToFit="0" vertical="center" wrapText="1"/>
    </xf>
    <xf borderId="14" fillId="7" fontId="4" numFmtId="0" xfId="0" applyBorder="1" applyFont="1"/>
    <xf borderId="19" fillId="7" fontId="4" numFmtId="0" xfId="0" applyBorder="1" applyFont="1"/>
    <xf borderId="14" fillId="3" fontId="4" numFmtId="0" xfId="0" applyBorder="1" applyFont="1"/>
    <xf borderId="19" fillId="3" fontId="4" numFmtId="0" xfId="0" applyBorder="1" applyFont="1"/>
    <xf borderId="14" fillId="2" fontId="4" numFmtId="0" xfId="0" applyAlignment="1" applyBorder="1" applyFont="1">
      <alignment shrinkToFit="0" vertical="center" wrapText="1"/>
    </xf>
    <xf borderId="11" fillId="15" fontId="3" numFmtId="0" xfId="0" applyAlignment="1" applyBorder="1" applyFill="1" applyFont="1">
      <alignment horizontal="center"/>
    </xf>
    <xf borderId="11" fillId="16" fontId="3" numFmtId="0" xfId="0" applyAlignment="1" applyBorder="1" applyFill="1" applyFont="1">
      <alignment horizontal="center"/>
    </xf>
    <xf borderId="25" fillId="0" fontId="3" numFmtId="0" xfId="0" applyBorder="1" applyFont="1"/>
    <xf borderId="44" fillId="16" fontId="3" numFmtId="0" xfId="0" applyAlignment="1" applyBorder="1" applyFont="1">
      <alignment horizontal="center"/>
    </xf>
    <xf borderId="26" fillId="0" fontId="3" numFmtId="0" xfId="0" applyBorder="1" applyFont="1"/>
    <xf borderId="8" fillId="2" fontId="3" numFmtId="0" xfId="0" applyBorder="1" applyFont="1"/>
    <xf borderId="19" fillId="3" fontId="3" numFmtId="0" xfId="0" applyAlignment="1" applyBorder="1" applyFont="1">
      <alignment shrinkToFit="0" wrapText="1"/>
    </xf>
    <xf borderId="14" fillId="3" fontId="3" numFmtId="0" xfId="0" applyAlignment="1" applyBorder="1" applyFont="1">
      <alignment shrinkToFit="0" wrapText="1"/>
    </xf>
    <xf borderId="19" fillId="3" fontId="3" numFmtId="166" xfId="0" applyBorder="1" applyFont="1" applyNumberFormat="1"/>
    <xf borderId="14" fillId="3" fontId="3" numFmtId="166" xfId="0" applyBorder="1" applyFont="1" applyNumberFormat="1"/>
    <xf borderId="35" fillId="15" fontId="3" numFmtId="0" xfId="0" applyAlignment="1" applyBorder="1" applyFont="1">
      <alignment horizontal="center"/>
    </xf>
    <xf borderId="14" fillId="6" fontId="3" numFmtId="167" xfId="0" applyBorder="1" applyFont="1" applyNumberFormat="1"/>
    <xf borderId="14" fillId="15" fontId="3" numFmtId="0" xfId="0" applyBorder="1" applyFont="1"/>
    <xf borderId="14" fillId="16" fontId="3" numFmtId="0" xfId="0" applyBorder="1" applyFont="1"/>
    <xf borderId="14" fillId="3" fontId="3" numFmtId="49" xfId="0" applyBorder="1" applyFont="1" applyNumberFormat="1"/>
    <xf borderId="14" fillId="3" fontId="3" numFmtId="164" xfId="0" applyAlignment="1" applyBorder="1" applyFont="1" applyNumberFormat="1">
      <alignment horizontal="right"/>
    </xf>
    <xf borderId="14" fillId="6" fontId="3" numFmtId="2" xfId="0" applyAlignment="1" applyBorder="1" applyFont="1" applyNumberFormat="1">
      <alignment horizontal="right"/>
    </xf>
    <xf borderId="14" fillId="6" fontId="3" numFmtId="1" xfId="0" applyAlignment="1" applyBorder="1" applyFont="1" applyNumberFormat="1">
      <alignment horizontal="right"/>
    </xf>
    <xf borderId="14" fillId="6" fontId="23" numFmtId="0" xfId="0" applyAlignment="1" applyBorder="1" applyFont="1">
      <alignment horizontal="center" vertical="center"/>
    </xf>
    <xf borderId="11" fillId="6" fontId="23" numFmtId="0" xfId="0" applyAlignment="1" applyBorder="1" applyFont="1">
      <alignment horizontal="left" vertical="center"/>
    </xf>
    <xf borderId="1" fillId="4" fontId="4" numFmtId="0" xfId="0" applyAlignment="1" applyBorder="1" applyFont="1">
      <alignment horizontal="center" vertical="center"/>
    </xf>
    <xf borderId="6" fillId="2" fontId="3" numFmtId="0" xfId="0" applyAlignment="1" applyBorder="1" applyFont="1">
      <alignment vertical="top"/>
    </xf>
    <xf borderId="1" fillId="3" fontId="3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D965"/>
          <bgColor rgb="FFFFD96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hyperlink" Target="#Notas!A1" TargetMode="External"/><Relationship Id="rId10" Type="http://schemas.openxmlformats.org/officeDocument/2006/relationships/hyperlink" Target="#Otros!A1" TargetMode="External"/><Relationship Id="rId13" Type="http://schemas.openxmlformats.org/officeDocument/2006/relationships/image" Target="../media/image1.png"/><Relationship Id="rId12" Type="http://schemas.openxmlformats.org/officeDocument/2006/relationships/image" Target="../media/image2.png"/><Relationship Id="rId1" Type="http://schemas.openxmlformats.org/officeDocument/2006/relationships/hyperlink" Target="#Antropometr&#237;a!A1" TargetMode="External"/><Relationship Id="rId2" Type="http://schemas.openxmlformats.org/officeDocument/2006/relationships/hyperlink" Target="#'Ev.%20Consumo'!A1" TargetMode="External"/><Relationship Id="rId3" Type="http://schemas.openxmlformats.org/officeDocument/2006/relationships/hyperlink" Target="#Adulto!A1" TargetMode="External"/><Relationship Id="rId4" Type="http://schemas.openxmlformats.org/officeDocument/2006/relationships/hyperlink" Target="#Pediatr&#237;a!A1" TargetMode="External"/><Relationship Id="rId9" Type="http://schemas.openxmlformats.org/officeDocument/2006/relationships/hyperlink" Target="#'F.%20Desarrollada'!A1" TargetMode="External"/><Relationship Id="rId5" Type="http://schemas.openxmlformats.org/officeDocument/2006/relationships/hyperlink" Target="#Gestante!A1" TargetMode="External"/><Relationship Id="rId6" Type="http://schemas.openxmlformats.org/officeDocument/2006/relationships/hyperlink" Target="#'Ges%20Adoles'!A1" TargetMode="External"/><Relationship Id="rId7" Type="http://schemas.openxmlformats.org/officeDocument/2006/relationships/hyperlink" Target="#Deportista!A1" TargetMode="External"/><Relationship Id="rId8" Type="http://schemas.openxmlformats.org/officeDocument/2006/relationships/hyperlink" Target="#Hospitalizado!A1" TargetMode="Externa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Relationship Id="rId3" Type="http://schemas.openxmlformats.org/officeDocument/2006/relationships/image" Target="../media/image5.png"/><Relationship Id="rId4" Type="http://schemas.openxmlformats.org/officeDocument/2006/relationships/image" Target="../media/image7.png"/><Relationship Id="rId5" Type="http://schemas.openxmlformats.org/officeDocument/2006/relationships/image" Target="../media/image6.png"/><Relationship Id="rId6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Relationship Id="rId3" Type="http://schemas.openxmlformats.org/officeDocument/2006/relationships/image" Target="../media/image10.png"/><Relationship Id="rId4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25</xdr:row>
      <xdr:rowOff>38100</xdr:rowOff>
    </xdr:from>
    <xdr:ext cx="2943225" cy="314325"/>
    <xdr:sp>
      <xdr:nvSpPr>
        <xdr:cNvPr id="3" name="Shape 3">
          <a:hlinkClick r:id="rId1"/>
        </xdr:cNvPr>
        <xdr:cNvSpPr/>
      </xdr:nvSpPr>
      <xdr:spPr>
        <a:xfrm>
          <a:off x="3879150" y="3627600"/>
          <a:ext cx="2933700" cy="304800"/>
        </a:xfrm>
        <a:prstGeom prst="roundRect">
          <a:avLst>
            <a:gd fmla="val 16667" name="adj"/>
          </a:avLst>
        </a:prstGeom>
        <a:solidFill>
          <a:srgbClr val="92CECB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Antropometría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28</xdr:row>
      <xdr:rowOff>28575</xdr:rowOff>
    </xdr:from>
    <xdr:ext cx="2943225" cy="314325"/>
    <xdr:sp>
      <xdr:nvSpPr>
        <xdr:cNvPr id="4" name="Shape 4">
          <a:hlinkClick r:id="rId2"/>
        </xdr:cNvPr>
        <xdr:cNvSpPr/>
      </xdr:nvSpPr>
      <xdr:spPr>
        <a:xfrm>
          <a:off x="3879150" y="3627600"/>
          <a:ext cx="2933700" cy="304800"/>
        </a:xfrm>
        <a:prstGeom prst="roundRect">
          <a:avLst>
            <a:gd fmla="val 16667" name="adj"/>
          </a:avLst>
        </a:prstGeom>
        <a:solidFill>
          <a:srgbClr val="92CECB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Evaluación dietética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31</xdr:row>
      <xdr:rowOff>28575</xdr:rowOff>
    </xdr:from>
    <xdr:ext cx="2943225" cy="314325"/>
    <xdr:sp>
      <xdr:nvSpPr>
        <xdr:cNvPr id="5" name="Shape 5">
          <a:hlinkClick r:id="rId3"/>
        </xdr:cNvPr>
        <xdr:cNvSpPr/>
      </xdr:nvSpPr>
      <xdr:spPr>
        <a:xfrm>
          <a:off x="3879150" y="3627600"/>
          <a:ext cx="2933700" cy="304800"/>
        </a:xfrm>
        <a:prstGeom prst="roundRect">
          <a:avLst>
            <a:gd fmla="val 16667" name="adj"/>
          </a:avLst>
        </a:prstGeom>
        <a:solidFill>
          <a:srgbClr val="92CECB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Planeación dietética adulto</a:t>
          </a:r>
          <a:endParaRPr b="1" sz="14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19050</xdr:colOff>
      <xdr:row>34</xdr:row>
      <xdr:rowOff>38100</xdr:rowOff>
    </xdr:from>
    <xdr:ext cx="2943225" cy="314325"/>
    <xdr:sp>
      <xdr:nvSpPr>
        <xdr:cNvPr id="6" name="Shape 6">
          <a:hlinkClick r:id="rId4"/>
        </xdr:cNvPr>
        <xdr:cNvSpPr/>
      </xdr:nvSpPr>
      <xdr:spPr>
        <a:xfrm>
          <a:off x="3879150" y="3627600"/>
          <a:ext cx="2933700" cy="304800"/>
        </a:xfrm>
        <a:prstGeom prst="roundRect">
          <a:avLst>
            <a:gd fmla="val 16667" name="adj"/>
          </a:avLst>
        </a:prstGeom>
        <a:solidFill>
          <a:srgbClr val="92CECB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Evaluación y planeación pediátrica</a:t>
          </a:r>
          <a:endParaRPr b="1" sz="14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19050</xdr:colOff>
      <xdr:row>37</xdr:row>
      <xdr:rowOff>38100</xdr:rowOff>
    </xdr:from>
    <xdr:ext cx="2943225" cy="314325"/>
    <xdr:sp>
      <xdr:nvSpPr>
        <xdr:cNvPr id="7" name="Shape 7">
          <a:hlinkClick r:id="rId5"/>
        </xdr:cNvPr>
        <xdr:cNvSpPr/>
      </xdr:nvSpPr>
      <xdr:spPr>
        <a:xfrm>
          <a:off x="3879150" y="3627600"/>
          <a:ext cx="2933700" cy="304800"/>
        </a:xfrm>
        <a:prstGeom prst="roundRect">
          <a:avLst>
            <a:gd fmla="val 16667" name="adj"/>
          </a:avLst>
        </a:prstGeom>
        <a:solidFill>
          <a:srgbClr val="92CECB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Gestante adulta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40</xdr:row>
      <xdr:rowOff>38100</xdr:rowOff>
    </xdr:from>
    <xdr:ext cx="2943225" cy="314325"/>
    <xdr:sp>
      <xdr:nvSpPr>
        <xdr:cNvPr id="8" name="Shape 8">
          <a:hlinkClick r:id="rId6"/>
        </xdr:cNvPr>
        <xdr:cNvSpPr/>
      </xdr:nvSpPr>
      <xdr:spPr>
        <a:xfrm>
          <a:off x="3879150" y="3627600"/>
          <a:ext cx="2933700" cy="304800"/>
        </a:xfrm>
        <a:prstGeom prst="roundRect">
          <a:avLst>
            <a:gd fmla="val 16667" name="adj"/>
          </a:avLst>
        </a:prstGeom>
        <a:solidFill>
          <a:srgbClr val="92CECB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Gestante adolescente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46</xdr:row>
      <xdr:rowOff>28575</xdr:rowOff>
    </xdr:from>
    <xdr:ext cx="2943225" cy="314325"/>
    <xdr:sp>
      <xdr:nvSpPr>
        <xdr:cNvPr id="9" name="Shape 9">
          <a:hlinkClick r:id="rId7"/>
        </xdr:cNvPr>
        <xdr:cNvSpPr/>
      </xdr:nvSpPr>
      <xdr:spPr>
        <a:xfrm>
          <a:off x="3879150" y="3627600"/>
          <a:ext cx="2933700" cy="304800"/>
        </a:xfrm>
        <a:prstGeom prst="roundRect">
          <a:avLst>
            <a:gd fmla="val 16667" name="adj"/>
          </a:avLst>
        </a:prstGeom>
        <a:solidFill>
          <a:srgbClr val="92CECB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Deportista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43</xdr:row>
      <xdr:rowOff>28575</xdr:rowOff>
    </xdr:from>
    <xdr:ext cx="2943225" cy="314325"/>
    <xdr:sp>
      <xdr:nvSpPr>
        <xdr:cNvPr id="10" name="Shape 10">
          <a:hlinkClick r:id="rId8"/>
        </xdr:cNvPr>
        <xdr:cNvSpPr/>
      </xdr:nvSpPr>
      <xdr:spPr>
        <a:xfrm>
          <a:off x="3879150" y="3627600"/>
          <a:ext cx="2933700" cy="304800"/>
        </a:xfrm>
        <a:prstGeom prst="roundRect">
          <a:avLst>
            <a:gd fmla="val 16667" name="adj"/>
          </a:avLst>
        </a:prstGeom>
        <a:solidFill>
          <a:srgbClr val="92CECB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Paciente hospitalizado</a:t>
          </a:r>
          <a:endParaRPr b="1" sz="14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19050</xdr:colOff>
      <xdr:row>49</xdr:row>
      <xdr:rowOff>28575</xdr:rowOff>
    </xdr:from>
    <xdr:ext cx="2943225" cy="314325"/>
    <xdr:sp>
      <xdr:nvSpPr>
        <xdr:cNvPr id="11" name="Shape 11">
          <a:hlinkClick r:id="rId9"/>
        </xdr:cNvPr>
        <xdr:cNvSpPr/>
      </xdr:nvSpPr>
      <xdr:spPr>
        <a:xfrm>
          <a:off x="3879150" y="3627600"/>
          <a:ext cx="2933700" cy="304800"/>
        </a:xfrm>
        <a:prstGeom prst="roundRect">
          <a:avLst>
            <a:gd fmla="val 16667" name="adj"/>
          </a:avLst>
        </a:prstGeom>
        <a:solidFill>
          <a:srgbClr val="92CECB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Fórmula desarrollada</a:t>
          </a:r>
          <a:endParaRPr b="1" sz="14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19050</xdr:colOff>
      <xdr:row>52</xdr:row>
      <xdr:rowOff>28575</xdr:rowOff>
    </xdr:from>
    <xdr:ext cx="2943225" cy="314325"/>
    <xdr:sp>
      <xdr:nvSpPr>
        <xdr:cNvPr id="12" name="Shape 12">
          <a:hlinkClick r:id="rId10"/>
        </xdr:cNvPr>
        <xdr:cNvSpPr/>
      </xdr:nvSpPr>
      <xdr:spPr>
        <a:xfrm>
          <a:off x="3879150" y="3627600"/>
          <a:ext cx="2933700" cy="304800"/>
        </a:xfrm>
        <a:prstGeom prst="roundRect">
          <a:avLst>
            <a:gd fmla="val 16667" name="adj"/>
          </a:avLst>
        </a:prstGeom>
        <a:solidFill>
          <a:srgbClr val="92CECB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Otros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22</xdr:row>
      <xdr:rowOff>0</xdr:rowOff>
    </xdr:from>
    <xdr:ext cx="9772650" cy="342900"/>
    <xdr:sp>
      <xdr:nvSpPr>
        <xdr:cNvPr id="13" name="Shape 13"/>
        <xdr:cNvSpPr/>
      </xdr:nvSpPr>
      <xdr:spPr>
        <a:xfrm>
          <a:off x="464438" y="3613313"/>
          <a:ext cx="9763125" cy="333375"/>
        </a:xfrm>
        <a:prstGeom prst="rect">
          <a:avLst/>
        </a:prstGeom>
        <a:solidFill>
          <a:srgbClr val="4BA8A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ÍNDICE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55</xdr:row>
      <xdr:rowOff>19050</xdr:rowOff>
    </xdr:from>
    <xdr:ext cx="2943225" cy="314325"/>
    <xdr:sp>
      <xdr:nvSpPr>
        <xdr:cNvPr id="14" name="Shape 14">
          <a:hlinkClick r:id="rId11"/>
        </xdr:cNvPr>
        <xdr:cNvSpPr/>
      </xdr:nvSpPr>
      <xdr:spPr>
        <a:xfrm>
          <a:off x="3879150" y="3627600"/>
          <a:ext cx="2933700" cy="304800"/>
        </a:xfrm>
        <a:prstGeom prst="roundRect">
          <a:avLst>
            <a:gd fmla="val 16667" name="adj"/>
          </a:avLst>
        </a:prstGeom>
        <a:solidFill>
          <a:srgbClr val="92CECB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Notas</a:t>
          </a:r>
          <a:endParaRPr sz="1400"/>
        </a:p>
      </xdr:txBody>
    </xdr:sp>
    <xdr:clientData fLocksWithSheet="0"/>
  </xdr:oneCellAnchor>
  <xdr:oneCellAnchor>
    <xdr:from>
      <xdr:col>1</xdr:col>
      <xdr:colOff>342900</xdr:colOff>
      <xdr:row>1</xdr:row>
      <xdr:rowOff>85725</xdr:rowOff>
    </xdr:from>
    <xdr:ext cx="8715375" cy="22955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24</xdr:row>
      <xdr:rowOff>9525</xdr:rowOff>
    </xdr:from>
    <xdr:ext cx="704850" cy="771525"/>
    <xdr:pic>
      <xdr:nvPicPr>
        <xdr:cNvPr descr="Flecha derecha con relleno sólido"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27</xdr:row>
      <xdr:rowOff>19050</xdr:rowOff>
    </xdr:from>
    <xdr:ext cx="704850" cy="790575"/>
    <xdr:pic>
      <xdr:nvPicPr>
        <xdr:cNvPr descr="Flecha derecha con relleno sólido"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266700</xdr:colOff>
      <xdr:row>30</xdr:row>
      <xdr:rowOff>19050</xdr:rowOff>
    </xdr:from>
    <xdr:ext cx="704850" cy="790575"/>
    <xdr:pic>
      <xdr:nvPicPr>
        <xdr:cNvPr descr="Flecha derecha con relleno sólido"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266700</xdr:colOff>
      <xdr:row>33</xdr:row>
      <xdr:rowOff>19050</xdr:rowOff>
    </xdr:from>
    <xdr:ext cx="704850" cy="790575"/>
    <xdr:pic>
      <xdr:nvPicPr>
        <xdr:cNvPr descr="Flecha derecha con relleno sólido"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36</xdr:row>
      <xdr:rowOff>19050</xdr:rowOff>
    </xdr:from>
    <xdr:ext cx="704850" cy="790575"/>
    <xdr:pic>
      <xdr:nvPicPr>
        <xdr:cNvPr descr="Flecha derecha con relleno sólido"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266700</xdr:colOff>
      <xdr:row>39</xdr:row>
      <xdr:rowOff>19050</xdr:rowOff>
    </xdr:from>
    <xdr:ext cx="704850" cy="790575"/>
    <xdr:pic>
      <xdr:nvPicPr>
        <xdr:cNvPr descr="Flecha derecha con relleno sólido"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266700</xdr:colOff>
      <xdr:row>42</xdr:row>
      <xdr:rowOff>19050</xdr:rowOff>
    </xdr:from>
    <xdr:ext cx="704850" cy="790575"/>
    <xdr:pic>
      <xdr:nvPicPr>
        <xdr:cNvPr descr="Flecha derecha con relleno sólido"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45</xdr:row>
      <xdr:rowOff>19050</xdr:rowOff>
    </xdr:from>
    <xdr:ext cx="704850" cy="790575"/>
    <xdr:pic>
      <xdr:nvPicPr>
        <xdr:cNvPr descr="Flecha derecha con relleno sólido"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48</xdr:row>
      <xdr:rowOff>9525</xdr:rowOff>
    </xdr:from>
    <xdr:ext cx="704850" cy="771525"/>
    <xdr:pic>
      <xdr:nvPicPr>
        <xdr:cNvPr descr="Flecha derecha con relleno sólido"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51</xdr:row>
      <xdr:rowOff>19050</xdr:rowOff>
    </xdr:from>
    <xdr:ext cx="704850" cy="790575"/>
    <xdr:pic>
      <xdr:nvPicPr>
        <xdr:cNvPr descr="Flecha derecha con relleno sólido"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54</xdr:row>
      <xdr:rowOff>19050</xdr:rowOff>
    </xdr:from>
    <xdr:ext cx="704850" cy="790575"/>
    <xdr:pic>
      <xdr:nvPicPr>
        <xdr:cNvPr descr="Flecha derecha con relleno sólido"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333375</xdr:colOff>
      <xdr:row>1</xdr:row>
      <xdr:rowOff>57150</xdr:rowOff>
    </xdr:from>
    <xdr:ext cx="3171825" cy="36290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4</xdr:row>
      <xdr:rowOff>66675</xdr:rowOff>
    </xdr:from>
    <xdr:ext cx="8077200" cy="38385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190500</xdr:colOff>
      <xdr:row>6</xdr:row>
      <xdr:rowOff>161925</xdr:rowOff>
    </xdr:from>
    <xdr:ext cx="7296150" cy="33528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190500</xdr:colOff>
      <xdr:row>4</xdr:row>
      <xdr:rowOff>76200</xdr:rowOff>
    </xdr:from>
    <xdr:ext cx="7296150" cy="4857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476250</xdr:colOff>
      <xdr:row>23</xdr:row>
      <xdr:rowOff>85725</xdr:rowOff>
    </xdr:from>
    <xdr:ext cx="5019675" cy="46958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361950</xdr:colOff>
      <xdr:row>23</xdr:row>
      <xdr:rowOff>95250</xdr:rowOff>
    </xdr:from>
    <xdr:ext cx="5705475" cy="46863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44</xdr:row>
      <xdr:rowOff>28575</xdr:rowOff>
    </xdr:from>
    <xdr:ext cx="3476625" cy="490537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266700</xdr:colOff>
      <xdr:row>44</xdr:row>
      <xdr:rowOff>28575</xdr:rowOff>
    </xdr:from>
    <xdr:ext cx="5124450" cy="15049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161925</xdr:colOff>
      <xdr:row>49</xdr:row>
      <xdr:rowOff>123825</xdr:rowOff>
    </xdr:from>
    <xdr:ext cx="7191375" cy="59436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742950</xdr:colOff>
      <xdr:row>46</xdr:row>
      <xdr:rowOff>619125</xdr:rowOff>
    </xdr:from>
    <xdr:ext cx="7496175" cy="103822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742950</xdr:colOff>
      <xdr:row>46</xdr:row>
      <xdr:rowOff>142875</xdr:rowOff>
    </xdr:from>
    <xdr:ext cx="7496175" cy="4667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685800</xdr:colOff>
      <xdr:row>4</xdr:row>
      <xdr:rowOff>76200</xdr:rowOff>
    </xdr:from>
    <xdr:ext cx="6715125" cy="21717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390525</xdr:colOff>
      <xdr:row>2</xdr:row>
      <xdr:rowOff>28575</xdr:rowOff>
    </xdr:from>
    <xdr:ext cx="5667375" cy="35337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752475</xdr:colOff>
      <xdr:row>18</xdr:row>
      <xdr:rowOff>0</xdr:rowOff>
    </xdr:from>
    <xdr:ext cx="2295525" cy="2257425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19</xdr:row>
      <xdr:rowOff>142875</xdr:rowOff>
    </xdr:from>
    <xdr:ext cx="628650" cy="657225"/>
    <xdr:pic>
      <xdr:nvPicPr>
        <xdr:cNvPr descr="Flecha derecha con relleno sólido"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0.71"/>
    <col customWidth="1" min="5" max="5" width="11.43"/>
    <col customWidth="1" min="6" max="6" width="10.71"/>
    <col customWidth="1" min="7" max="7" width="6.29"/>
    <col customWidth="1" min="8" max="15" width="10.71"/>
  </cols>
  <sheetData>
    <row r="15">
      <c r="B15" s="1" t="s"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H26" s="4" t="s">
        <v>1</v>
      </c>
      <c r="I26" s="2"/>
      <c r="J26" s="2"/>
      <c r="K26" s="2"/>
      <c r="L26" s="2"/>
      <c r="M26" s="2"/>
      <c r="N26" s="2"/>
      <c r="O26" s="2"/>
    </row>
    <row r="27" ht="15.75" customHeight="1">
      <c r="B27" s="5"/>
      <c r="H27" s="3"/>
    </row>
    <row r="28" ht="15.75" customHeight="1">
      <c r="B28" s="5"/>
    </row>
    <row r="29" ht="15.75" customHeight="1">
      <c r="B29" s="5"/>
      <c r="H29" s="4" t="s">
        <v>2</v>
      </c>
      <c r="I29" s="2"/>
      <c r="J29" s="2"/>
      <c r="K29" s="2"/>
      <c r="L29" s="2"/>
      <c r="M29" s="2"/>
      <c r="N29" s="2"/>
      <c r="O29" s="2"/>
    </row>
    <row r="30" ht="15.75" customHeight="1">
      <c r="B30" s="5"/>
      <c r="H30" s="3"/>
    </row>
    <row r="31" ht="15.75" customHeight="1">
      <c r="B31" s="5"/>
    </row>
    <row r="32" ht="15.75" customHeight="1">
      <c r="B32" s="5"/>
      <c r="H32" s="4" t="s">
        <v>3</v>
      </c>
      <c r="I32" s="2"/>
      <c r="J32" s="2"/>
      <c r="K32" s="2"/>
      <c r="L32" s="2"/>
      <c r="M32" s="2"/>
      <c r="N32" s="2"/>
      <c r="O32" s="2"/>
    </row>
    <row r="33" ht="15.75" customHeight="1">
      <c r="B33" s="5"/>
      <c r="H33" s="3"/>
    </row>
    <row r="34" ht="15.75" customHeight="1">
      <c r="B34" s="5"/>
    </row>
    <row r="35" ht="15.75" customHeight="1">
      <c r="B35" s="5"/>
      <c r="H35" s="4" t="s">
        <v>4</v>
      </c>
      <c r="I35" s="2"/>
      <c r="J35" s="2"/>
      <c r="K35" s="2"/>
      <c r="L35" s="2"/>
      <c r="M35" s="2"/>
      <c r="N35" s="2"/>
      <c r="O35" s="2"/>
    </row>
    <row r="36" ht="15.75" customHeight="1">
      <c r="B36" s="5"/>
      <c r="H36" s="3"/>
    </row>
    <row r="37" ht="15.75" customHeight="1">
      <c r="B37" s="5"/>
    </row>
    <row r="38" ht="15.75" customHeight="1">
      <c r="B38" s="5"/>
      <c r="H38" s="4" t="s">
        <v>5</v>
      </c>
      <c r="I38" s="2"/>
      <c r="J38" s="2"/>
      <c r="K38" s="2"/>
      <c r="L38" s="2"/>
      <c r="M38" s="2"/>
      <c r="N38" s="2"/>
      <c r="O38" s="2"/>
    </row>
    <row r="39" ht="15.75" customHeight="1">
      <c r="B39" s="5"/>
      <c r="H39" s="3"/>
    </row>
    <row r="40" ht="15.75" customHeight="1">
      <c r="B40" s="5"/>
    </row>
    <row r="41" ht="15.75" customHeight="1">
      <c r="B41" s="5"/>
      <c r="H41" s="4" t="s">
        <v>6</v>
      </c>
      <c r="I41" s="2"/>
      <c r="J41" s="2"/>
      <c r="K41" s="2"/>
      <c r="L41" s="2"/>
      <c r="M41" s="2"/>
      <c r="N41" s="2"/>
      <c r="O41" s="2"/>
    </row>
    <row r="42" ht="15.75" customHeight="1">
      <c r="H42" s="3"/>
    </row>
    <row r="43" ht="15.75" customHeight="1"/>
    <row r="44" ht="15.75" customHeight="1">
      <c r="H44" s="6" t="s">
        <v>7</v>
      </c>
      <c r="I44" s="2"/>
      <c r="J44" s="2"/>
      <c r="K44" s="2"/>
      <c r="L44" s="2"/>
      <c r="M44" s="2"/>
      <c r="N44" s="2"/>
      <c r="O44" s="2"/>
    </row>
    <row r="45" ht="15.75" customHeight="1">
      <c r="H45" s="3"/>
    </row>
    <row r="46" ht="15.75" customHeight="1"/>
    <row r="47" ht="15.75" customHeight="1">
      <c r="H47" s="4" t="s">
        <v>8</v>
      </c>
      <c r="I47" s="2"/>
      <c r="J47" s="2"/>
      <c r="K47" s="2"/>
      <c r="L47" s="2"/>
      <c r="M47" s="2"/>
      <c r="N47" s="2"/>
      <c r="O47" s="2"/>
    </row>
    <row r="48" ht="15.75" customHeight="1">
      <c r="H48" s="3"/>
    </row>
    <row r="49" ht="15.75" customHeight="1"/>
    <row r="50" ht="15.75" customHeight="1">
      <c r="H50" s="6" t="s">
        <v>9</v>
      </c>
      <c r="I50" s="2"/>
      <c r="J50" s="2"/>
      <c r="K50" s="2"/>
      <c r="L50" s="2"/>
      <c r="M50" s="2"/>
      <c r="N50" s="2"/>
      <c r="O50" s="2"/>
    </row>
    <row r="51" ht="15.75" customHeight="1">
      <c r="H51" s="3"/>
    </row>
    <row r="52" ht="15.75" customHeight="1"/>
    <row r="53" ht="15.75" customHeight="1">
      <c r="H53" s="6" t="s">
        <v>10</v>
      </c>
      <c r="I53" s="2"/>
      <c r="J53" s="2"/>
      <c r="K53" s="2"/>
      <c r="L53" s="2"/>
      <c r="M53" s="2"/>
      <c r="N53" s="2"/>
      <c r="O53" s="2"/>
    </row>
    <row r="54" ht="15.75" customHeight="1">
      <c r="H54" s="3"/>
    </row>
    <row r="55" ht="15.75" customHeight="1"/>
    <row r="56" ht="15.75" customHeight="1">
      <c r="H56" s="4" t="s">
        <v>11</v>
      </c>
      <c r="I56" s="2"/>
      <c r="J56" s="2"/>
      <c r="K56" s="2"/>
      <c r="L56" s="2"/>
      <c r="M56" s="2"/>
      <c r="N56" s="2"/>
      <c r="O56" s="2"/>
    </row>
    <row r="57" ht="15.75" customHeight="1">
      <c r="H57" s="3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5:O20"/>
    <mergeCell ref="H26:O27"/>
    <mergeCell ref="B27:E27"/>
    <mergeCell ref="B28:E28"/>
    <mergeCell ref="B29:E29"/>
    <mergeCell ref="H29:O30"/>
    <mergeCell ref="B30:E30"/>
    <mergeCell ref="B36:E36"/>
    <mergeCell ref="B37:E37"/>
    <mergeCell ref="B38:E38"/>
    <mergeCell ref="B40:E40"/>
    <mergeCell ref="B41:E41"/>
    <mergeCell ref="H38:O39"/>
    <mergeCell ref="B39:E39"/>
    <mergeCell ref="H41:O42"/>
    <mergeCell ref="H44:O45"/>
    <mergeCell ref="H47:O48"/>
    <mergeCell ref="H50:O51"/>
    <mergeCell ref="H53:O54"/>
    <mergeCell ref="H56:O57"/>
    <mergeCell ref="B31:E31"/>
    <mergeCell ref="B32:E32"/>
    <mergeCell ref="H32:O33"/>
    <mergeCell ref="B33:E33"/>
    <mergeCell ref="B34:E34"/>
    <mergeCell ref="B35:E35"/>
    <mergeCell ref="H35:O3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4.71"/>
    <col customWidth="1" min="3" max="3" width="23.86"/>
    <col customWidth="1" min="4" max="4" width="10.71"/>
    <col customWidth="1" hidden="1" min="5" max="5" width="11.43"/>
    <col customWidth="1" min="6" max="6" width="22.86"/>
    <col customWidth="1" min="7" max="7" width="11.71"/>
    <col customWidth="1" min="8" max="30" width="10.71"/>
  </cols>
  <sheetData>
    <row r="2">
      <c r="B2" s="7" t="s">
        <v>12</v>
      </c>
      <c r="C2" s="8"/>
      <c r="E2" s="9"/>
      <c r="F2" s="10"/>
    </row>
    <row r="3" ht="15.0" customHeight="1">
      <c r="B3" s="11" t="s">
        <v>13</v>
      </c>
      <c r="C3" s="12"/>
      <c r="E3" s="9" t="s">
        <v>14</v>
      </c>
    </row>
    <row r="4">
      <c r="B4" s="13" t="s">
        <v>15</v>
      </c>
      <c r="C4" s="12"/>
      <c r="E4" s="9" t="s">
        <v>16</v>
      </c>
    </row>
    <row r="5">
      <c r="B5" s="13" t="s">
        <v>17</v>
      </c>
      <c r="C5" s="12"/>
      <c r="E5" s="9"/>
    </row>
    <row r="6" ht="15.0" customHeight="1">
      <c r="B6" s="13" t="s">
        <v>18</v>
      </c>
      <c r="C6" s="14" t="s">
        <v>14</v>
      </c>
      <c r="E6" s="9"/>
    </row>
    <row r="7">
      <c r="B7" s="13" t="s">
        <v>19</v>
      </c>
      <c r="C7" s="12"/>
      <c r="E7" s="9"/>
    </row>
    <row r="8">
      <c r="B8" s="13" t="s">
        <v>20</v>
      </c>
      <c r="C8" s="12"/>
      <c r="E8" s="9"/>
      <c r="AD8" s="15"/>
    </row>
    <row r="9">
      <c r="B9" s="13" t="s">
        <v>21</v>
      </c>
      <c r="C9" s="12"/>
      <c r="E9" s="9"/>
    </row>
    <row r="10">
      <c r="B10" s="13" t="s">
        <v>22</v>
      </c>
      <c r="C10" s="14">
        <f>C9*100</f>
        <v>0</v>
      </c>
      <c r="E10" s="9"/>
    </row>
    <row r="11">
      <c r="B11" s="13" t="s">
        <v>23</v>
      </c>
      <c r="C11" s="12"/>
      <c r="E11" s="9"/>
      <c r="F11" s="16" t="s">
        <v>24</v>
      </c>
      <c r="G11" s="2"/>
      <c r="H11" s="2"/>
    </row>
    <row r="12">
      <c r="B12" s="13" t="s">
        <v>25</v>
      </c>
      <c r="C12" s="12"/>
      <c r="E12" s="9"/>
      <c r="F12" s="3"/>
      <c r="O12" s="17"/>
      <c r="P12" s="17"/>
    </row>
    <row r="13">
      <c r="B13" s="13" t="s">
        <v>26</v>
      </c>
      <c r="C13" s="12"/>
      <c r="E13" s="9"/>
      <c r="F13" s="3"/>
      <c r="O13" s="17"/>
      <c r="P13" s="17"/>
    </row>
    <row r="14">
      <c r="B14" s="13" t="s">
        <v>27</v>
      </c>
      <c r="C14" s="12"/>
      <c r="E14" s="9"/>
      <c r="F14" s="3"/>
      <c r="O14" s="17"/>
      <c r="P14" s="17"/>
    </row>
    <row r="15">
      <c r="B15" s="13" t="s">
        <v>28</v>
      </c>
      <c r="C15" s="12"/>
      <c r="E15" s="9"/>
      <c r="F15" s="3"/>
    </row>
    <row r="16">
      <c r="B16" s="13" t="s">
        <v>29</v>
      </c>
      <c r="C16" s="12"/>
      <c r="E16" s="9">
        <f>SUM(C13:C16)</f>
        <v>0</v>
      </c>
      <c r="F16" s="17"/>
      <c r="G16" s="17"/>
      <c r="H16" s="17"/>
      <c r="I16" s="17"/>
      <c r="J16" s="17"/>
      <c r="K16" s="17"/>
      <c r="L16" s="17"/>
    </row>
    <row r="17">
      <c r="B17" s="18" t="s">
        <v>30</v>
      </c>
      <c r="C17" s="12"/>
      <c r="E17" s="9"/>
      <c r="F17" s="19" t="s">
        <v>31</v>
      </c>
      <c r="G17" s="20"/>
      <c r="H17" s="21"/>
      <c r="I17" s="17"/>
      <c r="J17" s="17"/>
      <c r="K17" s="17"/>
      <c r="L17" s="17"/>
    </row>
    <row r="18">
      <c r="E18" s="9"/>
      <c r="F18" s="11"/>
      <c r="G18" s="22" t="s">
        <v>32</v>
      </c>
      <c r="H18" s="23" t="s">
        <v>33</v>
      </c>
      <c r="J18" s="24"/>
    </row>
    <row r="19">
      <c r="B19" s="7" t="s">
        <v>34</v>
      </c>
      <c r="C19" s="8"/>
      <c r="E19" s="9"/>
      <c r="F19" s="13" t="s">
        <v>35</v>
      </c>
      <c r="G19" s="25" t="s">
        <v>36</v>
      </c>
      <c r="H19" s="26" t="s">
        <v>37</v>
      </c>
    </row>
    <row r="20">
      <c r="B20" s="27" t="s">
        <v>38</v>
      </c>
      <c r="C20" s="28" t="str">
        <f>(C8/(C9*C9))</f>
        <v>#DIV/0!</v>
      </c>
      <c r="E20" s="9"/>
      <c r="F20" s="13" t="s">
        <v>39</v>
      </c>
      <c r="G20" s="29" t="s">
        <v>40</v>
      </c>
      <c r="H20" s="26" t="s">
        <v>41</v>
      </c>
    </row>
    <row r="21" ht="15.75" customHeight="1">
      <c r="B21" s="30" t="s">
        <v>42</v>
      </c>
      <c r="C21" s="31" t="str">
        <f>IF(C20&lt;18.5,"Delgadez",IF(AND(C20&gt;=18.5,C20&lt;25),"Normal",IF(AND(C20&gt;=25,C20&lt;30),"Sobrepeso","obesidad")))</f>
        <v>#DIV/0!</v>
      </c>
      <c r="E21" s="9"/>
      <c r="F21" s="18" t="s">
        <v>43</v>
      </c>
      <c r="G21" s="29" t="s">
        <v>44</v>
      </c>
      <c r="H21" s="26" t="s">
        <v>45</v>
      </c>
    </row>
    <row r="22" ht="15.75" customHeight="1">
      <c r="B22" s="32" t="s">
        <v>46</v>
      </c>
      <c r="C22" s="12">
        <v>25.0</v>
      </c>
      <c r="E22" s="9"/>
    </row>
    <row r="23" ht="15.75" customHeight="1">
      <c r="B23" s="30" t="s">
        <v>47</v>
      </c>
      <c r="C23" s="33" t="str">
        <f>IF(C20&gt;=25,(C22*(C9*C9)),"No aplica")</f>
        <v>#DIV/0!</v>
      </c>
      <c r="E23" s="9"/>
      <c r="F23" s="19" t="s">
        <v>48</v>
      </c>
      <c r="G23" s="20"/>
      <c r="H23" s="21"/>
    </row>
    <row r="24" ht="15.75" customHeight="1">
      <c r="B24" s="32" t="s">
        <v>49</v>
      </c>
      <c r="C24" s="34" t="str">
        <f>IF(C20&gt;=30,(C23+(0.25*(C8-C23))),"No aplica")</f>
        <v>#DIV/0!</v>
      </c>
      <c r="E24" s="9"/>
      <c r="F24" s="35"/>
      <c r="G24" s="36" t="s">
        <v>32</v>
      </c>
      <c r="H24" s="37" t="s">
        <v>33</v>
      </c>
    </row>
    <row r="25" ht="15.75" customHeight="1">
      <c r="B25" s="30" t="s">
        <v>50</v>
      </c>
      <c r="C25" s="38" t="str">
        <f>C11/C10</f>
        <v>#DIV/0!</v>
      </c>
      <c r="E25" s="9"/>
      <c r="F25" s="39" t="s">
        <v>51</v>
      </c>
      <c r="G25" s="25" t="s">
        <v>52</v>
      </c>
      <c r="H25" s="40" t="s">
        <v>53</v>
      </c>
    </row>
    <row r="26" ht="15.75" customHeight="1">
      <c r="B26" s="30" t="s">
        <v>54</v>
      </c>
      <c r="C26" s="41" t="str">
        <f>IF(C25&gt;0.5,"Riesgo","Sin riesgo")</f>
        <v>#DIV/0!</v>
      </c>
      <c r="E26" s="9"/>
      <c r="F26" s="39" t="s">
        <v>55</v>
      </c>
      <c r="G26" s="25" t="s">
        <v>56</v>
      </c>
      <c r="H26" s="40" t="s">
        <v>57</v>
      </c>
    </row>
    <row r="27" ht="15.75" customHeight="1">
      <c r="B27" s="27" t="s">
        <v>58</v>
      </c>
      <c r="C27" s="28" t="str">
        <f>C11</f>
        <v/>
      </c>
      <c r="E27" s="9"/>
      <c r="F27" s="42" t="s">
        <v>59</v>
      </c>
      <c r="G27" s="25" t="s">
        <v>60</v>
      </c>
      <c r="H27" s="40" t="s">
        <v>61</v>
      </c>
    </row>
    <row r="28" ht="15.75" customHeight="1">
      <c r="B28" s="30" t="s">
        <v>54</v>
      </c>
      <c r="C28" s="41" t="str">
        <f>IF(C6="Hombre",IF(C27&gt;=90,"Obesidad abdominal","Adecuado"),IF(C27&gt;=80,"Obesidad abdominal","Adecuado"))</f>
        <v>Adecuado</v>
      </c>
      <c r="E28" s="9"/>
      <c r="F28" s="43"/>
      <c r="G28" s="43"/>
      <c r="H28" s="43"/>
    </row>
    <row r="29" ht="15.75" customHeight="1">
      <c r="B29" s="27" t="s">
        <v>62</v>
      </c>
      <c r="C29" s="44" t="str">
        <f>IF(C6="Hombre",((23.66*(LOG10(E16)))+(0.04*C7)-(0.036*C8)-(0.109*C10)+(0.272*C12)-26.41),((23.871*(LOG10(E16)))+(0.019*C7)-(0.022*C8)-(0.118*C10)+(0.249*C12)-16.782))</f>
        <v>#NUM!</v>
      </c>
      <c r="E29" s="9"/>
      <c r="F29" s="45" t="s">
        <v>63</v>
      </c>
      <c r="G29" s="20"/>
      <c r="H29" s="21"/>
    </row>
    <row r="30" ht="15.75" customHeight="1">
      <c r="B30" s="30" t="s">
        <v>54</v>
      </c>
      <c r="C30" s="31" t="str">
        <f>IF(C6="Hombre",IF(C29&lt;=20,"Normopeso",IF(AND(C29&gt;20,C29&lt;=25),"limite",IF(C29&gt;25,"obesidad"))),IF(C29&lt;=30,"Normopeso",IF(AND(C29&gt;30,C29&lt;=33),"limite",IF(C29&gt;33,"obesidad"))))</f>
        <v>#NUM!</v>
      </c>
      <c r="E30" s="9"/>
      <c r="F30" s="46"/>
      <c r="G30" s="36" t="s">
        <v>32</v>
      </c>
      <c r="H30" s="37" t="s">
        <v>33</v>
      </c>
    </row>
    <row r="31" ht="15.75" customHeight="1">
      <c r="B31" s="27" t="s">
        <v>64</v>
      </c>
      <c r="C31" s="44" t="str">
        <f>C29%*C8</f>
        <v>#NUM!</v>
      </c>
      <c r="E31" s="9"/>
      <c r="F31" s="39" t="s">
        <v>65</v>
      </c>
      <c r="G31" s="25" t="s">
        <v>66</v>
      </c>
      <c r="H31" s="40" t="s">
        <v>67</v>
      </c>
    </row>
    <row r="32" ht="15.75" customHeight="1">
      <c r="B32" s="30" t="s">
        <v>68</v>
      </c>
      <c r="C32" s="33" t="str">
        <f>C31/(C9*C9)</f>
        <v>#NUM!</v>
      </c>
      <c r="E32" s="9"/>
      <c r="F32" s="39" t="s">
        <v>69</v>
      </c>
      <c r="G32" s="25" t="s">
        <v>70</v>
      </c>
      <c r="H32" s="40" t="s">
        <v>71</v>
      </c>
      <c r="J32" s="47" t="s">
        <v>72</v>
      </c>
    </row>
    <row r="33" ht="15.75" customHeight="1">
      <c r="B33" s="48" t="s">
        <v>54</v>
      </c>
      <c r="C33" s="49" t="str">
        <f>IF(C6="Hombre",IF(C32&lt;2,"Deficit severo",IF(AND(C32&gt;=2,C32&lt;2.3),"Deficit moderado",IF(AND(C32&gt;=2.3,C32&lt;3),"Deficit leve",IF(AND(C32&gt;=3,C32&lt;=6),"Normal",IF(AND(C32&gt;6,C32&lt;=9),"Exceso",IF(AND(C32&gt;9,C32&lt;=12),"Obesidad I",IF(AND(C32&gt;12,C32&lt;=15),"Obesidad II","Obesidad III"))))))),IF(C32&lt;3.5,"Deficit severo",IF(AND(C32&gt;=3.5,C32&lt;4),"Deficit moderado",IF(AND(C32&gt;=4,C32&lt;5),"Deficit leve",IF(AND(C32&gt;=5,C32&lt;=9),"Normal",IF(AND(C32&gt;9,C32&lt;=13),"Exceso",IF(AND(C32&gt;13,C32&lt;=17),"Obesidad I",IF(AND(C32&gt;17,C32&lt;=21),"Obesidad II","Obesidad III"))))))))</f>
        <v>#NUM!</v>
      </c>
      <c r="E33" s="9"/>
      <c r="F33" s="42" t="s">
        <v>73</v>
      </c>
      <c r="G33" s="25" t="s">
        <v>74</v>
      </c>
      <c r="H33" s="40" t="s">
        <v>75</v>
      </c>
      <c r="J33" s="50" t="s">
        <v>76</v>
      </c>
    </row>
    <row r="34" ht="15.75" customHeight="1">
      <c r="B34" s="27" t="s">
        <v>77</v>
      </c>
      <c r="C34" s="28" t="str">
        <f>C8-C31</f>
        <v>#NUM!</v>
      </c>
      <c r="E34" s="9"/>
      <c r="J34" s="50" t="s">
        <v>78</v>
      </c>
    </row>
    <row r="35" ht="15.75" customHeight="1">
      <c r="B35" s="30" t="s">
        <v>79</v>
      </c>
      <c r="C35" s="38" t="str">
        <f>C34/(C9*C9)</f>
        <v>#NUM!</v>
      </c>
      <c r="E35" s="9"/>
      <c r="J35" s="50" t="s">
        <v>80</v>
      </c>
    </row>
    <row r="36" ht="15.75" customHeight="1">
      <c r="B36" s="48" t="s">
        <v>54</v>
      </c>
      <c r="C36" s="49" t="str">
        <f>IF(C6="Hombre",IF(C35&lt;17,"Malnutricion",IF(AND(C35&gt;=17,C35&lt;=21),"Adecuado","Muy buena")),IF(C35&lt;15,"Malnutricion",IF(AND(C35&gt;=15,C35&lt;=18),"Adecuado","Muy buena")))</f>
        <v>#NUM!</v>
      </c>
      <c r="F36" s="51" t="s">
        <v>81</v>
      </c>
      <c r="G36" s="21"/>
      <c r="J36" s="50" t="s">
        <v>82</v>
      </c>
    </row>
    <row r="37" ht="15.75" customHeight="1">
      <c r="B37" s="32" t="s">
        <v>83</v>
      </c>
      <c r="C37" s="12"/>
      <c r="F37" s="52" t="s">
        <v>83</v>
      </c>
      <c r="G37" s="53"/>
      <c r="J37" s="50" t="s">
        <v>84</v>
      </c>
    </row>
    <row r="38" ht="15.75" customHeight="1">
      <c r="B38" s="27" t="s">
        <v>85</v>
      </c>
      <c r="C38" s="28" t="str">
        <f>IF(C36="Malnutrición","Malnutrición",C34/(1-(C37/100)))</f>
        <v>#NUM!</v>
      </c>
      <c r="F38" s="52" t="s">
        <v>86</v>
      </c>
      <c r="G38" s="53"/>
      <c r="J38" s="50" t="s">
        <v>87</v>
      </c>
    </row>
    <row r="39" ht="15.75" customHeight="1">
      <c r="B39" s="30" t="s">
        <v>88</v>
      </c>
      <c r="C39" s="38" t="str">
        <f>(C15+C16)/(C17+C14)</f>
        <v>#DIV/0!</v>
      </c>
      <c r="E39" s="54" t="str">
        <f>(C15+C16)/(C17+C14)</f>
        <v>#DIV/0!</v>
      </c>
      <c r="F39" s="52" t="s">
        <v>89</v>
      </c>
      <c r="G39" s="55" t="str">
        <f>IF(C36="Malnutricion",G38*(C9*C9),"No aplica")</f>
        <v>#NUM!</v>
      </c>
      <c r="J39" s="50" t="s">
        <v>90</v>
      </c>
    </row>
    <row r="40" ht="15.0" customHeight="1">
      <c r="B40" s="48" t="s">
        <v>54</v>
      </c>
      <c r="C40" s="56" t="str">
        <f>IF(C39&lt;1,"Acumulacion periferica",IF(C39=1,"Distribucion armonica","Acumulacion central"))</f>
        <v>#DIV/0!</v>
      </c>
      <c r="F40" s="52" t="s">
        <v>91</v>
      </c>
      <c r="G40" s="55" t="str">
        <f>IF(C36="Malnutricion",G39/(1-(G37/100)),"No aplica")</f>
        <v>#NUM!</v>
      </c>
      <c r="J40" s="57" t="s">
        <v>92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2:C2"/>
    <mergeCell ref="F2:L3"/>
    <mergeCell ref="F11:H15"/>
    <mergeCell ref="F17:H17"/>
    <mergeCell ref="J18:P27"/>
    <mergeCell ref="B19:C19"/>
    <mergeCell ref="F23:H23"/>
    <mergeCell ref="J37:AD37"/>
    <mergeCell ref="J38:AD38"/>
    <mergeCell ref="J39:AD39"/>
    <mergeCell ref="J40:AD40"/>
    <mergeCell ref="F29:H29"/>
    <mergeCell ref="J32:AD32"/>
    <mergeCell ref="J33:AD33"/>
    <mergeCell ref="J34:AD34"/>
    <mergeCell ref="J35:AD35"/>
    <mergeCell ref="F36:G36"/>
    <mergeCell ref="J36:AD36"/>
  </mergeCells>
  <dataValidations>
    <dataValidation type="list" allowBlank="1" showErrorMessage="1" sqref="C6">
      <formula1>$E$3:$E$4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1.57"/>
    <col customWidth="1" min="3" max="3" width="32.57"/>
    <col customWidth="1" min="4" max="37" width="10.71"/>
  </cols>
  <sheetData>
    <row r="3">
      <c r="B3" s="58"/>
      <c r="C3" s="58"/>
      <c r="D3" s="59" t="s">
        <v>93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58"/>
      <c r="U3" s="61"/>
      <c r="V3" s="61"/>
      <c r="W3" s="61"/>
      <c r="X3" s="61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</row>
    <row r="5">
      <c r="B5" s="62" t="s">
        <v>94</v>
      </c>
      <c r="C5" s="21"/>
      <c r="D5" s="62" t="s">
        <v>95</v>
      </c>
      <c r="E5" s="20"/>
      <c r="F5" s="20"/>
      <c r="G5" s="20"/>
      <c r="H5" s="20"/>
      <c r="I5" s="21"/>
      <c r="J5" s="63" t="s">
        <v>96</v>
      </c>
      <c r="K5" s="63" t="s">
        <v>97</v>
      </c>
      <c r="L5" s="63" t="s">
        <v>98</v>
      </c>
      <c r="M5" s="63" t="s">
        <v>99</v>
      </c>
      <c r="N5" s="63" t="s">
        <v>100</v>
      </c>
      <c r="O5" s="63" t="s">
        <v>101</v>
      </c>
      <c r="P5" s="63" t="s">
        <v>102</v>
      </c>
      <c r="Q5" s="63" t="s">
        <v>103</v>
      </c>
      <c r="R5" s="63" t="s">
        <v>104</v>
      </c>
      <c r="S5" s="63" t="s">
        <v>105</v>
      </c>
      <c r="T5" s="63" t="s">
        <v>106</v>
      </c>
      <c r="U5" s="63" t="s">
        <v>107</v>
      </c>
      <c r="V5" s="63" t="s">
        <v>108</v>
      </c>
      <c r="W5" s="63" t="s">
        <v>109</v>
      </c>
      <c r="X5" s="63" t="s">
        <v>110</v>
      </c>
      <c r="Y5" s="63" t="s">
        <v>111</v>
      </c>
      <c r="Z5" s="63" t="s">
        <v>112</v>
      </c>
      <c r="AA5" s="63" t="s">
        <v>113</v>
      </c>
      <c r="AB5" s="63" t="s">
        <v>114</v>
      </c>
      <c r="AC5" s="63" t="s">
        <v>115</v>
      </c>
      <c r="AD5" s="63" t="s">
        <v>116</v>
      </c>
      <c r="AE5" s="63" t="s">
        <v>117</v>
      </c>
      <c r="AF5" s="63" t="s">
        <v>118</v>
      </c>
      <c r="AG5" s="63" t="s">
        <v>119</v>
      </c>
      <c r="AH5" s="63" t="s">
        <v>120</v>
      </c>
      <c r="AI5" s="63" t="s">
        <v>121</v>
      </c>
      <c r="AJ5" s="63" t="s">
        <v>122</v>
      </c>
      <c r="AK5" s="63" t="s">
        <v>123</v>
      </c>
    </row>
    <row r="6">
      <c r="B6" s="64" t="s">
        <v>124</v>
      </c>
      <c r="C6" s="64" t="s">
        <v>125</v>
      </c>
      <c r="D6" s="65" t="s">
        <v>126</v>
      </c>
      <c r="E6" s="20"/>
      <c r="F6" s="20"/>
      <c r="G6" s="20"/>
      <c r="H6" s="20"/>
      <c r="I6" s="21"/>
      <c r="J6" s="66"/>
      <c r="K6" s="67">
        <f t="shared" ref="K6:K46" si="1">(L6*4)+(M6*9)+(R6*4)</f>
        <v>139.1</v>
      </c>
      <c r="L6" s="68">
        <v>6.7</v>
      </c>
      <c r="M6" s="68">
        <v>6.7</v>
      </c>
      <c r="N6" s="69">
        <v>4.4</v>
      </c>
      <c r="O6" s="69">
        <v>1.95</v>
      </c>
      <c r="P6" s="69">
        <v>0.49</v>
      </c>
      <c r="Q6" s="67">
        <v>26.0</v>
      </c>
      <c r="R6" s="68">
        <v>13.0</v>
      </c>
      <c r="S6" s="68">
        <v>0.0</v>
      </c>
      <c r="T6" s="67">
        <v>236.0</v>
      </c>
      <c r="U6" s="67">
        <v>173.0</v>
      </c>
      <c r="V6" s="68">
        <v>0.2</v>
      </c>
      <c r="W6" s="67">
        <v>96.0</v>
      </c>
      <c r="X6" s="67">
        <v>330.0</v>
      </c>
      <c r="Y6" s="67">
        <v>25.0</v>
      </c>
      <c r="Z6" s="69">
        <v>0.89</v>
      </c>
      <c r="AA6" s="69">
        <v>0.03</v>
      </c>
      <c r="AB6" s="69">
        <v>0.01</v>
      </c>
      <c r="AC6" s="67">
        <v>73.0</v>
      </c>
      <c r="AD6" s="69">
        <v>0.08</v>
      </c>
      <c r="AE6" s="69">
        <v>0.34</v>
      </c>
      <c r="AF6" s="68">
        <v>0.3</v>
      </c>
      <c r="AG6" s="69">
        <v>0.67</v>
      </c>
      <c r="AH6" s="69">
        <v>0.08</v>
      </c>
      <c r="AI6" s="67">
        <v>10.0</v>
      </c>
      <c r="AJ6" s="69">
        <v>0.65</v>
      </c>
      <c r="AK6" s="67">
        <v>3.0</v>
      </c>
    </row>
    <row r="7">
      <c r="B7" s="64" t="s">
        <v>124</v>
      </c>
      <c r="C7" s="64" t="s">
        <v>125</v>
      </c>
      <c r="D7" s="65" t="s">
        <v>127</v>
      </c>
      <c r="E7" s="20"/>
      <c r="F7" s="20"/>
      <c r="G7" s="20"/>
      <c r="H7" s="20"/>
      <c r="I7" s="21"/>
      <c r="J7" s="66"/>
      <c r="K7" s="67">
        <f t="shared" si="1"/>
        <v>94.5</v>
      </c>
      <c r="L7" s="68">
        <v>5.4</v>
      </c>
      <c r="M7" s="68">
        <v>2.1</v>
      </c>
      <c r="N7" s="69">
        <v>0.87</v>
      </c>
      <c r="O7" s="69">
        <v>0.54</v>
      </c>
      <c r="P7" s="69">
        <v>0.35</v>
      </c>
      <c r="Q7" s="67">
        <v>5.0</v>
      </c>
      <c r="R7" s="68">
        <v>13.5</v>
      </c>
      <c r="S7" s="68">
        <v>0.8</v>
      </c>
      <c r="T7" s="67">
        <v>153.0</v>
      </c>
      <c r="U7" s="67">
        <v>143.0</v>
      </c>
      <c r="V7" s="68">
        <v>0.4</v>
      </c>
      <c r="W7" s="67">
        <v>72.0</v>
      </c>
      <c r="X7" s="67">
        <v>268.0</v>
      </c>
      <c r="Y7" s="67">
        <v>25.0</v>
      </c>
      <c r="Z7" s="69">
        <v>1.24</v>
      </c>
      <c r="AA7" s="69">
        <v>0.06</v>
      </c>
      <c r="AB7" s="69">
        <v>0.11</v>
      </c>
      <c r="AC7" s="67">
        <v>76.0</v>
      </c>
      <c r="AD7" s="69">
        <v>0.12</v>
      </c>
      <c r="AE7" s="69">
        <v>0.25</v>
      </c>
      <c r="AF7" s="68">
        <v>0.2</v>
      </c>
      <c r="AG7" s="69">
        <v>0.41</v>
      </c>
      <c r="AH7" s="69">
        <v>0.06</v>
      </c>
      <c r="AI7" s="67">
        <v>8.0</v>
      </c>
      <c r="AJ7" s="69">
        <v>0.5</v>
      </c>
      <c r="AK7" s="67">
        <v>4.0</v>
      </c>
    </row>
    <row r="8">
      <c r="B8" s="64" t="s">
        <v>124</v>
      </c>
      <c r="C8" s="64" t="s">
        <v>125</v>
      </c>
      <c r="D8" s="65" t="s">
        <v>128</v>
      </c>
      <c r="E8" s="20"/>
      <c r="F8" s="20"/>
      <c r="G8" s="20"/>
      <c r="H8" s="20"/>
      <c r="I8" s="21"/>
      <c r="J8" s="66"/>
      <c r="K8" s="67">
        <f t="shared" si="1"/>
        <v>82.3</v>
      </c>
      <c r="L8" s="68">
        <v>9.0</v>
      </c>
      <c r="M8" s="68">
        <v>0.7</v>
      </c>
      <c r="N8" s="69">
        <v>0.45</v>
      </c>
      <c r="O8" s="69">
        <v>0.18</v>
      </c>
      <c r="P8" s="69">
        <v>0.03</v>
      </c>
      <c r="Q8" s="67">
        <v>6.0</v>
      </c>
      <c r="R8" s="68">
        <v>10.0</v>
      </c>
      <c r="S8" s="68">
        <v>0.0</v>
      </c>
      <c r="T8" s="67">
        <v>256.0</v>
      </c>
      <c r="U8" s="67">
        <v>214.0</v>
      </c>
      <c r="V8" s="68">
        <v>0.1</v>
      </c>
      <c r="W8" s="67">
        <v>101.0</v>
      </c>
      <c r="X8" s="67">
        <v>340.0</v>
      </c>
      <c r="Y8" s="67">
        <v>24.0</v>
      </c>
      <c r="Z8" s="69">
        <v>1.05</v>
      </c>
      <c r="AA8" s="69">
        <v>0.02</v>
      </c>
      <c r="AB8" s="69">
        <v>0.01</v>
      </c>
      <c r="AC8" s="67">
        <v>89.0</v>
      </c>
      <c r="AD8" s="69">
        <v>0.08</v>
      </c>
      <c r="AE8" s="69">
        <v>0.33</v>
      </c>
      <c r="AF8" s="68">
        <v>0.2</v>
      </c>
      <c r="AG8" s="69">
        <v>0.79</v>
      </c>
      <c r="AH8" s="69">
        <v>0.08</v>
      </c>
      <c r="AI8" s="67">
        <v>14.0</v>
      </c>
      <c r="AJ8" s="69">
        <v>0.84</v>
      </c>
      <c r="AK8" s="67">
        <v>2.0</v>
      </c>
    </row>
    <row r="9">
      <c r="B9" s="64" t="s">
        <v>124</v>
      </c>
      <c r="C9" s="64" t="s">
        <v>125</v>
      </c>
      <c r="D9" s="65" t="s">
        <v>129</v>
      </c>
      <c r="E9" s="20"/>
      <c r="F9" s="20"/>
      <c r="G9" s="20"/>
      <c r="H9" s="20"/>
      <c r="I9" s="21"/>
      <c r="J9" s="66"/>
      <c r="K9" s="67">
        <f t="shared" si="1"/>
        <v>170.7</v>
      </c>
      <c r="L9" s="68">
        <v>6.4</v>
      </c>
      <c r="M9" s="68">
        <v>5.9</v>
      </c>
      <c r="N9" s="69">
        <v>3.8</v>
      </c>
      <c r="O9" s="69">
        <v>1.91</v>
      </c>
      <c r="P9" s="69">
        <v>0.63</v>
      </c>
      <c r="Q9" s="67">
        <v>22.0</v>
      </c>
      <c r="R9" s="68">
        <v>23.0</v>
      </c>
      <c r="S9" s="68">
        <v>0.4</v>
      </c>
      <c r="T9" s="67">
        <v>258.0</v>
      </c>
      <c r="U9" s="67">
        <v>169.0</v>
      </c>
      <c r="V9" s="68">
        <v>0.3</v>
      </c>
      <c r="W9" s="67">
        <v>115.0</v>
      </c>
      <c r="X9" s="67">
        <v>334.0</v>
      </c>
      <c r="Y9" s="67">
        <v>27.0</v>
      </c>
      <c r="Z9" s="69">
        <v>1.03</v>
      </c>
      <c r="AA9" s="69">
        <v>0.05</v>
      </c>
      <c r="AB9" s="69">
        <v>0.04</v>
      </c>
      <c r="AC9" s="67">
        <v>45.0</v>
      </c>
      <c r="AD9" s="69">
        <v>0.08</v>
      </c>
      <c r="AE9" s="69">
        <v>0.37</v>
      </c>
      <c r="AF9" s="68">
        <v>0.2</v>
      </c>
      <c r="AG9" s="69">
        <v>0.73</v>
      </c>
      <c r="AH9" s="69">
        <v>0.08</v>
      </c>
      <c r="AI9" s="67">
        <v>13.0</v>
      </c>
      <c r="AJ9" s="69">
        <v>0.76</v>
      </c>
      <c r="AK9" s="67">
        <v>3.0</v>
      </c>
    </row>
    <row r="10">
      <c r="B10" s="64" t="s">
        <v>130</v>
      </c>
      <c r="C10" s="64" t="s">
        <v>131</v>
      </c>
      <c r="D10" s="65" t="s">
        <v>132</v>
      </c>
      <c r="E10" s="20"/>
      <c r="F10" s="20"/>
      <c r="G10" s="20"/>
      <c r="H10" s="20"/>
      <c r="I10" s="21"/>
      <c r="J10" s="66"/>
      <c r="K10" s="67">
        <f t="shared" si="1"/>
        <v>50.7</v>
      </c>
      <c r="L10" s="68">
        <v>2.9</v>
      </c>
      <c r="M10" s="68">
        <v>3.1</v>
      </c>
      <c r="N10" s="69">
        <v>2.01</v>
      </c>
      <c r="O10" s="69">
        <v>0.96</v>
      </c>
      <c r="P10" s="69">
        <v>0.18</v>
      </c>
      <c r="Q10" s="67">
        <v>12.0</v>
      </c>
      <c r="R10" s="68">
        <v>2.8</v>
      </c>
      <c r="S10" s="68">
        <v>0.0</v>
      </c>
      <c r="T10" s="67">
        <v>93.0</v>
      </c>
      <c r="U10" s="67">
        <v>62.0</v>
      </c>
      <c r="V10" s="68">
        <v>0.1</v>
      </c>
      <c r="W10" s="67">
        <v>57.0</v>
      </c>
      <c r="X10" s="67">
        <v>57.0</v>
      </c>
      <c r="Y10" s="67">
        <v>6.0</v>
      </c>
      <c r="Z10" s="69">
        <v>0.38</v>
      </c>
      <c r="AA10" s="69">
        <v>0.01</v>
      </c>
      <c r="AB10" s="69">
        <v>0.0</v>
      </c>
      <c r="AC10" s="67">
        <v>36.0</v>
      </c>
      <c r="AD10" s="69">
        <v>0.01</v>
      </c>
      <c r="AE10" s="69">
        <v>0.08</v>
      </c>
      <c r="AF10" s="68">
        <v>0.1</v>
      </c>
      <c r="AG10" s="69">
        <v>0.12</v>
      </c>
      <c r="AH10" s="69">
        <v>0.02</v>
      </c>
      <c r="AI10" s="67">
        <v>2.0</v>
      </c>
      <c r="AJ10" s="69">
        <v>0.2</v>
      </c>
      <c r="AK10" s="67">
        <v>0.0</v>
      </c>
    </row>
    <row r="11">
      <c r="B11" s="64" t="s">
        <v>133</v>
      </c>
      <c r="C11" s="64" t="s">
        <v>134</v>
      </c>
      <c r="D11" s="70" t="s">
        <v>135</v>
      </c>
      <c r="E11" s="20"/>
      <c r="F11" s="20"/>
      <c r="G11" s="20"/>
      <c r="H11" s="20"/>
      <c r="I11" s="21"/>
      <c r="J11" s="66"/>
      <c r="K11" s="67">
        <f t="shared" si="1"/>
        <v>71.2</v>
      </c>
      <c r="L11" s="68">
        <v>1.0</v>
      </c>
      <c r="M11" s="68">
        <v>4.4</v>
      </c>
      <c r="N11" s="69">
        <v>2.01</v>
      </c>
      <c r="O11" s="69">
        <v>1.66</v>
      </c>
      <c r="P11" s="69">
        <v>0.5</v>
      </c>
      <c r="Q11" s="67">
        <v>14.0</v>
      </c>
      <c r="R11" s="68">
        <v>6.9</v>
      </c>
      <c r="S11" s="68">
        <v>0.0</v>
      </c>
      <c r="T11" s="67">
        <v>32.0</v>
      </c>
      <c r="U11" s="67">
        <v>14.0</v>
      </c>
      <c r="V11" s="68">
        <v>0.0</v>
      </c>
      <c r="W11" s="67">
        <v>17.0</v>
      </c>
      <c r="X11" s="67">
        <v>51.0</v>
      </c>
      <c r="Y11" s="67">
        <v>3.0</v>
      </c>
      <c r="Z11" s="69">
        <v>0.17</v>
      </c>
      <c r="AA11" s="69">
        <v>0.05</v>
      </c>
      <c r="AB11" s="69">
        <v>0.03</v>
      </c>
      <c r="AC11" s="67">
        <v>64.0</v>
      </c>
      <c r="AD11" s="69">
        <v>0.01</v>
      </c>
      <c r="AE11" s="69">
        <v>0.04</v>
      </c>
      <c r="AF11" s="68">
        <v>0.2</v>
      </c>
      <c r="AG11" s="69">
        <v>0.22</v>
      </c>
      <c r="AH11" s="69">
        <v>0.01</v>
      </c>
      <c r="AI11" s="67">
        <v>5.0</v>
      </c>
      <c r="AJ11" s="69">
        <v>0.05</v>
      </c>
      <c r="AK11" s="67">
        <v>5.0</v>
      </c>
    </row>
    <row r="12">
      <c r="B12" s="64" t="s">
        <v>136</v>
      </c>
      <c r="C12" s="64" t="s">
        <v>137</v>
      </c>
      <c r="D12" s="71" t="s">
        <v>138</v>
      </c>
      <c r="E12" s="20"/>
      <c r="F12" s="20"/>
      <c r="G12" s="20"/>
      <c r="H12" s="20"/>
      <c r="I12" s="21"/>
      <c r="J12" s="66"/>
      <c r="K12" s="67">
        <f t="shared" si="1"/>
        <v>77.1</v>
      </c>
      <c r="L12" s="68">
        <v>5.8</v>
      </c>
      <c r="M12" s="68">
        <v>5.5</v>
      </c>
      <c r="N12" s="69">
        <v>2.91</v>
      </c>
      <c r="O12" s="69">
        <v>1.94</v>
      </c>
      <c r="P12" s="69">
        <v>0.41</v>
      </c>
      <c r="Q12" s="67">
        <v>40.0</v>
      </c>
      <c r="R12" s="68">
        <v>1.1</v>
      </c>
      <c r="S12" s="68">
        <v>0.0</v>
      </c>
      <c r="T12" s="67">
        <v>95.0</v>
      </c>
      <c r="U12" s="67">
        <v>85.0</v>
      </c>
      <c r="V12" s="68">
        <v>1.1</v>
      </c>
      <c r="W12" s="67">
        <v>211.0</v>
      </c>
      <c r="X12" s="67">
        <v>52.0</v>
      </c>
      <c r="Y12" s="67">
        <v>6.0</v>
      </c>
      <c r="Z12" s="69">
        <v>0.65</v>
      </c>
      <c r="AA12" s="69">
        <v>0.03</v>
      </c>
      <c r="AB12" s="69">
        <v>0.01</v>
      </c>
      <c r="AC12" s="67">
        <v>45.0</v>
      </c>
      <c r="AD12" s="69">
        <v>0.04</v>
      </c>
      <c r="AE12" s="69">
        <v>0.1</v>
      </c>
      <c r="AF12" s="68">
        <v>0.4</v>
      </c>
      <c r="AG12" s="69">
        <v>0.16</v>
      </c>
      <c r="AH12" s="69">
        <v>0.05</v>
      </c>
      <c r="AI12" s="67">
        <v>4.0</v>
      </c>
      <c r="AJ12" s="69">
        <v>0.72</v>
      </c>
      <c r="AK12" s="67">
        <v>0.0</v>
      </c>
    </row>
    <row r="13">
      <c r="B13" s="64" t="s">
        <v>136</v>
      </c>
      <c r="C13" s="64" t="s">
        <v>139</v>
      </c>
      <c r="D13" s="71" t="s">
        <v>140</v>
      </c>
      <c r="E13" s="20"/>
      <c r="F13" s="20"/>
      <c r="G13" s="20"/>
      <c r="H13" s="20"/>
      <c r="I13" s="21"/>
      <c r="J13" s="66"/>
      <c r="K13" s="67">
        <f t="shared" si="1"/>
        <v>52.9</v>
      </c>
      <c r="L13" s="68">
        <v>4.5</v>
      </c>
      <c r="M13" s="68">
        <v>3.7</v>
      </c>
      <c r="N13" s="69">
        <v>1.15</v>
      </c>
      <c r="O13" s="69">
        <v>1.42</v>
      </c>
      <c r="P13" s="69">
        <v>0.49</v>
      </c>
      <c r="Q13" s="67">
        <v>180.0</v>
      </c>
      <c r="R13" s="68">
        <v>0.4</v>
      </c>
      <c r="S13" s="68">
        <v>0.0</v>
      </c>
      <c r="T13" s="67">
        <v>19.0</v>
      </c>
      <c r="U13" s="67">
        <v>64.0</v>
      </c>
      <c r="V13" s="68">
        <v>0.6</v>
      </c>
      <c r="W13" s="67">
        <v>46.0</v>
      </c>
      <c r="X13" s="67">
        <v>46.0</v>
      </c>
      <c r="Y13" s="67">
        <v>4.0</v>
      </c>
      <c r="Z13" s="69">
        <v>0.4</v>
      </c>
      <c r="AA13" s="69">
        <v>0.01</v>
      </c>
      <c r="AB13" s="69">
        <v>0.01</v>
      </c>
      <c r="AC13" s="67">
        <v>57.0</v>
      </c>
      <c r="AD13" s="69">
        <v>0.03</v>
      </c>
      <c r="AE13" s="69">
        <v>0.2</v>
      </c>
      <c r="AF13" s="68">
        <v>0.0</v>
      </c>
      <c r="AG13" s="69">
        <v>0.51</v>
      </c>
      <c r="AH13" s="69">
        <v>0.05</v>
      </c>
      <c r="AI13" s="67">
        <v>18.0</v>
      </c>
      <c r="AJ13" s="69">
        <v>0.43</v>
      </c>
      <c r="AK13" s="67">
        <v>0.0</v>
      </c>
    </row>
    <row r="14">
      <c r="B14" s="64" t="s">
        <v>141</v>
      </c>
      <c r="C14" s="64" t="s">
        <v>142</v>
      </c>
      <c r="D14" s="65" t="s">
        <v>143</v>
      </c>
      <c r="E14" s="20"/>
      <c r="F14" s="20"/>
      <c r="G14" s="20"/>
      <c r="H14" s="20"/>
      <c r="I14" s="21"/>
      <c r="J14" s="66"/>
      <c r="K14" s="67">
        <f t="shared" si="1"/>
        <v>108.3</v>
      </c>
      <c r="L14" s="68">
        <v>19.1</v>
      </c>
      <c r="M14" s="68">
        <v>3.1</v>
      </c>
      <c r="N14" s="69">
        <v>0.92</v>
      </c>
      <c r="O14" s="69">
        <v>1.16</v>
      </c>
      <c r="P14" s="69">
        <v>0.53</v>
      </c>
      <c r="Q14" s="67">
        <v>50.0</v>
      </c>
      <c r="R14" s="68">
        <v>1.0</v>
      </c>
      <c r="S14" s="68">
        <v>0.3</v>
      </c>
      <c r="T14" s="67">
        <v>22.0</v>
      </c>
      <c r="U14" s="67">
        <v>191.0</v>
      </c>
      <c r="V14" s="68">
        <v>1.5</v>
      </c>
      <c r="W14" s="67">
        <v>72.0</v>
      </c>
      <c r="X14" s="67">
        <v>325.0</v>
      </c>
      <c r="Y14" s="67">
        <v>28.0</v>
      </c>
      <c r="Z14" s="69">
        <v>1.81</v>
      </c>
      <c r="AA14" s="69">
        <v>0.11</v>
      </c>
      <c r="AB14" s="69">
        <v>0.12</v>
      </c>
      <c r="AC14" s="67">
        <v>7.0</v>
      </c>
      <c r="AD14" s="69">
        <v>0.19</v>
      </c>
      <c r="AE14" s="69">
        <v>0.18</v>
      </c>
      <c r="AF14" s="68">
        <v>5.6</v>
      </c>
      <c r="AG14" s="69">
        <v>0.78</v>
      </c>
      <c r="AH14" s="69">
        <v>0.35</v>
      </c>
      <c r="AI14" s="67">
        <v>15.0</v>
      </c>
      <c r="AJ14" s="69">
        <v>2.39</v>
      </c>
      <c r="AK14" s="67">
        <v>1.0</v>
      </c>
    </row>
    <row r="15">
      <c r="B15" s="64" t="s">
        <v>144</v>
      </c>
      <c r="C15" s="64" t="s">
        <v>145</v>
      </c>
      <c r="D15" s="65" t="s">
        <v>146</v>
      </c>
      <c r="E15" s="20"/>
      <c r="F15" s="20"/>
      <c r="G15" s="20"/>
      <c r="H15" s="20"/>
      <c r="I15" s="21"/>
      <c r="J15" s="66"/>
      <c r="K15" s="67">
        <f t="shared" si="1"/>
        <v>49.2</v>
      </c>
      <c r="L15" s="68">
        <v>7.8</v>
      </c>
      <c r="M15" s="68">
        <v>2.0</v>
      </c>
      <c r="N15" s="69">
        <v>0.52</v>
      </c>
      <c r="O15" s="69">
        <v>0.84</v>
      </c>
      <c r="P15" s="69">
        <v>0.35</v>
      </c>
      <c r="Q15" s="67">
        <v>21.0</v>
      </c>
      <c r="R15" s="68">
        <v>0.0</v>
      </c>
      <c r="S15" s="68">
        <v>0.0</v>
      </c>
      <c r="T15" s="67">
        <v>7.0</v>
      </c>
      <c r="U15" s="67">
        <v>74.0</v>
      </c>
      <c r="V15" s="68">
        <v>0.4</v>
      </c>
      <c r="W15" s="67">
        <v>19.0</v>
      </c>
      <c r="X15" s="67">
        <v>108.0</v>
      </c>
      <c r="Y15" s="67">
        <v>8.0</v>
      </c>
      <c r="Z15" s="69">
        <v>0.55</v>
      </c>
      <c r="AA15" s="69">
        <v>0.04</v>
      </c>
      <c r="AB15" s="69">
        <v>0.09</v>
      </c>
      <c r="AC15" s="67">
        <v>5.0</v>
      </c>
      <c r="AD15" s="69">
        <v>0.1</v>
      </c>
      <c r="AE15" s="69">
        <v>0.07</v>
      </c>
      <c r="AF15" s="68">
        <v>1.9</v>
      </c>
      <c r="AG15" s="69">
        <v>0.33</v>
      </c>
      <c r="AH15" s="69">
        <v>0.09</v>
      </c>
      <c r="AI15" s="67">
        <v>2.0</v>
      </c>
      <c r="AJ15" s="69">
        <v>1.0</v>
      </c>
      <c r="AK15" s="67">
        <v>0.0</v>
      </c>
    </row>
    <row r="16">
      <c r="B16" s="64" t="s">
        <v>147</v>
      </c>
      <c r="C16" s="64" t="s">
        <v>148</v>
      </c>
      <c r="D16" s="65" t="s">
        <v>149</v>
      </c>
      <c r="E16" s="20"/>
      <c r="F16" s="20"/>
      <c r="G16" s="20"/>
      <c r="H16" s="20"/>
      <c r="I16" s="21"/>
      <c r="J16" s="66"/>
      <c r="K16" s="67">
        <f t="shared" si="1"/>
        <v>138.7</v>
      </c>
      <c r="L16" s="68">
        <v>15.6</v>
      </c>
      <c r="M16" s="68">
        <v>7.9</v>
      </c>
      <c r="N16" s="69">
        <v>2.51</v>
      </c>
      <c r="O16" s="69">
        <v>3.3</v>
      </c>
      <c r="P16" s="69">
        <v>1.25</v>
      </c>
      <c r="Q16" s="67">
        <v>137.0</v>
      </c>
      <c r="R16" s="68">
        <v>1.3</v>
      </c>
      <c r="S16" s="68">
        <v>0.0</v>
      </c>
      <c r="T16" s="67">
        <v>37.0</v>
      </c>
      <c r="U16" s="67">
        <v>186.0</v>
      </c>
      <c r="V16" s="68">
        <v>2.5</v>
      </c>
      <c r="W16" s="67">
        <v>101.0</v>
      </c>
      <c r="X16" s="67">
        <v>234.0</v>
      </c>
      <c r="Y16" s="67">
        <v>20.0</v>
      </c>
      <c r="Z16" s="69">
        <v>1.87</v>
      </c>
      <c r="AA16" s="69">
        <v>0.47</v>
      </c>
      <c r="AB16" s="69">
        <v>0.09</v>
      </c>
      <c r="AC16" s="67">
        <v>1515.0</v>
      </c>
      <c r="AD16" s="69">
        <v>0.07</v>
      </c>
      <c r="AE16" s="69">
        <v>0.53</v>
      </c>
      <c r="AF16" s="68">
        <v>4.4</v>
      </c>
      <c r="AG16" s="69">
        <v>1.67</v>
      </c>
      <c r="AH16" s="69">
        <v>0.27</v>
      </c>
      <c r="AI16" s="67">
        <v>87.0</v>
      </c>
      <c r="AJ16" s="69">
        <v>10.58</v>
      </c>
      <c r="AK16" s="67">
        <v>6.0</v>
      </c>
    </row>
    <row r="17">
      <c r="B17" s="64" t="s">
        <v>144</v>
      </c>
      <c r="C17" s="64" t="s">
        <v>145</v>
      </c>
      <c r="D17" s="65" t="s">
        <v>150</v>
      </c>
      <c r="E17" s="20"/>
      <c r="F17" s="20"/>
      <c r="G17" s="20"/>
      <c r="H17" s="20"/>
      <c r="I17" s="21"/>
      <c r="J17" s="66"/>
      <c r="K17" s="67">
        <f t="shared" si="1"/>
        <v>46.8</v>
      </c>
      <c r="L17" s="68">
        <v>6.9</v>
      </c>
      <c r="M17" s="68">
        <v>2.0</v>
      </c>
      <c r="N17" s="69">
        <v>0.78</v>
      </c>
      <c r="O17" s="69">
        <v>0.86</v>
      </c>
      <c r="P17" s="69">
        <v>0.31</v>
      </c>
      <c r="Q17" s="67">
        <v>79.0</v>
      </c>
      <c r="R17" s="68">
        <v>0.3</v>
      </c>
      <c r="S17" s="68">
        <v>0.0</v>
      </c>
      <c r="T17" s="67">
        <v>3.0</v>
      </c>
      <c r="U17" s="67">
        <v>57.0</v>
      </c>
      <c r="V17" s="68">
        <v>3.0</v>
      </c>
      <c r="W17" s="67">
        <v>62.0</v>
      </c>
      <c r="X17" s="67">
        <v>55.0</v>
      </c>
      <c r="Y17" s="67">
        <v>6.0</v>
      </c>
      <c r="Z17" s="69">
        <v>1.21</v>
      </c>
      <c r="AA17" s="69">
        <v>0.25</v>
      </c>
      <c r="AB17" s="69">
        <v>0.04</v>
      </c>
      <c r="AC17" s="67">
        <v>620.0</v>
      </c>
      <c r="AD17" s="69">
        <v>0.02</v>
      </c>
      <c r="AE17" s="69">
        <v>0.29</v>
      </c>
      <c r="AF17" s="68">
        <v>1.1</v>
      </c>
      <c r="AG17" s="69">
        <v>0.55</v>
      </c>
      <c r="AH17" s="69">
        <v>0.09</v>
      </c>
      <c r="AI17" s="67">
        <v>39.0</v>
      </c>
      <c r="AJ17" s="69">
        <v>4.29</v>
      </c>
      <c r="AK17" s="67">
        <v>2.0</v>
      </c>
    </row>
    <row r="18">
      <c r="B18" s="64" t="s">
        <v>151</v>
      </c>
      <c r="C18" s="64" t="s">
        <v>152</v>
      </c>
      <c r="D18" s="71" t="s">
        <v>153</v>
      </c>
      <c r="E18" s="20"/>
      <c r="F18" s="20"/>
      <c r="G18" s="20"/>
      <c r="H18" s="20"/>
      <c r="I18" s="21"/>
      <c r="J18" s="66"/>
      <c r="K18" s="67">
        <f t="shared" si="1"/>
        <v>158.1</v>
      </c>
      <c r="L18" s="68">
        <v>9.8</v>
      </c>
      <c r="M18" s="68">
        <v>1.7</v>
      </c>
      <c r="N18" s="69">
        <v>0.25</v>
      </c>
      <c r="O18" s="69">
        <v>0.32</v>
      </c>
      <c r="P18" s="69">
        <v>0.94</v>
      </c>
      <c r="Q18" s="67">
        <v>0.0</v>
      </c>
      <c r="R18" s="68">
        <v>25.9</v>
      </c>
      <c r="S18" s="68">
        <v>7.9</v>
      </c>
      <c r="T18" s="67">
        <v>50.0</v>
      </c>
      <c r="U18" s="67">
        <v>167.0</v>
      </c>
      <c r="V18" s="68">
        <v>3.1</v>
      </c>
      <c r="W18" s="67">
        <v>10.0</v>
      </c>
      <c r="X18" s="67">
        <v>534.0</v>
      </c>
      <c r="Y18" s="67">
        <v>62.0</v>
      </c>
      <c r="Z18" s="69">
        <v>1.22</v>
      </c>
      <c r="AA18" s="69">
        <v>0.28</v>
      </c>
      <c r="AB18" s="69">
        <v>0.6</v>
      </c>
      <c r="AC18" s="67">
        <v>10.0</v>
      </c>
      <c r="AD18" s="69">
        <v>0.2</v>
      </c>
      <c r="AE18" s="69">
        <v>0.09</v>
      </c>
      <c r="AF18" s="68">
        <v>0.9</v>
      </c>
      <c r="AG18" s="69">
        <v>0.42</v>
      </c>
      <c r="AH18" s="69">
        <v>0.16</v>
      </c>
      <c r="AI18" s="67">
        <v>142.0</v>
      </c>
      <c r="AJ18" s="69">
        <v>0.0</v>
      </c>
      <c r="AK18" s="67">
        <v>4.0</v>
      </c>
    </row>
    <row r="19">
      <c r="B19" s="64" t="s">
        <v>130</v>
      </c>
      <c r="C19" s="64" t="s">
        <v>154</v>
      </c>
      <c r="D19" s="71" t="s">
        <v>155</v>
      </c>
      <c r="E19" s="20"/>
      <c r="F19" s="20"/>
      <c r="G19" s="20"/>
      <c r="H19" s="20"/>
      <c r="I19" s="21"/>
      <c r="J19" s="66"/>
      <c r="K19" s="67">
        <f t="shared" si="1"/>
        <v>84.96</v>
      </c>
      <c r="L19" s="68">
        <v>5.2</v>
      </c>
      <c r="M19" s="68">
        <v>1.04</v>
      </c>
      <c r="N19" s="69">
        <v>0.14</v>
      </c>
      <c r="O19" s="69">
        <v>0.18</v>
      </c>
      <c r="P19" s="69">
        <v>0.53</v>
      </c>
      <c r="Q19" s="67">
        <v>0.0</v>
      </c>
      <c r="R19" s="68">
        <v>13.7</v>
      </c>
      <c r="S19" s="68">
        <v>4.0</v>
      </c>
      <c r="T19" s="67">
        <v>29.0</v>
      </c>
      <c r="U19" s="67">
        <v>92.0</v>
      </c>
      <c r="V19" s="68">
        <v>1.7</v>
      </c>
      <c r="W19" s="67">
        <v>6.0</v>
      </c>
      <c r="X19" s="67">
        <v>290.0</v>
      </c>
      <c r="Y19" s="67">
        <v>34.0</v>
      </c>
      <c r="Z19" s="69">
        <v>0.65</v>
      </c>
      <c r="AA19" s="69">
        <v>0.15</v>
      </c>
      <c r="AB19" s="69">
        <v>0.32</v>
      </c>
      <c r="AC19" s="67">
        <v>6.0</v>
      </c>
      <c r="AD19" s="69">
        <v>0.1</v>
      </c>
      <c r="AE19" s="69">
        <v>0.05</v>
      </c>
      <c r="AF19" s="68">
        <v>0.4</v>
      </c>
      <c r="AG19" s="69">
        <v>0.2</v>
      </c>
      <c r="AH19" s="69">
        <v>0.09</v>
      </c>
      <c r="AI19" s="67">
        <v>79.0</v>
      </c>
      <c r="AJ19" s="69">
        <v>0.0</v>
      </c>
      <c r="AK19" s="67">
        <v>2.0</v>
      </c>
    </row>
    <row r="20">
      <c r="B20" s="64" t="s">
        <v>136</v>
      </c>
      <c r="C20" s="64" t="s">
        <v>145</v>
      </c>
      <c r="D20" s="71" t="s">
        <v>156</v>
      </c>
      <c r="E20" s="20"/>
      <c r="F20" s="20"/>
      <c r="G20" s="20"/>
      <c r="H20" s="20"/>
      <c r="I20" s="21"/>
      <c r="J20" s="66"/>
      <c r="K20" s="67">
        <f t="shared" si="1"/>
        <v>41.5</v>
      </c>
      <c r="L20" s="68">
        <v>2.7</v>
      </c>
      <c r="M20" s="68">
        <v>0.3</v>
      </c>
      <c r="N20" s="69">
        <v>0.03</v>
      </c>
      <c r="O20" s="69">
        <v>0.05</v>
      </c>
      <c r="P20" s="69">
        <v>0.14</v>
      </c>
      <c r="Q20" s="67">
        <v>0.0</v>
      </c>
      <c r="R20" s="68">
        <v>7.0</v>
      </c>
      <c r="S20" s="68">
        <v>2.2</v>
      </c>
      <c r="T20" s="67">
        <v>9.0</v>
      </c>
      <c r="U20" s="67">
        <v>48.0</v>
      </c>
      <c r="V20" s="68">
        <v>0.9</v>
      </c>
      <c r="W20" s="67">
        <v>1.0</v>
      </c>
      <c r="X20" s="67">
        <v>113.0</v>
      </c>
      <c r="Y20" s="67">
        <v>13.0</v>
      </c>
      <c r="Z20" s="69">
        <v>0.37</v>
      </c>
      <c r="AA20" s="69">
        <v>0.08</v>
      </c>
      <c r="AB20" s="69">
        <v>0.18</v>
      </c>
      <c r="AC20" s="67">
        <v>0.0</v>
      </c>
      <c r="AD20" s="69">
        <v>0.05</v>
      </c>
      <c r="AE20" s="69">
        <v>0.02</v>
      </c>
      <c r="AF20" s="68">
        <v>0.2</v>
      </c>
      <c r="AG20" s="69">
        <v>0.11</v>
      </c>
      <c r="AH20" s="69">
        <v>0.04</v>
      </c>
      <c r="AI20" s="67">
        <v>47.0</v>
      </c>
      <c r="AJ20" s="69">
        <v>0.0</v>
      </c>
      <c r="AK20" s="67">
        <v>0.0</v>
      </c>
    </row>
    <row r="21" ht="15.75" customHeight="1">
      <c r="B21" s="64" t="s">
        <v>157</v>
      </c>
      <c r="C21" s="64" t="s">
        <v>158</v>
      </c>
      <c r="D21" s="65" t="s">
        <v>159</v>
      </c>
      <c r="E21" s="20"/>
      <c r="F21" s="20"/>
      <c r="G21" s="20"/>
      <c r="H21" s="20"/>
      <c r="I21" s="21"/>
      <c r="J21" s="66"/>
      <c r="K21" s="67">
        <f t="shared" si="1"/>
        <v>93.8</v>
      </c>
      <c r="L21" s="68">
        <v>2.5</v>
      </c>
      <c r="M21" s="68">
        <v>1.0</v>
      </c>
      <c r="N21" s="69">
        <v>0.24</v>
      </c>
      <c r="O21" s="69">
        <v>0.32</v>
      </c>
      <c r="P21" s="69">
        <v>0.33</v>
      </c>
      <c r="Q21" s="67">
        <v>1.0</v>
      </c>
      <c r="R21" s="68">
        <v>18.7</v>
      </c>
      <c r="S21" s="68">
        <v>1.2</v>
      </c>
      <c r="T21" s="67">
        <v>19.0</v>
      </c>
      <c r="U21" s="67">
        <v>47.0</v>
      </c>
      <c r="V21" s="68">
        <v>0.9</v>
      </c>
      <c r="W21" s="67">
        <v>82.0</v>
      </c>
      <c r="X21" s="67">
        <v>53.0</v>
      </c>
      <c r="Y21" s="67">
        <v>13.0</v>
      </c>
      <c r="Z21" s="69">
        <v>0.42</v>
      </c>
      <c r="AA21" s="69">
        <v>0.05</v>
      </c>
      <c r="AB21" s="69">
        <v>0.24</v>
      </c>
      <c r="AC21" s="67">
        <v>22.0</v>
      </c>
      <c r="AD21" s="69">
        <v>0.11</v>
      </c>
      <c r="AE21" s="69">
        <v>0.09</v>
      </c>
      <c r="AF21" s="68">
        <v>1.1</v>
      </c>
      <c r="AG21" s="69">
        <v>0.15</v>
      </c>
      <c r="AH21" s="69">
        <v>0.08</v>
      </c>
      <c r="AI21" s="67">
        <v>38.0</v>
      </c>
      <c r="AJ21" s="69">
        <v>0.0</v>
      </c>
      <c r="AK21" s="67">
        <v>2.0</v>
      </c>
    </row>
    <row r="22" ht="15.75" customHeight="1">
      <c r="B22" s="64" t="s">
        <v>160</v>
      </c>
      <c r="C22" s="64" t="s">
        <v>161</v>
      </c>
      <c r="D22" s="65" t="s">
        <v>162</v>
      </c>
      <c r="E22" s="20"/>
      <c r="F22" s="20"/>
      <c r="G22" s="20"/>
      <c r="H22" s="20"/>
      <c r="I22" s="21"/>
      <c r="J22" s="66"/>
      <c r="K22" s="67">
        <f t="shared" si="1"/>
        <v>74</v>
      </c>
      <c r="L22" s="68">
        <v>2.0</v>
      </c>
      <c r="M22" s="68">
        <v>0.8</v>
      </c>
      <c r="N22" s="69">
        <v>0.2</v>
      </c>
      <c r="O22" s="69">
        <v>0.26</v>
      </c>
      <c r="P22" s="69">
        <v>0.27</v>
      </c>
      <c r="Q22" s="67">
        <v>1.0</v>
      </c>
      <c r="R22" s="68">
        <v>14.7</v>
      </c>
      <c r="S22" s="68">
        <v>0.9</v>
      </c>
      <c r="T22" s="67">
        <v>18.0</v>
      </c>
      <c r="U22" s="67">
        <v>38.0</v>
      </c>
      <c r="V22" s="68">
        <v>0.8</v>
      </c>
      <c r="W22" s="67">
        <v>75.0</v>
      </c>
      <c r="X22" s="67">
        <v>37.0</v>
      </c>
      <c r="Y22" s="67">
        <v>10.0</v>
      </c>
      <c r="Z22" s="69">
        <v>0.36</v>
      </c>
      <c r="AA22" s="69">
        <v>0.04</v>
      </c>
      <c r="AB22" s="69">
        <v>0.19</v>
      </c>
      <c r="AC22" s="67">
        <v>20.0</v>
      </c>
      <c r="AD22" s="69">
        <v>0.09</v>
      </c>
      <c r="AE22" s="69">
        <v>0.08</v>
      </c>
      <c r="AF22" s="68">
        <v>1.0</v>
      </c>
      <c r="AG22" s="69">
        <v>0.12</v>
      </c>
      <c r="AH22" s="69">
        <v>0.06</v>
      </c>
      <c r="AI22" s="67">
        <v>34.0</v>
      </c>
      <c r="AJ22" s="69">
        <v>0.0</v>
      </c>
      <c r="AK22" s="67">
        <v>1.0</v>
      </c>
    </row>
    <row r="23" ht="15.75" customHeight="1">
      <c r="B23" s="64" t="s">
        <v>163</v>
      </c>
      <c r="C23" s="64" t="s">
        <v>164</v>
      </c>
      <c r="D23" s="65" t="s">
        <v>165</v>
      </c>
      <c r="E23" s="20"/>
      <c r="F23" s="20"/>
      <c r="G23" s="20"/>
      <c r="H23" s="20"/>
      <c r="I23" s="21"/>
      <c r="J23" s="66"/>
      <c r="K23" s="67">
        <f t="shared" si="1"/>
        <v>41</v>
      </c>
      <c r="L23" s="68">
        <v>1.3</v>
      </c>
      <c r="M23" s="68">
        <v>0.6</v>
      </c>
      <c r="N23" s="69">
        <v>0.13</v>
      </c>
      <c r="O23" s="69">
        <v>0.18</v>
      </c>
      <c r="P23" s="69">
        <v>0.21</v>
      </c>
      <c r="Q23" s="67">
        <v>1.0</v>
      </c>
      <c r="R23" s="68">
        <v>7.6</v>
      </c>
      <c r="S23" s="68">
        <v>0.5</v>
      </c>
      <c r="T23" s="67">
        <v>13.0</v>
      </c>
      <c r="U23" s="67">
        <v>23.0</v>
      </c>
      <c r="V23" s="68">
        <v>0.3</v>
      </c>
      <c r="W23" s="67">
        <v>43.0</v>
      </c>
      <c r="X23" s="67">
        <v>24.0</v>
      </c>
      <c r="Y23" s="67">
        <v>6.0</v>
      </c>
      <c r="Z23" s="69">
        <v>0.14</v>
      </c>
      <c r="AA23" s="69">
        <v>0.02</v>
      </c>
      <c r="AB23" s="69">
        <v>0.11</v>
      </c>
      <c r="AC23" s="67">
        <v>1.0</v>
      </c>
      <c r="AD23" s="69">
        <v>0.05</v>
      </c>
      <c r="AE23" s="69">
        <v>0.03</v>
      </c>
      <c r="AF23" s="68">
        <v>0.4</v>
      </c>
      <c r="AG23" s="69">
        <v>0.09</v>
      </c>
      <c r="AH23" s="69">
        <v>0.01</v>
      </c>
      <c r="AI23" s="67">
        <v>15.0</v>
      </c>
      <c r="AJ23" s="69">
        <v>0.0</v>
      </c>
      <c r="AK23" s="67">
        <v>0.0</v>
      </c>
    </row>
    <row r="24" ht="15.75" customHeight="1">
      <c r="B24" s="64" t="s">
        <v>147</v>
      </c>
      <c r="C24" s="64" t="s">
        <v>166</v>
      </c>
      <c r="D24" s="71" t="s">
        <v>167</v>
      </c>
      <c r="E24" s="20"/>
      <c r="F24" s="20"/>
      <c r="G24" s="20"/>
      <c r="H24" s="20"/>
      <c r="I24" s="21"/>
      <c r="J24" s="66"/>
      <c r="K24" s="67">
        <f t="shared" si="1"/>
        <v>95.7</v>
      </c>
      <c r="L24" s="68">
        <v>1.4</v>
      </c>
      <c r="M24" s="68">
        <v>0.1</v>
      </c>
      <c r="N24" s="69">
        <v>0.05</v>
      </c>
      <c r="O24" s="69">
        <v>0.01</v>
      </c>
      <c r="P24" s="69">
        <v>0.06</v>
      </c>
      <c r="Q24" s="67">
        <v>0.0</v>
      </c>
      <c r="R24" s="68">
        <v>22.3</v>
      </c>
      <c r="S24" s="68">
        <v>1.9</v>
      </c>
      <c r="T24" s="67">
        <v>11.0</v>
      </c>
      <c r="U24" s="67">
        <v>40.0</v>
      </c>
      <c r="V24" s="68">
        <v>0.5</v>
      </c>
      <c r="W24" s="67">
        <v>10.0</v>
      </c>
      <c r="X24" s="67">
        <v>376.0</v>
      </c>
      <c r="Y24" s="67">
        <v>20.0</v>
      </c>
      <c r="Z24" s="69">
        <v>0.23</v>
      </c>
      <c r="AA24" s="69">
        <v>0.13</v>
      </c>
      <c r="AB24" s="69">
        <v>0.25</v>
      </c>
      <c r="AC24" s="67">
        <v>156.0</v>
      </c>
      <c r="AD24" s="69">
        <v>0.05</v>
      </c>
      <c r="AE24" s="69">
        <v>0.04</v>
      </c>
      <c r="AF24" s="68">
        <v>0.9</v>
      </c>
      <c r="AG24" s="69">
        <v>0.29</v>
      </c>
      <c r="AH24" s="69">
        <v>0.21</v>
      </c>
      <c r="AI24" s="67">
        <v>13.0</v>
      </c>
      <c r="AJ24" s="69">
        <v>0.0</v>
      </c>
      <c r="AK24" s="67">
        <v>28.0</v>
      </c>
    </row>
    <row r="25" ht="15.75" customHeight="1">
      <c r="B25" s="64" t="s">
        <v>130</v>
      </c>
      <c r="C25" s="64" t="s">
        <v>168</v>
      </c>
      <c r="D25" s="71" t="s">
        <v>169</v>
      </c>
      <c r="E25" s="20"/>
      <c r="F25" s="20"/>
      <c r="G25" s="20"/>
      <c r="H25" s="20"/>
      <c r="I25" s="21"/>
      <c r="J25" s="66"/>
      <c r="K25" s="67">
        <f t="shared" si="1"/>
        <v>65.7</v>
      </c>
      <c r="L25" s="68">
        <v>1.0</v>
      </c>
      <c r="M25" s="68">
        <v>0.1</v>
      </c>
      <c r="N25" s="69">
        <v>0.03</v>
      </c>
      <c r="O25" s="69">
        <v>0.01</v>
      </c>
      <c r="P25" s="69">
        <v>0.04</v>
      </c>
      <c r="Q25" s="67">
        <v>0.0</v>
      </c>
      <c r="R25" s="68">
        <v>15.2</v>
      </c>
      <c r="S25" s="68">
        <v>1.3</v>
      </c>
      <c r="T25" s="67">
        <v>8.0</v>
      </c>
      <c r="U25" s="67">
        <v>29.0</v>
      </c>
      <c r="V25" s="68">
        <v>0.4</v>
      </c>
      <c r="W25" s="67">
        <v>7.0</v>
      </c>
      <c r="X25" s="67">
        <v>264.0</v>
      </c>
      <c r="Y25" s="67">
        <v>14.0</v>
      </c>
      <c r="Z25" s="69">
        <v>0.17</v>
      </c>
      <c r="AA25" s="69">
        <v>0.09</v>
      </c>
      <c r="AB25" s="69">
        <v>0.17</v>
      </c>
      <c r="AC25" s="67">
        <v>81.0</v>
      </c>
      <c r="AD25" s="69">
        <v>0.04</v>
      </c>
      <c r="AE25" s="69">
        <v>0.03</v>
      </c>
      <c r="AF25" s="68">
        <v>0.6</v>
      </c>
      <c r="AG25" s="69">
        <v>0.2</v>
      </c>
      <c r="AH25" s="69">
        <v>0.15</v>
      </c>
      <c r="AI25" s="67">
        <v>9.0</v>
      </c>
      <c r="AJ25" s="69">
        <v>0.0</v>
      </c>
      <c r="AK25" s="67">
        <v>21.0</v>
      </c>
    </row>
    <row r="26" ht="15.75" customHeight="1">
      <c r="B26" s="64" t="s">
        <v>136</v>
      </c>
      <c r="C26" s="64" t="s">
        <v>170</v>
      </c>
      <c r="D26" s="71" t="s">
        <v>171</v>
      </c>
      <c r="E26" s="20"/>
      <c r="F26" s="20"/>
      <c r="G26" s="20"/>
      <c r="H26" s="20"/>
      <c r="I26" s="21"/>
      <c r="J26" s="66"/>
      <c r="K26" s="67">
        <f t="shared" si="1"/>
        <v>38</v>
      </c>
      <c r="L26" s="68">
        <v>0.5</v>
      </c>
      <c r="M26" s="68">
        <v>0.0</v>
      </c>
      <c r="N26" s="69">
        <v>0.02</v>
      </c>
      <c r="O26" s="69">
        <v>0.0</v>
      </c>
      <c r="P26" s="69">
        <v>0.02</v>
      </c>
      <c r="Q26" s="67">
        <v>0.0</v>
      </c>
      <c r="R26" s="68">
        <v>9.0</v>
      </c>
      <c r="S26" s="68">
        <v>0.8</v>
      </c>
      <c r="T26" s="67">
        <v>3.0</v>
      </c>
      <c r="U26" s="67">
        <v>13.0</v>
      </c>
      <c r="V26" s="68">
        <v>0.2</v>
      </c>
      <c r="W26" s="67">
        <v>2.0</v>
      </c>
      <c r="X26" s="67">
        <v>153.0</v>
      </c>
      <c r="Y26" s="67">
        <v>8.0</v>
      </c>
      <c r="Z26" s="69">
        <v>0.07</v>
      </c>
      <c r="AA26" s="69">
        <v>0.04</v>
      </c>
      <c r="AB26" s="69">
        <v>0.1</v>
      </c>
      <c r="AC26" s="67">
        <v>7.0</v>
      </c>
      <c r="AD26" s="69">
        <v>0.02</v>
      </c>
      <c r="AE26" s="69">
        <v>0.01</v>
      </c>
      <c r="AF26" s="68">
        <v>0.3</v>
      </c>
      <c r="AG26" s="69">
        <v>0.11</v>
      </c>
      <c r="AH26" s="69">
        <v>0.09</v>
      </c>
      <c r="AI26" s="67">
        <v>5.0</v>
      </c>
      <c r="AJ26" s="69">
        <v>0.0</v>
      </c>
      <c r="AK26" s="67">
        <v>5.0</v>
      </c>
    </row>
    <row r="27" ht="15.75" customHeight="1">
      <c r="B27" s="64" t="s">
        <v>172</v>
      </c>
      <c r="C27" s="64" t="s">
        <v>139</v>
      </c>
      <c r="D27" s="65" t="s">
        <v>173</v>
      </c>
      <c r="E27" s="20"/>
      <c r="F27" s="20"/>
      <c r="G27" s="20"/>
      <c r="H27" s="20"/>
      <c r="I27" s="21"/>
      <c r="J27" s="66"/>
      <c r="K27" s="67">
        <f t="shared" si="1"/>
        <v>95.4</v>
      </c>
      <c r="L27" s="68">
        <v>2.0</v>
      </c>
      <c r="M27" s="68">
        <v>0.6</v>
      </c>
      <c r="N27" s="69">
        <v>0.14</v>
      </c>
      <c r="O27" s="69">
        <v>0.16</v>
      </c>
      <c r="P27" s="69">
        <v>0.19</v>
      </c>
      <c r="Q27" s="67">
        <v>0.0</v>
      </c>
      <c r="R27" s="68">
        <v>20.5</v>
      </c>
      <c r="S27" s="68">
        <v>1.5</v>
      </c>
      <c r="T27" s="67">
        <v>15.0</v>
      </c>
      <c r="U27" s="67">
        <v>43.0</v>
      </c>
      <c r="V27" s="68">
        <v>0.7</v>
      </c>
      <c r="W27" s="67">
        <v>46.0</v>
      </c>
      <c r="X27" s="67">
        <v>214.0</v>
      </c>
      <c r="Y27" s="67">
        <v>17.0</v>
      </c>
      <c r="Z27" s="69">
        <v>0.33</v>
      </c>
      <c r="AA27" s="69">
        <v>0.09</v>
      </c>
      <c r="AB27" s="69">
        <v>0.24</v>
      </c>
      <c r="AC27" s="67">
        <v>89.0</v>
      </c>
      <c r="AD27" s="69">
        <v>0.08</v>
      </c>
      <c r="AE27" s="69">
        <v>0.07</v>
      </c>
      <c r="AF27" s="68">
        <v>1.0</v>
      </c>
      <c r="AG27" s="69">
        <v>0.22</v>
      </c>
      <c r="AH27" s="69">
        <v>0.15</v>
      </c>
      <c r="AI27" s="67">
        <v>26.0</v>
      </c>
      <c r="AJ27" s="69">
        <v>0.0</v>
      </c>
      <c r="AK27" s="67">
        <v>15.0</v>
      </c>
    </row>
    <row r="28" ht="15.75" customHeight="1">
      <c r="B28" s="64" t="s">
        <v>157</v>
      </c>
      <c r="C28" s="64" t="s">
        <v>168</v>
      </c>
      <c r="D28" s="65" t="s">
        <v>174</v>
      </c>
      <c r="E28" s="20"/>
      <c r="F28" s="20"/>
      <c r="G28" s="20"/>
      <c r="H28" s="20"/>
      <c r="I28" s="21"/>
      <c r="J28" s="66"/>
      <c r="K28" s="67">
        <f t="shared" si="1"/>
        <v>70.5</v>
      </c>
      <c r="L28" s="68">
        <v>1.5</v>
      </c>
      <c r="M28" s="68">
        <v>0.5</v>
      </c>
      <c r="N28" s="69">
        <v>0.12</v>
      </c>
      <c r="O28" s="69">
        <v>0.14</v>
      </c>
      <c r="P28" s="69">
        <v>0.15</v>
      </c>
      <c r="Q28" s="67">
        <v>0.0</v>
      </c>
      <c r="R28" s="68">
        <v>15.0</v>
      </c>
      <c r="S28" s="68">
        <v>1.1</v>
      </c>
      <c r="T28" s="67">
        <v>13.0</v>
      </c>
      <c r="U28" s="67">
        <v>34.0</v>
      </c>
      <c r="V28" s="68">
        <v>0.6</v>
      </c>
      <c r="W28" s="67">
        <v>41.0</v>
      </c>
      <c r="X28" s="67">
        <v>150.0</v>
      </c>
      <c r="Y28" s="67">
        <v>12.0</v>
      </c>
      <c r="Z28" s="69">
        <v>0.26</v>
      </c>
      <c r="AA28" s="69">
        <v>0.07</v>
      </c>
      <c r="AB28" s="69">
        <v>0.18</v>
      </c>
      <c r="AC28" s="67">
        <v>51.0</v>
      </c>
      <c r="AD28" s="69">
        <v>0.07</v>
      </c>
      <c r="AE28" s="69">
        <v>0.05</v>
      </c>
      <c r="AF28" s="68">
        <v>0.8</v>
      </c>
      <c r="AG28" s="69">
        <v>0.16</v>
      </c>
      <c r="AH28" s="69">
        <v>0.11</v>
      </c>
      <c r="AI28" s="67">
        <v>22.0</v>
      </c>
      <c r="AJ28" s="69">
        <v>0.0</v>
      </c>
      <c r="AK28" s="67">
        <v>11.0</v>
      </c>
    </row>
    <row r="29" ht="15.75" customHeight="1">
      <c r="B29" s="64" t="s">
        <v>136</v>
      </c>
      <c r="C29" s="64" t="s">
        <v>170</v>
      </c>
      <c r="D29" s="65" t="s">
        <v>175</v>
      </c>
      <c r="E29" s="20"/>
      <c r="F29" s="20"/>
      <c r="G29" s="20"/>
      <c r="H29" s="20"/>
      <c r="I29" s="21"/>
      <c r="J29" s="66"/>
      <c r="K29" s="67">
        <f t="shared" si="1"/>
        <v>39.5</v>
      </c>
      <c r="L29" s="68">
        <v>0.9</v>
      </c>
      <c r="M29" s="68">
        <v>0.3</v>
      </c>
      <c r="N29" s="69">
        <v>0.08</v>
      </c>
      <c r="O29" s="69">
        <v>0.09</v>
      </c>
      <c r="P29" s="69">
        <v>0.11</v>
      </c>
      <c r="Q29" s="67">
        <v>0.0</v>
      </c>
      <c r="R29" s="68">
        <v>8.3</v>
      </c>
      <c r="S29" s="68">
        <v>0.6</v>
      </c>
      <c r="T29" s="67">
        <v>8.0</v>
      </c>
      <c r="U29" s="67">
        <v>18.0</v>
      </c>
      <c r="V29" s="68">
        <v>0.2</v>
      </c>
      <c r="W29" s="67">
        <v>23.0</v>
      </c>
      <c r="X29" s="67">
        <v>89.0</v>
      </c>
      <c r="Y29" s="67">
        <v>7.0</v>
      </c>
      <c r="Z29" s="69">
        <v>0.11</v>
      </c>
      <c r="AA29" s="69">
        <v>0.03</v>
      </c>
      <c r="AB29" s="69">
        <v>0.11</v>
      </c>
      <c r="AC29" s="67">
        <v>4.0</v>
      </c>
      <c r="AD29" s="69">
        <v>0.03</v>
      </c>
      <c r="AE29" s="69">
        <v>0.02</v>
      </c>
      <c r="AF29" s="68">
        <v>0.3</v>
      </c>
      <c r="AG29" s="69">
        <v>0.1</v>
      </c>
      <c r="AH29" s="69">
        <v>0.05</v>
      </c>
      <c r="AI29" s="67">
        <v>10.0</v>
      </c>
      <c r="AJ29" s="69">
        <v>0.0</v>
      </c>
      <c r="AK29" s="67">
        <v>3.0</v>
      </c>
    </row>
    <row r="30" ht="15.75" customHeight="1">
      <c r="B30" s="64" t="s">
        <v>141</v>
      </c>
      <c r="C30" s="64" t="s">
        <v>161</v>
      </c>
      <c r="D30" s="71" t="s">
        <v>176</v>
      </c>
      <c r="E30" s="20"/>
      <c r="F30" s="20"/>
      <c r="G30" s="20"/>
      <c r="H30" s="20"/>
      <c r="I30" s="21"/>
      <c r="J30" s="66"/>
      <c r="K30" s="67">
        <f t="shared" si="1"/>
        <v>29.5</v>
      </c>
      <c r="L30" s="68">
        <v>1.2</v>
      </c>
      <c r="M30" s="68">
        <v>0.3</v>
      </c>
      <c r="N30" s="69">
        <v>0.05</v>
      </c>
      <c r="O30" s="69">
        <v>0.03</v>
      </c>
      <c r="P30" s="69">
        <v>0.13</v>
      </c>
      <c r="Q30" s="67">
        <v>0.0</v>
      </c>
      <c r="R30" s="68">
        <v>5.5</v>
      </c>
      <c r="S30" s="68">
        <v>1.7</v>
      </c>
      <c r="T30" s="67">
        <v>15.0</v>
      </c>
      <c r="U30" s="67">
        <v>32.0</v>
      </c>
      <c r="V30" s="68">
        <v>0.7</v>
      </c>
      <c r="W30" s="67">
        <v>68.0</v>
      </c>
      <c r="X30" s="67">
        <v>187.0</v>
      </c>
      <c r="Y30" s="67">
        <v>12.0</v>
      </c>
      <c r="Z30" s="69">
        <v>0.29</v>
      </c>
      <c r="AA30" s="69">
        <v>0.1</v>
      </c>
      <c r="AB30" s="69">
        <v>0.16</v>
      </c>
      <c r="AC30" s="67">
        <v>136.0</v>
      </c>
      <c r="AD30" s="69">
        <v>0.05</v>
      </c>
      <c r="AE30" s="69">
        <v>0.06</v>
      </c>
      <c r="AF30" s="68">
        <v>0.8</v>
      </c>
      <c r="AG30" s="69">
        <v>0.37</v>
      </c>
      <c r="AH30" s="69">
        <v>0.09</v>
      </c>
      <c r="AI30" s="67">
        <v>23.0</v>
      </c>
      <c r="AJ30" s="69">
        <v>0.0</v>
      </c>
      <c r="AK30" s="67">
        <v>19.0</v>
      </c>
    </row>
    <row r="31" ht="15.75" customHeight="1">
      <c r="B31" s="64" t="s">
        <v>157</v>
      </c>
      <c r="C31" s="64" t="s">
        <v>170</v>
      </c>
      <c r="D31" s="71" t="s">
        <v>177</v>
      </c>
      <c r="E31" s="20"/>
      <c r="F31" s="20"/>
      <c r="G31" s="20"/>
      <c r="H31" s="20"/>
      <c r="I31" s="21"/>
      <c r="J31" s="66"/>
      <c r="K31" s="67">
        <f t="shared" si="1"/>
        <v>14.5</v>
      </c>
      <c r="L31" s="68">
        <v>0.7</v>
      </c>
      <c r="M31" s="68">
        <v>0.1</v>
      </c>
      <c r="N31" s="69">
        <v>0.02</v>
      </c>
      <c r="O31" s="69">
        <v>0.01</v>
      </c>
      <c r="P31" s="69">
        <v>0.06</v>
      </c>
      <c r="Q31" s="67">
        <v>0.0</v>
      </c>
      <c r="R31" s="68">
        <v>2.7</v>
      </c>
      <c r="S31" s="68">
        <v>0.9</v>
      </c>
      <c r="T31" s="67">
        <v>9.0</v>
      </c>
      <c r="U31" s="67">
        <v>15.0</v>
      </c>
      <c r="V31" s="68">
        <v>0.3</v>
      </c>
      <c r="W31" s="67">
        <v>8.0</v>
      </c>
      <c r="X31" s="67">
        <v>101.0</v>
      </c>
      <c r="Y31" s="67">
        <v>7.0</v>
      </c>
      <c r="Z31" s="69">
        <v>0.13</v>
      </c>
      <c r="AA31" s="69">
        <v>0.04</v>
      </c>
      <c r="AB31" s="69">
        <v>0.1</v>
      </c>
      <c r="AC31" s="67">
        <v>101.0</v>
      </c>
      <c r="AD31" s="69">
        <v>0.02</v>
      </c>
      <c r="AE31" s="69">
        <v>0.03</v>
      </c>
      <c r="AF31" s="68">
        <v>0.4</v>
      </c>
      <c r="AG31" s="69">
        <v>0.19</v>
      </c>
      <c r="AH31" s="69">
        <v>0.05</v>
      </c>
      <c r="AI31" s="67">
        <v>14.0</v>
      </c>
      <c r="AJ31" s="69">
        <v>0.0</v>
      </c>
      <c r="AK31" s="67">
        <v>11.0</v>
      </c>
    </row>
    <row r="32" ht="15.75" customHeight="1">
      <c r="B32" s="64" t="s">
        <v>141</v>
      </c>
      <c r="C32" s="64" t="s">
        <v>178</v>
      </c>
      <c r="D32" s="71" t="s">
        <v>179</v>
      </c>
      <c r="E32" s="20"/>
      <c r="F32" s="20"/>
      <c r="G32" s="20"/>
      <c r="H32" s="20"/>
      <c r="I32" s="21"/>
      <c r="J32" s="66"/>
      <c r="K32" s="67">
        <f t="shared" si="1"/>
        <v>59.9</v>
      </c>
      <c r="L32" s="68">
        <v>1.0</v>
      </c>
      <c r="M32" s="68">
        <v>0.3</v>
      </c>
      <c r="N32" s="69">
        <v>0.06</v>
      </c>
      <c r="O32" s="69">
        <v>0.09</v>
      </c>
      <c r="P32" s="69">
        <v>0.11</v>
      </c>
      <c r="Q32" s="67">
        <v>0.0</v>
      </c>
      <c r="R32" s="68">
        <v>13.3</v>
      </c>
      <c r="S32" s="68">
        <v>2.6</v>
      </c>
      <c r="T32" s="67">
        <v>21.0</v>
      </c>
      <c r="U32" s="67">
        <v>24.0</v>
      </c>
      <c r="V32" s="68">
        <v>0.5</v>
      </c>
      <c r="W32" s="67">
        <v>4.0</v>
      </c>
      <c r="X32" s="67">
        <v>244.0</v>
      </c>
      <c r="Y32" s="67">
        <v>19.0</v>
      </c>
      <c r="Z32" s="69">
        <v>0.14</v>
      </c>
      <c r="AA32" s="69">
        <v>0.07</v>
      </c>
      <c r="AB32" s="69">
        <v>0.17</v>
      </c>
      <c r="AC32" s="67">
        <v>74.0</v>
      </c>
      <c r="AD32" s="69">
        <v>0.06</v>
      </c>
      <c r="AE32" s="69">
        <v>0.06</v>
      </c>
      <c r="AF32" s="68">
        <v>0.9</v>
      </c>
      <c r="AG32" s="69">
        <v>0.27</v>
      </c>
      <c r="AH32" s="69">
        <v>0.1</v>
      </c>
      <c r="AI32" s="67">
        <v>20.0</v>
      </c>
      <c r="AJ32" s="69">
        <v>0.0</v>
      </c>
      <c r="AK32" s="67">
        <v>52.0</v>
      </c>
    </row>
    <row r="33" ht="15.75" customHeight="1">
      <c r="B33" s="64" t="s">
        <v>157</v>
      </c>
      <c r="C33" s="64" t="s">
        <v>180</v>
      </c>
      <c r="D33" s="71" t="s">
        <v>181</v>
      </c>
      <c r="E33" s="20"/>
      <c r="F33" s="20"/>
      <c r="G33" s="20"/>
      <c r="H33" s="20"/>
      <c r="I33" s="21"/>
      <c r="J33" s="66"/>
      <c r="K33" s="67">
        <f t="shared" si="1"/>
        <v>23.7</v>
      </c>
      <c r="L33" s="68">
        <v>0.3</v>
      </c>
      <c r="M33" s="68">
        <v>0.1</v>
      </c>
      <c r="N33" s="69">
        <v>0.03</v>
      </c>
      <c r="O33" s="69">
        <v>0.02</v>
      </c>
      <c r="P33" s="69">
        <v>0.05</v>
      </c>
      <c r="Q33" s="67">
        <v>0.0</v>
      </c>
      <c r="R33" s="68">
        <v>5.4</v>
      </c>
      <c r="S33" s="68">
        <v>1.0</v>
      </c>
      <c r="T33" s="67">
        <v>7.0</v>
      </c>
      <c r="U33" s="67">
        <v>7.0</v>
      </c>
      <c r="V33" s="68">
        <v>0.1</v>
      </c>
      <c r="W33" s="67">
        <v>1.0</v>
      </c>
      <c r="X33" s="67">
        <v>99.0</v>
      </c>
      <c r="Y33" s="67">
        <v>6.0</v>
      </c>
      <c r="Z33" s="69">
        <v>0.05</v>
      </c>
      <c r="AA33" s="69">
        <v>0.03</v>
      </c>
      <c r="AB33" s="69">
        <v>0.09</v>
      </c>
      <c r="AC33" s="67">
        <v>31.0</v>
      </c>
      <c r="AD33" s="69">
        <v>0.02</v>
      </c>
      <c r="AE33" s="69">
        <v>0.02</v>
      </c>
      <c r="AF33" s="68">
        <v>0.3</v>
      </c>
      <c r="AG33" s="69">
        <v>0.1</v>
      </c>
      <c r="AH33" s="69">
        <v>0.05</v>
      </c>
      <c r="AI33" s="67">
        <v>8.0</v>
      </c>
      <c r="AJ33" s="69">
        <v>0.0</v>
      </c>
      <c r="AK33" s="67">
        <v>24.0</v>
      </c>
    </row>
    <row r="34" ht="15.75" customHeight="1">
      <c r="B34" s="64" t="s">
        <v>182</v>
      </c>
      <c r="C34" s="64" t="s">
        <v>183</v>
      </c>
      <c r="D34" s="65" t="s">
        <v>184</v>
      </c>
      <c r="E34" s="20"/>
      <c r="F34" s="20"/>
      <c r="G34" s="20"/>
      <c r="H34" s="20"/>
      <c r="I34" s="21"/>
      <c r="J34" s="66"/>
      <c r="K34" s="67">
        <f t="shared" si="1"/>
        <v>56.4</v>
      </c>
      <c r="L34" s="68">
        <v>1.3</v>
      </c>
      <c r="M34" s="68">
        <v>4.8</v>
      </c>
      <c r="N34" s="69">
        <v>1.15</v>
      </c>
      <c r="O34" s="69">
        <v>2.44</v>
      </c>
      <c r="P34" s="69">
        <v>0.99</v>
      </c>
      <c r="Q34" s="67">
        <v>0.0</v>
      </c>
      <c r="R34" s="68">
        <v>2.0</v>
      </c>
      <c r="S34" s="68">
        <v>0.7</v>
      </c>
      <c r="T34" s="67">
        <v>8.0</v>
      </c>
      <c r="U34" s="67">
        <v>34.0</v>
      </c>
      <c r="V34" s="68">
        <v>0.3</v>
      </c>
      <c r="W34" s="67">
        <v>6.0</v>
      </c>
      <c r="X34" s="67">
        <v>55.0</v>
      </c>
      <c r="Y34" s="67">
        <v>16.0</v>
      </c>
      <c r="Z34" s="69">
        <v>0.28</v>
      </c>
      <c r="AA34" s="69">
        <v>0.1</v>
      </c>
      <c r="AB34" s="69">
        <v>0.18</v>
      </c>
      <c r="AC34" s="67">
        <v>1.0</v>
      </c>
      <c r="AD34" s="69">
        <v>0.03</v>
      </c>
      <c r="AE34" s="69">
        <v>0.02</v>
      </c>
      <c r="AF34" s="68">
        <v>0.2</v>
      </c>
      <c r="AG34" s="69">
        <v>0.08</v>
      </c>
      <c r="AH34" s="69">
        <v>0.02</v>
      </c>
      <c r="AI34" s="67">
        <v>5.0</v>
      </c>
      <c r="AJ34" s="69">
        <v>0.0</v>
      </c>
      <c r="AK34" s="67">
        <v>0.0</v>
      </c>
    </row>
    <row r="35" ht="15.75" customHeight="1">
      <c r="B35" s="64" t="s">
        <v>182</v>
      </c>
      <c r="C35" s="64" t="s">
        <v>185</v>
      </c>
      <c r="D35" s="65" t="s">
        <v>186</v>
      </c>
      <c r="E35" s="20"/>
      <c r="F35" s="20"/>
      <c r="G35" s="20"/>
      <c r="H35" s="20"/>
      <c r="I35" s="21"/>
      <c r="J35" s="66"/>
      <c r="K35" s="67">
        <f t="shared" si="1"/>
        <v>58.5</v>
      </c>
      <c r="L35" s="68">
        <v>2.3</v>
      </c>
      <c r="M35" s="68">
        <v>4.1</v>
      </c>
      <c r="N35" s="69">
        <v>0.5</v>
      </c>
      <c r="O35" s="69">
        <v>0.91</v>
      </c>
      <c r="P35" s="69">
        <v>2.48</v>
      </c>
      <c r="Q35" s="67">
        <v>0.0</v>
      </c>
      <c r="R35" s="68">
        <v>3.1</v>
      </c>
      <c r="S35" s="68">
        <v>2.1</v>
      </c>
      <c r="T35" s="67">
        <v>50.0</v>
      </c>
      <c r="U35" s="67">
        <v>74.0</v>
      </c>
      <c r="V35" s="68">
        <v>0.9</v>
      </c>
      <c r="W35" s="67">
        <v>2.0</v>
      </c>
      <c r="X35" s="67">
        <v>78.0</v>
      </c>
      <c r="Y35" s="67">
        <v>37.0</v>
      </c>
      <c r="Z35" s="69">
        <v>0.58</v>
      </c>
      <c r="AA35" s="69">
        <v>0.15</v>
      </c>
      <c r="AB35" s="69">
        <v>0.35</v>
      </c>
      <c r="AC35" s="67">
        <v>1.0</v>
      </c>
      <c r="AD35" s="69">
        <v>0.07</v>
      </c>
      <c r="AE35" s="69">
        <v>0.02</v>
      </c>
      <c r="AF35" s="68">
        <v>0.3</v>
      </c>
      <c r="AG35" s="69">
        <v>0.15</v>
      </c>
      <c r="AH35" s="69">
        <v>0.06</v>
      </c>
      <c r="AI35" s="67">
        <v>18.0</v>
      </c>
      <c r="AJ35" s="69">
        <v>0.0</v>
      </c>
      <c r="AK35" s="67">
        <v>0.0</v>
      </c>
    </row>
    <row r="36" ht="15.75" customHeight="1">
      <c r="B36" s="64" t="s">
        <v>187</v>
      </c>
      <c r="C36" s="64" t="s">
        <v>188</v>
      </c>
      <c r="D36" s="71" t="s">
        <v>189</v>
      </c>
      <c r="E36" s="20"/>
      <c r="F36" s="20"/>
      <c r="G36" s="20"/>
      <c r="H36" s="20"/>
      <c r="I36" s="21"/>
      <c r="J36" s="66"/>
      <c r="K36" s="67">
        <f t="shared" si="1"/>
        <v>89.9</v>
      </c>
      <c r="L36" s="68">
        <v>0.9</v>
      </c>
      <c r="M36" s="68">
        <v>1.1</v>
      </c>
      <c r="N36" s="69">
        <v>0.63</v>
      </c>
      <c r="O36" s="69">
        <v>0.33</v>
      </c>
      <c r="P36" s="69">
        <v>0.07</v>
      </c>
      <c r="Q36" s="67">
        <v>2.0</v>
      </c>
      <c r="R36" s="68">
        <v>19.1</v>
      </c>
      <c r="S36" s="68">
        <v>0.5</v>
      </c>
      <c r="T36" s="67">
        <v>20.0</v>
      </c>
      <c r="U36" s="67">
        <v>23.0</v>
      </c>
      <c r="V36" s="68">
        <v>0.3</v>
      </c>
      <c r="W36" s="67">
        <v>25.0</v>
      </c>
      <c r="X36" s="67">
        <v>67.0</v>
      </c>
      <c r="Y36" s="67">
        <v>6.0</v>
      </c>
      <c r="Z36" s="69">
        <v>0.16</v>
      </c>
      <c r="AA36" s="69">
        <v>0.05</v>
      </c>
      <c r="AB36" s="69">
        <v>0.16</v>
      </c>
      <c r="AC36" s="67">
        <v>10.0</v>
      </c>
      <c r="AD36" s="69">
        <v>0.04</v>
      </c>
      <c r="AE36" s="69">
        <v>0.07</v>
      </c>
      <c r="AF36" s="68">
        <v>0.2</v>
      </c>
      <c r="AG36" s="69">
        <v>0.08</v>
      </c>
      <c r="AH36" s="69">
        <v>0.02</v>
      </c>
      <c r="AI36" s="67">
        <v>5.0</v>
      </c>
      <c r="AJ36" s="69">
        <v>0.04</v>
      </c>
      <c r="AK36" s="67">
        <v>2.0</v>
      </c>
    </row>
    <row r="37" ht="15.75" customHeight="1">
      <c r="B37" s="64" t="s">
        <v>190</v>
      </c>
      <c r="C37" s="64" t="s">
        <v>191</v>
      </c>
      <c r="D37" s="71" t="s">
        <v>192</v>
      </c>
      <c r="E37" s="20"/>
      <c r="F37" s="20"/>
      <c r="G37" s="20"/>
      <c r="H37" s="20"/>
      <c r="I37" s="21"/>
      <c r="J37" s="66"/>
      <c r="K37" s="67">
        <f t="shared" si="1"/>
        <v>45.1</v>
      </c>
      <c r="L37" s="68">
        <v>0.4</v>
      </c>
      <c r="M37" s="68">
        <v>0.3</v>
      </c>
      <c r="N37" s="69">
        <v>0.14</v>
      </c>
      <c r="O37" s="69">
        <v>0.1</v>
      </c>
      <c r="P37" s="69">
        <v>0.03</v>
      </c>
      <c r="Q37" s="67">
        <v>0.0</v>
      </c>
      <c r="R37" s="68">
        <v>10.2</v>
      </c>
      <c r="S37" s="68">
        <v>0.2</v>
      </c>
      <c r="T37" s="67">
        <v>8.0</v>
      </c>
      <c r="U37" s="67">
        <v>12.0</v>
      </c>
      <c r="V37" s="68">
        <v>0.2</v>
      </c>
      <c r="W37" s="67">
        <v>11.0</v>
      </c>
      <c r="X37" s="67">
        <v>33.0</v>
      </c>
      <c r="Y37" s="67">
        <v>4.0</v>
      </c>
      <c r="Z37" s="69">
        <v>0.1</v>
      </c>
      <c r="AA37" s="69">
        <v>0.2</v>
      </c>
      <c r="AB37" s="69">
        <v>0.11</v>
      </c>
      <c r="AC37" s="67">
        <v>6.0</v>
      </c>
      <c r="AD37" s="69">
        <v>0.02</v>
      </c>
      <c r="AE37" s="69">
        <v>0.03</v>
      </c>
      <c r="AF37" s="68">
        <v>0.2</v>
      </c>
      <c r="AG37" s="69">
        <v>0.04</v>
      </c>
      <c r="AH37" s="69">
        <v>0.02</v>
      </c>
      <c r="AI37" s="67">
        <v>2.0</v>
      </c>
      <c r="AJ37" s="69">
        <v>0.01</v>
      </c>
      <c r="AK37" s="67">
        <v>1.0</v>
      </c>
    </row>
    <row r="38" ht="15.75" customHeight="1">
      <c r="B38" s="64" t="s">
        <v>193</v>
      </c>
      <c r="C38" s="64" t="s">
        <v>194</v>
      </c>
      <c r="D38" s="65" t="s">
        <v>195</v>
      </c>
      <c r="E38" s="20"/>
      <c r="F38" s="20"/>
      <c r="G38" s="20"/>
      <c r="H38" s="20"/>
      <c r="I38" s="21"/>
      <c r="J38" s="66"/>
      <c r="K38" s="67">
        <f t="shared" si="1"/>
        <v>41.7</v>
      </c>
      <c r="L38" s="68">
        <v>0.0</v>
      </c>
      <c r="M38" s="68">
        <v>4.5</v>
      </c>
      <c r="N38" s="69">
        <v>0.67</v>
      </c>
      <c r="O38" s="69">
        <v>1.39</v>
      </c>
      <c r="P38" s="69">
        <v>2.71</v>
      </c>
      <c r="Q38" s="67">
        <v>1.0</v>
      </c>
      <c r="R38" s="68">
        <v>0.3</v>
      </c>
      <c r="S38" s="68">
        <v>0.0</v>
      </c>
      <c r="T38" s="67">
        <v>1.0</v>
      </c>
      <c r="U38" s="67">
        <v>1.0</v>
      </c>
      <c r="V38" s="68">
        <v>0.0</v>
      </c>
      <c r="W38" s="67">
        <v>27.0</v>
      </c>
      <c r="X38" s="67">
        <v>2.0</v>
      </c>
      <c r="Y38" s="67">
        <v>0.0</v>
      </c>
      <c r="Z38" s="69">
        <v>0.01</v>
      </c>
      <c r="AA38" s="69">
        <v>0.0</v>
      </c>
      <c r="AB38" s="69">
        <v>0.0</v>
      </c>
      <c r="AC38" s="67">
        <v>2.0</v>
      </c>
      <c r="AD38" s="69">
        <v>0.0</v>
      </c>
      <c r="AE38" s="69">
        <v>0.0</v>
      </c>
      <c r="AF38" s="68">
        <v>0.0</v>
      </c>
      <c r="AG38" s="69">
        <v>0.01</v>
      </c>
      <c r="AH38" s="69">
        <v>0.01</v>
      </c>
      <c r="AI38" s="67">
        <v>0.0</v>
      </c>
      <c r="AJ38" s="69">
        <v>0.01</v>
      </c>
      <c r="AK38" s="67">
        <v>0.0</v>
      </c>
    </row>
    <row r="39" ht="15.75" customHeight="1">
      <c r="B39" s="64" t="s">
        <v>193</v>
      </c>
      <c r="C39" s="64" t="s">
        <v>194</v>
      </c>
      <c r="D39" s="65" t="s">
        <v>196</v>
      </c>
      <c r="E39" s="20"/>
      <c r="F39" s="20"/>
      <c r="G39" s="20"/>
      <c r="H39" s="20"/>
      <c r="I39" s="21"/>
      <c r="J39" s="66"/>
      <c r="K39" s="67">
        <f t="shared" si="1"/>
        <v>47</v>
      </c>
      <c r="L39" s="68">
        <v>0.4</v>
      </c>
      <c r="M39" s="68">
        <v>4.6</v>
      </c>
      <c r="N39" s="69">
        <v>0.66</v>
      </c>
      <c r="O39" s="69">
        <v>2.7</v>
      </c>
      <c r="P39" s="69">
        <v>0.96</v>
      </c>
      <c r="Q39" s="67">
        <v>0.0</v>
      </c>
      <c r="R39" s="68">
        <v>1.0</v>
      </c>
      <c r="S39" s="68">
        <v>0.6</v>
      </c>
      <c r="T39" s="67">
        <v>7.0</v>
      </c>
      <c r="U39" s="67">
        <v>7.0</v>
      </c>
      <c r="V39" s="68">
        <v>0.2</v>
      </c>
      <c r="W39" s="67">
        <v>55.0</v>
      </c>
      <c r="X39" s="67">
        <v>49.0</v>
      </c>
      <c r="Y39" s="67">
        <v>5.0</v>
      </c>
      <c r="Z39" s="69">
        <v>0.07</v>
      </c>
      <c r="AA39" s="69">
        <v>0.03</v>
      </c>
      <c r="AB39" s="69">
        <v>0.02</v>
      </c>
      <c r="AC39" s="67">
        <v>12.0</v>
      </c>
      <c r="AD39" s="69">
        <v>0.01</v>
      </c>
      <c r="AE39" s="69">
        <v>0.01</v>
      </c>
      <c r="AF39" s="68">
        <v>0.3</v>
      </c>
      <c r="AG39" s="69">
        <v>0.08</v>
      </c>
      <c r="AH39" s="69">
        <v>0.03</v>
      </c>
      <c r="AI39" s="67">
        <v>5.0</v>
      </c>
      <c r="AJ39" s="69">
        <v>0.0</v>
      </c>
      <c r="AK39" s="67">
        <v>1.0</v>
      </c>
    </row>
    <row r="40" ht="15.75" customHeight="1">
      <c r="B40" s="64" t="s">
        <v>193</v>
      </c>
      <c r="C40" s="64" t="s">
        <v>194</v>
      </c>
      <c r="D40" s="65" t="s">
        <v>197</v>
      </c>
      <c r="E40" s="20"/>
      <c r="F40" s="20"/>
      <c r="G40" s="20"/>
      <c r="H40" s="20"/>
      <c r="I40" s="21"/>
      <c r="J40" s="66"/>
      <c r="K40" s="67">
        <f t="shared" si="1"/>
        <v>45.6</v>
      </c>
      <c r="L40" s="68">
        <v>0.3</v>
      </c>
      <c r="M40" s="68">
        <v>4.8</v>
      </c>
      <c r="N40" s="69">
        <v>2.66</v>
      </c>
      <c r="O40" s="69">
        <v>1.57</v>
      </c>
      <c r="P40" s="69">
        <v>0.28</v>
      </c>
      <c r="Q40" s="67">
        <v>10.0</v>
      </c>
      <c r="R40" s="68">
        <v>0.3</v>
      </c>
      <c r="S40" s="68">
        <v>0.0</v>
      </c>
      <c r="T40" s="67">
        <v>8.0</v>
      </c>
      <c r="U40" s="67">
        <v>7.0</v>
      </c>
      <c r="V40" s="68">
        <v>0.0</v>
      </c>
      <c r="W40" s="67">
        <v>9.0</v>
      </c>
      <c r="X40" s="67">
        <v>10.0</v>
      </c>
      <c r="Y40" s="67">
        <v>1.0</v>
      </c>
      <c r="Z40" s="69">
        <v>0.03</v>
      </c>
      <c r="AA40" s="69">
        <v>0.0</v>
      </c>
      <c r="AB40" s="69">
        <v>0.0</v>
      </c>
      <c r="AC40" s="67">
        <v>31.0</v>
      </c>
      <c r="AD40" s="69">
        <v>0.0</v>
      </c>
      <c r="AE40" s="69">
        <v>0.01</v>
      </c>
      <c r="AF40" s="68">
        <v>0.0</v>
      </c>
      <c r="AG40" s="69">
        <v>0.03</v>
      </c>
      <c r="AH40" s="69">
        <v>0.0</v>
      </c>
      <c r="AI40" s="67">
        <v>1.0</v>
      </c>
      <c r="AJ40" s="69">
        <v>0.03</v>
      </c>
      <c r="AK40" s="67">
        <v>0.0</v>
      </c>
    </row>
    <row r="41" ht="15.0" customHeight="1">
      <c r="B41" s="64" t="s">
        <v>193</v>
      </c>
      <c r="C41" s="64" t="s">
        <v>194</v>
      </c>
      <c r="D41" s="65" t="s">
        <v>198</v>
      </c>
      <c r="E41" s="20"/>
      <c r="F41" s="20"/>
      <c r="G41" s="20"/>
      <c r="H41" s="20"/>
      <c r="I41" s="21"/>
      <c r="J41" s="66"/>
      <c r="K41" s="67">
        <f t="shared" si="1"/>
        <v>44.6</v>
      </c>
      <c r="L41" s="68">
        <v>0.3</v>
      </c>
      <c r="M41" s="68">
        <v>4.6</v>
      </c>
      <c r="N41" s="69">
        <v>1.33</v>
      </c>
      <c r="O41" s="69">
        <v>1.88</v>
      </c>
      <c r="P41" s="69">
        <v>1.32</v>
      </c>
      <c r="Q41" s="67">
        <v>4.0</v>
      </c>
      <c r="R41" s="68">
        <v>0.5</v>
      </c>
      <c r="S41" s="68">
        <v>0.2</v>
      </c>
      <c r="T41" s="67">
        <v>5.0</v>
      </c>
      <c r="U41" s="67">
        <v>5.0</v>
      </c>
      <c r="V41" s="68">
        <v>0.1</v>
      </c>
      <c r="W41" s="67">
        <v>30.0</v>
      </c>
      <c r="X41" s="67">
        <v>20.0</v>
      </c>
      <c r="Y41" s="67">
        <v>2.0</v>
      </c>
      <c r="Z41" s="69">
        <v>0.04</v>
      </c>
      <c r="AA41" s="69">
        <v>0.01</v>
      </c>
      <c r="AB41" s="69">
        <v>0.01</v>
      </c>
      <c r="AC41" s="67">
        <v>15.0</v>
      </c>
      <c r="AD41" s="69">
        <v>0.0</v>
      </c>
      <c r="AE41" s="69">
        <v>0.01</v>
      </c>
      <c r="AF41" s="68">
        <v>0.1</v>
      </c>
      <c r="AG41" s="69">
        <v>0.04</v>
      </c>
      <c r="AH41" s="69">
        <v>0.01</v>
      </c>
      <c r="AI41" s="67">
        <v>2.0</v>
      </c>
      <c r="AJ41" s="69">
        <v>0.01</v>
      </c>
      <c r="AK41" s="67">
        <v>0.0</v>
      </c>
    </row>
    <row r="42" ht="15.75" customHeight="1">
      <c r="B42" s="64" t="s">
        <v>144</v>
      </c>
      <c r="C42" s="64" t="s">
        <v>199</v>
      </c>
      <c r="D42" s="65" t="s">
        <v>200</v>
      </c>
      <c r="E42" s="20"/>
      <c r="F42" s="20"/>
      <c r="G42" s="20"/>
      <c r="H42" s="20"/>
      <c r="I42" s="21"/>
      <c r="J42" s="66"/>
      <c r="K42" s="67">
        <f t="shared" si="1"/>
        <v>39.3</v>
      </c>
      <c r="L42" s="68">
        <v>1.3</v>
      </c>
      <c r="M42" s="68">
        <v>3.3</v>
      </c>
      <c r="N42" s="69">
        <v>1.16</v>
      </c>
      <c r="O42" s="69">
        <v>0.98</v>
      </c>
      <c r="P42" s="69">
        <v>0.89</v>
      </c>
      <c r="Q42" s="67">
        <v>6.0</v>
      </c>
      <c r="R42" s="68">
        <v>1.1</v>
      </c>
      <c r="S42" s="68">
        <v>0.0</v>
      </c>
      <c r="T42" s="67">
        <v>16.0</v>
      </c>
      <c r="U42" s="67">
        <v>37.0</v>
      </c>
      <c r="V42" s="68">
        <v>0.0</v>
      </c>
      <c r="W42" s="67">
        <v>125.0</v>
      </c>
      <c r="X42" s="67">
        <v>19.0</v>
      </c>
      <c r="Y42" s="67">
        <v>2.0</v>
      </c>
      <c r="Z42" s="69">
        <v>0.12</v>
      </c>
      <c r="AA42" s="69">
        <v>0.0</v>
      </c>
      <c r="AB42" s="69">
        <v>0.0</v>
      </c>
      <c r="AC42" s="67">
        <v>41.0</v>
      </c>
      <c r="AD42" s="69">
        <v>0.0</v>
      </c>
      <c r="AE42" s="69">
        <v>0.02</v>
      </c>
      <c r="AF42" s="68">
        <v>0.0</v>
      </c>
      <c r="AG42" s="69">
        <v>0.04</v>
      </c>
      <c r="AH42" s="69">
        <v>0.03</v>
      </c>
      <c r="AI42" s="67">
        <v>3.0</v>
      </c>
      <c r="AJ42" s="69">
        <v>0.06</v>
      </c>
      <c r="AK42" s="67">
        <v>0.0</v>
      </c>
    </row>
    <row r="43" ht="15.75" customHeight="1">
      <c r="B43" s="64" t="s">
        <v>201</v>
      </c>
      <c r="C43" s="64" t="s">
        <v>202</v>
      </c>
      <c r="D43" s="71" t="s">
        <v>203</v>
      </c>
      <c r="E43" s="20"/>
      <c r="F43" s="20"/>
      <c r="G43" s="20"/>
      <c r="H43" s="20"/>
      <c r="I43" s="21"/>
      <c r="J43" s="66"/>
      <c r="K43" s="67">
        <f t="shared" si="1"/>
        <v>27</v>
      </c>
      <c r="L43" s="68">
        <v>0.0</v>
      </c>
      <c r="M43" s="68">
        <v>3.0</v>
      </c>
      <c r="N43" s="69">
        <v>0.39</v>
      </c>
      <c r="O43" s="69">
        <v>0.8</v>
      </c>
      <c r="P43" s="69">
        <v>1.68</v>
      </c>
      <c r="Q43" s="67">
        <v>0.0</v>
      </c>
      <c r="R43" s="68">
        <v>0.0</v>
      </c>
      <c r="S43" s="68">
        <v>0.0</v>
      </c>
      <c r="T43" s="67">
        <v>0.0</v>
      </c>
      <c r="U43" s="67">
        <v>0.0</v>
      </c>
      <c r="V43" s="68">
        <v>0.0</v>
      </c>
      <c r="W43" s="67">
        <v>0.0</v>
      </c>
      <c r="X43" s="67">
        <v>0.0</v>
      </c>
      <c r="Y43" s="67">
        <v>0.0</v>
      </c>
      <c r="Z43" s="69">
        <v>0.0</v>
      </c>
      <c r="AA43" s="69">
        <v>0.0</v>
      </c>
      <c r="AB43" s="69">
        <v>0.0</v>
      </c>
      <c r="AC43" s="67">
        <v>0.0</v>
      </c>
      <c r="AD43" s="69">
        <v>0.0</v>
      </c>
      <c r="AE43" s="69">
        <v>0.0</v>
      </c>
      <c r="AF43" s="68">
        <v>0.0</v>
      </c>
      <c r="AG43" s="69">
        <v>0.0</v>
      </c>
      <c r="AH43" s="69">
        <v>0.0</v>
      </c>
      <c r="AI43" s="67">
        <v>0.0</v>
      </c>
      <c r="AJ43" s="69">
        <v>0.0</v>
      </c>
      <c r="AK43" s="67">
        <v>0.0</v>
      </c>
    </row>
    <row r="44" ht="15.75" customHeight="1">
      <c r="B44" s="64" t="s">
        <v>201</v>
      </c>
      <c r="C44" s="64" t="s">
        <v>202</v>
      </c>
      <c r="D44" s="71" t="s">
        <v>204</v>
      </c>
      <c r="E44" s="20"/>
      <c r="F44" s="20"/>
      <c r="G44" s="20"/>
      <c r="H44" s="20"/>
      <c r="I44" s="21"/>
      <c r="J44" s="66"/>
      <c r="K44" s="67">
        <f t="shared" si="1"/>
        <v>27.5</v>
      </c>
      <c r="L44" s="68">
        <v>0.3</v>
      </c>
      <c r="M44" s="68">
        <v>2.7</v>
      </c>
      <c r="N44" s="69">
        <v>0.37</v>
      </c>
      <c r="O44" s="69">
        <v>1.72</v>
      </c>
      <c r="P44" s="69">
        <v>0.46</v>
      </c>
      <c r="Q44" s="67">
        <v>0.0</v>
      </c>
      <c r="R44" s="68">
        <v>0.5</v>
      </c>
      <c r="S44" s="68">
        <v>0.3</v>
      </c>
      <c r="T44" s="67">
        <v>1.0</v>
      </c>
      <c r="U44" s="67">
        <v>5.0</v>
      </c>
      <c r="V44" s="68">
        <v>0.1</v>
      </c>
      <c r="W44" s="67">
        <v>4.0</v>
      </c>
      <c r="X44" s="67">
        <v>38.0</v>
      </c>
      <c r="Y44" s="67">
        <v>3.0</v>
      </c>
      <c r="Z44" s="69">
        <v>0.04</v>
      </c>
      <c r="AA44" s="69">
        <v>0.02</v>
      </c>
      <c r="AB44" s="69">
        <v>0.02</v>
      </c>
      <c r="AC44" s="67">
        <v>3.0</v>
      </c>
      <c r="AD44" s="69">
        <v>0.01</v>
      </c>
      <c r="AE44" s="69">
        <v>0.01</v>
      </c>
      <c r="AF44" s="68">
        <v>0.2</v>
      </c>
      <c r="AG44" s="69">
        <v>0.06</v>
      </c>
      <c r="AH44" s="69">
        <v>0.02</v>
      </c>
      <c r="AI44" s="67">
        <v>4.0</v>
      </c>
      <c r="AJ44" s="69">
        <v>0.0</v>
      </c>
      <c r="AK44" s="67">
        <v>0.0</v>
      </c>
    </row>
    <row r="45" ht="15.75" customHeight="1">
      <c r="B45" s="64" t="s">
        <v>201</v>
      </c>
      <c r="C45" s="64" t="s">
        <v>202</v>
      </c>
      <c r="D45" s="71" t="s">
        <v>205</v>
      </c>
      <c r="E45" s="20"/>
      <c r="F45" s="20"/>
      <c r="G45" s="20"/>
      <c r="H45" s="20"/>
      <c r="I45" s="21"/>
      <c r="J45" s="66"/>
      <c r="K45" s="67">
        <f t="shared" si="1"/>
        <v>26.8</v>
      </c>
      <c r="L45" s="68">
        <v>0.2</v>
      </c>
      <c r="M45" s="68">
        <v>2.8</v>
      </c>
      <c r="N45" s="69">
        <v>1.66</v>
      </c>
      <c r="O45" s="69">
        <v>0.85</v>
      </c>
      <c r="P45" s="69">
        <v>0.14</v>
      </c>
      <c r="Q45" s="67">
        <v>6.0</v>
      </c>
      <c r="R45" s="68">
        <v>0.2</v>
      </c>
      <c r="S45" s="68">
        <v>0.0</v>
      </c>
      <c r="T45" s="67">
        <v>5.0</v>
      </c>
      <c r="U45" s="67">
        <v>5.0</v>
      </c>
      <c r="V45" s="68">
        <v>0.0</v>
      </c>
      <c r="W45" s="67">
        <v>6.0</v>
      </c>
      <c r="X45" s="67">
        <v>7.0</v>
      </c>
      <c r="Y45" s="67">
        <v>1.0</v>
      </c>
      <c r="Z45" s="69">
        <v>0.02</v>
      </c>
      <c r="AA45" s="69">
        <v>0.0</v>
      </c>
      <c r="AB45" s="69">
        <v>0.0</v>
      </c>
      <c r="AC45" s="67">
        <v>23.0</v>
      </c>
      <c r="AD45" s="69">
        <v>0.0</v>
      </c>
      <c r="AE45" s="69">
        <v>0.01</v>
      </c>
      <c r="AF45" s="68">
        <v>0.0</v>
      </c>
      <c r="AG45" s="69">
        <v>0.02</v>
      </c>
      <c r="AH45" s="69">
        <v>0.0</v>
      </c>
      <c r="AI45" s="67">
        <v>1.0</v>
      </c>
      <c r="AJ45" s="69">
        <v>0.02</v>
      </c>
      <c r="AK45" s="67">
        <v>0.0</v>
      </c>
    </row>
    <row r="46" ht="15.75" customHeight="1">
      <c r="B46" s="64" t="s">
        <v>201</v>
      </c>
      <c r="C46" s="64" t="s">
        <v>202</v>
      </c>
      <c r="D46" s="71" t="s">
        <v>206</v>
      </c>
      <c r="E46" s="20"/>
      <c r="F46" s="20"/>
      <c r="G46" s="20"/>
      <c r="H46" s="20"/>
      <c r="I46" s="21"/>
      <c r="J46" s="66"/>
      <c r="K46" s="67">
        <f t="shared" si="1"/>
        <v>26.8</v>
      </c>
      <c r="L46" s="68">
        <v>0.2</v>
      </c>
      <c r="M46" s="68">
        <v>2.8</v>
      </c>
      <c r="N46" s="69">
        <v>0.81</v>
      </c>
      <c r="O46" s="69">
        <v>1.12</v>
      </c>
      <c r="P46" s="69">
        <v>0.76</v>
      </c>
      <c r="Q46" s="67">
        <v>2.0</v>
      </c>
      <c r="R46" s="68">
        <v>0.2</v>
      </c>
      <c r="S46" s="68">
        <v>0.1</v>
      </c>
      <c r="T46" s="67">
        <v>2.0</v>
      </c>
      <c r="U46" s="67">
        <v>3.0</v>
      </c>
      <c r="V46" s="68">
        <v>0.0</v>
      </c>
      <c r="W46" s="67">
        <v>3.0</v>
      </c>
      <c r="X46" s="67">
        <v>15.0</v>
      </c>
      <c r="Y46" s="67">
        <v>1.0</v>
      </c>
      <c r="Z46" s="69">
        <v>0.02</v>
      </c>
      <c r="AA46" s="69">
        <v>0.01</v>
      </c>
      <c r="AB46" s="69">
        <v>0.01</v>
      </c>
      <c r="AC46" s="67">
        <v>9.0</v>
      </c>
      <c r="AD46" s="69">
        <v>0.0</v>
      </c>
      <c r="AE46" s="69">
        <v>0.01</v>
      </c>
      <c r="AF46" s="68">
        <v>0.1</v>
      </c>
      <c r="AG46" s="69">
        <v>0.03</v>
      </c>
      <c r="AH46" s="69">
        <v>0.01</v>
      </c>
      <c r="AI46" s="67">
        <v>2.0</v>
      </c>
      <c r="AJ46" s="69">
        <v>0.01</v>
      </c>
      <c r="AK46" s="67">
        <v>0.0</v>
      </c>
    </row>
    <row r="47" ht="15.75" customHeight="1">
      <c r="B47" s="64" t="s">
        <v>207</v>
      </c>
      <c r="C47" s="64" t="s">
        <v>208</v>
      </c>
      <c r="D47" s="70" t="s">
        <v>209</v>
      </c>
      <c r="E47" s="20"/>
      <c r="F47" s="20"/>
      <c r="G47" s="20"/>
      <c r="H47" s="20"/>
      <c r="I47" s="21"/>
      <c r="J47" s="66"/>
      <c r="K47" s="67"/>
      <c r="L47" s="68"/>
      <c r="M47" s="68"/>
      <c r="N47" s="69"/>
      <c r="O47" s="69"/>
      <c r="P47" s="69"/>
      <c r="Q47" s="67"/>
      <c r="R47" s="68"/>
      <c r="S47" s="68"/>
      <c r="T47" s="67"/>
      <c r="U47" s="67"/>
      <c r="V47" s="68"/>
      <c r="W47" s="67"/>
      <c r="X47" s="67"/>
      <c r="Y47" s="67"/>
      <c r="Z47" s="69"/>
      <c r="AA47" s="69"/>
      <c r="AB47" s="69"/>
      <c r="AC47" s="67"/>
      <c r="AD47" s="69"/>
      <c r="AE47" s="69"/>
      <c r="AF47" s="68"/>
      <c r="AG47" s="69"/>
      <c r="AH47" s="69"/>
      <c r="AI47" s="67"/>
      <c r="AJ47" s="69"/>
      <c r="AK47" s="67"/>
    </row>
    <row r="48" ht="15.75" hidden="1" customHeight="1">
      <c r="D48" s="72"/>
      <c r="E48" s="72"/>
      <c r="F48" s="72"/>
      <c r="G48" s="72"/>
      <c r="H48" s="72"/>
      <c r="I48" s="72"/>
      <c r="AK48" s="73"/>
    </row>
    <row r="49" ht="15.75" hidden="1" customHeight="1">
      <c r="D49" s="72"/>
      <c r="E49" s="72"/>
      <c r="F49" s="72"/>
      <c r="G49" s="72"/>
      <c r="H49" s="72"/>
      <c r="I49" s="72"/>
    </row>
    <row r="50" ht="15.75" hidden="1" customHeight="1">
      <c r="D50" s="74" t="s">
        <v>95</v>
      </c>
      <c r="E50" s="20"/>
      <c r="F50" s="20"/>
      <c r="G50" s="20"/>
      <c r="H50" s="20"/>
      <c r="I50" s="21"/>
      <c r="J50" s="75" t="s">
        <v>96</v>
      </c>
      <c r="K50" s="75" t="s">
        <v>97</v>
      </c>
      <c r="L50" s="75" t="s">
        <v>98</v>
      </c>
      <c r="M50" s="75" t="s">
        <v>99</v>
      </c>
      <c r="N50" s="75" t="s">
        <v>100</v>
      </c>
      <c r="O50" s="75" t="s">
        <v>101</v>
      </c>
      <c r="P50" s="75" t="s">
        <v>102</v>
      </c>
      <c r="Q50" s="75" t="s">
        <v>103</v>
      </c>
      <c r="R50" s="75" t="s">
        <v>104</v>
      </c>
      <c r="S50" s="75" t="s">
        <v>105</v>
      </c>
      <c r="T50" s="75" t="s">
        <v>106</v>
      </c>
      <c r="U50" s="75" t="s">
        <v>107</v>
      </c>
      <c r="V50" s="75" t="s">
        <v>108</v>
      </c>
      <c r="W50" s="75" t="s">
        <v>109</v>
      </c>
      <c r="X50" s="75" t="s">
        <v>110</v>
      </c>
      <c r="Y50" s="75" t="s">
        <v>111</v>
      </c>
      <c r="Z50" s="75" t="s">
        <v>112</v>
      </c>
      <c r="AA50" s="75" t="s">
        <v>113</v>
      </c>
      <c r="AB50" s="75" t="s">
        <v>114</v>
      </c>
      <c r="AC50" s="75" t="s">
        <v>115</v>
      </c>
      <c r="AD50" s="75" t="s">
        <v>116</v>
      </c>
      <c r="AE50" s="75" t="s">
        <v>117</v>
      </c>
      <c r="AF50" s="75" t="s">
        <v>118</v>
      </c>
      <c r="AG50" s="75" t="s">
        <v>119</v>
      </c>
      <c r="AH50" s="75" t="s">
        <v>120</v>
      </c>
      <c r="AI50" s="75" t="s">
        <v>121</v>
      </c>
      <c r="AJ50" s="75" t="s">
        <v>122</v>
      </c>
      <c r="AK50" s="75" t="s">
        <v>123</v>
      </c>
    </row>
    <row r="51" ht="15.75" hidden="1" customHeight="1">
      <c r="D51" s="76" t="s">
        <v>126</v>
      </c>
      <c r="E51" s="20"/>
      <c r="F51" s="20"/>
      <c r="G51" s="20"/>
      <c r="H51" s="20"/>
      <c r="I51" s="21"/>
      <c r="J51" s="77" t="str">
        <f t="shared" ref="J51:J92" si="2">J6</f>
        <v/>
      </c>
      <c r="K51" s="78">
        <f t="shared" ref="K51:K92" si="3">(K6*J6)</f>
        <v>0</v>
      </c>
      <c r="L51" s="79">
        <f t="shared" ref="L51:L92" si="4">(L6*J6)</f>
        <v>0</v>
      </c>
      <c r="M51" s="79">
        <f t="shared" ref="M51:M92" si="5">(M6*J6)</f>
        <v>0</v>
      </c>
      <c r="N51" s="80">
        <f t="shared" ref="N51:N92" si="6">(N6*J6)</f>
        <v>0</v>
      </c>
      <c r="O51" s="80">
        <f t="shared" ref="O51:O92" si="7">(O6*J6)</f>
        <v>0</v>
      </c>
      <c r="P51" s="80">
        <f t="shared" ref="P51:P92" si="8">(P6*J6)</f>
        <v>0</v>
      </c>
      <c r="Q51" s="78">
        <f t="shared" ref="Q51:Q92" si="9">(Q6*J6)</f>
        <v>0</v>
      </c>
      <c r="R51" s="79">
        <f t="shared" ref="R51:R92" si="10">(R6*J6)</f>
        <v>0</v>
      </c>
      <c r="S51" s="79">
        <f t="shared" ref="S51:S92" si="11">(S6*J6)</f>
        <v>0</v>
      </c>
      <c r="T51" s="78">
        <f t="shared" ref="T51:T92" si="12">(T6*J6)</f>
        <v>0</v>
      </c>
      <c r="U51" s="78">
        <f t="shared" ref="U51:U92" si="13">(U6*J6)</f>
        <v>0</v>
      </c>
      <c r="V51" s="79">
        <f t="shared" ref="V51:V92" si="14">(V6*J6)</f>
        <v>0</v>
      </c>
      <c r="W51" s="78">
        <f t="shared" ref="W51:W92" si="15">(W6*J6)</f>
        <v>0</v>
      </c>
      <c r="X51" s="78">
        <f t="shared" ref="X51:X92" si="16">(X6*J6)</f>
        <v>0</v>
      </c>
      <c r="Y51" s="78">
        <f t="shared" ref="Y51:Y92" si="17">(Y6*J6)</f>
        <v>0</v>
      </c>
      <c r="Z51" s="80">
        <f t="shared" ref="Z51:Z92" si="18">(Z6*J6)</f>
        <v>0</v>
      </c>
      <c r="AA51" s="80">
        <f t="shared" ref="AA51:AA92" si="19">(AA6*J6)</f>
        <v>0</v>
      </c>
      <c r="AB51" s="80">
        <f t="shared" ref="AB51:AB92" si="20">(AB6*J6)</f>
        <v>0</v>
      </c>
      <c r="AC51" s="78">
        <f t="shared" ref="AC51:AC92" si="21">(AC6*J6)</f>
        <v>0</v>
      </c>
      <c r="AD51" s="80">
        <f t="shared" ref="AD51:AD92" si="22">(AD6*J6)</f>
        <v>0</v>
      </c>
      <c r="AE51" s="80">
        <f t="shared" ref="AE51:AE92" si="23">(AE6*J6)</f>
        <v>0</v>
      </c>
      <c r="AF51" s="79">
        <f t="shared" ref="AF51:AF92" si="24">(AF6*J6)</f>
        <v>0</v>
      </c>
      <c r="AG51" s="80">
        <f t="shared" ref="AG51:AG92" si="25">(AG6*J6)</f>
        <v>0</v>
      </c>
      <c r="AH51" s="80">
        <f t="shared" ref="AH51:AH92" si="26">(AH6*J6)</f>
        <v>0</v>
      </c>
      <c r="AI51" s="78">
        <f t="shared" ref="AI51:AI92" si="27">(AI6*J6)</f>
        <v>0</v>
      </c>
      <c r="AJ51" s="80">
        <f t="shared" ref="AJ51:AJ92" si="28">(AJ6*J6)</f>
        <v>0</v>
      </c>
      <c r="AK51" s="78">
        <f t="shared" ref="AK51:AK92" si="29">(AK6*J6)</f>
        <v>0</v>
      </c>
    </row>
    <row r="52" ht="15.75" hidden="1" customHeight="1">
      <c r="D52" s="76" t="s">
        <v>127</v>
      </c>
      <c r="E52" s="20"/>
      <c r="F52" s="20"/>
      <c r="G52" s="20"/>
      <c r="H52" s="20"/>
      <c r="I52" s="21"/>
      <c r="J52" s="77" t="str">
        <f t="shared" si="2"/>
        <v/>
      </c>
      <c r="K52" s="78">
        <f t="shared" si="3"/>
        <v>0</v>
      </c>
      <c r="L52" s="79">
        <f t="shared" si="4"/>
        <v>0</v>
      </c>
      <c r="M52" s="79">
        <f t="shared" si="5"/>
        <v>0</v>
      </c>
      <c r="N52" s="80">
        <f t="shared" si="6"/>
        <v>0</v>
      </c>
      <c r="O52" s="80">
        <f t="shared" si="7"/>
        <v>0</v>
      </c>
      <c r="P52" s="80">
        <f t="shared" si="8"/>
        <v>0</v>
      </c>
      <c r="Q52" s="78">
        <f t="shared" si="9"/>
        <v>0</v>
      </c>
      <c r="R52" s="79">
        <f t="shared" si="10"/>
        <v>0</v>
      </c>
      <c r="S52" s="79">
        <f t="shared" si="11"/>
        <v>0</v>
      </c>
      <c r="T52" s="78">
        <f t="shared" si="12"/>
        <v>0</v>
      </c>
      <c r="U52" s="78">
        <f t="shared" si="13"/>
        <v>0</v>
      </c>
      <c r="V52" s="79">
        <f t="shared" si="14"/>
        <v>0</v>
      </c>
      <c r="W52" s="78">
        <f t="shared" si="15"/>
        <v>0</v>
      </c>
      <c r="X52" s="78">
        <f t="shared" si="16"/>
        <v>0</v>
      </c>
      <c r="Y52" s="78">
        <f t="shared" si="17"/>
        <v>0</v>
      </c>
      <c r="Z52" s="80">
        <f t="shared" si="18"/>
        <v>0</v>
      </c>
      <c r="AA52" s="80">
        <f t="shared" si="19"/>
        <v>0</v>
      </c>
      <c r="AB52" s="80">
        <f t="shared" si="20"/>
        <v>0</v>
      </c>
      <c r="AC52" s="78">
        <f t="shared" si="21"/>
        <v>0</v>
      </c>
      <c r="AD52" s="80">
        <f t="shared" si="22"/>
        <v>0</v>
      </c>
      <c r="AE52" s="80">
        <f t="shared" si="23"/>
        <v>0</v>
      </c>
      <c r="AF52" s="79">
        <f t="shared" si="24"/>
        <v>0</v>
      </c>
      <c r="AG52" s="80">
        <f t="shared" si="25"/>
        <v>0</v>
      </c>
      <c r="AH52" s="80">
        <f t="shared" si="26"/>
        <v>0</v>
      </c>
      <c r="AI52" s="78">
        <f t="shared" si="27"/>
        <v>0</v>
      </c>
      <c r="AJ52" s="80">
        <f t="shared" si="28"/>
        <v>0</v>
      </c>
      <c r="AK52" s="78">
        <f t="shared" si="29"/>
        <v>0</v>
      </c>
    </row>
    <row r="53" ht="15.75" hidden="1" customHeight="1">
      <c r="D53" s="76" t="s">
        <v>128</v>
      </c>
      <c r="E53" s="20"/>
      <c r="F53" s="20"/>
      <c r="G53" s="20"/>
      <c r="H53" s="20"/>
      <c r="I53" s="21"/>
      <c r="J53" s="77" t="str">
        <f t="shared" si="2"/>
        <v/>
      </c>
      <c r="K53" s="78">
        <f t="shared" si="3"/>
        <v>0</v>
      </c>
      <c r="L53" s="79">
        <f t="shared" si="4"/>
        <v>0</v>
      </c>
      <c r="M53" s="79">
        <f t="shared" si="5"/>
        <v>0</v>
      </c>
      <c r="N53" s="80">
        <f t="shared" si="6"/>
        <v>0</v>
      </c>
      <c r="O53" s="80">
        <f t="shared" si="7"/>
        <v>0</v>
      </c>
      <c r="P53" s="80">
        <f t="shared" si="8"/>
        <v>0</v>
      </c>
      <c r="Q53" s="78">
        <f t="shared" si="9"/>
        <v>0</v>
      </c>
      <c r="R53" s="79">
        <f t="shared" si="10"/>
        <v>0</v>
      </c>
      <c r="S53" s="79">
        <f t="shared" si="11"/>
        <v>0</v>
      </c>
      <c r="T53" s="78">
        <f t="shared" si="12"/>
        <v>0</v>
      </c>
      <c r="U53" s="78">
        <f t="shared" si="13"/>
        <v>0</v>
      </c>
      <c r="V53" s="79">
        <f t="shared" si="14"/>
        <v>0</v>
      </c>
      <c r="W53" s="78">
        <f t="shared" si="15"/>
        <v>0</v>
      </c>
      <c r="X53" s="78">
        <f t="shared" si="16"/>
        <v>0</v>
      </c>
      <c r="Y53" s="78">
        <f t="shared" si="17"/>
        <v>0</v>
      </c>
      <c r="Z53" s="80">
        <f t="shared" si="18"/>
        <v>0</v>
      </c>
      <c r="AA53" s="80">
        <f t="shared" si="19"/>
        <v>0</v>
      </c>
      <c r="AB53" s="80">
        <f t="shared" si="20"/>
        <v>0</v>
      </c>
      <c r="AC53" s="78">
        <f t="shared" si="21"/>
        <v>0</v>
      </c>
      <c r="AD53" s="80">
        <f t="shared" si="22"/>
        <v>0</v>
      </c>
      <c r="AE53" s="80">
        <f t="shared" si="23"/>
        <v>0</v>
      </c>
      <c r="AF53" s="79">
        <f t="shared" si="24"/>
        <v>0</v>
      </c>
      <c r="AG53" s="80">
        <f t="shared" si="25"/>
        <v>0</v>
      </c>
      <c r="AH53" s="80">
        <f t="shared" si="26"/>
        <v>0</v>
      </c>
      <c r="AI53" s="78">
        <f t="shared" si="27"/>
        <v>0</v>
      </c>
      <c r="AJ53" s="80">
        <f t="shared" si="28"/>
        <v>0</v>
      </c>
      <c r="AK53" s="78">
        <f t="shared" si="29"/>
        <v>0</v>
      </c>
    </row>
    <row r="54" ht="15.75" hidden="1" customHeight="1">
      <c r="D54" s="76" t="s">
        <v>129</v>
      </c>
      <c r="E54" s="20"/>
      <c r="F54" s="20"/>
      <c r="G54" s="20"/>
      <c r="H54" s="20"/>
      <c r="I54" s="21"/>
      <c r="J54" s="77" t="str">
        <f t="shared" si="2"/>
        <v/>
      </c>
      <c r="K54" s="78">
        <f t="shared" si="3"/>
        <v>0</v>
      </c>
      <c r="L54" s="79">
        <f t="shared" si="4"/>
        <v>0</v>
      </c>
      <c r="M54" s="79">
        <f t="shared" si="5"/>
        <v>0</v>
      </c>
      <c r="N54" s="80">
        <f t="shared" si="6"/>
        <v>0</v>
      </c>
      <c r="O54" s="80">
        <f t="shared" si="7"/>
        <v>0</v>
      </c>
      <c r="P54" s="80">
        <f t="shared" si="8"/>
        <v>0</v>
      </c>
      <c r="Q54" s="78">
        <f t="shared" si="9"/>
        <v>0</v>
      </c>
      <c r="R54" s="79">
        <f t="shared" si="10"/>
        <v>0</v>
      </c>
      <c r="S54" s="79">
        <f t="shared" si="11"/>
        <v>0</v>
      </c>
      <c r="T54" s="78">
        <f t="shared" si="12"/>
        <v>0</v>
      </c>
      <c r="U54" s="78">
        <f t="shared" si="13"/>
        <v>0</v>
      </c>
      <c r="V54" s="79">
        <f t="shared" si="14"/>
        <v>0</v>
      </c>
      <c r="W54" s="78">
        <f t="shared" si="15"/>
        <v>0</v>
      </c>
      <c r="X54" s="78">
        <f t="shared" si="16"/>
        <v>0</v>
      </c>
      <c r="Y54" s="78">
        <f t="shared" si="17"/>
        <v>0</v>
      </c>
      <c r="Z54" s="80">
        <f t="shared" si="18"/>
        <v>0</v>
      </c>
      <c r="AA54" s="80">
        <f t="shared" si="19"/>
        <v>0</v>
      </c>
      <c r="AB54" s="80">
        <f t="shared" si="20"/>
        <v>0</v>
      </c>
      <c r="AC54" s="78">
        <f t="shared" si="21"/>
        <v>0</v>
      </c>
      <c r="AD54" s="80">
        <f t="shared" si="22"/>
        <v>0</v>
      </c>
      <c r="AE54" s="80">
        <f t="shared" si="23"/>
        <v>0</v>
      </c>
      <c r="AF54" s="79">
        <f t="shared" si="24"/>
        <v>0</v>
      </c>
      <c r="AG54" s="80">
        <f t="shared" si="25"/>
        <v>0</v>
      </c>
      <c r="AH54" s="80">
        <f t="shared" si="26"/>
        <v>0</v>
      </c>
      <c r="AI54" s="78">
        <f t="shared" si="27"/>
        <v>0</v>
      </c>
      <c r="AJ54" s="80">
        <f t="shared" si="28"/>
        <v>0</v>
      </c>
      <c r="AK54" s="78">
        <f t="shared" si="29"/>
        <v>0</v>
      </c>
    </row>
    <row r="55" ht="15.75" hidden="1" customHeight="1">
      <c r="D55" s="76" t="s">
        <v>132</v>
      </c>
      <c r="E55" s="20"/>
      <c r="F55" s="20"/>
      <c r="G55" s="20"/>
      <c r="H55" s="20"/>
      <c r="I55" s="21"/>
      <c r="J55" s="77" t="str">
        <f t="shared" si="2"/>
        <v/>
      </c>
      <c r="K55" s="78">
        <f t="shared" si="3"/>
        <v>0</v>
      </c>
      <c r="L55" s="79">
        <f t="shared" si="4"/>
        <v>0</v>
      </c>
      <c r="M55" s="79">
        <f t="shared" si="5"/>
        <v>0</v>
      </c>
      <c r="N55" s="80">
        <f t="shared" si="6"/>
        <v>0</v>
      </c>
      <c r="O55" s="80">
        <f t="shared" si="7"/>
        <v>0</v>
      </c>
      <c r="P55" s="80">
        <f t="shared" si="8"/>
        <v>0</v>
      </c>
      <c r="Q55" s="78">
        <f t="shared" si="9"/>
        <v>0</v>
      </c>
      <c r="R55" s="79">
        <f t="shared" si="10"/>
        <v>0</v>
      </c>
      <c r="S55" s="79">
        <f t="shared" si="11"/>
        <v>0</v>
      </c>
      <c r="T55" s="78">
        <f t="shared" si="12"/>
        <v>0</v>
      </c>
      <c r="U55" s="78">
        <f t="shared" si="13"/>
        <v>0</v>
      </c>
      <c r="V55" s="79">
        <f t="shared" si="14"/>
        <v>0</v>
      </c>
      <c r="W55" s="78">
        <f t="shared" si="15"/>
        <v>0</v>
      </c>
      <c r="X55" s="78">
        <f t="shared" si="16"/>
        <v>0</v>
      </c>
      <c r="Y55" s="78">
        <f t="shared" si="17"/>
        <v>0</v>
      </c>
      <c r="Z55" s="80">
        <f t="shared" si="18"/>
        <v>0</v>
      </c>
      <c r="AA55" s="80">
        <f t="shared" si="19"/>
        <v>0</v>
      </c>
      <c r="AB55" s="80">
        <f t="shared" si="20"/>
        <v>0</v>
      </c>
      <c r="AC55" s="78">
        <f t="shared" si="21"/>
        <v>0</v>
      </c>
      <c r="AD55" s="80">
        <f t="shared" si="22"/>
        <v>0</v>
      </c>
      <c r="AE55" s="80">
        <f t="shared" si="23"/>
        <v>0</v>
      </c>
      <c r="AF55" s="79">
        <f t="shared" si="24"/>
        <v>0</v>
      </c>
      <c r="AG55" s="80">
        <f t="shared" si="25"/>
        <v>0</v>
      </c>
      <c r="AH55" s="80">
        <f t="shared" si="26"/>
        <v>0</v>
      </c>
      <c r="AI55" s="78">
        <f t="shared" si="27"/>
        <v>0</v>
      </c>
      <c r="AJ55" s="80">
        <f t="shared" si="28"/>
        <v>0</v>
      </c>
      <c r="AK55" s="78">
        <f t="shared" si="29"/>
        <v>0</v>
      </c>
    </row>
    <row r="56" ht="15.75" hidden="1" customHeight="1">
      <c r="D56" s="76" t="s">
        <v>135</v>
      </c>
      <c r="E56" s="81"/>
      <c r="F56" s="81"/>
      <c r="G56" s="81"/>
      <c r="H56" s="81"/>
      <c r="I56" s="82"/>
      <c r="J56" s="77" t="str">
        <f t="shared" si="2"/>
        <v/>
      </c>
      <c r="K56" s="78">
        <f t="shared" si="3"/>
        <v>0</v>
      </c>
      <c r="L56" s="79">
        <f t="shared" si="4"/>
        <v>0</v>
      </c>
      <c r="M56" s="79">
        <f t="shared" si="5"/>
        <v>0</v>
      </c>
      <c r="N56" s="80">
        <f t="shared" si="6"/>
        <v>0</v>
      </c>
      <c r="O56" s="80">
        <f t="shared" si="7"/>
        <v>0</v>
      </c>
      <c r="P56" s="80">
        <f t="shared" si="8"/>
        <v>0</v>
      </c>
      <c r="Q56" s="78">
        <f t="shared" si="9"/>
        <v>0</v>
      </c>
      <c r="R56" s="79">
        <f t="shared" si="10"/>
        <v>0</v>
      </c>
      <c r="S56" s="79">
        <f t="shared" si="11"/>
        <v>0</v>
      </c>
      <c r="T56" s="78">
        <f t="shared" si="12"/>
        <v>0</v>
      </c>
      <c r="U56" s="78">
        <f t="shared" si="13"/>
        <v>0</v>
      </c>
      <c r="V56" s="79">
        <f t="shared" si="14"/>
        <v>0</v>
      </c>
      <c r="W56" s="78">
        <f t="shared" si="15"/>
        <v>0</v>
      </c>
      <c r="X56" s="78">
        <f t="shared" si="16"/>
        <v>0</v>
      </c>
      <c r="Y56" s="78">
        <f t="shared" si="17"/>
        <v>0</v>
      </c>
      <c r="Z56" s="80">
        <f t="shared" si="18"/>
        <v>0</v>
      </c>
      <c r="AA56" s="80">
        <f t="shared" si="19"/>
        <v>0</v>
      </c>
      <c r="AB56" s="80">
        <f t="shared" si="20"/>
        <v>0</v>
      </c>
      <c r="AC56" s="78">
        <f t="shared" si="21"/>
        <v>0</v>
      </c>
      <c r="AD56" s="80">
        <f t="shared" si="22"/>
        <v>0</v>
      </c>
      <c r="AE56" s="80">
        <f t="shared" si="23"/>
        <v>0</v>
      </c>
      <c r="AF56" s="79">
        <f t="shared" si="24"/>
        <v>0</v>
      </c>
      <c r="AG56" s="80">
        <f t="shared" si="25"/>
        <v>0</v>
      </c>
      <c r="AH56" s="80">
        <f t="shared" si="26"/>
        <v>0</v>
      </c>
      <c r="AI56" s="78">
        <f t="shared" si="27"/>
        <v>0</v>
      </c>
      <c r="AJ56" s="80">
        <f t="shared" si="28"/>
        <v>0</v>
      </c>
      <c r="AK56" s="78">
        <f t="shared" si="29"/>
        <v>0</v>
      </c>
    </row>
    <row r="57" ht="15.75" hidden="1" customHeight="1">
      <c r="D57" s="76" t="s">
        <v>138</v>
      </c>
      <c r="E57" s="20"/>
      <c r="F57" s="20"/>
      <c r="G57" s="20"/>
      <c r="H57" s="20"/>
      <c r="I57" s="21"/>
      <c r="J57" s="77" t="str">
        <f t="shared" si="2"/>
        <v/>
      </c>
      <c r="K57" s="78">
        <f t="shared" si="3"/>
        <v>0</v>
      </c>
      <c r="L57" s="79">
        <f t="shared" si="4"/>
        <v>0</v>
      </c>
      <c r="M57" s="79">
        <f t="shared" si="5"/>
        <v>0</v>
      </c>
      <c r="N57" s="80">
        <f t="shared" si="6"/>
        <v>0</v>
      </c>
      <c r="O57" s="80">
        <f t="shared" si="7"/>
        <v>0</v>
      </c>
      <c r="P57" s="80">
        <f t="shared" si="8"/>
        <v>0</v>
      </c>
      <c r="Q57" s="78">
        <f t="shared" si="9"/>
        <v>0</v>
      </c>
      <c r="R57" s="79">
        <f t="shared" si="10"/>
        <v>0</v>
      </c>
      <c r="S57" s="79">
        <f t="shared" si="11"/>
        <v>0</v>
      </c>
      <c r="T57" s="78">
        <f t="shared" si="12"/>
        <v>0</v>
      </c>
      <c r="U57" s="78">
        <f t="shared" si="13"/>
        <v>0</v>
      </c>
      <c r="V57" s="79">
        <f t="shared" si="14"/>
        <v>0</v>
      </c>
      <c r="W57" s="78">
        <f t="shared" si="15"/>
        <v>0</v>
      </c>
      <c r="X57" s="78">
        <f t="shared" si="16"/>
        <v>0</v>
      </c>
      <c r="Y57" s="78">
        <f t="shared" si="17"/>
        <v>0</v>
      </c>
      <c r="Z57" s="80">
        <f t="shared" si="18"/>
        <v>0</v>
      </c>
      <c r="AA57" s="80">
        <f t="shared" si="19"/>
        <v>0</v>
      </c>
      <c r="AB57" s="80">
        <f t="shared" si="20"/>
        <v>0</v>
      </c>
      <c r="AC57" s="78">
        <f t="shared" si="21"/>
        <v>0</v>
      </c>
      <c r="AD57" s="80">
        <f t="shared" si="22"/>
        <v>0</v>
      </c>
      <c r="AE57" s="80">
        <f t="shared" si="23"/>
        <v>0</v>
      </c>
      <c r="AF57" s="79">
        <f t="shared" si="24"/>
        <v>0</v>
      </c>
      <c r="AG57" s="80">
        <f t="shared" si="25"/>
        <v>0</v>
      </c>
      <c r="AH57" s="80">
        <f t="shared" si="26"/>
        <v>0</v>
      </c>
      <c r="AI57" s="78">
        <f t="shared" si="27"/>
        <v>0</v>
      </c>
      <c r="AJ57" s="80">
        <f t="shared" si="28"/>
        <v>0</v>
      </c>
      <c r="AK57" s="78">
        <f t="shared" si="29"/>
        <v>0</v>
      </c>
    </row>
    <row r="58" ht="15.75" hidden="1" customHeight="1">
      <c r="D58" s="76" t="s">
        <v>140</v>
      </c>
      <c r="E58" s="20"/>
      <c r="F58" s="20"/>
      <c r="G58" s="20"/>
      <c r="H58" s="20"/>
      <c r="I58" s="21"/>
      <c r="J58" s="77" t="str">
        <f t="shared" si="2"/>
        <v/>
      </c>
      <c r="K58" s="78">
        <f t="shared" si="3"/>
        <v>0</v>
      </c>
      <c r="L58" s="79">
        <f t="shared" si="4"/>
        <v>0</v>
      </c>
      <c r="M58" s="79">
        <f t="shared" si="5"/>
        <v>0</v>
      </c>
      <c r="N58" s="80">
        <f t="shared" si="6"/>
        <v>0</v>
      </c>
      <c r="O58" s="80">
        <f t="shared" si="7"/>
        <v>0</v>
      </c>
      <c r="P58" s="80">
        <f t="shared" si="8"/>
        <v>0</v>
      </c>
      <c r="Q58" s="78">
        <f t="shared" si="9"/>
        <v>0</v>
      </c>
      <c r="R58" s="79">
        <f t="shared" si="10"/>
        <v>0</v>
      </c>
      <c r="S58" s="79">
        <f t="shared" si="11"/>
        <v>0</v>
      </c>
      <c r="T58" s="78">
        <f t="shared" si="12"/>
        <v>0</v>
      </c>
      <c r="U58" s="78">
        <f t="shared" si="13"/>
        <v>0</v>
      </c>
      <c r="V58" s="79">
        <f t="shared" si="14"/>
        <v>0</v>
      </c>
      <c r="W58" s="78">
        <f t="shared" si="15"/>
        <v>0</v>
      </c>
      <c r="X58" s="78">
        <f t="shared" si="16"/>
        <v>0</v>
      </c>
      <c r="Y58" s="78">
        <f t="shared" si="17"/>
        <v>0</v>
      </c>
      <c r="Z58" s="80">
        <f t="shared" si="18"/>
        <v>0</v>
      </c>
      <c r="AA58" s="80">
        <f t="shared" si="19"/>
        <v>0</v>
      </c>
      <c r="AB58" s="80">
        <f t="shared" si="20"/>
        <v>0</v>
      </c>
      <c r="AC58" s="78">
        <f t="shared" si="21"/>
        <v>0</v>
      </c>
      <c r="AD58" s="80">
        <f t="shared" si="22"/>
        <v>0</v>
      </c>
      <c r="AE58" s="80">
        <f t="shared" si="23"/>
        <v>0</v>
      </c>
      <c r="AF58" s="79">
        <f t="shared" si="24"/>
        <v>0</v>
      </c>
      <c r="AG58" s="80">
        <f t="shared" si="25"/>
        <v>0</v>
      </c>
      <c r="AH58" s="80">
        <f t="shared" si="26"/>
        <v>0</v>
      </c>
      <c r="AI58" s="78">
        <f t="shared" si="27"/>
        <v>0</v>
      </c>
      <c r="AJ58" s="80">
        <f t="shared" si="28"/>
        <v>0</v>
      </c>
      <c r="AK58" s="78">
        <f t="shared" si="29"/>
        <v>0</v>
      </c>
    </row>
    <row r="59" ht="15.75" hidden="1" customHeight="1">
      <c r="D59" s="76" t="s">
        <v>143</v>
      </c>
      <c r="E59" s="20"/>
      <c r="F59" s="20"/>
      <c r="G59" s="20"/>
      <c r="H59" s="20"/>
      <c r="I59" s="21"/>
      <c r="J59" s="77" t="str">
        <f t="shared" si="2"/>
        <v/>
      </c>
      <c r="K59" s="78">
        <f t="shared" si="3"/>
        <v>0</v>
      </c>
      <c r="L59" s="79">
        <f t="shared" si="4"/>
        <v>0</v>
      </c>
      <c r="M59" s="79">
        <f t="shared" si="5"/>
        <v>0</v>
      </c>
      <c r="N59" s="80">
        <f t="shared" si="6"/>
        <v>0</v>
      </c>
      <c r="O59" s="80">
        <f t="shared" si="7"/>
        <v>0</v>
      </c>
      <c r="P59" s="80">
        <f t="shared" si="8"/>
        <v>0</v>
      </c>
      <c r="Q59" s="78">
        <f t="shared" si="9"/>
        <v>0</v>
      </c>
      <c r="R59" s="79">
        <f t="shared" si="10"/>
        <v>0</v>
      </c>
      <c r="S59" s="79">
        <f t="shared" si="11"/>
        <v>0</v>
      </c>
      <c r="T59" s="78">
        <f t="shared" si="12"/>
        <v>0</v>
      </c>
      <c r="U59" s="78">
        <f t="shared" si="13"/>
        <v>0</v>
      </c>
      <c r="V59" s="79">
        <f t="shared" si="14"/>
        <v>0</v>
      </c>
      <c r="W59" s="78">
        <f t="shared" si="15"/>
        <v>0</v>
      </c>
      <c r="X59" s="78">
        <f t="shared" si="16"/>
        <v>0</v>
      </c>
      <c r="Y59" s="78">
        <f t="shared" si="17"/>
        <v>0</v>
      </c>
      <c r="Z59" s="80">
        <f t="shared" si="18"/>
        <v>0</v>
      </c>
      <c r="AA59" s="80">
        <f t="shared" si="19"/>
        <v>0</v>
      </c>
      <c r="AB59" s="80">
        <f t="shared" si="20"/>
        <v>0</v>
      </c>
      <c r="AC59" s="78">
        <f t="shared" si="21"/>
        <v>0</v>
      </c>
      <c r="AD59" s="80">
        <f t="shared" si="22"/>
        <v>0</v>
      </c>
      <c r="AE59" s="80">
        <f t="shared" si="23"/>
        <v>0</v>
      </c>
      <c r="AF59" s="79">
        <f t="shared" si="24"/>
        <v>0</v>
      </c>
      <c r="AG59" s="80">
        <f t="shared" si="25"/>
        <v>0</v>
      </c>
      <c r="AH59" s="80">
        <f t="shared" si="26"/>
        <v>0</v>
      </c>
      <c r="AI59" s="78">
        <f t="shared" si="27"/>
        <v>0</v>
      </c>
      <c r="AJ59" s="80">
        <f t="shared" si="28"/>
        <v>0</v>
      </c>
      <c r="AK59" s="78">
        <f t="shared" si="29"/>
        <v>0</v>
      </c>
    </row>
    <row r="60" ht="15.75" hidden="1" customHeight="1">
      <c r="D60" s="76" t="s">
        <v>146</v>
      </c>
      <c r="E60" s="20"/>
      <c r="F60" s="20"/>
      <c r="G60" s="20"/>
      <c r="H60" s="20"/>
      <c r="I60" s="21"/>
      <c r="J60" s="77" t="str">
        <f t="shared" si="2"/>
        <v/>
      </c>
      <c r="K60" s="78">
        <f t="shared" si="3"/>
        <v>0</v>
      </c>
      <c r="L60" s="79">
        <f t="shared" si="4"/>
        <v>0</v>
      </c>
      <c r="M60" s="79">
        <f t="shared" si="5"/>
        <v>0</v>
      </c>
      <c r="N60" s="80">
        <f t="shared" si="6"/>
        <v>0</v>
      </c>
      <c r="O60" s="80">
        <f t="shared" si="7"/>
        <v>0</v>
      </c>
      <c r="P60" s="80">
        <f t="shared" si="8"/>
        <v>0</v>
      </c>
      <c r="Q60" s="78">
        <f t="shared" si="9"/>
        <v>0</v>
      </c>
      <c r="R60" s="79">
        <f t="shared" si="10"/>
        <v>0</v>
      </c>
      <c r="S60" s="79">
        <f t="shared" si="11"/>
        <v>0</v>
      </c>
      <c r="T60" s="78">
        <f t="shared" si="12"/>
        <v>0</v>
      </c>
      <c r="U60" s="78">
        <f t="shared" si="13"/>
        <v>0</v>
      </c>
      <c r="V60" s="79">
        <f t="shared" si="14"/>
        <v>0</v>
      </c>
      <c r="W60" s="78">
        <f t="shared" si="15"/>
        <v>0</v>
      </c>
      <c r="X60" s="78">
        <f t="shared" si="16"/>
        <v>0</v>
      </c>
      <c r="Y60" s="78">
        <f t="shared" si="17"/>
        <v>0</v>
      </c>
      <c r="Z60" s="80">
        <f t="shared" si="18"/>
        <v>0</v>
      </c>
      <c r="AA60" s="80">
        <f t="shared" si="19"/>
        <v>0</v>
      </c>
      <c r="AB60" s="80">
        <f t="shared" si="20"/>
        <v>0</v>
      </c>
      <c r="AC60" s="78">
        <f t="shared" si="21"/>
        <v>0</v>
      </c>
      <c r="AD60" s="80">
        <f t="shared" si="22"/>
        <v>0</v>
      </c>
      <c r="AE60" s="80">
        <f t="shared" si="23"/>
        <v>0</v>
      </c>
      <c r="AF60" s="79">
        <f t="shared" si="24"/>
        <v>0</v>
      </c>
      <c r="AG60" s="80">
        <f t="shared" si="25"/>
        <v>0</v>
      </c>
      <c r="AH60" s="80">
        <f t="shared" si="26"/>
        <v>0</v>
      </c>
      <c r="AI60" s="78">
        <f t="shared" si="27"/>
        <v>0</v>
      </c>
      <c r="AJ60" s="80">
        <f t="shared" si="28"/>
        <v>0</v>
      </c>
      <c r="AK60" s="78">
        <f t="shared" si="29"/>
        <v>0</v>
      </c>
    </row>
    <row r="61" ht="15.75" hidden="1" customHeight="1">
      <c r="D61" s="76" t="s">
        <v>149</v>
      </c>
      <c r="E61" s="20"/>
      <c r="F61" s="20"/>
      <c r="G61" s="20"/>
      <c r="H61" s="20"/>
      <c r="I61" s="21"/>
      <c r="J61" s="77" t="str">
        <f t="shared" si="2"/>
        <v/>
      </c>
      <c r="K61" s="78">
        <f t="shared" si="3"/>
        <v>0</v>
      </c>
      <c r="L61" s="79">
        <f t="shared" si="4"/>
        <v>0</v>
      </c>
      <c r="M61" s="79">
        <f t="shared" si="5"/>
        <v>0</v>
      </c>
      <c r="N61" s="80">
        <f t="shared" si="6"/>
        <v>0</v>
      </c>
      <c r="O61" s="80">
        <f t="shared" si="7"/>
        <v>0</v>
      </c>
      <c r="P61" s="80">
        <f t="shared" si="8"/>
        <v>0</v>
      </c>
      <c r="Q61" s="78">
        <f t="shared" si="9"/>
        <v>0</v>
      </c>
      <c r="R61" s="79">
        <f t="shared" si="10"/>
        <v>0</v>
      </c>
      <c r="S61" s="79">
        <f t="shared" si="11"/>
        <v>0</v>
      </c>
      <c r="T61" s="78">
        <f t="shared" si="12"/>
        <v>0</v>
      </c>
      <c r="U61" s="78">
        <f t="shared" si="13"/>
        <v>0</v>
      </c>
      <c r="V61" s="79">
        <f t="shared" si="14"/>
        <v>0</v>
      </c>
      <c r="W61" s="78">
        <f t="shared" si="15"/>
        <v>0</v>
      </c>
      <c r="X61" s="78">
        <f t="shared" si="16"/>
        <v>0</v>
      </c>
      <c r="Y61" s="78">
        <f t="shared" si="17"/>
        <v>0</v>
      </c>
      <c r="Z61" s="80">
        <f t="shared" si="18"/>
        <v>0</v>
      </c>
      <c r="AA61" s="80">
        <f t="shared" si="19"/>
        <v>0</v>
      </c>
      <c r="AB61" s="80">
        <f t="shared" si="20"/>
        <v>0</v>
      </c>
      <c r="AC61" s="78">
        <f t="shared" si="21"/>
        <v>0</v>
      </c>
      <c r="AD61" s="80">
        <f t="shared" si="22"/>
        <v>0</v>
      </c>
      <c r="AE61" s="80">
        <f t="shared" si="23"/>
        <v>0</v>
      </c>
      <c r="AF61" s="79">
        <f t="shared" si="24"/>
        <v>0</v>
      </c>
      <c r="AG61" s="80">
        <f t="shared" si="25"/>
        <v>0</v>
      </c>
      <c r="AH61" s="80">
        <f t="shared" si="26"/>
        <v>0</v>
      </c>
      <c r="AI61" s="78">
        <f t="shared" si="27"/>
        <v>0</v>
      </c>
      <c r="AJ61" s="80">
        <f t="shared" si="28"/>
        <v>0</v>
      </c>
      <c r="AK61" s="78">
        <f t="shared" si="29"/>
        <v>0</v>
      </c>
    </row>
    <row r="62" ht="15.75" hidden="1" customHeight="1">
      <c r="D62" s="76" t="s">
        <v>150</v>
      </c>
      <c r="E62" s="20"/>
      <c r="F62" s="20"/>
      <c r="G62" s="20"/>
      <c r="H62" s="20"/>
      <c r="I62" s="21"/>
      <c r="J62" s="77" t="str">
        <f t="shared" si="2"/>
        <v/>
      </c>
      <c r="K62" s="78">
        <f t="shared" si="3"/>
        <v>0</v>
      </c>
      <c r="L62" s="79">
        <f t="shared" si="4"/>
        <v>0</v>
      </c>
      <c r="M62" s="79">
        <f t="shared" si="5"/>
        <v>0</v>
      </c>
      <c r="N62" s="80">
        <f t="shared" si="6"/>
        <v>0</v>
      </c>
      <c r="O62" s="80">
        <f t="shared" si="7"/>
        <v>0</v>
      </c>
      <c r="P62" s="80">
        <f t="shared" si="8"/>
        <v>0</v>
      </c>
      <c r="Q62" s="78">
        <f t="shared" si="9"/>
        <v>0</v>
      </c>
      <c r="R62" s="79">
        <f t="shared" si="10"/>
        <v>0</v>
      </c>
      <c r="S62" s="79">
        <f t="shared" si="11"/>
        <v>0</v>
      </c>
      <c r="T62" s="78">
        <f t="shared" si="12"/>
        <v>0</v>
      </c>
      <c r="U62" s="78">
        <f t="shared" si="13"/>
        <v>0</v>
      </c>
      <c r="V62" s="79">
        <f t="shared" si="14"/>
        <v>0</v>
      </c>
      <c r="W62" s="78">
        <f t="shared" si="15"/>
        <v>0</v>
      </c>
      <c r="X62" s="78">
        <f t="shared" si="16"/>
        <v>0</v>
      </c>
      <c r="Y62" s="78">
        <f t="shared" si="17"/>
        <v>0</v>
      </c>
      <c r="Z62" s="80">
        <f t="shared" si="18"/>
        <v>0</v>
      </c>
      <c r="AA62" s="80">
        <f t="shared" si="19"/>
        <v>0</v>
      </c>
      <c r="AB62" s="80">
        <f t="shared" si="20"/>
        <v>0</v>
      </c>
      <c r="AC62" s="78">
        <f t="shared" si="21"/>
        <v>0</v>
      </c>
      <c r="AD62" s="80">
        <f t="shared" si="22"/>
        <v>0</v>
      </c>
      <c r="AE62" s="80">
        <f t="shared" si="23"/>
        <v>0</v>
      </c>
      <c r="AF62" s="79">
        <f t="shared" si="24"/>
        <v>0</v>
      </c>
      <c r="AG62" s="80">
        <f t="shared" si="25"/>
        <v>0</v>
      </c>
      <c r="AH62" s="80">
        <f t="shared" si="26"/>
        <v>0</v>
      </c>
      <c r="AI62" s="78">
        <f t="shared" si="27"/>
        <v>0</v>
      </c>
      <c r="AJ62" s="80">
        <f t="shared" si="28"/>
        <v>0</v>
      </c>
      <c r="AK62" s="78">
        <f t="shared" si="29"/>
        <v>0</v>
      </c>
    </row>
    <row r="63" ht="15.75" hidden="1" customHeight="1">
      <c r="D63" s="76" t="s">
        <v>153</v>
      </c>
      <c r="E63" s="20"/>
      <c r="F63" s="20"/>
      <c r="G63" s="20"/>
      <c r="H63" s="20"/>
      <c r="I63" s="21"/>
      <c r="J63" s="77" t="str">
        <f t="shared" si="2"/>
        <v/>
      </c>
      <c r="K63" s="78">
        <f t="shared" si="3"/>
        <v>0</v>
      </c>
      <c r="L63" s="79">
        <f t="shared" si="4"/>
        <v>0</v>
      </c>
      <c r="M63" s="79">
        <f t="shared" si="5"/>
        <v>0</v>
      </c>
      <c r="N63" s="80">
        <f t="shared" si="6"/>
        <v>0</v>
      </c>
      <c r="O63" s="80">
        <f t="shared" si="7"/>
        <v>0</v>
      </c>
      <c r="P63" s="80">
        <f t="shared" si="8"/>
        <v>0</v>
      </c>
      <c r="Q63" s="78">
        <f t="shared" si="9"/>
        <v>0</v>
      </c>
      <c r="R63" s="79">
        <f t="shared" si="10"/>
        <v>0</v>
      </c>
      <c r="S63" s="79">
        <f t="shared" si="11"/>
        <v>0</v>
      </c>
      <c r="T63" s="78">
        <f t="shared" si="12"/>
        <v>0</v>
      </c>
      <c r="U63" s="78">
        <f t="shared" si="13"/>
        <v>0</v>
      </c>
      <c r="V63" s="79">
        <f t="shared" si="14"/>
        <v>0</v>
      </c>
      <c r="W63" s="78">
        <f t="shared" si="15"/>
        <v>0</v>
      </c>
      <c r="X63" s="78">
        <f t="shared" si="16"/>
        <v>0</v>
      </c>
      <c r="Y63" s="78">
        <f t="shared" si="17"/>
        <v>0</v>
      </c>
      <c r="Z63" s="80">
        <f t="shared" si="18"/>
        <v>0</v>
      </c>
      <c r="AA63" s="80">
        <f t="shared" si="19"/>
        <v>0</v>
      </c>
      <c r="AB63" s="80">
        <f t="shared" si="20"/>
        <v>0</v>
      </c>
      <c r="AC63" s="78">
        <f t="shared" si="21"/>
        <v>0</v>
      </c>
      <c r="AD63" s="80">
        <f t="shared" si="22"/>
        <v>0</v>
      </c>
      <c r="AE63" s="80">
        <f t="shared" si="23"/>
        <v>0</v>
      </c>
      <c r="AF63" s="79">
        <f t="shared" si="24"/>
        <v>0</v>
      </c>
      <c r="AG63" s="80">
        <f t="shared" si="25"/>
        <v>0</v>
      </c>
      <c r="AH63" s="80">
        <f t="shared" si="26"/>
        <v>0</v>
      </c>
      <c r="AI63" s="78">
        <f t="shared" si="27"/>
        <v>0</v>
      </c>
      <c r="AJ63" s="80">
        <f t="shared" si="28"/>
        <v>0</v>
      </c>
      <c r="AK63" s="78">
        <f t="shared" si="29"/>
        <v>0</v>
      </c>
    </row>
    <row r="64" ht="15.75" hidden="1" customHeight="1">
      <c r="D64" s="76" t="s">
        <v>155</v>
      </c>
      <c r="E64" s="20"/>
      <c r="F64" s="20"/>
      <c r="G64" s="20"/>
      <c r="H64" s="20"/>
      <c r="I64" s="21"/>
      <c r="J64" s="77" t="str">
        <f t="shared" si="2"/>
        <v/>
      </c>
      <c r="K64" s="78">
        <f t="shared" si="3"/>
        <v>0</v>
      </c>
      <c r="L64" s="79">
        <f t="shared" si="4"/>
        <v>0</v>
      </c>
      <c r="M64" s="79">
        <f t="shared" si="5"/>
        <v>0</v>
      </c>
      <c r="N64" s="80">
        <f t="shared" si="6"/>
        <v>0</v>
      </c>
      <c r="O64" s="80">
        <f t="shared" si="7"/>
        <v>0</v>
      </c>
      <c r="P64" s="80">
        <f t="shared" si="8"/>
        <v>0</v>
      </c>
      <c r="Q64" s="78">
        <f t="shared" si="9"/>
        <v>0</v>
      </c>
      <c r="R64" s="79">
        <f t="shared" si="10"/>
        <v>0</v>
      </c>
      <c r="S64" s="79">
        <f t="shared" si="11"/>
        <v>0</v>
      </c>
      <c r="T64" s="78">
        <f t="shared" si="12"/>
        <v>0</v>
      </c>
      <c r="U64" s="78">
        <f t="shared" si="13"/>
        <v>0</v>
      </c>
      <c r="V64" s="79">
        <f t="shared" si="14"/>
        <v>0</v>
      </c>
      <c r="W64" s="78">
        <f t="shared" si="15"/>
        <v>0</v>
      </c>
      <c r="X64" s="78">
        <f t="shared" si="16"/>
        <v>0</v>
      </c>
      <c r="Y64" s="78">
        <f t="shared" si="17"/>
        <v>0</v>
      </c>
      <c r="Z64" s="80">
        <f t="shared" si="18"/>
        <v>0</v>
      </c>
      <c r="AA64" s="80">
        <f t="shared" si="19"/>
        <v>0</v>
      </c>
      <c r="AB64" s="80">
        <f t="shared" si="20"/>
        <v>0</v>
      </c>
      <c r="AC64" s="78">
        <f t="shared" si="21"/>
        <v>0</v>
      </c>
      <c r="AD64" s="80">
        <f t="shared" si="22"/>
        <v>0</v>
      </c>
      <c r="AE64" s="80">
        <f t="shared" si="23"/>
        <v>0</v>
      </c>
      <c r="AF64" s="79">
        <f t="shared" si="24"/>
        <v>0</v>
      </c>
      <c r="AG64" s="80">
        <f t="shared" si="25"/>
        <v>0</v>
      </c>
      <c r="AH64" s="80">
        <f t="shared" si="26"/>
        <v>0</v>
      </c>
      <c r="AI64" s="78">
        <f t="shared" si="27"/>
        <v>0</v>
      </c>
      <c r="AJ64" s="80">
        <f t="shared" si="28"/>
        <v>0</v>
      </c>
      <c r="AK64" s="78">
        <f t="shared" si="29"/>
        <v>0</v>
      </c>
    </row>
    <row r="65" ht="15.75" hidden="1" customHeight="1">
      <c r="D65" s="76" t="s">
        <v>156</v>
      </c>
      <c r="E65" s="20"/>
      <c r="F65" s="20"/>
      <c r="G65" s="20"/>
      <c r="H65" s="20"/>
      <c r="I65" s="21"/>
      <c r="J65" s="77" t="str">
        <f t="shared" si="2"/>
        <v/>
      </c>
      <c r="K65" s="78">
        <f t="shared" si="3"/>
        <v>0</v>
      </c>
      <c r="L65" s="79">
        <f t="shared" si="4"/>
        <v>0</v>
      </c>
      <c r="M65" s="79">
        <f t="shared" si="5"/>
        <v>0</v>
      </c>
      <c r="N65" s="80">
        <f t="shared" si="6"/>
        <v>0</v>
      </c>
      <c r="O65" s="80">
        <f t="shared" si="7"/>
        <v>0</v>
      </c>
      <c r="P65" s="80">
        <f t="shared" si="8"/>
        <v>0</v>
      </c>
      <c r="Q65" s="78">
        <f t="shared" si="9"/>
        <v>0</v>
      </c>
      <c r="R65" s="79">
        <f t="shared" si="10"/>
        <v>0</v>
      </c>
      <c r="S65" s="79">
        <f t="shared" si="11"/>
        <v>0</v>
      </c>
      <c r="T65" s="78">
        <f t="shared" si="12"/>
        <v>0</v>
      </c>
      <c r="U65" s="78">
        <f t="shared" si="13"/>
        <v>0</v>
      </c>
      <c r="V65" s="79">
        <f t="shared" si="14"/>
        <v>0</v>
      </c>
      <c r="W65" s="78">
        <f t="shared" si="15"/>
        <v>0</v>
      </c>
      <c r="X65" s="78">
        <f t="shared" si="16"/>
        <v>0</v>
      </c>
      <c r="Y65" s="78">
        <f t="shared" si="17"/>
        <v>0</v>
      </c>
      <c r="Z65" s="80">
        <f t="shared" si="18"/>
        <v>0</v>
      </c>
      <c r="AA65" s="80">
        <f t="shared" si="19"/>
        <v>0</v>
      </c>
      <c r="AB65" s="80">
        <f t="shared" si="20"/>
        <v>0</v>
      </c>
      <c r="AC65" s="78">
        <f t="shared" si="21"/>
        <v>0</v>
      </c>
      <c r="AD65" s="80">
        <f t="shared" si="22"/>
        <v>0</v>
      </c>
      <c r="AE65" s="80">
        <f t="shared" si="23"/>
        <v>0</v>
      </c>
      <c r="AF65" s="79">
        <f t="shared" si="24"/>
        <v>0</v>
      </c>
      <c r="AG65" s="80">
        <f t="shared" si="25"/>
        <v>0</v>
      </c>
      <c r="AH65" s="80">
        <f t="shared" si="26"/>
        <v>0</v>
      </c>
      <c r="AI65" s="78">
        <f t="shared" si="27"/>
        <v>0</v>
      </c>
      <c r="AJ65" s="80">
        <f t="shared" si="28"/>
        <v>0</v>
      </c>
      <c r="AK65" s="78">
        <f t="shared" si="29"/>
        <v>0</v>
      </c>
    </row>
    <row r="66" ht="15.75" hidden="1" customHeight="1">
      <c r="D66" s="76" t="s">
        <v>159</v>
      </c>
      <c r="E66" s="20"/>
      <c r="F66" s="20"/>
      <c r="G66" s="20"/>
      <c r="H66" s="20"/>
      <c r="I66" s="21"/>
      <c r="J66" s="77" t="str">
        <f t="shared" si="2"/>
        <v/>
      </c>
      <c r="K66" s="78">
        <f t="shared" si="3"/>
        <v>0</v>
      </c>
      <c r="L66" s="79">
        <f t="shared" si="4"/>
        <v>0</v>
      </c>
      <c r="M66" s="79">
        <f t="shared" si="5"/>
        <v>0</v>
      </c>
      <c r="N66" s="80">
        <f t="shared" si="6"/>
        <v>0</v>
      </c>
      <c r="O66" s="80">
        <f t="shared" si="7"/>
        <v>0</v>
      </c>
      <c r="P66" s="80">
        <f t="shared" si="8"/>
        <v>0</v>
      </c>
      <c r="Q66" s="78">
        <f t="shared" si="9"/>
        <v>0</v>
      </c>
      <c r="R66" s="79">
        <f t="shared" si="10"/>
        <v>0</v>
      </c>
      <c r="S66" s="79">
        <f t="shared" si="11"/>
        <v>0</v>
      </c>
      <c r="T66" s="78">
        <f t="shared" si="12"/>
        <v>0</v>
      </c>
      <c r="U66" s="78">
        <f t="shared" si="13"/>
        <v>0</v>
      </c>
      <c r="V66" s="79">
        <f t="shared" si="14"/>
        <v>0</v>
      </c>
      <c r="W66" s="78">
        <f t="shared" si="15"/>
        <v>0</v>
      </c>
      <c r="X66" s="78">
        <f t="shared" si="16"/>
        <v>0</v>
      </c>
      <c r="Y66" s="78">
        <f t="shared" si="17"/>
        <v>0</v>
      </c>
      <c r="Z66" s="80">
        <f t="shared" si="18"/>
        <v>0</v>
      </c>
      <c r="AA66" s="80">
        <f t="shared" si="19"/>
        <v>0</v>
      </c>
      <c r="AB66" s="80">
        <f t="shared" si="20"/>
        <v>0</v>
      </c>
      <c r="AC66" s="78">
        <f t="shared" si="21"/>
        <v>0</v>
      </c>
      <c r="AD66" s="80">
        <f t="shared" si="22"/>
        <v>0</v>
      </c>
      <c r="AE66" s="80">
        <f t="shared" si="23"/>
        <v>0</v>
      </c>
      <c r="AF66" s="79">
        <f t="shared" si="24"/>
        <v>0</v>
      </c>
      <c r="AG66" s="80">
        <f t="shared" si="25"/>
        <v>0</v>
      </c>
      <c r="AH66" s="80">
        <f t="shared" si="26"/>
        <v>0</v>
      </c>
      <c r="AI66" s="78">
        <f t="shared" si="27"/>
        <v>0</v>
      </c>
      <c r="AJ66" s="80">
        <f t="shared" si="28"/>
        <v>0</v>
      </c>
      <c r="AK66" s="78">
        <f t="shared" si="29"/>
        <v>0</v>
      </c>
    </row>
    <row r="67" ht="15.75" hidden="1" customHeight="1">
      <c r="D67" s="76" t="s">
        <v>162</v>
      </c>
      <c r="E67" s="20"/>
      <c r="F67" s="20"/>
      <c r="G67" s="20"/>
      <c r="H67" s="20"/>
      <c r="I67" s="21"/>
      <c r="J67" s="77" t="str">
        <f t="shared" si="2"/>
        <v/>
      </c>
      <c r="K67" s="78">
        <f t="shared" si="3"/>
        <v>0</v>
      </c>
      <c r="L67" s="79">
        <f t="shared" si="4"/>
        <v>0</v>
      </c>
      <c r="M67" s="79">
        <f t="shared" si="5"/>
        <v>0</v>
      </c>
      <c r="N67" s="80">
        <f t="shared" si="6"/>
        <v>0</v>
      </c>
      <c r="O67" s="80">
        <f t="shared" si="7"/>
        <v>0</v>
      </c>
      <c r="P67" s="80">
        <f t="shared" si="8"/>
        <v>0</v>
      </c>
      <c r="Q67" s="78">
        <f t="shared" si="9"/>
        <v>0</v>
      </c>
      <c r="R67" s="79">
        <f t="shared" si="10"/>
        <v>0</v>
      </c>
      <c r="S67" s="79">
        <f t="shared" si="11"/>
        <v>0</v>
      </c>
      <c r="T67" s="78">
        <f t="shared" si="12"/>
        <v>0</v>
      </c>
      <c r="U67" s="78">
        <f t="shared" si="13"/>
        <v>0</v>
      </c>
      <c r="V67" s="79">
        <f t="shared" si="14"/>
        <v>0</v>
      </c>
      <c r="W67" s="78">
        <f t="shared" si="15"/>
        <v>0</v>
      </c>
      <c r="X67" s="78">
        <f t="shared" si="16"/>
        <v>0</v>
      </c>
      <c r="Y67" s="78">
        <f t="shared" si="17"/>
        <v>0</v>
      </c>
      <c r="Z67" s="80">
        <f t="shared" si="18"/>
        <v>0</v>
      </c>
      <c r="AA67" s="80">
        <f t="shared" si="19"/>
        <v>0</v>
      </c>
      <c r="AB67" s="80">
        <f t="shared" si="20"/>
        <v>0</v>
      </c>
      <c r="AC67" s="78">
        <f t="shared" si="21"/>
        <v>0</v>
      </c>
      <c r="AD67" s="80">
        <f t="shared" si="22"/>
        <v>0</v>
      </c>
      <c r="AE67" s="80">
        <f t="shared" si="23"/>
        <v>0</v>
      </c>
      <c r="AF67" s="79">
        <f t="shared" si="24"/>
        <v>0</v>
      </c>
      <c r="AG67" s="80">
        <f t="shared" si="25"/>
        <v>0</v>
      </c>
      <c r="AH67" s="80">
        <f t="shared" si="26"/>
        <v>0</v>
      </c>
      <c r="AI67" s="78">
        <f t="shared" si="27"/>
        <v>0</v>
      </c>
      <c r="AJ67" s="80">
        <f t="shared" si="28"/>
        <v>0</v>
      </c>
      <c r="AK67" s="78">
        <f t="shared" si="29"/>
        <v>0</v>
      </c>
    </row>
    <row r="68" ht="15.75" hidden="1" customHeight="1">
      <c r="D68" s="76" t="s">
        <v>165</v>
      </c>
      <c r="E68" s="20"/>
      <c r="F68" s="20"/>
      <c r="G68" s="20"/>
      <c r="H68" s="20"/>
      <c r="I68" s="21"/>
      <c r="J68" s="77" t="str">
        <f t="shared" si="2"/>
        <v/>
      </c>
      <c r="K68" s="78">
        <f t="shared" si="3"/>
        <v>0</v>
      </c>
      <c r="L68" s="79">
        <f t="shared" si="4"/>
        <v>0</v>
      </c>
      <c r="M68" s="79">
        <f t="shared" si="5"/>
        <v>0</v>
      </c>
      <c r="N68" s="80">
        <f t="shared" si="6"/>
        <v>0</v>
      </c>
      <c r="O68" s="80">
        <f t="shared" si="7"/>
        <v>0</v>
      </c>
      <c r="P68" s="80">
        <f t="shared" si="8"/>
        <v>0</v>
      </c>
      <c r="Q68" s="78">
        <f t="shared" si="9"/>
        <v>0</v>
      </c>
      <c r="R68" s="79">
        <f t="shared" si="10"/>
        <v>0</v>
      </c>
      <c r="S68" s="79">
        <f t="shared" si="11"/>
        <v>0</v>
      </c>
      <c r="T68" s="78">
        <f t="shared" si="12"/>
        <v>0</v>
      </c>
      <c r="U68" s="78">
        <f t="shared" si="13"/>
        <v>0</v>
      </c>
      <c r="V68" s="79">
        <f t="shared" si="14"/>
        <v>0</v>
      </c>
      <c r="W68" s="78">
        <f t="shared" si="15"/>
        <v>0</v>
      </c>
      <c r="X68" s="78">
        <f t="shared" si="16"/>
        <v>0</v>
      </c>
      <c r="Y68" s="78">
        <f t="shared" si="17"/>
        <v>0</v>
      </c>
      <c r="Z68" s="80">
        <f t="shared" si="18"/>
        <v>0</v>
      </c>
      <c r="AA68" s="80">
        <f t="shared" si="19"/>
        <v>0</v>
      </c>
      <c r="AB68" s="80">
        <f t="shared" si="20"/>
        <v>0</v>
      </c>
      <c r="AC68" s="78">
        <f t="shared" si="21"/>
        <v>0</v>
      </c>
      <c r="AD68" s="80">
        <f t="shared" si="22"/>
        <v>0</v>
      </c>
      <c r="AE68" s="80">
        <f t="shared" si="23"/>
        <v>0</v>
      </c>
      <c r="AF68" s="79">
        <f t="shared" si="24"/>
        <v>0</v>
      </c>
      <c r="AG68" s="80">
        <f t="shared" si="25"/>
        <v>0</v>
      </c>
      <c r="AH68" s="80">
        <f t="shared" si="26"/>
        <v>0</v>
      </c>
      <c r="AI68" s="78">
        <f t="shared" si="27"/>
        <v>0</v>
      </c>
      <c r="AJ68" s="80">
        <f t="shared" si="28"/>
        <v>0</v>
      </c>
      <c r="AK68" s="78">
        <f t="shared" si="29"/>
        <v>0</v>
      </c>
    </row>
    <row r="69" ht="15.75" hidden="1" customHeight="1">
      <c r="D69" s="76" t="s">
        <v>167</v>
      </c>
      <c r="E69" s="20"/>
      <c r="F69" s="20"/>
      <c r="G69" s="20"/>
      <c r="H69" s="20"/>
      <c r="I69" s="21"/>
      <c r="J69" s="77" t="str">
        <f t="shared" si="2"/>
        <v/>
      </c>
      <c r="K69" s="78">
        <f t="shared" si="3"/>
        <v>0</v>
      </c>
      <c r="L69" s="79">
        <f t="shared" si="4"/>
        <v>0</v>
      </c>
      <c r="M69" s="79">
        <f t="shared" si="5"/>
        <v>0</v>
      </c>
      <c r="N69" s="80">
        <f t="shared" si="6"/>
        <v>0</v>
      </c>
      <c r="O69" s="80">
        <f t="shared" si="7"/>
        <v>0</v>
      </c>
      <c r="P69" s="80">
        <f t="shared" si="8"/>
        <v>0</v>
      </c>
      <c r="Q69" s="78">
        <f t="shared" si="9"/>
        <v>0</v>
      </c>
      <c r="R69" s="79">
        <f t="shared" si="10"/>
        <v>0</v>
      </c>
      <c r="S69" s="79">
        <f t="shared" si="11"/>
        <v>0</v>
      </c>
      <c r="T69" s="78">
        <f t="shared" si="12"/>
        <v>0</v>
      </c>
      <c r="U69" s="78">
        <f t="shared" si="13"/>
        <v>0</v>
      </c>
      <c r="V69" s="79">
        <f t="shared" si="14"/>
        <v>0</v>
      </c>
      <c r="W69" s="78">
        <f t="shared" si="15"/>
        <v>0</v>
      </c>
      <c r="X69" s="78">
        <f t="shared" si="16"/>
        <v>0</v>
      </c>
      <c r="Y69" s="78">
        <f t="shared" si="17"/>
        <v>0</v>
      </c>
      <c r="Z69" s="80">
        <f t="shared" si="18"/>
        <v>0</v>
      </c>
      <c r="AA69" s="80">
        <f t="shared" si="19"/>
        <v>0</v>
      </c>
      <c r="AB69" s="80">
        <f t="shared" si="20"/>
        <v>0</v>
      </c>
      <c r="AC69" s="78">
        <f t="shared" si="21"/>
        <v>0</v>
      </c>
      <c r="AD69" s="80">
        <f t="shared" si="22"/>
        <v>0</v>
      </c>
      <c r="AE69" s="80">
        <f t="shared" si="23"/>
        <v>0</v>
      </c>
      <c r="AF69" s="79">
        <f t="shared" si="24"/>
        <v>0</v>
      </c>
      <c r="AG69" s="80">
        <f t="shared" si="25"/>
        <v>0</v>
      </c>
      <c r="AH69" s="80">
        <f t="shared" si="26"/>
        <v>0</v>
      </c>
      <c r="AI69" s="78">
        <f t="shared" si="27"/>
        <v>0</v>
      </c>
      <c r="AJ69" s="80">
        <f t="shared" si="28"/>
        <v>0</v>
      </c>
      <c r="AK69" s="78">
        <f t="shared" si="29"/>
        <v>0</v>
      </c>
    </row>
    <row r="70" ht="15.75" hidden="1" customHeight="1">
      <c r="D70" s="76" t="s">
        <v>169</v>
      </c>
      <c r="E70" s="20"/>
      <c r="F70" s="20"/>
      <c r="G70" s="20"/>
      <c r="H70" s="20"/>
      <c r="I70" s="21"/>
      <c r="J70" s="77" t="str">
        <f t="shared" si="2"/>
        <v/>
      </c>
      <c r="K70" s="78">
        <f t="shared" si="3"/>
        <v>0</v>
      </c>
      <c r="L70" s="79">
        <f t="shared" si="4"/>
        <v>0</v>
      </c>
      <c r="M70" s="79">
        <f t="shared" si="5"/>
        <v>0</v>
      </c>
      <c r="N70" s="80">
        <f t="shared" si="6"/>
        <v>0</v>
      </c>
      <c r="O70" s="80">
        <f t="shared" si="7"/>
        <v>0</v>
      </c>
      <c r="P70" s="80">
        <f t="shared" si="8"/>
        <v>0</v>
      </c>
      <c r="Q70" s="78">
        <f t="shared" si="9"/>
        <v>0</v>
      </c>
      <c r="R70" s="79">
        <f t="shared" si="10"/>
        <v>0</v>
      </c>
      <c r="S70" s="79">
        <f t="shared" si="11"/>
        <v>0</v>
      </c>
      <c r="T70" s="78">
        <f t="shared" si="12"/>
        <v>0</v>
      </c>
      <c r="U70" s="78">
        <f t="shared" si="13"/>
        <v>0</v>
      </c>
      <c r="V70" s="79">
        <f t="shared" si="14"/>
        <v>0</v>
      </c>
      <c r="W70" s="78">
        <f t="shared" si="15"/>
        <v>0</v>
      </c>
      <c r="X70" s="78">
        <f t="shared" si="16"/>
        <v>0</v>
      </c>
      <c r="Y70" s="78">
        <f t="shared" si="17"/>
        <v>0</v>
      </c>
      <c r="Z70" s="80">
        <f t="shared" si="18"/>
        <v>0</v>
      </c>
      <c r="AA70" s="80">
        <f t="shared" si="19"/>
        <v>0</v>
      </c>
      <c r="AB70" s="80">
        <f t="shared" si="20"/>
        <v>0</v>
      </c>
      <c r="AC70" s="78">
        <f t="shared" si="21"/>
        <v>0</v>
      </c>
      <c r="AD70" s="80">
        <f t="shared" si="22"/>
        <v>0</v>
      </c>
      <c r="AE70" s="80">
        <f t="shared" si="23"/>
        <v>0</v>
      </c>
      <c r="AF70" s="79">
        <f t="shared" si="24"/>
        <v>0</v>
      </c>
      <c r="AG70" s="80">
        <f t="shared" si="25"/>
        <v>0</v>
      </c>
      <c r="AH70" s="80">
        <f t="shared" si="26"/>
        <v>0</v>
      </c>
      <c r="AI70" s="78">
        <f t="shared" si="27"/>
        <v>0</v>
      </c>
      <c r="AJ70" s="80">
        <f t="shared" si="28"/>
        <v>0</v>
      </c>
      <c r="AK70" s="78">
        <f t="shared" si="29"/>
        <v>0</v>
      </c>
    </row>
    <row r="71" ht="15.75" hidden="1" customHeight="1">
      <c r="D71" s="76" t="s">
        <v>171</v>
      </c>
      <c r="E71" s="20"/>
      <c r="F71" s="20"/>
      <c r="G71" s="20"/>
      <c r="H71" s="20"/>
      <c r="I71" s="21"/>
      <c r="J71" s="77" t="str">
        <f t="shared" si="2"/>
        <v/>
      </c>
      <c r="K71" s="78">
        <f t="shared" si="3"/>
        <v>0</v>
      </c>
      <c r="L71" s="79">
        <f t="shared" si="4"/>
        <v>0</v>
      </c>
      <c r="M71" s="79">
        <f t="shared" si="5"/>
        <v>0</v>
      </c>
      <c r="N71" s="80">
        <f t="shared" si="6"/>
        <v>0</v>
      </c>
      <c r="O71" s="80">
        <f t="shared" si="7"/>
        <v>0</v>
      </c>
      <c r="P71" s="80">
        <f t="shared" si="8"/>
        <v>0</v>
      </c>
      <c r="Q71" s="78">
        <f t="shared" si="9"/>
        <v>0</v>
      </c>
      <c r="R71" s="79">
        <f t="shared" si="10"/>
        <v>0</v>
      </c>
      <c r="S71" s="79">
        <f t="shared" si="11"/>
        <v>0</v>
      </c>
      <c r="T71" s="78">
        <f t="shared" si="12"/>
        <v>0</v>
      </c>
      <c r="U71" s="78">
        <f t="shared" si="13"/>
        <v>0</v>
      </c>
      <c r="V71" s="79">
        <f t="shared" si="14"/>
        <v>0</v>
      </c>
      <c r="W71" s="78">
        <f t="shared" si="15"/>
        <v>0</v>
      </c>
      <c r="X71" s="78">
        <f t="shared" si="16"/>
        <v>0</v>
      </c>
      <c r="Y71" s="78">
        <f t="shared" si="17"/>
        <v>0</v>
      </c>
      <c r="Z71" s="80">
        <f t="shared" si="18"/>
        <v>0</v>
      </c>
      <c r="AA71" s="80">
        <f t="shared" si="19"/>
        <v>0</v>
      </c>
      <c r="AB71" s="80">
        <f t="shared" si="20"/>
        <v>0</v>
      </c>
      <c r="AC71" s="78">
        <f t="shared" si="21"/>
        <v>0</v>
      </c>
      <c r="AD71" s="80">
        <f t="shared" si="22"/>
        <v>0</v>
      </c>
      <c r="AE71" s="80">
        <f t="shared" si="23"/>
        <v>0</v>
      </c>
      <c r="AF71" s="79">
        <f t="shared" si="24"/>
        <v>0</v>
      </c>
      <c r="AG71" s="80">
        <f t="shared" si="25"/>
        <v>0</v>
      </c>
      <c r="AH71" s="80">
        <f t="shared" si="26"/>
        <v>0</v>
      </c>
      <c r="AI71" s="78">
        <f t="shared" si="27"/>
        <v>0</v>
      </c>
      <c r="AJ71" s="80">
        <f t="shared" si="28"/>
        <v>0</v>
      </c>
      <c r="AK71" s="78">
        <f t="shared" si="29"/>
        <v>0</v>
      </c>
    </row>
    <row r="72" ht="15.75" hidden="1" customHeight="1">
      <c r="D72" s="76" t="s">
        <v>173</v>
      </c>
      <c r="E72" s="20"/>
      <c r="F72" s="20"/>
      <c r="G72" s="20"/>
      <c r="H72" s="20"/>
      <c r="I72" s="21"/>
      <c r="J72" s="77" t="str">
        <f t="shared" si="2"/>
        <v/>
      </c>
      <c r="K72" s="78">
        <f t="shared" si="3"/>
        <v>0</v>
      </c>
      <c r="L72" s="79">
        <f t="shared" si="4"/>
        <v>0</v>
      </c>
      <c r="M72" s="79">
        <f t="shared" si="5"/>
        <v>0</v>
      </c>
      <c r="N72" s="80">
        <f t="shared" si="6"/>
        <v>0</v>
      </c>
      <c r="O72" s="80">
        <f t="shared" si="7"/>
        <v>0</v>
      </c>
      <c r="P72" s="80">
        <f t="shared" si="8"/>
        <v>0</v>
      </c>
      <c r="Q72" s="78">
        <f t="shared" si="9"/>
        <v>0</v>
      </c>
      <c r="R72" s="79">
        <f t="shared" si="10"/>
        <v>0</v>
      </c>
      <c r="S72" s="79">
        <f t="shared" si="11"/>
        <v>0</v>
      </c>
      <c r="T72" s="78">
        <f t="shared" si="12"/>
        <v>0</v>
      </c>
      <c r="U72" s="78">
        <f t="shared" si="13"/>
        <v>0</v>
      </c>
      <c r="V72" s="79">
        <f t="shared" si="14"/>
        <v>0</v>
      </c>
      <c r="W72" s="78">
        <f t="shared" si="15"/>
        <v>0</v>
      </c>
      <c r="X72" s="78">
        <f t="shared" si="16"/>
        <v>0</v>
      </c>
      <c r="Y72" s="78">
        <f t="shared" si="17"/>
        <v>0</v>
      </c>
      <c r="Z72" s="80">
        <f t="shared" si="18"/>
        <v>0</v>
      </c>
      <c r="AA72" s="80">
        <f t="shared" si="19"/>
        <v>0</v>
      </c>
      <c r="AB72" s="80">
        <f t="shared" si="20"/>
        <v>0</v>
      </c>
      <c r="AC72" s="78">
        <f t="shared" si="21"/>
        <v>0</v>
      </c>
      <c r="AD72" s="80">
        <f t="shared" si="22"/>
        <v>0</v>
      </c>
      <c r="AE72" s="80">
        <f t="shared" si="23"/>
        <v>0</v>
      </c>
      <c r="AF72" s="79">
        <f t="shared" si="24"/>
        <v>0</v>
      </c>
      <c r="AG72" s="80">
        <f t="shared" si="25"/>
        <v>0</v>
      </c>
      <c r="AH72" s="80">
        <f t="shared" si="26"/>
        <v>0</v>
      </c>
      <c r="AI72" s="78">
        <f t="shared" si="27"/>
        <v>0</v>
      </c>
      <c r="AJ72" s="80">
        <f t="shared" si="28"/>
        <v>0</v>
      </c>
      <c r="AK72" s="78">
        <f t="shared" si="29"/>
        <v>0</v>
      </c>
    </row>
    <row r="73" ht="15.75" hidden="1" customHeight="1">
      <c r="D73" s="76" t="s">
        <v>174</v>
      </c>
      <c r="E73" s="20"/>
      <c r="F73" s="20"/>
      <c r="G73" s="20"/>
      <c r="H73" s="20"/>
      <c r="I73" s="21"/>
      <c r="J73" s="77" t="str">
        <f t="shared" si="2"/>
        <v/>
      </c>
      <c r="K73" s="78">
        <f t="shared" si="3"/>
        <v>0</v>
      </c>
      <c r="L73" s="79">
        <f t="shared" si="4"/>
        <v>0</v>
      </c>
      <c r="M73" s="79">
        <f t="shared" si="5"/>
        <v>0</v>
      </c>
      <c r="N73" s="80">
        <f t="shared" si="6"/>
        <v>0</v>
      </c>
      <c r="O73" s="80">
        <f t="shared" si="7"/>
        <v>0</v>
      </c>
      <c r="P73" s="80">
        <f t="shared" si="8"/>
        <v>0</v>
      </c>
      <c r="Q73" s="78">
        <f t="shared" si="9"/>
        <v>0</v>
      </c>
      <c r="R73" s="79">
        <f t="shared" si="10"/>
        <v>0</v>
      </c>
      <c r="S73" s="79">
        <f t="shared" si="11"/>
        <v>0</v>
      </c>
      <c r="T73" s="78">
        <f t="shared" si="12"/>
        <v>0</v>
      </c>
      <c r="U73" s="78">
        <f t="shared" si="13"/>
        <v>0</v>
      </c>
      <c r="V73" s="79">
        <f t="shared" si="14"/>
        <v>0</v>
      </c>
      <c r="W73" s="78">
        <f t="shared" si="15"/>
        <v>0</v>
      </c>
      <c r="X73" s="78">
        <f t="shared" si="16"/>
        <v>0</v>
      </c>
      <c r="Y73" s="78">
        <f t="shared" si="17"/>
        <v>0</v>
      </c>
      <c r="Z73" s="80">
        <f t="shared" si="18"/>
        <v>0</v>
      </c>
      <c r="AA73" s="80">
        <f t="shared" si="19"/>
        <v>0</v>
      </c>
      <c r="AB73" s="80">
        <f t="shared" si="20"/>
        <v>0</v>
      </c>
      <c r="AC73" s="78">
        <f t="shared" si="21"/>
        <v>0</v>
      </c>
      <c r="AD73" s="80">
        <f t="shared" si="22"/>
        <v>0</v>
      </c>
      <c r="AE73" s="80">
        <f t="shared" si="23"/>
        <v>0</v>
      </c>
      <c r="AF73" s="79">
        <f t="shared" si="24"/>
        <v>0</v>
      </c>
      <c r="AG73" s="80">
        <f t="shared" si="25"/>
        <v>0</v>
      </c>
      <c r="AH73" s="80">
        <f t="shared" si="26"/>
        <v>0</v>
      </c>
      <c r="AI73" s="78">
        <f t="shared" si="27"/>
        <v>0</v>
      </c>
      <c r="AJ73" s="80">
        <f t="shared" si="28"/>
        <v>0</v>
      </c>
      <c r="AK73" s="78">
        <f t="shared" si="29"/>
        <v>0</v>
      </c>
    </row>
    <row r="74" ht="15.75" hidden="1" customHeight="1">
      <c r="D74" s="76" t="s">
        <v>175</v>
      </c>
      <c r="E74" s="20"/>
      <c r="F74" s="20"/>
      <c r="G74" s="20"/>
      <c r="H74" s="20"/>
      <c r="I74" s="21"/>
      <c r="J74" s="77" t="str">
        <f t="shared" si="2"/>
        <v/>
      </c>
      <c r="K74" s="78">
        <f t="shared" si="3"/>
        <v>0</v>
      </c>
      <c r="L74" s="79">
        <f t="shared" si="4"/>
        <v>0</v>
      </c>
      <c r="M74" s="79">
        <f t="shared" si="5"/>
        <v>0</v>
      </c>
      <c r="N74" s="80">
        <f t="shared" si="6"/>
        <v>0</v>
      </c>
      <c r="O74" s="80">
        <f t="shared" si="7"/>
        <v>0</v>
      </c>
      <c r="P74" s="80">
        <f t="shared" si="8"/>
        <v>0</v>
      </c>
      <c r="Q74" s="78">
        <f t="shared" si="9"/>
        <v>0</v>
      </c>
      <c r="R74" s="79">
        <f t="shared" si="10"/>
        <v>0</v>
      </c>
      <c r="S74" s="79">
        <f t="shared" si="11"/>
        <v>0</v>
      </c>
      <c r="T74" s="78">
        <f t="shared" si="12"/>
        <v>0</v>
      </c>
      <c r="U74" s="78">
        <f t="shared" si="13"/>
        <v>0</v>
      </c>
      <c r="V74" s="79">
        <f t="shared" si="14"/>
        <v>0</v>
      </c>
      <c r="W74" s="78">
        <f t="shared" si="15"/>
        <v>0</v>
      </c>
      <c r="X74" s="78">
        <f t="shared" si="16"/>
        <v>0</v>
      </c>
      <c r="Y74" s="78">
        <f t="shared" si="17"/>
        <v>0</v>
      </c>
      <c r="Z74" s="80">
        <f t="shared" si="18"/>
        <v>0</v>
      </c>
      <c r="AA74" s="80">
        <f t="shared" si="19"/>
        <v>0</v>
      </c>
      <c r="AB74" s="80">
        <f t="shared" si="20"/>
        <v>0</v>
      </c>
      <c r="AC74" s="78">
        <f t="shared" si="21"/>
        <v>0</v>
      </c>
      <c r="AD74" s="80">
        <f t="shared" si="22"/>
        <v>0</v>
      </c>
      <c r="AE74" s="80">
        <f t="shared" si="23"/>
        <v>0</v>
      </c>
      <c r="AF74" s="79">
        <f t="shared" si="24"/>
        <v>0</v>
      </c>
      <c r="AG74" s="80">
        <f t="shared" si="25"/>
        <v>0</v>
      </c>
      <c r="AH74" s="80">
        <f t="shared" si="26"/>
        <v>0</v>
      </c>
      <c r="AI74" s="78">
        <f t="shared" si="27"/>
        <v>0</v>
      </c>
      <c r="AJ74" s="80">
        <f t="shared" si="28"/>
        <v>0</v>
      </c>
      <c r="AK74" s="78">
        <f t="shared" si="29"/>
        <v>0</v>
      </c>
    </row>
    <row r="75" ht="15.75" hidden="1" customHeight="1">
      <c r="D75" s="76" t="s">
        <v>176</v>
      </c>
      <c r="E75" s="20"/>
      <c r="F75" s="20"/>
      <c r="G75" s="20"/>
      <c r="H75" s="20"/>
      <c r="I75" s="21"/>
      <c r="J75" s="77" t="str">
        <f t="shared" si="2"/>
        <v/>
      </c>
      <c r="K75" s="78">
        <f t="shared" si="3"/>
        <v>0</v>
      </c>
      <c r="L75" s="79">
        <f t="shared" si="4"/>
        <v>0</v>
      </c>
      <c r="M75" s="79">
        <f t="shared" si="5"/>
        <v>0</v>
      </c>
      <c r="N75" s="80">
        <f t="shared" si="6"/>
        <v>0</v>
      </c>
      <c r="O75" s="80">
        <f t="shared" si="7"/>
        <v>0</v>
      </c>
      <c r="P75" s="80">
        <f t="shared" si="8"/>
        <v>0</v>
      </c>
      <c r="Q75" s="78">
        <f t="shared" si="9"/>
        <v>0</v>
      </c>
      <c r="R75" s="79">
        <f t="shared" si="10"/>
        <v>0</v>
      </c>
      <c r="S75" s="79">
        <f t="shared" si="11"/>
        <v>0</v>
      </c>
      <c r="T75" s="78">
        <f t="shared" si="12"/>
        <v>0</v>
      </c>
      <c r="U75" s="78">
        <f t="shared" si="13"/>
        <v>0</v>
      </c>
      <c r="V75" s="79">
        <f t="shared" si="14"/>
        <v>0</v>
      </c>
      <c r="W75" s="78">
        <f t="shared" si="15"/>
        <v>0</v>
      </c>
      <c r="X75" s="78">
        <f t="shared" si="16"/>
        <v>0</v>
      </c>
      <c r="Y75" s="78">
        <f t="shared" si="17"/>
        <v>0</v>
      </c>
      <c r="Z75" s="80">
        <f t="shared" si="18"/>
        <v>0</v>
      </c>
      <c r="AA75" s="80">
        <f t="shared" si="19"/>
        <v>0</v>
      </c>
      <c r="AB75" s="80">
        <f t="shared" si="20"/>
        <v>0</v>
      </c>
      <c r="AC75" s="78">
        <f t="shared" si="21"/>
        <v>0</v>
      </c>
      <c r="AD75" s="80">
        <f t="shared" si="22"/>
        <v>0</v>
      </c>
      <c r="AE75" s="80">
        <f t="shared" si="23"/>
        <v>0</v>
      </c>
      <c r="AF75" s="79">
        <f t="shared" si="24"/>
        <v>0</v>
      </c>
      <c r="AG75" s="80">
        <f t="shared" si="25"/>
        <v>0</v>
      </c>
      <c r="AH75" s="80">
        <f t="shared" si="26"/>
        <v>0</v>
      </c>
      <c r="AI75" s="78">
        <f t="shared" si="27"/>
        <v>0</v>
      </c>
      <c r="AJ75" s="80">
        <f t="shared" si="28"/>
        <v>0</v>
      </c>
      <c r="AK75" s="78">
        <f t="shared" si="29"/>
        <v>0</v>
      </c>
    </row>
    <row r="76" ht="15.75" hidden="1" customHeight="1">
      <c r="D76" s="76" t="s">
        <v>177</v>
      </c>
      <c r="E76" s="20"/>
      <c r="F76" s="20"/>
      <c r="G76" s="20"/>
      <c r="H76" s="20"/>
      <c r="I76" s="21"/>
      <c r="J76" s="77" t="str">
        <f t="shared" si="2"/>
        <v/>
      </c>
      <c r="K76" s="78">
        <f t="shared" si="3"/>
        <v>0</v>
      </c>
      <c r="L76" s="79">
        <f t="shared" si="4"/>
        <v>0</v>
      </c>
      <c r="M76" s="79">
        <f t="shared" si="5"/>
        <v>0</v>
      </c>
      <c r="N76" s="80">
        <f t="shared" si="6"/>
        <v>0</v>
      </c>
      <c r="O76" s="80">
        <f t="shared" si="7"/>
        <v>0</v>
      </c>
      <c r="P76" s="80">
        <f t="shared" si="8"/>
        <v>0</v>
      </c>
      <c r="Q76" s="78">
        <f t="shared" si="9"/>
        <v>0</v>
      </c>
      <c r="R76" s="79">
        <f t="shared" si="10"/>
        <v>0</v>
      </c>
      <c r="S76" s="79">
        <f t="shared" si="11"/>
        <v>0</v>
      </c>
      <c r="T76" s="78">
        <f t="shared" si="12"/>
        <v>0</v>
      </c>
      <c r="U76" s="78">
        <f t="shared" si="13"/>
        <v>0</v>
      </c>
      <c r="V76" s="79">
        <f t="shared" si="14"/>
        <v>0</v>
      </c>
      <c r="W76" s="78">
        <f t="shared" si="15"/>
        <v>0</v>
      </c>
      <c r="X76" s="78">
        <f t="shared" si="16"/>
        <v>0</v>
      </c>
      <c r="Y76" s="78">
        <f t="shared" si="17"/>
        <v>0</v>
      </c>
      <c r="Z76" s="80">
        <f t="shared" si="18"/>
        <v>0</v>
      </c>
      <c r="AA76" s="80">
        <f t="shared" si="19"/>
        <v>0</v>
      </c>
      <c r="AB76" s="80">
        <f t="shared" si="20"/>
        <v>0</v>
      </c>
      <c r="AC76" s="78">
        <f t="shared" si="21"/>
        <v>0</v>
      </c>
      <c r="AD76" s="80">
        <f t="shared" si="22"/>
        <v>0</v>
      </c>
      <c r="AE76" s="80">
        <f t="shared" si="23"/>
        <v>0</v>
      </c>
      <c r="AF76" s="79">
        <f t="shared" si="24"/>
        <v>0</v>
      </c>
      <c r="AG76" s="80">
        <f t="shared" si="25"/>
        <v>0</v>
      </c>
      <c r="AH76" s="80">
        <f t="shared" si="26"/>
        <v>0</v>
      </c>
      <c r="AI76" s="78">
        <f t="shared" si="27"/>
        <v>0</v>
      </c>
      <c r="AJ76" s="80">
        <f t="shared" si="28"/>
        <v>0</v>
      </c>
      <c r="AK76" s="78">
        <f t="shared" si="29"/>
        <v>0</v>
      </c>
    </row>
    <row r="77" ht="15.75" hidden="1" customHeight="1">
      <c r="D77" s="76" t="s">
        <v>179</v>
      </c>
      <c r="E77" s="20"/>
      <c r="F77" s="20"/>
      <c r="G77" s="20"/>
      <c r="H77" s="20"/>
      <c r="I77" s="21"/>
      <c r="J77" s="77" t="str">
        <f t="shared" si="2"/>
        <v/>
      </c>
      <c r="K77" s="78">
        <f t="shared" si="3"/>
        <v>0</v>
      </c>
      <c r="L77" s="79">
        <f t="shared" si="4"/>
        <v>0</v>
      </c>
      <c r="M77" s="79">
        <f t="shared" si="5"/>
        <v>0</v>
      </c>
      <c r="N77" s="80">
        <f t="shared" si="6"/>
        <v>0</v>
      </c>
      <c r="O77" s="80">
        <f t="shared" si="7"/>
        <v>0</v>
      </c>
      <c r="P77" s="80">
        <f t="shared" si="8"/>
        <v>0</v>
      </c>
      <c r="Q77" s="78">
        <f t="shared" si="9"/>
        <v>0</v>
      </c>
      <c r="R77" s="79">
        <f t="shared" si="10"/>
        <v>0</v>
      </c>
      <c r="S77" s="79">
        <f t="shared" si="11"/>
        <v>0</v>
      </c>
      <c r="T77" s="78">
        <f t="shared" si="12"/>
        <v>0</v>
      </c>
      <c r="U77" s="78">
        <f t="shared" si="13"/>
        <v>0</v>
      </c>
      <c r="V77" s="79">
        <f t="shared" si="14"/>
        <v>0</v>
      </c>
      <c r="W77" s="78">
        <f t="shared" si="15"/>
        <v>0</v>
      </c>
      <c r="X77" s="78">
        <f t="shared" si="16"/>
        <v>0</v>
      </c>
      <c r="Y77" s="78">
        <f t="shared" si="17"/>
        <v>0</v>
      </c>
      <c r="Z77" s="80">
        <f t="shared" si="18"/>
        <v>0</v>
      </c>
      <c r="AA77" s="80">
        <f t="shared" si="19"/>
        <v>0</v>
      </c>
      <c r="AB77" s="80">
        <f t="shared" si="20"/>
        <v>0</v>
      </c>
      <c r="AC77" s="78">
        <f t="shared" si="21"/>
        <v>0</v>
      </c>
      <c r="AD77" s="80">
        <f t="shared" si="22"/>
        <v>0</v>
      </c>
      <c r="AE77" s="80">
        <f t="shared" si="23"/>
        <v>0</v>
      </c>
      <c r="AF77" s="79">
        <f t="shared" si="24"/>
        <v>0</v>
      </c>
      <c r="AG77" s="80">
        <f t="shared" si="25"/>
        <v>0</v>
      </c>
      <c r="AH77" s="80">
        <f t="shared" si="26"/>
        <v>0</v>
      </c>
      <c r="AI77" s="78">
        <f t="shared" si="27"/>
        <v>0</v>
      </c>
      <c r="AJ77" s="80">
        <f t="shared" si="28"/>
        <v>0</v>
      </c>
      <c r="AK77" s="78">
        <f t="shared" si="29"/>
        <v>0</v>
      </c>
    </row>
    <row r="78" ht="15.75" hidden="1" customHeight="1">
      <c r="D78" s="76" t="s">
        <v>181</v>
      </c>
      <c r="E78" s="20"/>
      <c r="F78" s="20"/>
      <c r="G78" s="20"/>
      <c r="H78" s="20"/>
      <c r="I78" s="21"/>
      <c r="J78" s="77" t="str">
        <f t="shared" si="2"/>
        <v/>
      </c>
      <c r="K78" s="78">
        <f t="shared" si="3"/>
        <v>0</v>
      </c>
      <c r="L78" s="79">
        <f t="shared" si="4"/>
        <v>0</v>
      </c>
      <c r="M78" s="79">
        <f t="shared" si="5"/>
        <v>0</v>
      </c>
      <c r="N78" s="80">
        <f t="shared" si="6"/>
        <v>0</v>
      </c>
      <c r="O78" s="80">
        <f t="shared" si="7"/>
        <v>0</v>
      </c>
      <c r="P78" s="80">
        <f t="shared" si="8"/>
        <v>0</v>
      </c>
      <c r="Q78" s="78">
        <f t="shared" si="9"/>
        <v>0</v>
      </c>
      <c r="R78" s="79">
        <f t="shared" si="10"/>
        <v>0</v>
      </c>
      <c r="S78" s="79">
        <f t="shared" si="11"/>
        <v>0</v>
      </c>
      <c r="T78" s="78">
        <f t="shared" si="12"/>
        <v>0</v>
      </c>
      <c r="U78" s="78">
        <f t="shared" si="13"/>
        <v>0</v>
      </c>
      <c r="V78" s="79">
        <f t="shared" si="14"/>
        <v>0</v>
      </c>
      <c r="W78" s="78">
        <f t="shared" si="15"/>
        <v>0</v>
      </c>
      <c r="X78" s="78">
        <f t="shared" si="16"/>
        <v>0</v>
      </c>
      <c r="Y78" s="78">
        <f t="shared" si="17"/>
        <v>0</v>
      </c>
      <c r="Z78" s="80">
        <f t="shared" si="18"/>
        <v>0</v>
      </c>
      <c r="AA78" s="80">
        <f t="shared" si="19"/>
        <v>0</v>
      </c>
      <c r="AB78" s="80">
        <f t="shared" si="20"/>
        <v>0</v>
      </c>
      <c r="AC78" s="78">
        <f t="shared" si="21"/>
        <v>0</v>
      </c>
      <c r="AD78" s="80">
        <f t="shared" si="22"/>
        <v>0</v>
      </c>
      <c r="AE78" s="80">
        <f t="shared" si="23"/>
        <v>0</v>
      </c>
      <c r="AF78" s="79">
        <f t="shared" si="24"/>
        <v>0</v>
      </c>
      <c r="AG78" s="80">
        <f t="shared" si="25"/>
        <v>0</v>
      </c>
      <c r="AH78" s="80">
        <f t="shared" si="26"/>
        <v>0</v>
      </c>
      <c r="AI78" s="78">
        <f t="shared" si="27"/>
        <v>0</v>
      </c>
      <c r="AJ78" s="80">
        <f t="shared" si="28"/>
        <v>0</v>
      </c>
      <c r="AK78" s="78">
        <f t="shared" si="29"/>
        <v>0</v>
      </c>
    </row>
    <row r="79" ht="15.75" hidden="1" customHeight="1">
      <c r="D79" s="76" t="s">
        <v>184</v>
      </c>
      <c r="E79" s="20"/>
      <c r="F79" s="20"/>
      <c r="G79" s="20"/>
      <c r="H79" s="20"/>
      <c r="I79" s="21"/>
      <c r="J79" s="77" t="str">
        <f t="shared" si="2"/>
        <v/>
      </c>
      <c r="K79" s="78">
        <f t="shared" si="3"/>
        <v>0</v>
      </c>
      <c r="L79" s="79">
        <f t="shared" si="4"/>
        <v>0</v>
      </c>
      <c r="M79" s="79">
        <f t="shared" si="5"/>
        <v>0</v>
      </c>
      <c r="N79" s="80">
        <f t="shared" si="6"/>
        <v>0</v>
      </c>
      <c r="O79" s="80">
        <f t="shared" si="7"/>
        <v>0</v>
      </c>
      <c r="P79" s="80">
        <f t="shared" si="8"/>
        <v>0</v>
      </c>
      <c r="Q79" s="78">
        <f t="shared" si="9"/>
        <v>0</v>
      </c>
      <c r="R79" s="79">
        <f t="shared" si="10"/>
        <v>0</v>
      </c>
      <c r="S79" s="79">
        <f t="shared" si="11"/>
        <v>0</v>
      </c>
      <c r="T79" s="78">
        <f t="shared" si="12"/>
        <v>0</v>
      </c>
      <c r="U79" s="78">
        <f t="shared" si="13"/>
        <v>0</v>
      </c>
      <c r="V79" s="79">
        <f t="shared" si="14"/>
        <v>0</v>
      </c>
      <c r="W79" s="78">
        <f t="shared" si="15"/>
        <v>0</v>
      </c>
      <c r="X79" s="78">
        <f t="shared" si="16"/>
        <v>0</v>
      </c>
      <c r="Y79" s="78">
        <f t="shared" si="17"/>
        <v>0</v>
      </c>
      <c r="Z79" s="80">
        <f t="shared" si="18"/>
        <v>0</v>
      </c>
      <c r="AA79" s="80">
        <f t="shared" si="19"/>
        <v>0</v>
      </c>
      <c r="AB79" s="80">
        <f t="shared" si="20"/>
        <v>0</v>
      </c>
      <c r="AC79" s="78">
        <f t="shared" si="21"/>
        <v>0</v>
      </c>
      <c r="AD79" s="80">
        <f t="shared" si="22"/>
        <v>0</v>
      </c>
      <c r="AE79" s="80">
        <f t="shared" si="23"/>
        <v>0</v>
      </c>
      <c r="AF79" s="79">
        <f t="shared" si="24"/>
        <v>0</v>
      </c>
      <c r="AG79" s="80">
        <f t="shared" si="25"/>
        <v>0</v>
      </c>
      <c r="AH79" s="80">
        <f t="shared" si="26"/>
        <v>0</v>
      </c>
      <c r="AI79" s="78">
        <f t="shared" si="27"/>
        <v>0</v>
      </c>
      <c r="AJ79" s="80">
        <f t="shared" si="28"/>
        <v>0</v>
      </c>
      <c r="AK79" s="78">
        <f t="shared" si="29"/>
        <v>0</v>
      </c>
    </row>
    <row r="80" ht="15.75" hidden="1" customHeight="1">
      <c r="D80" s="76" t="s">
        <v>186</v>
      </c>
      <c r="E80" s="20"/>
      <c r="F80" s="20"/>
      <c r="G80" s="20"/>
      <c r="H80" s="20"/>
      <c r="I80" s="21"/>
      <c r="J80" s="77" t="str">
        <f t="shared" si="2"/>
        <v/>
      </c>
      <c r="K80" s="78">
        <f t="shared" si="3"/>
        <v>0</v>
      </c>
      <c r="L80" s="79">
        <f t="shared" si="4"/>
        <v>0</v>
      </c>
      <c r="M80" s="79">
        <f t="shared" si="5"/>
        <v>0</v>
      </c>
      <c r="N80" s="80">
        <f t="shared" si="6"/>
        <v>0</v>
      </c>
      <c r="O80" s="80">
        <f t="shared" si="7"/>
        <v>0</v>
      </c>
      <c r="P80" s="80">
        <f t="shared" si="8"/>
        <v>0</v>
      </c>
      <c r="Q80" s="78">
        <f t="shared" si="9"/>
        <v>0</v>
      </c>
      <c r="R80" s="79">
        <f t="shared" si="10"/>
        <v>0</v>
      </c>
      <c r="S80" s="79">
        <f t="shared" si="11"/>
        <v>0</v>
      </c>
      <c r="T80" s="78">
        <f t="shared" si="12"/>
        <v>0</v>
      </c>
      <c r="U80" s="78">
        <f t="shared" si="13"/>
        <v>0</v>
      </c>
      <c r="V80" s="79">
        <f t="shared" si="14"/>
        <v>0</v>
      </c>
      <c r="W80" s="78">
        <f t="shared" si="15"/>
        <v>0</v>
      </c>
      <c r="X80" s="78">
        <f t="shared" si="16"/>
        <v>0</v>
      </c>
      <c r="Y80" s="78">
        <f t="shared" si="17"/>
        <v>0</v>
      </c>
      <c r="Z80" s="80">
        <f t="shared" si="18"/>
        <v>0</v>
      </c>
      <c r="AA80" s="80">
        <f t="shared" si="19"/>
        <v>0</v>
      </c>
      <c r="AB80" s="80">
        <f t="shared" si="20"/>
        <v>0</v>
      </c>
      <c r="AC80" s="78">
        <f t="shared" si="21"/>
        <v>0</v>
      </c>
      <c r="AD80" s="80">
        <f t="shared" si="22"/>
        <v>0</v>
      </c>
      <c r="AE80" s="80">
        <f t="shared" si="23"/>
        <v>0</v>
      </c>
      <c r="AF80" s="79">
        <f t="shared" si="24"/>
        <v>0</v>
      </c>
      <c r="AG80" s="80">
        <f t="shared" si="25"/>
        <v>0</v>
      </c>
      <c r="AH80" s="80">
        <f t="shared" si="26"/>
        <v>0</v>
      </c>
      <c r="AI80" s="78">
        <f t="shared" si="27"/>
        <v>0</v>
      </c>
      <c r="AJ80" s="80">
        <f t="shared" si="28"/>
        <v>0</v>
      </c>
      <c r="AK80" s="78">
        <f t="shared" si="29"/>
        <v>0</v>
      </c>
    </row>
    <row r="81" ht="15.75" hidden="1" customHeight="1">
      <c r="D81" s="76" t="s">
        <v>189</v>
      </c>
      <c r="E81" s="20"/>
      <c r="F81" s="20"/>
      <c r="G81" s="20"/>
      <c r="H81" s="20"/>
      <c r="I81" s="21"/>
      <c r="J81" s="77" t="str">
        <f t="shared" si="2"/>
        <v/>
      </c>
      <c r="K81" s="78">
        <f t="shared" si="3"/>
        <v>0</v>
      </c>
      <c r="L81" s="79">
        <f t="shared" si="4"/>
        <v>0</v>
      </c>
      <c r="M81" s="79">
        <f t="shared" si="5"/>
        <v>0</v>
      </c>
      <c r="N81" s="80">
        <f t="shared" si="6"/>
        <v>0</v>
      </c>
      <c r="O81" s="80">
        <f t="shared" si="7"/>
        <v>0</v>
      </c>
      <c r="P81" s="80">
        <f t="shared" si="8"/>
        <v>0</v>
      </c>
      <c r="Q81" s="78">
        <f t="shared" si="9"/>
        <v>0</v>
      </c>
      <c r="R81" s="79">
        <f t="shared" si="10"/>
        <v>0</v>
      </c>
      <c r="S81" s="79">
        <f t="shared" si="11"/>
        <v>0</v>
      </c>
      <c r="T81" s="78">
        <f t="shared" si="12"/>
        <v>0</v>
      </c>
      <c r="U81" s="78">
        <f t="shared" si="13"/>
        <v>0</v>
      </c>
      <c r="V81" s="79">
        <f t="shared" si="14"/>
        <v>0</v>
      </c>
      <c r="W81" s="78">
        <f t="shared" si="15"/>
        <v>0</v>
      </c>
      <c r="X81" s="78">
        <f t="shared" si="16"/>
        <v>0</v>
      </c>
      <c r="Y81" s="78">
        <f t="shared" si="17"/>
        <v>0</v>
      </c>
      <c r="Z81" s="80">
        <f t="shared" si="18"/>
        <v>0</v>
      </c>
      <c r="AA81" s="80">
        <f t="shared" si="19"/>
        <v>0</v>
      </c>
      <c r="AB81" s="80">
        <f t="shared" si="20"/>
        <v>0</v>
      </c>
      <c r="AC81" s="78">
        <f t="shared" si="21"/>
        <v>0</v>
      </c>
      <c r="AD81" s="80">
        <f t="shared" si="22"/>
        <v>0</v>
      </c>
      <c r="AE81" s="80">
        <f t="shared" si="23"/>
        <v>0</v>
      </c>
      <c r="AF81" s="79">
        <f t="shared" si="24"/>
        <v>0</v>
      </c>
      <c r="AG81" s="80">
        <f t="shared" si="25"/>
        <v>0</v>
      </c>
      <c r="AH81" s="80">
        <f t="shared" si="26"/>
        <v>0</v>
      </c>
      <c r="AI81" s="78">
        <f t="shared" si="27"/>
        <v>0</v>
      </c>
      <c r="AJ81" s="80">
        <f t="shared" si="28"/>
        <v>0</v>
      </c>
      <c r="AK81" s="78">
        <f t="shared" si="29"/>
        <v>0</v>
      </c>
    </row>
    <row r="82" ht="15.75" hidden="1" customHeight="1">
      <c r="D82" s="76" t="s">
        <v>210</v>
      </c>
      <c r="E82" s="20"/>
      <c r="F82" s="20"/>
      <c r="G82" s="20"/>
      <c r="H82" s="20"/>
      <c r="I82" s="21"/>
      <c r="J82" s="77" t="str">
        <f t="shared" si="2"/>
        <v/>
      </c>
      <c r="K82" s="78">
        <f t="shared" si="3"/>
        <v>0</v>
      </c>
      <c r="L82" s="79">
        <f t="shared" si="4"/>
        <v>0</v>
      </c>
      <c r="M82" s="79">
        <f t="shared" si="5"/>
        <v>0</v>
      </c>
      <c r="N82" s="80">
        <f t="shared" si="6"/>
        <v>0</v>
      </c>
      <c r="O82" s="80">
        <f t="shared" si="7"/>
        <v>0</v>
      </c>
      <c r="P82" s="80">
        <f t="shared" si="8"/>
        <v>0</v>
      </c>
      <c r="Q82" s="78">
        <f t="shared" si="9"/>
        <v>0</v>
      </c>
      <c r="R82" s="79">
        <f t="shared" si="10"/>
        <v>0</v>
      </c>
      <c r="S82" s="79">
        <f t="shared" si="11"/>
        <v>0</v>
      </c>
      <c r="T82" s="78">
        <f t="shared" si="12"/>
        <v>0</v>
      </c>
      <c r="U82" s="78">
        <f t="shared" si="13"/>
        <v>0</v>
      </c>
      <c r="V82" s="79">
        <f t="shared" si="14"/>
        <v>0</v>
      </c>
      <c r="W82" s="78">
        <f t="shared" si="15"/>
        <v>0</v>
      </c>
      <c r="X82" s="78">
        <f t="shared" si="16"/>
        <v>0</v>
      </c>
      <c r="Y82" s="78">
        <f t="shared" si="17"/>
        <v>0</v>
      </c>
      <c r="Z82" s="80">
        <f t="shared" si="18"/>
        <v>0</v>
      </c>
      <c r="AA82" s="80">
        <f t="shared" si="19"/>
        <v>0</v>
      </c>
      <c r="AB82" s="80">
        <f t="shared" si="20"/>
        <v>0</v>
      </c>
      <c r="AC82" s="78">
        <f t="shared" si="21"/>
        <v>0</v>
      </c>
      <c r="AD82" s="80">
        <f t="shared" si="22"/>
        <v>0</v>
      </c>
      <c r="AE82" s="80">
        <f t="shared" si="23"/>
        <v>0</v>
      </c>
      <c r="AF82" s="79">
        <f t="shared" si="24"/>
        <v>0</v>
      </c>
      <c r="AG82" s="80">
        <f t="shared" si="25"/>
        <v>0</v>
      </c>
      <c r="AH82" s="80">
        <f t="shared" si="26"/>
        <v>0</v>
      </c>
      <c r="AI82" s="78">
        <f t="shared" si="27"/>
        <v>0</v>
      </c>
      <c r="AJ82" s="80">
        <f t="shared" si="28"/>
        <v>0</v>
      </c>
      <c r="AK82" s="78">
        <f t="shared" si="29"/>
        <v>0</v>
      </c>
    </row>
    <row r="83" ht="15.75" hidden="1" customHeight="1">
      <c r="D83" s="76" t="s">
        <v>195</v>
      </c>
      <c r="E83" s="20"/>
      <c r="F83" s="20"/>
      <c r="G83" s="20"/>
      <c r="H83" s="20"/>
      <c r="I83" s="21"/>
      <c r="J83" s="77" t="str">
        <f t="shared" si="2"/>
        <v/>
      </c>
      <c r="K83" s="78">
        <f t="shared" si="3"/>
        <v>0</v>
      </c>
      <c r="L83" s="79">
        <f t="shared" si="4"/>
        <v>0</v>
      </c>
      <c r="M83" s="79">
        <f t="shared" si="5"/>
        <v>0</v>
      </c>
      <c r="N83" s="80">
        <f t="shared" si="6"/>
        <v>0</v>
      </c>
      <c r="O83" s="80">
        <f t="shared" si="7"/>
        <v>0</v>
      </c>
      <c r="P83" s="80">
        <f t="shared" si="8"/>
        <v>0</v>
      </c>
      <c r="Q83" s="78">
        <f t="shared" si="9"/>
        <v>0</v>
      </c>
      <c r="R83" s="79">
        <f t="shared" si="10"/>
        <v>0</v>
      </c>
      <c r="S83" s="79">
        <f t="shared" si="11"/>
        <v>0</v>
      </c>
      <c r="T83" s="78">
        <f t="shared" si="12"/>
        <v>0</v>
      </c>
      <c r="U83" s="78">
        <f t="shared" si="13"/>
        <v>0</v>
      </c>
      <c r="V83" s="79">
        <f t="shared" si="14"/>
        <v>0</v>
      </c>
      <c r="W83" s="78">
        <f t="shared" si="15"/>
        <v>0</v>
      </c>
      <c r="X83" s="78">
        <f t="shared" si="16"/>
        <v>0</v>
      </c>
      <c r="Y83" s="78">
        <f t="shared" si="17"/>
        <v>0</v>
      </c>
      <c r="Z83" s="80">
        <f t="shared" si="18"/>
        <v>0</v>
      </c>
      <c r="AA83" s="80">
        <f t="shared" si="19"/>
        <v>0</v>
      </c>
      <c r="AB83" s="80">
        <f t="shared" si="20"/>
        <v>0</v>
      </c>
      <c r="AC83" s="78">
        <f t="shared" si="21"/>
        <v>0</v>
      </c>
      <c r="AD83" s="80">
        <f t="shared" si="22"/>
        <v>0</v>
      </c>
      <c r="AE83" s="80">
        <f t="shared" si="23"/>
        <v>0</v>
      </c>
      <c r="AF83" s="79">
        <f t="shared" si="24"/>
        <v>0</v>
      </c>
      <c r="AG83" s="80">
        <f t="shared" si="25"/>
        <v>0</v>
      </c>
      <c r="AH83" s="80">
        <f t="shared" si="26"/>
        <v>0</v>
      </c>
      <c r="AI83" s="78">
        <f t="shared" si="27"/>
        <v>0</v>
      </c>
      <c r="AJ83" s="80">
        <f t="shared" si="28"/>
        <v>0</v>
      </c>
      <c r="AK83" s="78">
        <f t="shared" si="29"/>
        <v>0</v>
      </c>
    </row>
    <row r="84" ht="15.75" hidden="1" customHeight="1">
      <c r="D84" s="76" t="s">
        <v>196</v>
      </c>
      <c r="E84" s="20"/>
      <c r="F84" s="20"/>
      <c r="G84" s="20"/>
      <c r="H84" s="20"/>
      <c r="I84" s="21"/>
      <c r="J84" s="77" t="str">
        <f t="shared" si="2"/>
        <v/>
      </c>
      <c r="K84" s="78">
        <f t="shared" si="3"/>
        <v>0</v>
      </c>
      <c r="L84" s="79">
        <f t="shared" si="4"/>
        <v>0</v>
      </c>
      <c r="M84" s="79">
        <f t="shared" si="5"/>
        <v>0</v>
      </c>
      <c r="N84" s="80">
        <f t="shared" si="6"/>
        <v>0</v>
      </c>
      <c r="O84" s="80">
        <f t="shared" si="7"/>
        <v>0</v>
      </c>
      <c r="P84" s="80">
        <f t="shared" si="8"/>
        <v>0</v>
      </c>
      <c r="Q84" s="78">
        <f t="shared" si="9"/>
        <v>0</v>
      </c>
      <c r="R84" s="79">
        <f t="shared" si="10"/>
        <v>0</v>
      </c>
      <c r="S84" s="79">
        <f t="shared" si="11"/>
        <v>0</v>
      </c>
      <c r="T84" s="78">
        <f t="shared" si="12"/>
        <v>0</v>
      </c>
      <c r="U84" s="78">
        <f t="shared" si="13"/>
        <v>0</v>
      </c>
      <c r="V84" s="79">
        <f t="shared" si="14"/>
        <v>0</v>
      </c>
      <c r="W84" s="78">
        <f t="shared" si="15"/>
        <v>0</v>
      </c>
      <c r="X84" s="78">
        <f t="shared" si="16"/>
        <v>0</v>
      </c>
      <c r="Y84" s="78">
        <f t="shared" si="17"/>
        <v>0</v>
      </c>
      <c r="Z84" s="80">
        <f t="shared" si="18"/>
        <v>0</v>
      </c>
      <c r="AA84" s="80">
        <f t="shared" si="19"/>
        <v>0</v>
      </c>
      <c r="AB84" s="80">
        <f t="shared" si="20"/>
        <v>0</v>
      </c>
      <c r="AC84" s="78">
        <f t="shared" si="21"/>
        <v>0</v>
      </c>
      <c r="AD84" s="80">
        <f t="shared" si="22"/>
        <v>0</v>
      </c>
      <c r="AE84" s="80">
        <f t="shared" si="23"/>
        <v>0</v>
      </c>
      <c r="AF84" s="79">
        <f t="shared" si="24"/>
        <v>0</v>
      </c>
      <c r="AG84" s="80">
        <f t="shared" si="25"/>
        <v>0</v>
      </c>
      <c r="AH84" s="80">
        <f t="shared" si="26"/>
        <v>0</v>
      </c>
      <c r="AI84" s="78">
        <f t="shared" si="27"/>
        <v>0</v>
      </c>
      <c r="AJ84" s="80">
        <f t="shared" si="28"/>
        <v>0</v>
      </c>
      <c r="AK84" s="78">
        <f t="shared" si="29"/>
        <v>0</v>
      </c>
    </row>
    <row r="85" ht="15.75" hidden="1" customHeight="1">
      <c r="D85" s="76" t="s">
        <v>197</v>
      </c>
      <c r="E85" s="20"/>
      <c r="F85" s="20"/>
      <c r="G85" s="20"/>
      <c r="H85" s="20"/>
      <c r="I85" s="21"/>
      <c r="J85" s="77" t="str">
        <f t="shared" si="2"/>
        <v/>
      </c>
      <c r="K85" s="78">
        <f t="shared" si="3"/>
        <v>0</v>
      </c>
      <c r="L85" s="79">
        <f t="shared" si="4"/>
        <v>0</v>
      </c>
      <c r="M85" s="79">
        <f t="shared" si="5"/>
        <v>0</v>
      </c>
      <c r="N85" s="80">
        <f t="shared" si="6"/>
        <v>0</v>
      </c>
      <c r="O85" s="80">
        <f t="shared" si="7"/>
        <v>0</v>
      </c>
      <c r="P85" s="80">
        <f t="shared" si="8"/>
        <v>0</v>
      </c>
      <c r="Q85" s="78">
        <f t="shared" si="9"/>
        <v>0</v>
      </c>
      <c r="R85" s="79">
        <f t="shared" si="10"/>
        <v>0</v>
      </c>
      <c r="S85" s="79">
        <f t="shared" si="11"/>
        <v>0</v>
      </c>
      <c r="T85" s="78">
        <f t="shared" si="12"/>
        <v>0</v>
      </c>
      <c r="U85" s="78">
        <f t="shared" si="13"/>
        <v>0</v>
      </c>
      <c r="V85" s="79">
        <f t="shared" si="14"/>
        <v>0</v>
      </c>
      <c r="W85" s="78">
        <f t="shared" si="15"/>
        <v>0</v>
      </c>
      <c r="X85" s="78">
        <f t="shared" si="16"/>
        <v>0</v>
      </c>
      <c r="Y85" s="78">
        <f t="shared" si="17"/>
        <v>0</v>
      </c>
      <c r="Z85" s="80">
        <f t="shared" si="18"/>
        <v>0</v>
      </c>
      <c r="AA85" s="80">
        <f t="shared" si="19"/>
        <v>0</v>
      </c>
      <c r="AB85" s="80">
        <f t="shared" si="20"/>
        <v>0</v>
      </c>
      <c r="AC85" s="78">
        <f t="shared" si="21"/>
        <v>0</v>
      </c>
      <c r="AD85" s="80">
        <f t="shared" si="22"/>
        <v>0</v>
      </c>
      <c r="AE85" s="80">
        <f t="shared" si="23"/>
        <v>0</v>
      </c>
      <c r="AF85" s="79">
        <f t="shared" si="24"/>
        <v>0</v>
      </c>
      <c r="AG85" s="80">
        <f t="shared" si="25"/>
        <v>0</v>
      </c>
      <c r="AH85" s="80">
        <f t="shared" si="26"/>
        <v>0</v>
      </c>
      <c r="AI85" s="78">
        <f t="shared" si="27"/>
        <v>0</v>
      </c>
      <c r="AJ85" s="80">
        <f t="shared" si="28"/>
        <v>0</v>
      </c>
      <c r="AK85" s="78">
        <f t="shared" si="29"/>
        <v>0</v>
      </c>
    </row>
    <row r="86" ht="15.75" hidden="1" customHeight="1">
      <c r="D86" s="76" t="s">
        <v>198</v>
      </c>
      <c r="E86" s="20"/>
      <c r="F86" s="20"/>
      <c r="G86" s="20"/>
      <c r="H86" s="20"/>
      <c r="I86" s="21"/>
      <c r="J86" s="77" t="str">
        <f t="shared" si="2"/>
        <v/>
      </c>
      <c r="K86" s="78">
        <f t="shared" si="3"/>
        <v>0</v>
      </c>
      <c r="L86" s="79">
        <f t="shared" si="4"/>
        <v>0</v>
      </c>
      <c r="M86" s="79">
        <f t="shared" si="5"/>
        <v>0</v>
      </c>
      <c r="N86" s="80">
        <f t="shared" si="6"/>
        <v>0</v>
      </c>
      <c r="O86" s="80">
        <f t="shared" si="7"/>
        <v>0</v>
      </c>
      <c r="P86" s="80">
        <f t="shared" si="8"/>
        <v>0</v>
      </c>
      <c r="Q86" s="78">
        <f t="shared" si="9"/>
        <v>0</v>
      </c>
      <c r="R86" s="79">
        <f t="shared" si="10"/>
        <v>0</v>
      </c>
      <c r="S86" s="79">
        <f t="shared" si="11"/>
        <v>0</v>
      </c>
      <c r="T86" s="78">
        <f t="shared" si="12"/>
        <v>0</v>
      </c>
      <c r="U86" s="78">
        <f t="shared" si="13"/>
        <v>0</v>
      </c>
      <c r="V86" s="79">
        <f t="shared" si="14"/>
        <v>0</v>
      </c>
      <c r="W86" s="78">
        <f t="shared" si="15"/>
        <v>0</v>
      </c>
      <c r="X86" s="78">
        <f t="shared" si="16"/>
        <v>0</v>
      </c>
      <c r="Y86" s="78">
        <f t="shared" si="17"/>
        <v>0</v>
      </c>
      <c r="Z86" s="80">
        <f t="shared" si="18"/>
        <v>0</v>
      </c>
      <c r="AA86" s="80">
        <f t="shared" si="19"/>
        <v>0</v>
      </c>
      <c r="AB86" s="80">
        <f t="shared" si="20"/>
        <v>0</v>
      </c>
      <c r="AC86" s="78">
        <f t="shared" si="21"/>
        <v>0</v>
      </c>
      <c r="AD86" s="80">
        <f t="shared" si="22"/>
        <v>0</v>
      </c>
      <c r="AE86" s="80">
        <f t="shared" si="23"/>
        <v>0</v>
      </c>
      <c r="AF86" s="79">
        <f t="shared" si="24"/>
        <v>0</v>
      </c>
      <c r="AG86" s="80">
        <f t="shared" si="25"/>
        <v>0</v>
      </c>
      <c r="AH86" s="80">
        <f t="shared" si="26"/>
        <v>0</v>
      </c>
      <c r="AI86" s="78">
        <f t="shared" si="27"/>
        <v>0</v>
      </c>
      <c r="AJ86" s="80">
        <f t="shared" si="28"/>
        <v>0</v>
      </c>
      <c r="AK86" s="78">
        <f t="shared" si="29"/>
        <v>0</v>
      </c>
    </row>
    <row r="87" ht="15.75" hidden="1" customHeight="1">
      <c r="D87" s="76" t="s">
        <v>200</v>
      </c>
      <c r="E87" s="20"/>
      <c r="F87" s="20"/>
      <c r="G87" s="20"/>
      <c r="H87" s="20"/>
      <c r="I87" s="21"/>
      <c r="J87" s="77" t="str">
        <f t="shared" si="2"/>
        <v/>
      </c>
      <c r="K87" s="78">
        <f t="shared" si="3"/>
        <v>0</v>
      </c>
      <c r="L87" s="79">
        <f t="shared" si="4"/>
        <v>0</v>
      </c>
      <c r="M87" s="79">
        <f t="shared" si="5"/>
        <v>0</v>
      </c>
      <c r="N87" s="80">
        <f t="shared" si="6"/>
        <v>0</v>
      </c>
      <c r="O87" s="80">
        <f t="shared" si="7"/>
        <v>0</v>
      </c>
      <c r="P87" s="80">
        <f t="shared" si="8"/>
        <v>0</v>
      </c>
      <c r="Q87" s="78">
        <f t="shared" si="9"/>
        <v>0</v>
      </c>
      <c r="R87" s="79">
        <f t="shared" si="10"/>
        <v>0</v>
      </c>
      <c r="S87" s="79">
        <f t="shared" si="11"/>
        <v>0</v>
      </c>
      <c r="T87" s="78">
        <f t="shared" si="12"/>
        <v>0</v>
      </c>
      <c r="U87" s="78">
        <f t="shared" si="13"/>
        <v>0</v>
      </c>
      <c r="V87" s="79">
        <f t="shared" si="14"/>
        <v>0</v>
      </c>
      <c r="W87" s="78">
        <f t="shared" si="15"/>
        <v>0</v>
      </c>
      <c r="X87" s="78">
        <f t="shared" si="16"/>
        <v>0</v>
      </c>
      <c r="Y87" s="78">
        <f t="shared" si="17"/>
        <v>0</v>
      </c>
      <c r="Z87" s="80">
        <f t="shared" si="18"/>
        <v>0</v>
      </c>
      <c r="AA87" s="80">
        <f t="shared" si="19"/>
        <v>0</v>
      </c>
      <c r="AB87" s="80">
        <f t="shared" si="20"/>
        <v>0</v>
      </c>
      <c r="AC87" s="78">
        <f t="shared" si="21"/>
        <v>0</v>
      </c>
      <c r="AD87" s="80">
        <f t="shared" si="22"/>
        <v>0</v>
      </c>
      <c r="AE87" s="80">
        <f t="shared" si="23"/>
        <v>0</v>
      </c>
      <c r="AF87" s="79">
        <f t="shared" si="24"/>
        <v>0</v>
      </c>
      <c r="AG87" s="80">
        <f t="shared" si="25"/>
        <v>0</v>
      </c>
      <c r="AH87" s="80">
        <f t="shared" si="26"/>
        <v>0</v>
      </c>
      <c r="AI87" s="78">
        <f t="shared" si="27"/>
        <v>0</v>
      </c>
      <c r="AJ87" s="80">
        <f t="shared" si="28"/>
        <v>0</v>
      </c>
      <c r="AK87" s="78">
        <f t="shared" si="29"/>
        <v>0</v>
      </c>
    </row>
    <row r="88" ht="15.75" hidden="1" customHeight="1">
      <c r="D88" s="76" t="s">
        <v>203</v>
      </c>
      <c r="E88" s="20"/>
      <c r="F88" s="20"/>
      <c r="G88" s="20"/>
      <c r="H88" s="20"/>
      <c r="I88" s="21"/>
      <c r="J88" s="77" t="str">
        <f t="shared" si="2"/>
        <v/>
      </c>
      <c r="K88" s="78">
        <f t="shared" si="3"/>
        <v>0</v>
      </c>
      <c r="L88" s="79">
        <f t="shared" si="4"/>
        <v>0</v>
      </c>
      <c r="M88" s="79">
        <f t="shared" si="5"/>
        <v>0</v>
      </c>
      <c r="N88" s="80">
        <f t="shared" si="6"/>
        <v>0</v>
      </c>
      <c r="O88" s="80">
        <f t="shared" si="7"/>
        <v>0</v>
      </c>
      <c r="P88" s="80">
        <f t="shared" si="8"/>
        <v>0</v>
      </c>
      <c r="Q88" s="78">
        <f t="shared" si="9"/>
        <v>0</v>
      </c>
      <c r="R88" s="79">
        <f t="shared" si="10"/>
        <v>0</v>
      </c>
      <c r="S88" s="79">
        <f t="shared" si="11"/>
        <v>0</v>
      </c>
      <c r="T88" s="78">
        <f t="shared" si="12"/>
        <v>0</v>
      </c>
      <c r="U88" s="78">
        <f t="shared" si="13"/>
        <v>0</v>
      </c>
      <c r="V88" s="79">
        <f t="shared" si="14"/>
        <v>0</v>
      </c>
      <c r="W88" s="78">
        <f t="shared" si="15"/>
        <v>0</v>
      </c>
      <c r="X88" s="78">
        <f t="shared" si="16"/>
        <v>0</v>
      </c>
      <c r="Y88" s="78">
        <f t="shared" si="17"/>
        <v>0</v>
      </c>
      <c r="Z88" s="80">
        <f t="shared" si="18"/>
        <v>0</v>
      </c>
      <c r="AA88" s="80">
        <f t="shared" si="19"/>
        <v>0</v>
      </c>
      <c r="AB88" s="80">
        <f t="shared" si="20"/>
        <v>0</v>
      </c>
      <c r="AC88" s="78">
        <f t="shared" si="21"/>
        <v>0</v>
      </c>
      <c r="AD88" s="80">
        <f t="shared" si="22"/>
        <v>0</v>
      </c>
      <c r="AE88" s="80">
        <f t="shared" si="23"/>
        <v>0</v>
      </c>
      <c r="AF88" s="79">
        <f t="shared" si="24"/>
        <v>0</v>
      </c>
      <c r="AG88" s="80">
        <f t="shared" si="25"/>
        <v>0</v>
      </c>
      <c r="AH88" s="80">
        <f t="shared" si="26"/>
        <v>0</v>
      </c>
      <c r="AI88" s="78">
        <f t="shared" si="27"/>
        <v>0</v>
      </c>
      <c r="AJ88" s="80">
        <f t="shared" si="28"/>
        <v>0</v>
      </c>
      <c r="AK88" s="78">
        <f t="shared" si="29"/>
        <v>0</v>
      </c>
    </row>
    <row r="89" ht="15.75" hidden="1" customHeight="1">
      <c r="D89" s="76" t="s">
        <v>204</v>
      </c>
      <c r="E89" s="20"/>
      <c r="F89" s="20"/>
      <c r="G89" s="20"/>
      <c r="H89" s="20"/>
      <c r="I89" s="21"/>
      <c r="J89" s="77" t="str">
        <f t="shared" si="2"/>
        <v/>
      </c>
      <c r="K89" s="78">
        <f t="shared" si="3"/>
        <v>0</v>
      </c>
      <c r="L89" s="79">
        <f t="shared" si="4"/>
        <v>0</v>
      </c>
      <c r="M89" s="79">
        <f t="shared" si="5"/>
        <v>0</v>
      </c>
      <c r="N89" s="80">
        <f t="shared" si="6"/>
        <v>0</v>
      </c>
      <c r="O89" s="80">
        <f t="shared" si="7"/>
        <v>0</v>
      </c>
      <c r="P89" s="80">
        <f t="shared" si="8"/>
        <v>0</v>
      </c>
      <c r="Q89" s="78">
        <f t="shared" si="9"/>
        <v>0</v>
      </c>
      <c r="R89" s="79">
        <f t="shared" si="10"/>
        <v>0</v>
      </c>
      <c r="S89" s="79">
        <f t="shared" si="11"/>
        <v>0</v>
      </c>
      <c r="T89" s="78">
        <f t="shared" si="12"/>
        <v>0</v>
      </c>
      <c r="U89" s="78">
        <f t="shared" si="13"/>
        <v>0</v>
      </c>
      <c r="V89" s="79">
        <f t="shared" si="14"/>
        <v>0</v>
      </c>
      <c r="W89" s="78">
        <f t="shared" si="15"/>
        <v>0</v>
      </c>
      <c r="X89" s="78">
        <f t="shared" si="16"/>
        <v>0</v>
      </c>
      <c r="Y89" s="78">
        <f t="shared" si="17"/>
        <v>0</v>
      </c>
      <c r="Z89" s="80">
        <f t="shared" si="18"/>
        <v>0</v>
      </c>
      <c r="AA89" s="80">
        <f t="shared" si="19"/>
        <v>0</v>
      </c>
      <c r="AB89" s="80">
        <f t="shared" si="20"/>
        <v>0</v>
      </c>
      <c r="AC89" s="78">
        <f t="shared" si="21"/>
        <v>0</v>
      </c>
      <c r="AD89" s="80">
        <f t="shared" si="22"/>
        <v>0</v>
      </c>
      <c r="AE89" s="80">
        <f t="shared" si="23"/>
        <v>0</v>
      </c>
      <c r="AF89" s="79">
        <f t="shared" si="24"/>
        <v>0</v>
      </c>
      <c r="AG89" s="80">
        <f t="shared" si="25"/>
        <v>0</v>
      </c>
      <c r="AH89" s="80">
        <f t="shared" si="26"/>
        <v>0</v>
      </c>
      <c r="AI89" s="78">
        <f t="shared" si="27"/>
        <v>0</v>
      </c>
      <c r="AJ89" s="80">
        <f t="shared" si="28"/>
        <v>0</v>
      </c>
      <c r="AK89" s="78">
        <f t="shared" si="29"/>
        <v>0</v>
      </c>
    </row>
    <row r="90" ht="15.75" hidden="1" customHeight="1">
      <c r="D90" s="76" t="s">
        <v>205</v>
      </c>
      <c r="E90" s="20"/>
      <c r="F90" s="20"/>
      <c r="G90" s="20"/>
      <c r="H90" s="20"/>
      <c r="I90" s="21"/>
      <c r="J90" s="77" t="str">
        <f t="shared" si="2"/>
        <v/>
      </c>
      <c r="K90" s="78">
        <f t="shared" si="3"/>
        <v>0</v>
      </c>
      <c r="L90" s="79">
        <f t="shared" si="4"/>
        <v>0</v>
      </c>
      <c r="M90" s="79">
        <f t="shared" si="5"/>
        <v>0</v>
      </c>
      <c r="N90" s="80">
        <f t="shared" si="6"/>
        <v>0</v>
      </c>
      <c r="O90" s="80">
        <f t="shared" si="7"/>
        <v>0</v>
      </c>
      <c r="P90" s="80">
        <f t="shared" si="8"/>
        <v>0</v>
      </c>
      <c r="Q90" s="78">
        <f t="shared" si="9"/>
        <v>0</v>
      </c>
      <c r="R90" s="79">
        <f t="shared" si="10"/>
        <v>0</v>
      </c>
      <c r="S90" s="79">
        <f t="shared" si="11"/>
        <v>0</v>
      </c>
      <c r="T90" s="78">
        <f t="shared" si="12"/>
        <v>0</v>
      </c>
      <c r="U90" s="78">
        <f t="shared" si="13"/>
        <v>0</v>
      </c>
      <c r="V90" s="79">
        <f t="shared" si="14"/>
        <v>0</v>
      </c>
      <c r="W90" s="78">
        <f t="shared" si="15"/>
        <v>0</v>
      </c>
      <c r="X90" s="78">
        <f t="shared" si="16"/>
        <v>0</v>
      </c>
      <c r="Y90" s="78">
        <f t="shared" si="17"/>
        <v>0</v>
      </c>
      <c r="Z90" s="80">
        <f t="shared" si="18"/>
        <v>0</v>
      </c>
      <c r="AA90" s="80">
        <f t="shared" si="19"/>
        <v>0</v>
      </c>
      <c r="AB90" s="80">
        <f t="shared" si="20"/>
        <v>0</v>
      </c>
      <c r="AC90" s="78">
        <f t="shared" si="21"/>
        <v>0</v>
      </c>
      <c r="AD90" s="80">
        <f t="shared" si="22"/>
        <v>0</v>
      </c>
      <c r="AE90" s="80">
        <f t="shared" si="23"/>
        <v>0</v>
      </c>
      <c r="AF90" s="79">
        <f t="shared" si="24"/>
        <v>0</v>
      </c>
      <c r="AG90" s="80">
        <f t="shared" si="25"/>
        <v>0</v>
      </c>
      <c r="AH90" s="80">
        <f t="shared" si="26"/>
        <v>0</v>
      </c>
      <c r="AI90" s="78">
        <f t="shared" si="27"/>
        <v>0</v>
      </c>
      <c r="AJ90" s="80">
        <f t="shared" si="28"/>
        <v>0</v>
      </c>
      <c r="AK90" s="78">
        <f t="shared" si="29"/>
        <v>0</v>
      </c>
    </row>
    <row r="91" ht="15.75" hidden="1" customHeight="1">
      <c r="D91" s="76" t="s">
        <v>206</v>
      </c>
      <c r="E91" s="20"/>
      <c r="F91" s="20"/>
      <c r="G91" s="20"/>
      <c r="H91" s="20"/>
      <c r="I91" s="21"/>
      <c r="J91" s="77" t="str">
        <f t="shared" si="2"/>
        <v/>
      </c>
      <c r="K91" s="78">
        <f t="shared" si="3"/>
        <v>0</v>
      </c>
      <c r="L91" s="79">
        <f t="shared" si="4"/>
        <v>0</v>
      </c>
      <c r="M91" s="79">
        <f t="shared" si="5"/>
        <v>0</v>
      </c>
      <c r="N91" s="80">
        <f t="shared" si="6"/>
        <v>0</v>
      </c>
      <c r="O91" s="80">
        <f t="shared" si="7"/>
        <v>0</v>
      </c>
      <c r="P91" s="80">
        <f t="shared" si="8"/>
        <v>0</v>
      </c>
      <c r="Q91" s="78">
        <f t="shared" si="9"/>
        <v>0</v>
      </c>
      <c r="R91" s="79">
        <f t="shared" si="10"/>
        <v>0</v>
      </c>
      <c r="S91" s="79">
        <f t="shared" si="11"/>
        <v>0</v>
      </c>
      <c r="T91" s="78">
        <f t="shared" si="12"/>
        <v>0</v>
      </c>
      <c r="U91" s="78">
        <f t="shared" si="13"/>
        <v>0</v>
      </c>
      <c r="V91" s="79">
        <f t="shared" si="14"/>
        <v>0</v>
      </c>
      <c r="W91" s="78">
        <f t="shared" si="15"/>
        <v>0</v>
      </c>
      <c r="X91" s="78">
        <f t="shared" si="16"/>
        <v>0</v>
      </c>
      <c r="Y91" s="78">
        <f t="shared" si="17"/>
        <v>0</v>
      </c>
      <c r="Z91" s="80">
        <f t="shared" si="18"/>
        <v>0</v>
      </c>
      <c r="AA91" s="80">
        <f t="shared" si="19"/>
        <v>0</v>
      </c>
      <c r="AB91" s="80">
        <f t="shared" si="20"/>
        <v>0</v>
      </c>
      <c r="AC91" s="78">
        <f t="shared" si="21"/>
        <v>0</v>
      </c>
      <c r="AD91" s="80">
        <f t="shared" si="22"/>
        <v>0</v>
      </c>
      <c r="AE91" s="80">
        <f t="shared" si="23"/>
        <v>0</v>
      </c>
      <c r="AF91" s="79">
        <f t="shared" si="24"/>
        <v>0</v>
      </c>
      <c r="AG91" s="80">
        <f t="shared" si="25"/>
        <v>0</v>
      </c>
      <c r="AH91" s="80">
        <f t="shared" si="26"/>
        <v>0</v>
      </c>
      <c r="AI91" s="78">
        <f t="shared" si="27"/>
        <v>0</v>
      </c>
      <c r="AJ91" s="80">
        <f t="shared" si="28"/>
        <v>0</v>
      </c>
      <c r="AK91" s="78">
        <f t="shared" si="29"/>
        <v>0</v>
      </c>
    </row>
    <row r="92" ht="15.75" hidden="1" customHeight="1">
      <c r="D92" s="76" t="s">
        <v>211</v>
      </c>
      <c r="E92" s="20"/>
      <c r="F92" s="20"/>
      <c r="G92" s="20"/>
      <c r="H92" s="20"/>
      <c r="I92" s="21"/>
      <c r="J92" s="77" t="str">
        <f t="shared" si="2"/>
        <v/>
      </c>
      <c r="K92" s="78">
        <f t="shared" si="3"/>
        <v>0</v>
      </c>
      <c r="L92" s="79">
        <f t="shared" si="4"/>
        <v>0</v>
      </c>
      <c r="M92" s="79">
        <f t="shared" si="5"/>
        <v>0</v>
      </c>
      <c r="N92" s="80">
        <f t="shared" si="6"/>
        <v>0</v>
      </c>
      <c r="O92" s="80">
        <f t="shared" si="7"/>
        <v>0</v>
      </c>
      <c r="P92" s="80">
        <f t="shared" si="8"/>
        <v>0</v>
      </c>
      <c r="Q92" s="78">
        <f t="shared" si="9"/>
        <v>0</v>
      </c>
      <c r="R92" s="79">
        <f t="shared" si="10"/>
        <v>0</v>
      </c>
      <c r="S92" s="79">
        <f t="shared" si="11"/>
        <v>0</v>
      </c>
      <c r="T92" s="78">
        <f t="shared" si="12"/>
        <v>0</v>
      </c>
      <c r="U92" s="78">
        <f t="shared" si="13"/>
        <v>0</v>
      </c>
      <c r="V92" s="79">
        <f t="shared" si="14"/>
        <v>0</v>
      </c>
      <c r="W92" s="78">
        <f t="shared" si="15"/>
        <v>0</v>
      </c>
      <c r="X92" s="78">
        <f t="shared" si="16"/>
        <v>0</v>
      </c>
      <c r="Y92" s="78">
        <f t="shared" si="17"/>
        <v>0</v>
      </c>
      <c r="Z92" s="80">
        <f t="shared" si="18"/>
        <v>0</v>
      </c>
      <c r="AA92" s="80">
        <f t="shared" si="19"/>
        <v>0</v>
      </c>
      <c r="AB92" s="80">
        <f t="shared" si="20"/>
        <v>0</v>
      </c>
      <c r="AC92" s="78">
        <f t="shared" si="21"/>
        <v>0</v>
      </c>
      <c r="AD92" s="80">
        <f t="shared" si="22"/>
        <v>0</v>
      </c>
      <c r="AE92" s="80">
        <f t="shared" si="23"/>
        <v>0</v>
      </c>
      <c r="AF92" s="79">
        <f t="shared" si="24"/>
        <v>0</v>
      </c>
      <c r="AG92" s="80">
        <f t="shared" si="25"/>
        <v>0</v>
      </c>
      <c r="AH92" s="80">
        <f t="shared" si="26"/>
        <v>0</v>
      </c>
      <c r="AI92" s="78">
        <f t="shared" si="27"/>
        <v>0</v>
      </c>
      <c r="AJ92" s="80">
        <f t="shared" si="28"/>
        <v>0</v>
      </c>
      <c r="AK92" s="78">
        <f t="shared" si="29"/>
        <v>0</v>
      </c>
    </row>
    <row r="93" ht="15.75" customHeight="1">
      <c r="B93" s="83" t="s">
        <v>212</v>
      </c>
      <c r="C93" s="20"/>
      <c r="D93" s="20"/>
      <c r="E93" s="20"/>
      <c r="F93" s="20"/>
      <c r="G93" s="20"/>
      <c r="H93" s="20"/>
      <c r="I93" s="20"/>
      <c r="J93" s="21"/>
      <c r="K93" s="84">
        <f t="shared" ref="K93:AK93" si="30">SUM(K51:K92)</f>
        <v>0</v>
      </c>
      <c r="L93" s="85">
        <f t="shared" si="30"/>
        <v>0</v>
      </c>
      <c r="M93" s="85">
        <f t="shared" si="30"/>
        <v>0</v>
      </c>
      <c r="N93" s="86">
        <f t="shared" si="30"/>
        <v>0</v>
      </c>
      <c r="O93" s="86">
        <f t="shared" si="30"/>
        <v>0</v>
      </c>
      <c r="P93" s="86">
        <f t="shared" si="30"/>
        <v>0</v>
      </c>
      <c r="Q93" s="84">
        <f t="shared" si="30"/>
        <v>0</v>
      </c>
      <c r="R93" s="85">
        <f t="shared" si="30"/>
        <v>0</v>
      </c>
      <c r="S93" s="85">
        <f t="shared" si="30"/>
        <v>0</v>
      </c>
      <c r="T93" s="84">
        <f t="shared" si="30"/>
        <v>0</v>
      </c>
      <c r="U93" s="84">
        <f t="shared" si="30"/>
        <v>0</v>
      </c>
      <c r="V93" s="85">
        <f t="shared" si="30"/>
        <v>0</v>
      </c>
      <c r="W93" s="84">
        <f t="shared" si="30"/>
        <v>0</v>
      </c>
      <c r="X93" s="84">
        <f t="shared" si="30"/>
        <v>0</v>
      </c>
      <c r="Y93" s="84">
        <f t="shared" si="30"/>
        <v>0</v>
      </c>
      <c r="Z93" s="86">
        <f t="shared" si="30"/>
        <v>0</v>
      </c>
      <c r="AA93" s="86">
        <f t="shared" si="30"/>
        <v>0</v>
      </c>
      <c r="AB93" s="86">
        <f t="shared" si="30"/>
        <v>0</v>
      </c>
      <c r="AC93" s="84">
        <f t="shared" si="30"/>
        <v>0</v>
      </c>
      <c r="AD93" s="86">
        <f t="shared" si="30"/>
        <v>0</v>
      </c>
      <c r="AE93" s="86">
        <f t="shared" si="30"/>
        <v>0</v>
      </c>
      <c r="AF93" s="85">
        <f t="shared" si="30"/>
        <v>0</v>
      </c>
      <c r="AG93" s="86">
        <f t="shared" si="30"/>
        <v>0</v>
      </c>
      <c r="AH93" s="86">
        <f t="shared" si="30"/>
        <v>0</v>
      </c>
      <c r="AI93" s="84">
        <f t="shared" si="30"/>
        <v>0</v>
      </c>
      <c r="AJ93" s="86">
        <f t="shared" si="30"/>
        <v>0</v>
      </c>
      <c r="AK93" s="84">
        <f t="shared" si="30"/>
        <v>0</v>
      </c>
    </row>
    <row r="94" ht="15.75" hidden="1" customHeight="1">
      <c r="J94" s="87" t="s">
        <v>213</v>
      </c>
      <c r="K94" s="78" t="str">
        <f t="shared" ref="K94:S94" si="31">D1</f>
        <v/>
      </c>
      <c r="L94" s="88" t="str">
        <f t="shared" si="31"/>
        <v/>
      </c>
      <c r="M94" s="79" t="str">
        <f t="shared" si="31"/>
        <v/>
      </c>
      <c r="N94" s="80" t="str">
        <f t="shared" si="31"/>
        <v/>
      </c>
      <c r="O94" s="80" t="str">
        <f t="shared" si="31"/>
        <v/>
      </c>
      <c r="P94" s="80" t="str">
        <f t="shared" si="31"/>
        <v/>
      </c>
      <c r="Q94" s="88" t="str">
        <f t="shared" si="31"/>
        <v/>
      </c>
      <c r="R94" s="79" t="str">
        <f t="shared" si="31"/>
        <v/>
      </c>
      <c r="S94" s="79" t="str">
        <f t="shared" si="31"/>
        <v/>
      </c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</row>
    <row r="95" ht="15.75" hidden="1" customHeight="1">
      <c r="J95" s="89" t="s">
        <v>214</v>
      </c>
      <c r="K95" s="80" t="str">
        <f t="shared" ref="K95:AK95" si="32">((100/K94)*K93)</f>
        <v>#DIV/0!</v>
      </c>
      <c r="L95" s="80" t="str">
        <f t="shared" si="32"/>
        <v>#DIV/0!</v>
      </c>
      <c r="M95" s="80" t="str">
        <f t="shared" si="32"/>
        <v>#DIV/0!</v>
      </c>
      <c r="N95" s="80" t="str">
        <f t="shared" si="32"/>
        <v>#DIV/0!</v>
      </c>
      <c r="O95" s="80" t="str">
        <f t="shared" si="32"/>
        <v>#DIV/0!</v>
      </c>
      <c r="P95" s="80" t="str">
        <f t="shared" si="32"/>
        <v>#DIV/0!</v>
      </c>
      <c r="Q95" s="80" t="str">
        <f t="shared" si="32"/>
        <v>#DIV/0!</v>
      </c>
      <c r="R95" s="80" t="str">
        <f t="shared" si="32"/>
        <v>#DIV/0!</v>
      </c>
      <c r="S95" s="80" t="str">
        <f t="shared" si="32"/>
        <v>#DIV/0!</v>
      </c>
      <c r="T95" s="80" t="str">
        <f t="shared" si="32"/>
        <v>#DIV/0!</v>
      </c>
      <c r="U95" s="80" t="str">
        <f t="shared" si="32"/>
        <v>#DIV/0!</v>
      </c>
      <c r="V95" s="80" t="str">
        <f t="shared" si="32"/>
        <v>#DIV/0!</v>
      </c>
      <c r="W95" s="80" t="str">
        <f t="shared" si="32"/>
        <v>#DIV/0!</v>
      </c>
      <c r="X95" s="80" t="str">
        <f t="shared" si="32"/>
        <v>#DIV/0!</v>
      </c>
      <c r="Y95" s="80" t="str">
        <f t="shared" si="32"/>
        <v>#DIV/0!</v>
      </c>
      <c r="Z95" s="80" t="str">
        <f t="shared" si="32"/>
        <v>#DIV/0!</v>
      </c>
      <c r="AA95" s="80" t="str">
        <f t="shared" si="32"/>
        <v>#DIV/0!</v>
      </c>
      <c r="AB95" s="80" t="str">
        <f t="shared" si="32"/>
        <v>#DIV/0!</v>
      </c>
      <c r="AC95" s="80" t="str">
        <f t="shared" si="32"/>
        <v>#DIV/0!</v>
      </c>
      <c r="AD95" s="80" t="str">
        <f t="shared" si="32"/>
        <v>#DIV/0!</v>
      </c>
      <c r="AE95" s="80" t="str">
        <f t="shared" si="32"/>
        <v>#DIV/0!</v>
      </c>
      <c r="AF95" s="80" t="str">
        <f t="shared" si="32"/>
        <v>#DIV/0!</v>
      </c>
      <c r="AG95" s="80" t="str">
        <f t="shared" si="32"/>
        <v>#DIV/0!</v>
      </c>
      <c r="AH95" s="80" t="str">
        <f t="shared" si="32"/>
        <v>#DIV/0!</v>
      </c>
      <c r="AI95" s="80" t="str">
        <f t="shared" si="32"/>
        <v>#DIV/0!</v>
      </c>
      <c r="AJ95" s="80" t="str">
        <f t="shared" si="32"/>
        <v>#DIV/0!</v>
      </c>
      <c r="AK95" s="80" t="str">
        <f t="shared" si="32"/>
        <v>#DIV/0!</v>
      </c>
    </row>
    <row r="96" ht="15.75" customHeight="1">
      <c r="K96" s="63" t="s">
        <v>97</v>
      </c>
      <c r="L96" s="63" t="s">
        <v>98</v>
      </c>
      <c r="M96" s="63" t="s">
        <v>99</v>
      </c>
      <c r="N96" s="63" t="s">
        <v>100</v>
      </c>
      <c r="O96" s="63" t="s">
        <v>101</v>
      </c>
      <c r="P96" s="63" t="s">
        <v>102</v>
      </c>
      <c r="Q96" s="63" t="s">
        <v>103</v>
      </c>
      <c r="R96" s="63" t="s">
        <v>104</v>
      </c>
      <c r="S96" s="63" t="s">
        <v>105</v>
      </c>
      <c r="T96" s="63" t="s">
        <v>106</v>
      </c>
      <c r="U96" s="63" t="s">
        <v>107</v>
      </c>
      <c r="V96" s="63" t="s">
        <v>108</v>
      </c>
      <c r="W96" s="63" t="s">
        <v>109</v>
      </c>
      <c r="X96" s="63" t="s">
        <v>110</v>
      </c>
      <c r="Y96" s="63" t="s">
        <v>111</v>
      </c>
      <c r="Z96" s="63" t="s">
        <v>112</v>
      </c>
      <c r="AA96" s="63" t="s">
        <v>113</v>
      </c>
      <c r="AB96" s="63" t="s">
        <v>114</v>
      </c>
      <c r="AC96" s="63" t="s">
        <v>115</v>
      </c>
      <c r="AD96" s="63" t="s">
        <v>116</v>
      </c>
      <c r="AE96" s="63" t="s">
        <v>117</v>
      </c>
      <c r="AF96" s="63" t="s">
        <v>118</v>
      </c>
      <c r="AG96" s="63" t="s">
        <v>119</v>
      </c>
      <c r="AH96" s="63" t="s">
        <v>120</v>
      </c>
      <c r="AI96" s="63" t="s">
        <v>121</v>
      </c>
      <c r="AJ96" s="63" t="s">
        <v>122</v>
      </c>
      <c r="AK96" s="63" t="s">
        <v>123</v>
      </c>
    </row>
    <row r="97" ht="15.75" customHeight="1"/>
    <row r="98" ht="15.75" customHeight="1">
      <c r="B98" s="58"/>
      <c r="C98" s="58"/>
      <c r="D98" s="90" t="s">
        <v>215</v>
      </c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1"/>
      <c r="V98" s="61"/>
      <c r="W98" s="61"/>
      <c r="X98" s="61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</row>
    <row r="99" ht="15.75" customHeight="1"/>
    <row r="100" ht="15.75" customHeight="1">
      <c r="K100" s="19" t="s">
        <v>215</v>
      </c>
      <c r="L100" s="20"/>
      <c r="M100" s="20"/>
      <c r="N100" s="20"/>
      <c r="O100" s="20"/>
      <c r="P100" s="21"/>
      <c r="Q100" s="19" t="s">
        <v>216</v>
      </c>
      <c r="R100" s="20"/>
      <c r="S100" s="21"/>
    </row>
    <row r="101" ht="15.75" customHeight="1">
      <c r="K101" s="23" t="s">
        <v>217</v>
      </c>
      <c r="L101" s="23" t="s">
        <v>218</v>
      </c>
      <c r="M101" s="23" t="s">
        <v>219</v>
      </c>
      <c r="N101" s="23" t="s">
        <v>220</v>
      </c>
      <c r="O101" s="91" t="s">
        <v>221</v>
      </c>
      <c r="P101" s="22"/>
      <c r="Q101" s="92" t="s">
        <v>222</v>
      </c>
      <c r="R101" s="93"/>
      <c r="S101" s="52" t="s">
        <v>223</v>
      </c>
    </row>
    <row r="102" ht="15.75" customHeight="1">
      <c r="K102" s="94" t="s">
        <v>224</v>
      </c>
      <c r="L102" s="95">
        <f>(L93)</f>
        <v>0</v>
      </c>
      <c r="M102" s="96">
        <f>(L102*4)</f>
        <v>0</v>
      </c>
      <c r="N102" s="95" t="str">
        <f>((100/M114)*M102)</f>
        <v>#DIV/0!</v>
      </c>
      <c r="O102" s="97" t="s">
        <v>225</v>
      </c>
      <c r="P102" s="98">
        <f>SUM(L51:L62)</f>
        <v>0</v>
      </c>
      <c r="Q102" s="92" t="s">
        <v>226</v>
      </c>
      <c r="R102" s="93"/>
      <c r="S102" s="52" t="s">
        <v>227</v>
      </c>
    </row>
    <row r="103" ht="15.75" customHeight="1">
      <c r="K103" s="99"/>
      <c r="L103" s="99"/>
      <c r="M103" s="99"/>
      <c r="N103" s="99"/>
      <c r="O103" s="97" t="s">
        <v>228</v>
      </c>
      <c r="P103" s="98" t="str">
        <f>((100/L102)*P102)</f>
        <v>#DIV/0!</v>
      </c>
      <c r="Q103" s="92" t="s">
        <v>229</v>
      </c>
      <c r="R103" s="93"/>
      <c r="S103" s="52" t="s">
        <v>230</v>
      </c>
    </row>
    <row r="104" ht="15.75" customHeight="1">
      <c r="K104" s="100"/>
      <c r="L104" s="100"/>
      <c r="M104" s="100"/>
      <c r="N104" s="100"/>
      <c r="O104" s="97" t="s">
        <v>231</v>
      </c>
      <c r="P104" s="101" t="str">
        <f>(L102/L115)</f>
        <v>#DIV/0!</v>
      </c>
      <c r="Q104" s="92" t="s">
        <v>232</v>
      </c>
      <c r="R104" s="93"/>
      <c r="S104" s="52" t="s">
        <v>233</v>
      </c>
    </row>
    <row r="105" ht="15.75" customHeight="1">
      <c r="K105" s="94" t="s">
        <v>234</v>
      </c>
      <c r="L105" s="95">
        <f>(M93)</f>
        <v>0</v>
      </c>
      <c r="M105" s="96">
        <f>(L105*9)</f>
        <v>0</v>
      </c>
      <c r="N105" s="95" t="str">
        <f>((100/M114)*M105)</f>
        <v>#DIV/0!</v>
      </c>
      <c r="O105" s="97" t="s">
        <v>235</v>
      </c>
      <c r="P105" s="101">
        <f>(N93)</f>
        <v>0</v>
      </c>
      <c r="Q105" s="92" t="s">
        <v>236</v>
      </c>
      <c r="R105" s="93"/>
      <c r="S105" s="52" t="s">
        <v>237</v>
      </c>
    </row>
    <row r="106" ht="15.75" customHeight="1">
      <c r="K106" s="99"/>
      <c r="L106" s="99"/>
      <c r="M106" s="99"/>
      <c r="N106" s="99"/>
      <c r="O106" s="97" t="s">
        <v>238</v>
      </c>
      <c r="P106" s="101" t="str">
        <f>((100/M114)*(P105*9))</f>
        <v>#DIV/0!</v>
      </c>
      <c r="Q106" s="92" t="s">
        <v>239</v>
      </c>
      <c r="R106" s="93"/>
      <c r="S106" s="52" t="s">
        <v>240</v>
      </c>
    </row>
    <row r="107" ht="15.75" customHeight="1">
      <c r="K107" s="99"/>
      <c r="L107" s="99"/>
      <c r="M107" s="99"/>
      <c r="N107" s="99"/>
      <c r="O107" s="97" t="s">
        <v>241</v>
      </c>
      <c r="P107" s="101">
        <f>(O93)</f>
        <v>0</v>
      </c>
      <c r="Q107" s="92" t="s">
        <v>242</v>
      </c>
      <c r="R107" s="93"/>
      <c r="S107" s="52" t="s">
        <v>237</v>
      </c>
    </row>
    <row r="108" ht="15.75" customHeight="1">
      <c r="F108" s="15"/>
      <c r="K108" s="99"/>
      <c r="L108" s="99"/>
      <c r="M108" s="99"/>
      <c r="N108" s="99"/>
      <c r="O108" s="97" t="s">
        <v>243</v>
      </c>
      <c r="P108" s="101" t="str">
        <f>((100/M114)*(P107*9))</f>
        <v>#DIV/0!</v>
      </c>
      <c r="Q108" s="92" t="s">
        <v>244</v>
      </c>
      <c r="R108" s="93"/>
      <c r="S108" s="52" t="s">
        <v>245</v>
      </c>
    </row>
    <row r="109" ht="15.75" customHeight="1">
      <c r="K109" s="99"/>
      <c r="L109" s="99"/>
      <c r="M109" s="99"/>
      <c r="N109" s="99"/>
      <c r="O109" s="97" t="s">
        <v>246</v>
      </c>
      <c r="P109" s="101">
        <f>(P93)</f>
        <v>0</v>
      </c>
      <c r="Q109" s="92" t="s">
        <v>247</v>
      </c>
      <c r="R109" s="93"/>
      <c r="S109" s="52" t="s">
        <v>248</v>
      </c>
    </row>
    <row r="110" ht="15.75" customHeight="1">
      <c r="K110" s="99"/>
      <c r="L110" s="99"/>
      <c r="M110" s="99"/>
      <c r="N110" s="99"/>
      <c r="O110" s="97" t="s">
        <v>249</v>
      </c>
      <c r="P110" s="101" t="str">
        <f>((100/M114)*(P109*9))</f>
        <v>#DIV/0!</v>
      </c>
      <c r="Q110" s="92" t="s">
        <v>250</v>
      </c>
      <c r="R110" s="93"/>
      <c r="S110" s="52" t="s">
        <v>251</v>
      </c>
    </row>
    <row r="111" ht="15.75" customHeight="1">
      <c r="K111" s="100"/>
      <c r="L111" s="100"/>
      <c r="M111" s="100"/>
      <c r="N111" s="100"/>
      <c r="O111" s="97" t="s">
        <v>252</v>
      </c>
      <c r="P111" s="102">
        <f>(Q93)</f>
        <v>0</v>
      </c>
      <c r="Q111" s="92" t="s">
        <v>252</v>
      </c>
      <c r="R111" s="93"/>
      <c r="S111" s="52" t="s">
        <v>253</v>
      </c>
    </row>
    <row r="112" ht="15.75" customHeight="1">
      <c r="K112" s="94" t="s">
        <v>254</v>
      </c>
      <c r="L112" s="95">
        <f>(R93)</f>
        <v>0</v>
      </c>
      <c r="M112" s="103">
        <f>(L112*4)</f>
        <v>0</v>
      </c>
      <c r="N112" s="95" t="str">
        <f>((100/M114)*M112)</f>
        <v>#DIV/0!</v>
      </c>
      <c r="O112" s="97" t="s">
        <v>255</v>
      </c>
      <c r="P112" s="98">
        <f>SUM(R81:R82)</f>
        <v>0</v>
      </c>
      <c r="Q112" s="92" t="s">
        <v>256</v>
      </c>
      <c r="R112" s="93"/>
      <c r="S112" s="52" t="s">
        <v>257</v>
      </c>
    </row>
    <row r="113" ht="15.75" customHeight="1">
      <c r="K113" s="100"/>
      <c r="L113" s="100"/>
      <c r="M113" s="100"/>
      <c r="N113" s="100"/>
      <c r="O113" s="97" t="s">
        <v>258</v>
      </c>
      <c r="P113" s="98" t="str">
        <f>((100/M114)*(P112*4))</f>
        <v>#DIV/0!</v>
      </c>
      <c r="Q113" s="92" t="s">
        <v>259</v>
      </c>
      <c r="R113" s="93"/>
      <c r="S113" s="52" t="s">
        <v>260</v>
      </c>
    </row>
    <row r="114" ht="15.75" customHeight="1">
      <c r="K114" s="104" t="s">
        <v>261</v>
      </c>
      <c r="L114" s="21"/>
      <c r="M114" s="105">
        <f t="shared" ref="M114:N114" si="33">SUM(M102:M113)</f>
        <v>0</v>
      </c>
      <c r="N114" s="106" t="str">
        <f t="shared" si="33"/>
        <v>#DIV/0!</v>
      </c>
      <c r="O114" s="97" t="s">
        <v>259</v>
      </c>
      <c r="P114" s="107">
        <f>S93</f>
        <v>0</v>
      </c>
      <c r="Q114" s="92" t="s">
        <v>262</v>
      </c>
      <c r="R114" s="93"/>
      <c r="S114" s="52" t="s">
        <v>263</v>
      </c>
    </row>
    <row r="115" ht="15.75" customHeight="1">
      <c r="K115" s="108" t="s">
        <v>264</v>
      </c>
      <c r="L115" s="109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4">
    <mergeCell ref="D3:S3"/>
    <mergeCell ref="B5:C5"/>
    <mergeCell ref="D5:I5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D15:I15"/>
    <mergeCell ref="D16:I16"/>
    <mergeCell ref="D17:I17"/>
    <mergeCell ref="D18:I18"/>
    <mergeCell ref="D19:I19"/>
    <mergeCell ref="D20:I20"/>
    <mergeCell ref="D21:I21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D34:I34"/>
    <mergeCell ref="D35:I35"/>
    <mergeCell ref="D36:I36"/>
    <mergeCell ref="D37:I37"/>
    <mergeCell ref="D38:I38"/>
    <mergeCell ref="D39:I39"/>
    <mergeCell ref="D40:I40"/>
    <mergeCell ref="D41:I41"/>
    <mergeCell ref="D42:I42"/>
    <mergeCell ref="D43:I43"/>
    <mergeCell ref="D44:I44"/>
    <mergeCell ref="D45:I45"/>
    <mergeCell ref="D46:I46"/>
    <mergeCell ref="D47:I47"/>
    <mergeCell ref="D50:I50"/>
    <mergeCell ref="D51:I51"/>
    <mergeCell ref="D52:I52"/>
    <mergeCell ref="D53:I53"/>
    <mergeCell ref="K105:K111"/>
    <mergeCell ref="K112:K113"/>
    <mergeCell ref="N112:N113"/>
    <mergeCell ref="K114:L114"/>
    <mergeCell ref="K102:K104"/>
    <mergeCell ref="L102:L104"/>
    <mergeCell ref="M102:M104"/>
    <mergeCell ref="N102:N104"/>
    <mergeCell ref="L105:L111"/>
    <mergeCell ref="M105:M111"/>
    <mergeCell ref="N105:N111"/>
    <mergeCell ref="D54:I54"/>
    <mergeCell ref="D55:I55"/>
    <mergeCell ref="D57:I57"/>
    <mergeCell ref="D58:I58"/>
    <mergeCell ref="D59:I59"/>
    <mergeCell ref="D60:I60"/>
    <mergeCell ref="D61:I61"/>
    <mergeCell ref="D62:I62"/>
    <mergeCell ref="D63:I63"/>
    <mergeCell ref="D64:I64"/>
    <mergeCell ref="D65:I65"/>
    <mergeCell ref="D66:I66"/>
    <mergeCell ref="D67:I67"/>
    <mergeCell ref="D68:I68"/>
    <mergeCell ref="D69:I69"/>
    <mergeCell ref="D70:I70"/>
    <mergeCell ref="D71:I71"/>
    <mergeCell ref="D72:I72"/>
    <mergeCell ref="D73:I73"/>
    <mergeCell ref="D74:I74"/>
    <mergeCell ref="D75:I75"/>
    <mergeCell ref="D76:I76"/>
    <mergeCell ref="D77:I77"/>
    <mergeCell ref="D78:I78"/>
    <mergeCell ref="D79:I79"/>
    <mergeCell ref="D80:I80"/>
    <mergeCell ref="D81:I81"/>
    <mergeCell ref="D82:I82"/>
    <mergeCell ref="D83:I83"/>
    <mergeCell ref="D84:I84"/>
    <mergeCell ref="D85:I85"/>
    <mergeCell ref="D86:I86"/>
    <mergeCell ref="D87:I87"/>
    <mergeCell ref="D88:I88"/>
    <mergeCell ref="D89:I89"/>
    <mergeCell ref="D90:I90"/>
    <mergeCell ref="D91:I91"/>
    <mergeCell ref="D92:I92"/>
    <mergeCell ref="B93:J93"/>
    <mergeCell ref="D98:T98"/>
    <mergeCell ref="K100:P100"/>
    <mergeCell ref="Q100:S100"/>
    <mergeCell ref="L112:L113"/>
    <mergeCell ref="M112:M11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3.29"/>
    <col customWidth="1" min="3" max="3" width="13.0"/>
    <col customWidth="1" min="4" max="7" width="10.71"/>
    <col customWidth="1" min="8" max="8" width="14.0"/>
    <col customWidth="1" min="9" max="15" width="10.71"/>
    <col customWidth="1" min="16" max="16" width="12.43"/>
    <col customWidth="1" min="17" max="17" width="11.0"/>
    <col customWidth="1" min="18" max="18" width="13.57"/>
    <col customWidth="1" min="19" max="20" width="10.71"/>
    <col customWidth="1" min="21" max="21" width="12.86"/>
    <col customWidth="1" min="22" max="35" width="10.71"/>
  </cols>
  <sheetData>
    <row r="3">
      <c r="B3" s="59" t="s">
        <v>265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</row>
    <row r="4">
      <c r="K4" s="110"/>
      <c r="L4" s="110"/>
      <c r="M4" s="110"/>
      <c r="N4" s="110"/>
      <c r="O4" s="110"/>
      <c r="P4" s="110"/>
      <c r="Q4" s="110"/>
      <c r="R4" s="110"/>
    </row>
    <row r="5">
      <c r="B5" s="111" t="s">
        <v>266</v>
      </c>
      <c r="C5" s="21"/>
      <c r="E5" s="111" t="s">
        <v>267</v>
      </c>
      <c r="F5" s="21"/>
      <c r="H5" s="111" t="s">
        <v>268</v>
      </c>
      <c r="I5" s="20"/>
      <c r="J5" s="21"/>
      <c r="K5" s="110"/>
      <c r="L5" s="112" t="s">
        <v>269</v>
      </c>
      <c r="M5" s="21"/>
      <c r="N5" s="110"/>
      <c r="O5" s="112" t="s">
        <v>270</v>
      </c>
      <c r="P5" s="20"/>
      <c r="Q5" s="21"/>
      <c r="R5" s="110"/>
    </row>
    <row r="6">
      <c r="B6" s="113" t="s">
        <v>20</v>
      </c>
      <c r="C6" s="114">
        <v>63.0</v>
      </c>
      <c r="E6" s="113" t="s">
        <v>271</v>
      </c>
      <c r="F6" s="114">
        <v>75.0</v>
      </c>
      <c r="H6" s="113" t="s">
        <v>272</v>
      </c>
      <c r="I6" s="26">
        <v>1.53</v>
      </c>
      <c r="J6" s="26" t="s">
        <v>273</v>
      </c>
      <c r="K6" s="110"/>
      <c r="L6" s="115" t="s">
        <v>274</v>
      </c>
      <c r="M6" s="116"/>
      <c r="N6" s="110"/>
      <c r="O6" s="115"/>
      <c r="P6" s="116" t="s">
        <v>275</v>
      </c>
      <c r="Q6" s="116" t="s">
        <v>276</v>
      </c>
      <c r="R6" s="110"/>
    </row>
    <row r="7">
      <c r="B7" s="113" t="s">
        <v>277</v>
      </c>
      <c r="C7" s="114">
        <v>1.73</v>
      </c>
      <c r="E7" s="111" t="s">
        <v>278</v>
      </c>
      <c r="F7" s="21"/>
      <c r="H7" s="113" t="s">
        <v>279</v>
      </c>
      <c r="I7" s="26">
        <v>1.76</v>
      </c>
      <c r="J7" s="26" t="s">
        <v>280</v>
      </c>
      <c r="K7" s="110"/>
      <c r="L7" s="115" t="s">
        <v>20</v>
      </c>
      <c r="M7" s="116"/>
      <c r="N7" s="110"/>
      <c r="O7" s="115" t="s">
        <v>272</v>
      </c>
      <c r="P7" s="117">
        <v>1.0</v>
      </c>
      <c r="Q7" s="117">
        <v>1.0</v>
      </c>
      <c r="R7" s="110"/>
    </row>
    <row r="8">
      <c r="B8" s="113" t="s">
        <v>38</v>
      </c>
      <c r="C8" s="55">
        <f>(C6/(C7*C7))</f>
        <v>21.0498179</v>
      </c>
      <c r="E8" s="113" t="s">
        <v>281</v>
      </c>
      <c r="F8" s="118">
        <f>((15.057*F6)+692.2)</f>
        <v>1821.475</v>
      </c>
      <c r="H8" s="113" t="s">
        <v>282</v>
      </c>
      <c r="I8" s="26">
        <v>2.25</v>
      </c>
      <c r="J8" s="26" t="s">
        <v>283</v>
      </c>
      <c r="K8" s="110"/>
      <c r="L8" s="115" t="s">
        <v>277</v>
      </c>
      <c r="M8" s="116"/>
      <c r="N8" s="110"/>
      <c r="O8" s="115" t="s">
        <v>284</v>
      </c>
      <c r="P8" s="119">
        <v>1.11</v>
      </c>
      <c r="Q8" s="119">
        <v>1.12</v>
      </c>
      <c r="R8" s="110"/>
    </row>
    <row r="9">
      <c r="B9" s="113" t="s">
        <v>285</v>
      </c>
      <c r="C9" s="120">
        <v>25.0</v>
      </c>
      <c r="E9" s="113" t="s">
        <v>286</v>
      </c>
      <c r="F9" s="118">
        <f>((11.472*F6)+873.1)</f>
        <v>1733.5</v>
      </c>
      <c r="K9" s="110"/>
      <c r="L9" s="115" t="s">
        <v>287</v>
      </c>
      <c r="M9" s="116"/>
      <c r="N9" s="110"/>
      <c r="O9" s="115" t="s">
        <v>288</v>
      </c>
      <c r="P9" s="119">
        <v>1.25</v>
      </c>
      <c r="Q9" s="119">
        <v>1.27</v>
      </c>
      <c r="R9" s="110"/>
    </row>
    <row r="10">
      <c r="B10" s="121" t="s">
        <v>47</v>
      </c>
      <c r="C10" s="21"/>
      <c r="E10" s="113" t="s">
        <v>289</v>
      </c>
      <c r="F10" s="118">
        <f>((11.711*F6)+587.7)</f>
        <v>1466.025</v>
      </c>
      <c r="H10" s="111" t="s">
        <v>290</v>
      </c>
      <c r="I10" s="21"/>
      <c r="K10" s="110"/>
      <c r="L10" s="112" t="s">
        <v>32</v>
      </c>
      <c r="M10" s="21"/>
      <c r="N10" s="110"/>
      <c r="O10" s="115" t="s">
        <v>291</v>
      </c>
      <c r="P10" s="119">
        <v>1.48</v>
      </c>
      <c r="Q10" s="119">
        <v>1.45</v>
      </c>
      <c r="R10" s="110"/>
    </row>
    <row r="11">
      <c r="B11" s="113" t="s">
        <v>292</v>
      </c>
      <c r="C11" s="55">
        <f>(C9*(C7*C7))</f>
        <v>74.8225</v>
      </c>
      <c r="E11" s="111" t="s">
        <v>293</v>
      </c>
      <c r="F11" s="21"/>
      <c r="H11" s="113" t="s">
        <v>294</v>
      </c>
      <c r="I11" s="114">
        <v>1821.0</v>
      </c>
      <c r="K11" s="110"/>
      <c r="L11" s="115" t="s">
        <v>295</v>
      </c>
      <c r="M11" s="122">
        <f>662-(9.53*M6)+(M9*((15.91*M7)+(539.6*M8)))</f>
        <v>662</v>
      </c>
      <c r="N11" s="110"/>
      <c r="O11" s="110"/>
      <c r="P11" s="110"/>
      <c r="Q11" s="110"/>
      <c r="R11" s="110"/>
    </row>
    <row r="12">
      <c r="B12" s="111" t="s">
        <v>49</v>
      </c>
      <c r="C12" s="21"/>
      <c r="E12" s="113" t="s">
        <v>281</v>
      </c>
      <c r="F12" s="118">
        <f>((14.818*F6)+486.6)</f>
        <v>1597.95</v>
      </c>
      <c r="H12" s="113" t="s">
        <v>296</v>
      </c>
      <c r="I12" s="114">
        <v>1.5</v>
      </c>
      <c r="K12" s="110"/>
      <c r="L12" s="112" t="s">
        <v>33</v>
      </c>
      <c r="M12" s="21"/>
      <c r="N12" s="110"/>
      <c r="O12" s="110"/>
      <c r="P12" s="110"/>
      <c r="Q12" s="110"/>
      <c r="R12" s="110"/>
    </row>
    <row r="13">
      <c r="B13" s="123" t="s">
        <v>297</v>
      </c>
      <c r="C13" s="124">
        <f>(C11+(0.25*(C6-C11)))</f>
        <v>71.866875</v>
      </c>
      <c r="E13" s="113" t="s">
        <v>286</v>
      </c>
      <c r="F13" s="118">
        <f>((8.126*F6)+845.6)</f>
        <v>1455.05</v>
      </c>
      <c r="H13" s="113" t="s">
        <v>298</v>
      </c>
      <c r="I13" s="118">
        <f>(I11*I12)</f>
        <v>2731.5</v>
      </c>
      <c r="K13" s="110"/>
      <c r="L13" s="115" t="s">
        <v>295</v>
      </c>
      <c r="M13" s="122">
        <f>354-(6.91*M6)+(M9*((9.36*M7)+(726*M8)))</f>
        <v>354</v>
      </c>
      <c r="N13" s="110"/>
      <c r="O13" s="110"/>
      <c r="P13" s="110"/>
      <c r="Q13" s="110"/>
      <c r="R13" s="110"/>
    </row>
    <row r="14">
      <c r="B14" s="125"/>
      <c r="C14" s="126"/>
      <c r="E14" s="113" t="s">
        <v>289</v>
      </c>
      <c r="F14" s="118">
        <f>((9.082*F6)+658.5)</f>
        <v>1339.65</v>
      </c>
      <c r="K14" s="110"/>
      <c r="L14" s="110"/>
      <c r="M14" s="110"/>
      <c r="N14" s="110"/>
      <c r="O14" s="110"/>
      <c r="P14" s="110"/>
      <c r="Q14" s="110"/>
      <c r="R14" s="110"/>
    </row>
    <row r="16">
      <c r="B16" s="59" t="s">
        <v>299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58"/>
    </row>
    <row r="17">
      <c r="A17" s="110"/>
      <c r="B17" s="110"/>
      <c r="C17" s="110"/>
      <c r="D17" s="110"/>
      <c r="E17" s="110"/>
      <c r="F17" s="110"/>
      <c r="G17" s="110"/>
    </row>
    <row r="18">
      <c r="A18" s="110"/>
      <c r="B18" s="127" t="s">
        <v>215</v>
      </c>
      <c r="C18" s="20"/>
      <c r="D18" s="20"/>
      <c r="E18" s="20"/>
      <c r="F18" s="20"/>
      <c r="G18" s="21"/>
      <c r="I18" s="19" t="s">
        <v>300</v>
      </c>
      <c r="J18" s="20"/>
      <c r="K18" s="20"/>
      <c r="L18" s="20"/>
      <c r="M18" s="20"/>
      <c r="N18" s="21"/>
      <c r="P18" s="128" t="s">
        <v>216</v>
      </c>
      <c r="Q18" s="20"/>
      <c r="R18" s="21"/>
    </row>
    <row r="19">
      <c r="A19" s="110"/>
      <c r="B19" s="129" t="s">
        <v>217</v>
      </c>
      <c r="C19" s="129" t="s">
        <v>218</v>
      </c>
      <c r="D19" s="129" t="s">
        <v>298</v>
      </c>
      <c r="E19" s="129" t="s">
        <v>220</v>
      </c>
      <c r="F19" s="127" t="s">
        <v>221</v>
      </c>
      <c r="G19" s="21"/>
      <c r="I19" s="23" t="s">
        <v>217</v>
      </c>
      <c r="J19" s="23" t="s">
        <v>218</v>
      </c>
      <c r="K19" s="23" t="s">
        <v>219</v>
      </c>
      <c r="L19" s="23" t="s">
        <v>220</v>
      </c>
      <c r="M19" s="130" t="s">
        <v>221</v>
      </c>
      <c r="N19" s="21"/>
      <c r="P19" s="131" t="s">
        <v>224</v>
      </c>
      <c r="Q19" s="21"/>
      <c r="R19" s="132" t="s">
        <v>301</v>
      </c>
    </row>
    <row r="20">
      <c r="A20" s="110"/>
      <c r="B20" s="133" t="s">
        <v>224</v>
      </c>
      <c r="C20" s="134">
        <f>'Ev. Consumo'!L102</f>
        <v>0</v>
      </c>
      <c r="D20" s="135">
        <f>(C20*4)</f>
        <v>0</v>
      </c>
      <c r="E20" s="134" t="str">
        <f>((100/D32)*D20)</f>
        <v>#DIV/0!</v>
      </c>
      <c r="F20" s="115" t="s">
        <v>225</v>
      </c>
      <c r="G20" s="136">
        <f>'Ev. Consumo'!P102</f>
        <v>0</v>
      </c>
      <c r="I20" s="94" t="s">
        <v>224</v>
      </c>
      <c r="J20" s="95">
        <f>(N22*J33)</f>
        <v>127.5</v>
      </c>
      <c r="K20" s="96">
        <f>(J20*4)</f>
        <v>510</v>
      </c>
      <c r="L20" s="95">
        <f>((100/K32)*K20)</f>
        <v>18.67105986</v>
      </c>
      <c r="M20" s="113" t="s">
        <v>225</v>
      </c>
      <c r="N20" s="137">
        <f>((N21/100)*J20)</f>
        <v>89.25</v>
      </c>
      <c r="P20" s="131" t="s">
        <v>226</v>
      </c>
      <c r="Q20" s="21"/>
      <c r="R20" s="132" t="s">
        <v>227</v>
      </c>
    </row>
    <row r="21" ht="15.75" customHeight="1">
      <c r="A21" s="110"/>
      <c r="B21" s="99"/>
      <c r="C21" s="99"/>
      <c r="D21" s="99"/>
      <c r="E21" s="99"/>
      <c r="F21" s="115" t="s">
        <v>228</v>
      </c>
      <c r="G21" s="136" t="str">
        <f>((100/C20)*G20)</f>
        <v>#DIV/0!</v>
      </c>
      <c r="I21" s="99"/>
      <c r="J21" s="99"/>
      <c r="K21" s="99"/>
      <c r="L21" s="99"/>
      <c r="M21" s="113" t="s">
        <v>228</v>
      </c>
      <c r="N21" s="138">
        <v>70.0</v>
      </c>
      <c r="P21" s="131" t="s">
        <v>229</v>
      </c>
      <c r="Q21" s="21"/>
      <c r="R21" s="132" t="s">
        <v>230</v>
      </c>
    </row>
    <row r="22" ht="15.75" customHeight="1">
      <c r="A22" s="110"/>
      <c r="B22" s="100"/>
      <c r="C22" s="100"/>
      <c r="D22" s="100"/>
      <c r="E22" s="100"/>
      <c r="F22" s="115" t="s">
        <v>231</v>
      </c>
      <c r="G22" s="139" t="str">
        <f>(C20/C33)</f>
        <v>#DIV/0!</v>
      </c>
      <c r="I22" s="100"/>
      <c r="J22" s="100"/>
      <c r="K22" s="100"/>
      <c r="L22" s="100"/>
      <c r="M22" s="113" t="s">
        <v>231</v>
      </c>
      <c r="N22" s="138">
        <v>1.7</v>
      </c>
      <c r="P22" s="131" t="s">
        <v>302</v>
      </c>
      <c r="Q22" s="21"/>
      <c r="R22" s="132" t="s">
        <v>233</v>
      </c>
    </row>
    <row r="23" ht="15.75" customHeight="1">
      <c r="A23" s="110"/>
      <c r="B23" s="133" t="s">
        <v>234</v>
      </c>
      <c r="C23" s="134">
        <f>'Ev. Consumo'!L105</f>
        <v>0</v>
      </c>
      <c r="D23" s="135">
        <f>(C23*9)</f>
        <v>0</v>
      </c>
      <c r="E23" s="134" t="str">
        <f>((100/D32)*D23)</f>
        <v>#DIV/0!</v>
      </c>
      <c r="F23" s="115" t="s">
        <v>235</v>
      </c>
      <c r="G23" s="139">
        <f>'Ev. Consumo'!P105</f>
        <v>0</v>
      </c>
      <c r="I23" s="94" t="s">
        <v>234</v>
      </c>
      <c r="J23" s="95">
        <f>(K23/9)</f>
        <v>75.875</v>
      </c>
      <c r="K23" s="96">
        <f>((K32/100)*L23)</f>
        <v>682.875</v>
      </c>
      <c r="L23" s="140">
        <v>25.0</v>
      </c>
      <c r="M23" s="113" t="s">
        <v>235</v>
      </c>
      <c r="N23" s="137">
        <f>(((K32/100)*N24)/9)</f>
        <v>30.35</v>
      </c>
      <c r="P23" s="131" t="s">
        <v>303</v>
      </c>
      <c r="Q23" s="21"/>
      <c r="R23" s="132" t="s">
        <v>237</v>
      </c>
    </row>
    <row r="24" ht="15.75" customHeight="1">
      <c r="A24" s="110"/>
      <c r="B24" s="99"/>
      <c r="C24" s="99"/>
      <c r="D24" s="99"/>
      <c r="E24" s="99"/>
      <c r="F24" s="115" t="s">
        <v>238</v>
      </c>
      <c r="G24" s="139" t="str">
        <f>((100/D32)*(G23*9))</f>
        <v>#DIV/0!</v>
      </c>
      <c r="I24" s="99"/>
      <c r="J24" s="99"/>
      <c r="K24" s="99"/>
      <c r="L24" s="99"/>
      <c r="M24" s="113" t="s">
        <v>238</v>
      </c>
      <c r="N24" s="138">
        <v>10.0</v>
      </c>
      <c r="P24" s="131" t="s">
        <v>304</v>
      </c>
      <c r="Q24" s="21"/>
      <c r="R24" s="132" t="s">
        <v>305</v>
      </c>
    </row>
    <row r="25" ht="15.75" customHeight="1">
      <c r="A25" s="110"/>
      <c r="B25" s="99"/>
      <c r="C25" s="99"/>
      <c r="D25" s="99"/>
      <c r="E25" s="99"/>
      <c r="F25" s="115" t="s">
        <v>241</v>
      </c>
      <c r="G25" s="139">
        <f>'Ev. Consumo'!P107</f>
        <v>0</v>
      </c>
      <c r="I25" s="99"/>
      <c r="J25" s="99"/>
      <c r="K25" s="99"/>
      <c r="L25" s="99"/>
      <c r="M25" s="113" t="s">
        <v>241</v>
      </c>
      <c r="N25" s="137">
        <f>(((K32/100)*N26)/9)</f>
        <v>15.175</v>
      </c>
      <c r="P25" s="131" t="s">
        <v>242</v>
      </c>
      <c r="Q25" s="21"/>
      <c r="R25" s="132" t="s">
        <v>237</v>
      </c>
    </row>
    <row r="26" ht="15.75" customHeight="1">
      <c r="A26" s="110"/>
      <c r="B26" s="99"/>
      <c r="C26" s="99"/>
      <c r="D26" s="99"/>
      <c r="E26" s="99"/>
      <c r="F26" s="115" t="s">
        <v>243</v>
      </c>
      <c r="G26" s="139" t="str">
        <f>((100/D32)*(G25*9))</f>
        <v>#DIV/0!</v>
      </c>
      <c r="I26" s="99"/>
      <c r="J26" s="99"/>
      <c r="K26" s="99"/>
      <c r="L26" s="99"/>
      <c r="M26" s="113" t="s">
        <v>243</v>
      </c>
      <c r="N26" s="141">
        <f>(L23-N24)-N28</f>
        <v>5</v>
      </c>
      <c r="P26" s="131" t="s">
        <v>247</v>
      </c>
      <c r="Q26" s="21"/>
      <c r="R26" s="132" t="s">
        <v>248</v>
      </c>
    </row>
    <row r="27" ht="15.75" customHeight="1">
      <c r="A27" s="110"/>
      <c r="B27" s="99"/>
      <c r="C27" s="99"/>
      <c r="D27" s="99"/>
      <c r="E27" s="99"/>
      <c r="F27" s="115" t="s">
        <v>246</v>
      </c>
      <c r="G27" s="139">
        <f>'Ev. Consumo'!P109</f>
        <v>0</v>
      </c>
      <c r="I27" s="99"/>
      <c r="J27" s="99"/>
      <c r="K27" s="99"/>
      <c r="L27" s="99"/>
      <c r="M27" s="113" t="s">
        <v>246</v>
      </c>
      <c r="N27" s="137">
        <f>(((K32/100)*N28)/9)</f>
        <v>30.35</v>
      </c>
      <c r="P27" s="131" t="s">
        <v>244</v>
      </c>
      <c r="Q27" s="21"/>
      <c r="R27" s="132" t="s">
        <v>245</v>
      </c>
    </row>
    <row r="28" ht="15.75" customHeight="1">
      <c r="A28" s="110"/>
      <c r="B28" s="99"/>
      <c r="C28" s="99"/>
      <c r="D28" s="99"/>
      <c r="E28" s="99"/>
      <c r="F28" s="115" t="s">
        <v>249</v>
      </c>
      <c r="G28" s="139" t="str">
        <f>((100/D32)*(G27*9))</f>
        <v>#DIV/0!</v>
      </c>
      <c r="I28" s="99"/>
      <c r="J28" s="99"/>
      <c r="K28" s="99"/>
      <c r="L28" s="99"/>
      <c r="M28" s="113" t="s">
        <v>249</v>
      </c>
      <c r="N28" s="138">
        <v>10.0</v>
      </c>
      <c r="P28" s="131" t="s">
        <v>250</v>
      </c>
      <c r="Q28" s="21"/>
      <c r="R28" s="132" t="s">
        <v>251</v>
      </c>
    </row>
    <row r="29" ht="15.75" customHeight="1">
      <c r="A29" s="110"/>
      <c r="B29" s="100"/>
      <c r="C29" s="100"/>
      <c r="D29" s="100"/>
      <c r="E29" s="100"/>
      <c r="F29" s="115" t="s">
        <v>252</v>
      </c>
      <c r="G29" s="142">
        <f>'Ev. Consumo'!P111</f>
        <v>0</v>
      </c>
      <c r="I29" s="100"/>
      <c r="J29" s="100"/>
      <c r="K29" s="100"/>
      <c r="L29" s="100"/>
      <c r="M29" s="113" t="s">
        <v>252</v>
      </c>
      <c r="N29" s="138">
        <v>200.0</v>
      </c>
      <c r="P29" s="131" t="s">
        <v>252</v>
      </c>
      <c r="Q29" s="21"/>
      <c r="R29" s="132" t="s">
        <v>253</v>
      </c>
    </row>
    <row r="30" ht="15.75" customHeight="1">
      <c r="A30" s="110"/>
      <c r="B30" s="133" t="s">
        <v>254</v>
      </c>
      <c r="C30" s="134">
        <f>'Ev. Consumo'!L112</f>
        <v>0</v>
      </c>
      <c r="D30" s="133">
        <f>(C30*4)</f>
        <v>0</v>
      </c>
      <c r="E30" s="134" t="str">
        <f>((100/D32)*D30)</f>
        <v>#DIV/0!</v>
      </c>
      <c r="F30" s="115" t="s">
        <v>255</v>
      </c>
      <c r="G30" s="136">
        <f>'Ev. Consumo'!P112</f>
        <v>0</v>
      </c>
      <c r="I30" s="94" t="s">
        <v>254</v>
      </c>
      <c r="J30" s="95">
        <f>(K30/4)</f>
        <v>384.65625</v>
      </c>
      <c r="K30" s="96">
        <f>((K32/100)*L30)</f>
        <v>1538.625</v>
      </c>
      <c r="L30" s="95">
        <f>(100-L33)</f>
        <v>56.32894014</v>
      </c>
      <c r="M30" s="113" t="s">
        <v>255</v>
      </c>
      <c r="N30" s="137">
        <f>(((K32/100)*N31)/4)</f>
        <v>184.37625</v>
      </c>
      <c r="P30" s="131" t="s">
        <v>256</v>
      </c>
      <c r="Q30" s="21"/>
      <c r="R30" s="132" t="s">
        <v>257</v>
      </c>
    </row>
    <row r="31" ht="15.75" customHeight="1">
      <c r="A31" s="110"/>
      <c r="B31" s="100"/>
      <c r="C31" s="100"/>
      <c r="D31" s="100"/>
      <c r="E31" s="100"/>
      <c r="F31" s="115" t="s">
        <v>258</v>
      </c>
      <c r="G31" s="136" t="str">
        <f>((100/D32)*(G30*4))</f>
        <v>#DIV/0!</v>
      </c>
      <c r="I31" s="100"/>
      <c r="J31" s="100"/>
      <c r="K31" s="100"/>
      <c r="L31" s="100"/>
      <c r="M31" s="113" t="s">
        <v>258</v>
      </c>
      <c r="N31" s="138">
        <v>27.0</v>
      </c>
      <c r="P31" s="131" t="s">
        <v>259</v>
      </c>
      <c r="Q31" s="21"/>
      <c r="R31" s="132" t="s">
        <v>306</v>
      </c>
    </row>
    <row r="32" ht="15.75" customHeight="1">
      <c r="A32" s="110"/>
      <c r="B32" s="143" t="s">
        <v>261</v>
      </c>
      <c r="C32" s="21"/>
      <c r="D32" s="144">
        <f t="shared" ref="D32:E32" si="1">SUM(D20:D31)</f>
        <v>0</v>
      </c>
      <c r="E32" s="145" t="str">
        <f t="shared" si="1"/>
        <v>#DIV/0!</v>
      </c>
      <c r="F32" s="115" t="s">
        <v>259</v>
      </c>
      <c r="G32" s="136">
        <f>'Ev. Consumo'!P114</f>
        <v>0</v>
      </c>
      <c r="I32" s="104" t="s">
        <v>261</v>
      </c>
      <c r="J32" s="21"/>
      <c r="K32" s="146">
        <f>I13</f>
        <v>2731.5</v>
      </c>
      <c r="L32" s="147">
        <f>SUM(L20:L31)</f>
        <v>100</v>
      </c>
      <c r="M32" s="123" t="s">
        <v>259</v>
      </c>
      <c r="N32" s="148">
        <v>14.0</v>
      </c>
      <c r="P32" s="131" t="s">
        <v>262</v>
      </c>
      <c r="Q32" s="21"/>
      <c r="R32" s="132" t="s">
        <v>263</v>
      </c>
    </row>
    <row r="33" ht="15.75" customHeight="1">
      <c r="A33" s="110"/>
      <c r="B33" s="149" t="s">
        <v>264</v>
      </c>
      <c r="C33" s="145"/>
      <c r="D33" s="150"/>
      <c r="E33" s="150"/>
      <c r="F33" s="150"/>
      <c r="G33" s="150"/>
      <c r="I33" s="108" t="s">
        <v>264</v>
      </c>
      <c r="J33" s="151">
        <f>F6</f>
        <v>75</v>
      </c>
      <c r="K33" s="152">
        <f>SUM(K20:K32)</f>
        <v>5463</v>
      </c>
      <c r="L33" s="153">
        <f>SUM(L20:L29)</f>
        <v>43.67105986</v>
      </c>
      <c r="M33" s="154"/>
      <c r="N33" s="155"/>
      <c r="P33" s="131" t="s">
        <v>307</v>
      </c>
      <c r="Q33" s="21"/>
      <c r="R33" s="132" t="s">
        <v>308</v>
      </c>
    </row>
    <row r="34" ht="15.75" customHeight="1"/>
    <row r="35" ht="15.75" customHeight="1">
      <c r="B35" s="59" t="s">
        <v>309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58"/>
    </row>
    <row r="36" ht="15.75" customHeight="1"/>
    <row r="37" ht="15.75" customHeight="1">
      <c r="B37" s="63" t="s">
        <v>97</v>
      </c>
      <c r="C37" s="63" t="s">
        <v>98</v>
      </c>
      <c r="D37" s="63" t="s">
        <v>99</v>
      </c>
      <c r="E37" s="63" t="s">
        <v>100</v>
      </c>
      <c r="F37" s="63" t="s">
        <v>101</v>
      </c>
      <c r="G37" s="63" t="s">
        <v>102</v>
      </c>
      <c r="H37" s="63" t="s">
        <v>103</v>
      </c>
      <c r="I37" s="63" t="s">
        <v>104</v>
      </c>
      <c r="J37" s="63" t="s">
        <v>259</v>
      </c>
    </row>
    <row r="38" ht="15.75" customHeight="1">
      <c r="B38" s="118">
        <f>K32</f>
        <v>2731.5</v>
      </c>
      <c r="C38" s="55">
        <f>J20</f>
        <v>127.5</v>
      </c>
      <c r="D38" s="55">
        <f>J23</f>
        <v>75.875</v>
      </c>
      <c r="E38" s="156">
        <f>N23</f>
        <v>30.35</v>
      </c>
      <c r="F38" s="156">
        <f>N25</f>
        <v>15.175</v>
      </c>
      <c r="G38" s="156">
        <f>N27</f>
        <v>30.35</v>
      </c>
      <c r="H38" s="26">
        <f>N29</f>
        <v>200</v>
      </c>
      <c r="I38" s="55">
        <f>J30</f>
        <v>384.65625</v>
      </c>
      <c r="J38" s="55">
        <f>N32</f>
        <v>14</v>
      </c>
    </row>
    <row r="39" ht="15.75" customHeight="1">
      <c r="X39" s="15"/>
    </row>
    <row r="40" ht="15.75" customHeight="1">
      <c r="B40" s="59" t="s">
        <v>310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58"/>
      <c r="S40" s="61"/>
      <c r="T40" s="61"/>
      <c r="U40" s="61"/>
      <c r="V40" s="61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</row>
    <row r="41" ht="15.75" customHeight="1"/>
    <row r="42" ht="15.75" customHeight="1">
      <c r="B42" s="62" t="s">
        <v>95</v>
      </c>
      <c r="C42" s="20"/>
      <c r="D42" s="20"/>
      <c r="E42" s="20"/>
      <c r="F42" s="20"/>
      <c r="G42" s="21"/>
      <c r="H42" s="63" t="s">
        <v>96</v>
      </c>
      <c r="I42" s="63" t="s">
        <v>97</v>
      </c>
      <c r="J42" s="63" t="s">
        <v>98</v>
      </c>
      <c r="K42" s="63" t="s">
        <v>99</v>
      </c>
      <c r="L42" s="63" t="s">
        <v>100</v>
      </c>
      <c r="M42" s="63" t="s">
        <v>101</v>
      </c>
      <c r="N42" s="63" t="s">
        <v>102</v>
      </c>
      <c r="O42" s="63" t="s">
        <v>103</v>
      </c>
      <c r="P42" s="63" t="s">
        <v>104</v>
      </c>
      <c r="Q42" s="63" t="s">
        <v>105</v>
      </c>
      <c r="R42" s="157" t="s">
        <v>106</v>
      </c>
      <c r="S42" s="157" t="s">
        <v>107</v>
      </c>
      <c r="T42" s="157" t="s">
        <v>108</v>
      </c>
      <c r="U42" s="157" t="s">
        <v>109</v>
      </c>
      <c r="V42" s="157" t="s">
        <v>110</v>
      </c>
      <c r="W42" s="157" t="s">
        <v>111</v>
      </c>
      <c r="X42" s="157" t="s">
        <v>112</v>
      </c>
      <c r="Y42" s="157" t="s">
        <v>113</v>
      </c>
      <c r="Z42" s="157" t="s">
        <v>114</v>
      </c>
      <c r="AA42" s="157" t="s">
        <v>115</v>
      </c>
      <c r="AB42" s="157" t="s">
        <v>116</v>
      </c>
      <c r="AC42" s="157" t="s">
        <v>117</v>
      </c>
      <c r="AD42" s="157" t="s">
        <v>118</v>
      </c>
      <c r="AE42" s="157" t="s">
        <v>119</v>
      </c>
      <c r="AF42" s="157" t="s">
        <v>120</v>
      </c>
      <c r="AG42" s="157" t="s">
        <v>121</v>
      </c>
      <c r="AH42" s="157" t="s">
        <v>122</v>
      </c>
      <c r="AI42" s="157" t="s">
        <v>123</v>
      </c>
    </row>
    <row r="43" ht="15.0" customHeight="1">
      <c r="B43" s="158" t="s">
        <v>126</v>
      </c>
      <c r="C43" s="20"/>
      <c r="D43" s="20"/>
      <c r="E43" s="20"/>
      <c r="F43" s="20"/>
      <c r="G43" s="21"/>
      <c r="H43" s="159">
        <v>3.0</v>
      </c>
      <c r="I43" s="67">
        <f t="shared" ref="I43:I63" si="2">(J43*4)+(K43*9)+(P43*4)</f>
        <v>139.1</v>
      </c>
      <c r="J43" s="68">
        <v>6.7</v>
      </c>
      <c r="K43" s="68">
        <v>6.7</v>
      </c>
      <c r="L43" s="69">
        <v>4.4</v>
      </c>
      <c r="M43" s="69">
        <v>1.95</v>
      </c>
      <c r="N43" s="69">
        <v>0.49</v>
      </c>
      <c r="O43" s="67">
        <v>26.0</v>
      </c>
      <c r="P43" s="68">
        <v>13.0</v>
      </c>
      <c r="Q43" s="68">
        <v>0.0</v>
      </c>
      <c r="R43" s="67">
        <v>236.0</v>
      </c>
      <c r="S43" s="67">
        <v>173.0</v>
      </c>
      <c r="T43" s="68">
        <v>0.2</v>
      </c>
      <c r="U43" s="67">
        <v>96.0</v>
      </c>
      <c r="V43" s="67">
        <v>330.0</v>
      </c>
      <c r="W43" s="67">
        <v>25.0</v>
      </c>
      <c r="X43" s="69">
        <v>0.89</v>
      </c>
      <c r="Y43" s="69">
        <v>0.03</v>
      </c>
      <c r="Z43" s="69">
        <v>0.01</v>
      </c>
      <c r="AA43" s="67">
        <v>73.0</v>
      </c>
      <c r="AB43" s="69">
        <v>0.08</v>
      </c>
      <c r="AC43" s="69">
        <v>0.34</v>
      </c>
      <c r="AD43" s="68">
        <v>0.3</v>
      </c>
      <c r="AE43" s="69">
        <v>0.67</v>
      </c>
      <c r="AF43" s="69">
        <v>0.08</v>
      </c>
      <c r="AG43" s="67">
        <v>10.0</v>
      </c>
      <c r="AH43" s="69">
        <v>0.65</v>
      </c>
      <c r="AI43" s="67">
        <v>3.0</v>
      </c>
    </row>
    <row r="44" ht="15.0" customHeight="1">
      <c r="B44" s="158" t="s">
        <v>127</v>
      </c>
      <c r="C44" s="20"/>
      <c r="D44" s="20"/>
      <c r="E44" s="20"/>
      <c r="F44" s="20"/>
      <c r="G44" s="21"/>
      <c r="H44" s="66"/>
      <c r="I44" s="67">
        <f t="shared" si="2"/>
        <v>94.5</v>
      </c>
      <c r="J44" s="68">
        <v>5.4</v>
      </c>
      <c r="K44" s="68">
        <v>2.1</v>
      </c>
      <c r="L44" s="69">
        <v>0.87</v>
      </c>
      <c r="M44" s="69">
        <v>0.54</v>
      </c>
      <c r="N44" s="69">
        <v>0.35</v>
      </c>
      <c r="O44" s="67">
        <v>5.0</v>
      </c>
      <c r="P44" s="68">
        <v>13.5</v>
      </c>
      <c r="Q44" s="68">
        <v>0.8</v>
      </c>
      <c r="R44" s="67">
        <v>153.0</v>
      </c>
      <c r="S44" s="67">
        <v>143.0</v>
      </c>
      <c r="T44" s="68">
        <v>0.4</v>
      </c>
      <c r="U44" s="67">
        <v>72.0</v>
      </c>
      <c r="V44" s="67">
        <v>268.0</v>
      </c>
      <c r="W44" s="67">
        <v>25.0</v>
      </c>
      <c r="X44" s="69">
        <v>1.24</v>
      </c>
      <c r="Y44" s="69">
        <v>0.06</v>
      </c>
      <c r="Z44" s="69">
        <v>0.11</v>
      </c>
      <c r="AA44" s="67">
        <v>76.0</v>
      </c>
      <c r="AB44" s="69">
        <v>0.12</v>
      </c>
      <c r="AC44" s="69">
        <v>0.25</v>
      </c>
      <c r="AD44" s="68">
        <v>0.2</v>
      </c>
      <c r="AE44" s="69">
        <v>0.41</v>
      </c>
      <c r="AF44" s="69">
        <v>0.06</v>
      </c>
      <c r="AG44" s="67">
        <v>8.0</v>
      </c>
      <c r="AH44" s="69">
        <v>0.5</v>
      </c>
      <c r="AI44" s="67">
        <v>4.0</v>
      </c>
    </row>
    <row r="45" ht="15.0" customHeight="1">
      <c r="B45" s="158" t="s">
        <v>128</v>
      </c>
      <c r="C45" s="20"/>
      <c r="D45" s="20"/>
      <c r="E45" s="20"/>
      <c r="F45" s="20"/>
      <c r="G45" s="21"/>
      <c r="H45" s="66"/>
      <c r="I45" s="67">
        <f t="shared" si="2"/>
        <v>82.3</v>
      </c>
      <c r="J45" s="68">
        <v>9.0</v>
      </c>
      <c r="K45" s="68">
        <v>0.7</v>
      </c>
      <c r="L45" s="69">
        <v>0.45</v>
      </c>
      <c r="M45" s="69">
        <v>0.18</v>
      </c>
      <c r="N45" s="69">
        <v>0.03</v>
      </c>
      <c r="O45" s="67">
        <v>6.0</v>
      </c>
      <c r="P45" s="68">
        <v>10.0</v>
      </c>
      <c r="Q45" s="68">
        <v>0.0</v>
      </c>
      <c r="R45" s="67">
        <v>256.0</v>
      </c>
      <c r="S45" s="67">
        <v>214.0</v>
      </c>
      <c r="T45" s="68">
        <v>0.1</v>
      </c>
      <c r="U45" s="67">
        <v>101.0</v>
      </c>
      <c r="V45" s="67">
        <v>340.0</v>
      </c>
      <c r="W45" s="67">
        <v>24.0</v>
      </c>
      <c r="X45" s="69">
        <v>1.05</v>
      </c>
      <c r="Y45" s="69">
        <v>0.02</v>
      </c>
      <c r="Z45" s="69">
        <v>0.01</v>
      </c>
      <c r="AA45" s="67">
        <v>89.0</v>
      </c>
      <c r="AB45" s="69">
        <v>0.08</v>
      </c>
      <c r="AC45" s="69">
        <v>0.33</v>
      </c>
      <c r="AD45" s="68">
        <v>0.2</v>
      </c>
      <c r="AE45" s="69">
        <v>0.79</v>
      </c>
      <c r="AF45" s="69">
        <v>0.08</v>
      </c>
      <c r="AG45" s="67">
        <v>14.0</v>
      </c>
      <c r="AH45" s="69">
        <v>0.84</v>
      </c>
      <c r="AI45" s="67">
        <v>2.0</v>
      </c>
    </row>
    <row r="46" ht="15.0" customHeight="1">
      <c r="B46" s="158" t="s">
        <v>129</v>
      </c>
      <c r="C46" s="20"/>
      <c r="D46" s="20"/>
      <c r="E46" s="20"/>
      <c r="F46" s="20"/>
      <c r="G46" s="21"/>
      <c r="H46" s="66"/>
      <c r="I46" s="67">
        <f t="shared" si="2"/>
        <v>170.7</v>
      </c>
      <c r="J46" s="68">
        <v>6.4</v>
      </c>
      <c r="K46" s="68">
        <v>5.9</v>
      </c>
      <c r="L46" s="69">
        <v>3.8</v>
      </c>
      <c r="M46" s="69">
        <v>1.91</v>
      </c>
      <c r="N46" s="69">
        <v>0.63</v>
      </c>
      <c r="O46" s="67">
        <v>22.0</v>
      </c>
      <c r="P46" s="68">
        <v>23.0</v>
      </c>
      <c r="Q46" s="68">
        <v>0.4</v>
      </c>
      <c r="R46" s="67">
        <v>258.0</v>
      </c>
      <c r="S46" s="67">
        <v>169.0</v>
      </c>
      <c r="T46" s="68">
        <v>0.3</v>
      </c>
      <c r="U46" s="67">
        <v>115.0</v>
      </c>
      <c r="V46" s="67">
        <v>334.0</v>
      </c>
      <c r="W46" s="67">
        <v>27.0</v>
      </c>
      <c r="X46" s="69">
        <v>1.03</v>
      </c>
      <c r="Y46" s="69">
        <v>0.05</v>
      </c>
      <c r="Z46" s="69">
        <v>0.04</v>
      </c>
      <c r="AA46" s="67">
        <v>45.0</v>
      </c>
      <c r="AB46" s="69">
        <v>0.08</v>
      </c>
      <c r="AC46" s="69">
        <v>0.37</v>
      </c>
      <c r="AD46" s="68">
        <v>0.2</v>
      </c>
      <c r="AE46" s="69">
        <v>0.73</v>
      </c>
      <c r="AF46" s="69">
        <v>0.08</v>
      </c>
      <c r="AG46" s="67">
        <v>13.0</v>
      </c>
      <c r="AH46" s="69">
        <v>0.76</v>
      </c>
      <c r="AI46" s="67">
        <v>3.0</v>
      </c>
    </row>
    <row r="47" ht="15.0" customHeight="1">
      <c r="B47" s="160" t="s">
        <v>138</v>
      </c>
      <c r="C47" s="20"/>
      <c r="D47" s="20"/>
      <c r="E47" s="20"/>
      <c r="F47" s="20"/>
      <c r="G47" s="21"/>
      <c r="H47" s="159">
        <v>4.0</v>
      </c>
      <c r="I47" s="67">
        <f t="shared" si="2"/>
        <v>77.1</v>
      </c>
      <c r="J47" s="68">
        <v>5.8</v>
      </c>
      <c r="K47" s="68">
        <v>5.5</v>
      </c>
      <c r="L47" s="69">
        <v>2.91</v>
      </c>
      <c r="M47" s="69">
        <v>1.94</v>
      </c>
      <c r="N47" s="69">
        <v>0.41</v>
      </c>
      <c r="O47" s="67">
        <v>40.0</v>
      </c>
      <c r="P47" s="68">
        <v>1.1</v>
      </c>
      <c r="Q47" s="68">
        <v>0.0</v>
      </c>
      <c r="R47" s="67">
        <v>95.0</v>
      </c>
      <c r="S47" s="67">
        <v>85.0</v>
      </c>
      <c r="T47" s="68">
        <v>1.1</v>
      </c>
      <c r="U47" s="67">
        <v>211.0</v>
      </c>
      <c r="V47" s="67">
        <v>52.0</v>
      </c>
      <c r="W47" s="67">
        <v>6.0</v>
      </c>
      <c r="X47" s="69">
        <v>0.65</v>
      </c>
      <c r="Y47" s="69">
        <v>0.03</v>
      </c>
      <c r="Z47" s="69">
        <v>0.01</v>
      </c>
      <c r="AA47" s="67">
        <v>45.0</v>
      </c>
      <c r="AB47" s="69">
        <v>0.04</v>
      </c>
      <c r="AC47" s="69">
        <v>0.1</v>
      </c>
      <c r="AD47" s="68">
        <v>0.4</v>
      </c>
      <c r="AE47" s="69">
        <v>0.16</v>
      </c>
      <c r="AF47" s="69">
        <v>0.05</v>
      </c>
      <c r="AG47" s="67">
        <v>4.0</v>
      </c>
      <c r="AH47" s="69">
        <v>0.72</v>
      </c>
      <c r="AI47" s="67">
        <v>0.0</v>
      </c>
    </row>
    <row r="48" ht="15.0" customHeight="1">
      <c r="B48" s="160" t="s">
        <v>311</v>
      </c>
      <c r="C48" s="20"/>
      <c r="D48" s="20"/>
      <c r="E48" s="20"/>
      <c r="F48" s="20"/>
      <c r="G48" s="21"/>
      <c r="H48" s="159">
        <v>3.0</v>
      </c>
      <c r="I48" s="67">
        <f t="shared" si="2"/>
        <v>108.3</v>
      </c>
      <c r="J48" s="68">
        <v>19.1</v>
      </c>
      <c r="K48" s="68">
        <v>3.1</v>
      </c>
      <c r="L48" s="69">
        <v>0.92</v>
      </c>
      <c r="M48" s="69">
        <v>1.16</v>
      </c>
      <c r="N48" s="69">
        <v>0.53</v>
      </c>
      <c r="O48" s="67">
        <v>50.0</v>
      </c>
      <c r="P48" s="68">
        <v>1.0</v>
      </c>
      <c r="Q48" s="68">
        <v>0.3</v>
      </c>
      <c r="R48" s="67">
        <v>22.0</v>
      </c>
      <c r="S48" s="67">
        <v>191.0</v>
      </c>
      <c r="T48" s="68">
        <v>1.5</v>
      </c>
      <c r="U48" s="67">
        <v>72.0</v>
      </c>
      <c r="V48" s="67">
        <v>325.0</v>
      </c>
      <c r="W48" s="67">
        <v>28.0</v>
      </c>
      <c r="X48" s="69">
        <v>1.81</v>
      </c>
      <c r="Y48" s="69">
        <v>0.11</v>
      </c>
      <c r="Z48" s="69">
        <v>0.12</v>
      </c>
      <c r="AA48" s="67">
        <v>7.0</v>
      </c>
      <c r="AB48" s="69">
        <v>0.19</v>
      </c>
      <c r="AC48" s="69">
        <v>0.18</v>
      </c>
      <c r="AD48" s="68">
        <v>5.6</v>
      </c>
      <c r="AE48" s="69">
        <v>0.78</v>
      </c>
      <c r="AF48" s="69">
        <v>0.35</v>
      </c>
      <c r="AG48" s="67">
        <v>15.0</v>
      </c>
      <c r="AH48" s="69">
        <v>2.39</v>
      </c>
      <c r="AI48" s="67">
        <v>1.0</v>
      </c>
    </row>
    <row r="49" ht="15.0" customHeight="1">
      <c r="B49" s="160" t="s">
        <v>312</v>
      </c>
      <c r="C49" s="20"/>
      <c r="D49" s="20"/>
      <c r="E49" s="20"/>
      <c r="F49" s="20"/>
      <c r="G49" s="21"/>
      <c r="H49" s="66"/>
      <c r="I49" s="67">
        <f t="shared" si="2"/>
        <v>138.7</v>
      </c>
      <c r="J49" s="68">
        <v>15.6</v>
      </c>
      <c r="K49" s="68">
        <v>7.9</v>
      </c>
      <c r="L49" s="69">
        <v>2.51</v>
      </c>
      <c r="M49" s="69">
        <v>3.3</v>
      </c>
      <c r="N49" s="69">
        <v>1.25</v>
      </c>
      <c r="O49" s="67">
        <v>137.0</v>
      </c>
      <c r="P49" s="68">
        <v>1.3</v>
      </c>
      <c r="Q49" s="68">
        <v>0.0</v>
      </c>
      <c r="R49" s="67">
        <v>37.0</v>
      </c>
      <c r="S49" s="67">
        <v>186.0</v>
      </c>
      <c r="T49" s="68">
        <v>2.5</v>
      </c>
      <c r="U49" s="67">
        <v>101.0</v>
      </c>
      <c r="V49" s="67">
        <v>234.0</v>
      </c>
      <c r="W49" s="67">
        <v>20.0</v>
      </c>
      <c r="X49" s="69">
        <v>1.87</v>
      </c>
      <c r="Y49" s="69">
        <v>0.47</v>
      </c>
      <c r="Z49" s="69">
        <v>0.09</v>
      </c>
      <c r="AA49" s="67">
        <v>1515.0</v>
      </c>
      <c r="AB49" s="69">
        <v>0.07</v>
      </c>
      <c r="AC49" s="69">
        <v>0.53</v>
      </c>
      <c r="AD49" s="68">
        <v>4.4</v>
      </c>
      <c r="AE49" s="69">
        <v>1.67</v>
      </c>
      <c r="AF49" s="69">
        <v>0.27</v>
      </c>
      <c r="AG49" s="67">
        <v>87.0</v>
      </c>
      <c r="AH49" s="69">
        <v>10.58</v>
      </c>
      <c r="AI49" s="67">
        <v>6.0</v>
      </c>
    </row>
    <row r="50" ht="15.0" customHeight="1">
      <c r="B50" s="160" t="s">
        <v>153</v>
      </c>
      <c r="C50" s="20"/>
      <c r="D50" s="20"/>
      <c r="E50" s="20"/>
      <c r="F50" s="20"/>
      <c r="G50" s="21"/>
      <c r="H50" s="159">
        <v>3.0</v>
      </c>
      <c r="I50" s="67">
        <f t="shared" si="2"/>
        <v>158.1</v>
      </c>
      <c r="J50" s="68">
        <v>9.8</v>
      </c>
      <c r="K50" s="68">
        <v>1.7</v>
      </c>
      <c r="L50" s="69">
        <v>0.25</v>
      </c>
      <c r="M50" s="69">
        <v>0.32</v>
      </c>
      <c r="N50" s="69">
        <v>0.94</v>
      </c>
      <c r="O50" s="67">
        <v>0.0</v>
      </c>
      <c r="P50" s="68">
        <v>25.9</v>
      </c>
      <c r="Q50" s="68">
        <v>7.9</v>
      </c>
      <c r="R50" s="67">
        <v>50.0</v>
      </c>
      <c r="S50" s="67">
        <v>167.0</v>
      </c>
      <c r="T50" s="68">
        <v>3.1</v>
      </c>
      <c r="U50" s="67">
        <v>10.0</v>
      </c>
      <c r="V50" s="67">
        <v>534.0</v>
      </c>
      <c r="W50" s="67">
        <v>62.0</v>
      </c>
      <c r="X50" s="69">
        <v>1.22</v>
      </c>
      <c r="Y50" s="69">
        <v>0.28</v>
      </c>
      <c r="Z50" s="69">
        <v>0.6</v>
      </c>
      <c r="AA50" s="67">
        <v>10.0</v>
      </c>
      <c r="AB50" s="69">
        <v>0.2</v>
      </c>
      <c r="AC50" s="69">
        <v>0.09</v>
      </c>
      <c r="AD50" s="68">
        <v>0.9</v>
      </c>
      <c r="AE50" s="69">
        <v>0.42</v>
      </c>
      <c r="AF50" s="69">
        <v>0.16</v>
      </c>
      <c r="AG50" s="67">
        <v>142.0</v>
      </c>
      <c r="AH50" s="69">
        <v>0.0</v>
      </c>
      <c r="AI50" s="67">
        <v>4.0</v>
      </c>
    </row>
    <row r="51" ht="15.0" customHeight="1">
      <c r="B51" s="158" t="s">
        <v>159</v>
      </c>
      <c r="C51" s="20"/>
      <c r="D51" s="20"/>
      <c r="E51" s="20"/>
      <c r="F51" s="20"/>
      <c r="G51" s="21"/>
      <c r="H51" s="159">
        <v>4.0</v>
      </c>
      <c r="I51" s="67">
        <f t="shared" si="2"/>
        <v>93.8</v>
      </c>
      <c r="J51" s="68">
        <v>2.5</v>
      </c>
      <c r="K51" s="68">
        <v>1.0</v>
      </c>
      <c r="L51" s="69">
        <v>0.24</v>
      </c>
      <c r="M51" s="69">
        <v>0.32</v>
      </c>
      <c r="N51" s="69">
        <v>0.33</v>
      </c>
      <c r="O51" s="67">
        <v>1.0</v>
      </c>
      <c r="P51" s="68">
        <v>18.7</v>
      </c>
      <c r="Q51" s="68">
        <v>1.2</v>
      </c>
      <c r="R51" s="67">
        <v>19.0</v>
      </c>
      <c r="S51" s="67">
        <v>47.0</v>
      </c>
      <c r="T51" s="68">
        <v>0.9</v>
      </c>
      <c r="U51" s="67">
        <v>82.0</v>
      </c>
      <c r="V51" s="67">
        <v>53.0</v>
      </c>
      <c r="W51" s="67">
        <v>13.0</v>
      </c>
      <c r="X51" s="69">
        <v>0.42</v>
      </c>
      <c r="Y51" s="69">
        <v>0.05</v>
      </c>
      <c r="Z51" s="69">
        <v>0.24</v>
      </c>
      <c r="AA51" s="67">
        <v>22.0</v>
      </c>
      <c r="AB51" s="69">
        <v>0.11</v>
      </c>
      <c r="AC51" s="69">
        <v>0.09</v>
      </c>
      <c r="AD51" s="68">
        <v>1.1</v>
      </c>
      <c r="AE51" s="69">
        <v>0.15</v>
      </c>
      <c r="AF51" s="69">
        <v>0.08</v>
      </c>
      <c r="AG51" s="67">
        <v>38.0</v>
      </c>
      <c r="AH51" s="69">
        <v>0.0</v>
      </c>
      <c r="AI51" s="67">
        <v>2.0</v>
      </c>
    </row>
    <row r="52" ht="15.0" customHeight="1">
      <c r="B52" s="158" t="s">
        <v>167</v>
      </c>
      <c r="C52" s="20"/>
      <c r="D52" s="20"/>
      <c r="E52" s="20"/>
      <c r="F52" s="20"/>
      <c r="G52" s="21"/>
      <c r="H52" s="66"/>
      <c r="I52" s="67">
        <f t="shared" si="2"/>
        <v>95.7</v>
      </c>
      <c r="J52" s="68">
        <v>1.4</v>
      </c>
      <c r="K52" s="68">
        <v>0.1</v>
      </c>
      <c r="L52" s="69">
        <v>0.05</v>
      </c>
      <c r="M52" s="69">
        <v>0.01</v>
      </c>
      <c r="N52" s="69">
        <v>0.06</v>
      </c>
      <c r="O52" s="67">
        <v>0.0</v>
      </c>
      <c r="P52" s="68">
        <v>22.3</v>
      </c>
      <c r="Q52" s="68">
        <v>1.9</v>
      </c>
      <c r="R52" s="67">
        <v>11.0</v>
      </c>
      <c r="S52" s="67">
        <v>40.0</v>
      </c>
      <c r="T52" s="68">
        <v>0.5</v>
      </c>
      <c r="U52" s="67">
        <v>10.0</v>
      </c>
      <c r="V52" s="67">
        <v>376.0</v>
      </c>
      <c r="W52" s="67">
        <v>20.0</v>
      </c>
      <c r="X52" s="69">
        <v>0.23</v>
      </c>
      <c r="Y52" s="69">
        <v>0.13</v>
      </c>
      <c r="Z52" s="69">
        <v>0.25</v>
      </c>
      <c r="AA52" s="67">
        <v>156.0</v>
      </c>
      <c r="AB52" s="69">
        <v>0.05</v>
      </c>
      <c r="AC52" s="69">
        <v>0.04</v>
      </c>
      <c r="AD52" s="68">
        <v>0.9</v>
      </c>
      <c r="AE52" s="69">
        <v>0.29</v>
      </c>
      <c r="AF52" s="69">
        <v>0.21</v>
      </c>
      <c r="AG52" s="67">
        <v>13.0</v>
      </c>
      <c r="AH52" s="69">
        <v>0.0</v>
      </c>
      <c r="AI52" s="67">
        <v>28.0</v>
      </c>
    </row>
    <row r="53" ht="15.0" customHeight="1">
      <c r="B53" s="158" t="s">
        <v>313</v>
      </c>
      <c r="C53" s="20"/>
      <c r="D53" s="20"/>
      <c r="E53" s="20"/>
      <c r="F53" s="20"/>
      <c r="G53" s="21"/>
      <c r="H53" s="66"/>
      <c r="I53" s="67">
        <f t="shared" si="2"/>
        <v>95.4</v>
      </c>
      <c r="J53" s="68">
        <v>2.0</v>
      </c>
      <c r="K53" s="68">
        <v>0.6</v>
      </c>
      <c r="L53" s="69">
        <v>0.14</v>
      </c>
      <c r="M53" s="69">
        <v>0.16</v>
      </c>
      <c r="N53" s="69">
        <v>0.19</v>
      </c>
      <c r="O53" s="67">
        <v>0.0</v>
      </c>
      <c r="P53" s="68">
        <v>20.5</v>
      </c>
      <c r="Q53" s="68">
        <v>1.5</v>
      </c>
      <c r="R53" s="67">
        <v>15.0</v>
      </c>
      <c r="S53" s="67">
        <v>43.0</v>
      </c>
      <c r="T53" s="68">
        <v>0.7</v>
      </c>
      <c r="U53" s="67">
        <v>46.0</v>
      </c>
      <c r="V53" s="67">
        <v>214.0</v>
      </c>
      <c r="W53" s="67">
        <v>17.0</v>
      </c>
      <c r="X53" s="69">
        <v>0.33</v>
      </c>
      <c r="Y53" s="69">
        <v>0.09</v>
      </c>
      <c r="Z53" s="69">
        <v>0.24</v>
      </c>
      <c r="AA53" s="67">
        <v>89.0</v>
      </c>
      <c r="AB53" s="69">
        <v>0.08</v>
      </c>
      <c r="AC53" s="69">
        <v>0.07</v>
      </c>
      <c r="AD53" s="68">
        <v>1.0</v>
      </c>
      <c r="AE53" s="69">
        <v>0.22</v>
      </c>
      <c r="AF53" s="69">
        <v>0.15</v>
      </c>
      <c r="AG53" s="67">
        <v>26.0</v>
      </c>
      <c r="AH53" s="69">
        <v>0.0</v>
      </c>
      <c r="AI53" s="67">
        <v>15.0</v>
      </c>
    </row>
    <row r="54" ht="15.0" customHeight="1">
      <c r="B54" s="160" t="s">
        <v>176</v>
      </c>
      <c r="C54" s="20"/>
      <c r="D54" s="20"/>
      <c r="E54" s="20"/>
      <c r="F54" s="20"/>
      <c r="G54" s="21"/>
      <c r="H54" s="159">
        <v>5.0</v>
      </c>
      <c r="I54" s="67">
        <f t="shared" si="2"/>
        <v>29.5</v>
      </c>
      <c r="J54" s="68">
        <v>1.2</v>
      </c>
      <c r="K54" s="68">
        <v>0.3</v>
      </c>
      <c r="L54" s="69">
        <v>0.05</v>
      </c>
      <c r="M54" s="69">
        <v>0.03</v>
      </c>
      <c r="N54" s="69">
        <v>0.13</v>
      </c>
      <c r="O54" s="67">
        <v>0.0</v>
      </c>
      <c r="P54" s="68">
        <v>5.5</v>
      </c>
      <c r="Q54" s="68">
        <v>1.7</v>
      </c>
      <c r="R54" s="67">
        <v>15.0</v>
      </c>
      <c r="S54" s="67">
        <v>32.0</v>
      </c>
      <c r="T54" s="68">
        <v>0.7</v>
      </c>
      <c r="U54" s="67">
        <v>68.0</v>
      </c>
      <c r="V54" s="67">
        <v>187.0</v>
      </c>
      <c r="W54" s="67">
        <v>12.0</v>
      </c>
      <c r="X54" s="69">
        <v>0.29</v>
      </c>
      <c r="Y54" s="69">
        <v>0.1</v>
      </c>
      <c r="Z54" s="69">
        <v>0.16</v>
      </c>
      <c r="AA54" s="67">
        <v>136.0</v>
      </c>
      <c r="AB54" s="69">
        <v>0.05</v>
      </c>
      <c r="AC54" s="69">
        <v>0.06</v>
      </c>
      <c r="AD54" s="68">
        <v>0.8</v>
      </c>
      <c r="AE54" s="69">
        <v>0.37</v>
      </c>
      <c r="AF54" s="69">
        <v>0.09</v>
      </c>
      <c r="AG54" s="67">
        <v>23.0</v>
      </c>
      <c r="AH54" s="69">
        <v>0.0</v>
      </c>
      <c r="AI54" s="67">
        <v>19.0</v>
      </c>
    </row>
    <row r="55" ht="15.0" customHeight="1">
      <c r="B55" s="160" t="s">
        <v>179</v>
      </c>
      <c r="C55" s="20"/>
      <c r="D55" s="20"/>
      <c r="E55" s="20"/>
      <c r="F55" s="20"/>
      <c r="G55" s="21"/>
      <c r="H55" s="159">
        <v>2.0</v>
      </c>
      <c r="I55" s="67">
        <f t="shared" si="2"/>
        <v>59.9</v>
      </c>
      <c r="J55" s="68">
        <v>1.0</v>
      </c>
      <c r="K55" s="68">
        <v>0.3</v>
      </c>
      <c r="L55" s="69">
        <v>0.06</v>
      </c>
      <c r="M55" s="69">
        <v>0.09</v>
      </c>
      <c r="N55" s="69">
        <v>0.11</v>
      </c>
      <c r="O55" s="67">
        <v>0.0</v>
      </c>
      <c r="P55" s="68">
        <v>13.3</v>
      </c>
      <c r="Q55" s="68">
        <v>2.6</v>
      </c>
      <c r="R55" s="67">
        <v>21.0</v>
      </c>
      <c r="S55" s="67">
        <v>24.0</v>
      </c>
      <c r="T55" s="68">
        <v>0.5</v>
      </c>
      <c r="U55" s="67">
        <v>4.0</v>
      </c>
      <c r="V55" s="67">
        <v>244.0</v>
      </c>
      <c r="W55" s="67">
        <v>19.0</v>
      </c>
      <c r="X55" s="69">
        <v>0.14</v>
      </c>
      <c r="Y55" s="69">
        <v>0.07</v>
      </c>
      <c r="Z55" s="69">
        <v>0.17</v>
      </c>
      <c r="AA55" s="67">
        <v>74.0</v>
      </c>
      <c r="AB55" s="69">
        <v>0.06</v>
      </c>
      <c r="AC55" s="69">
        <v>0.06</v>
      </c>
      <c r="AD55" s="68">
        <v>0.9</v>
      </c>
      <c r="AE55" s="69">
        <v>0.27</v>
      </c>
      <c r="AF55" s="69">
        <v>0.1</v>
      </c>
      <c r="AG55" s="67">
        <v>20.0</v>
      </c>
      <c r="AH55" s="69">
        <v>0.0</v>
      </c>
      <c r="AI55" s="67">
        <v>52.0</v>
      </c>
    </row>
    <row r="56" ht="15.0" customHeight="1">
      <c r="B56" s="158" t="s">
        <v>184</v>
      </c>
      <c r="C56" s="20"/>
      <c r="D56" s="20"/>
      <c r="E56" s="20"/>
      <c r="F56" s="20"/>
      <c r="G56" s="21"/>
      <c r="H56" s="159">
        <v>2.0</v>
      </c>
      <c r="I56" s="67">
        <f t="shared" si="2"/>
        <v>56.4</v>
      </c>
      <c r="J56" s="68">
        <v>1.3</v>
      </c>
      <c r="K56" s="68">
        <v>4.8</v>
      </c>
      <c r="L56" s="69">
        <v>1.15</v>
      </c>
      <c r="M56" s="69">
        <v>2.44</v>
      </c>
      <c r="N56" s="69">
        <v>0.99</v>
      </c>
      <c r="O56" s="67">
        <v>0.0</v>
      </c>
      <c r="P56" s="68">
        <v>2.0</v>
      </c>
      <c r="Q56" s="68">
        <v>0.7</v>
      </c>
      <c r="R56" s="67">
        <v>8.0</v>
      </c>
      <c r="S56" s="67">
        <v>34.0</v>
      </c>
      <c r="T56" s="68">
        <v>0.3</v>
      </c>
      <c r="U56" s="67">
        <v>6.0</v>
      </c>
      <c r="V56" s="67">
        <v>55.0</v>
      </c>
      <c r="W56" s="67">
        <v>16.0</v>
      </c>
      <c r="X56" s="69">
        <v>0.28</v>
      </c>
      <c r="Y56" s="69">
        <v>0.1</v>
      </c>
      <c r="Z56" s="69">
        <v>0.18</v>
      </c>
      <c r="AA56" s="67">
        <v>1.0</v>
      </c>
      <c r="AB56" s="69">
        <v>0.03</v>
      </c>
      <c r="AC56" s="69">
        <v>0.02</v>
      </c>
      <c r="AD56" s="68">
        <v>0.2</v>
      </c>
      <c r="AE56" s="69">
        <v>0.08</v>
      </c>
      <c r="AF56" s="69">
        <v>0.02</v>
      </c>
      <c r="AG56" s="67">
        <v>5.0</v>
      </c>
      <c r="AH56" s="69">
        <v>0.0</v>
      </c>
      <c r="AI56" s="67">
        <v>0.0</v>
      </c>
    </row>
    <row r="57" ht="15.0" customHeight="1">
      <c r="B57" s="158" t="s">
        <v>186</v>
      </c>
      <c r="C57" s="20"/>
      <c r="D57" s="20"/>
      <c r="E57" s="20"/>
      <c r="F57" s="20"/>
      <c r="G57" s="21"/>
      <c r="H57" s="66"/>
      <c r="I57" s="67">
        <f t="shared" si="2"/>
        <v>58.5</v>
      </c>
      <c r="J57" s="68">
        <v>2.3</v>
      </c>
      <c r="K57" s="68">
        <v>4.1</v>
      </c>
      <c r="L57" s="69">
        <v>0.5</v>
      </c>
      <c r="M57" s="69">
        <v>0.91</v>
      </c>
      <c r="N57" s="69">
        <v>2.48</v>
      </c>
      <c r="O57" s="67">
        <v>0.0</v>
      </c>
      <c r="P57" s="68">
        <v>3.1</v>
      </c>
      <c r="Q57" s="68">
        <v>2.1</v>
      </c>
      <c r="R57" s="67">
        <v>50.0</v>
      </c>
      <c r="S57" s="67">
        <v>74.0</v>
      </c>
      <c r="T57" s="68">
        <v>0.9</v>
      </c>
      <c r="U57" s="67">
        <v>2.0</v>
      </c>
      <c r="V57" s="67">
        <v>78.0</v>
      </c>
      <c r="W57" s="67">
        <v>37.0</v>
      </c>
      <c r="X57" s="69">
        <v>0.58</v>
      </c>
      <c r="Y57" s="69">
        <v>0.15</v>
      </c>
      <c r="Z57" s="69">
        <v>0.35</v>
      </c>
      <c r="AA57" s="67">
        <v>1.0</v>
      </c>
      <c r="AB57" s="69">
        <v>0.07</v>
      </c>
      <c r="AC57" s="69">
        <v>0.02</v>
      </c>
      <c r="AD57" s="68">
        <v>0.3</v>
      </c>
      <c r="AE57" s="69">
        <v>0.15</v>
      </c>
      <c r="AF57" s="69">
        <v>0.06</v>
      </c>
      <c r="AG57" s="67">
        <v>18.0</v>
      </c>
      <c r="AH57" s="69">
        <v>0.0</v>
      </c>
      <c r="AI57" s="67">
        <v>0.0</v>
      </c>
    </row>
    <row r="58" ht="15.0" customHeight="1">
      <c r="B58" s="160" t="s">
        <v>189</v>
      </c>
      <c r="C58" s="20"/>
      <c r="D58" s="20"/>
      <c r="E58" s="20"/>
      <c r="F58" s="20"/>
      <c r="G58" s="21"/>
      <c r="H58" s="159">
        <v>3.0</v>
      </c>
      <c r="I58" s="67">
        <f t="shared" si="2"/>
        <v>89.9</v>
      </c>
      <c r="J58" s="68">
        <v>0.9</v>
      </c>
      <c r="K58" s="68">
        <v>1.1</v>
      </c>
      <c r="L58" s="69">
        <v>0.63</v>
      </c>
      <c r="M58" s="69">
        <v>0.33</v>
      </c>
      <c r="N58" s="69">
        <v>0.07</v>
      </c>
      <c r="O58" s="67">
        <v>2.0</v>
      </c>
      <c r="P58" s="68">
        <v>19.1</v>
      </c>
      <c r="Q58" s="68">
        <v>0.5</v>
      </c>
      <c r="R58" s="67">
        <v>20.0</v>
      </c>
      <c r="S58" s="67">
        <v>23.0</v>
      </c>
      <c r="T58" s="68">
        <v>0.3</v>
      </c>
      <c r="U58" s="67">
        <v>25.0</v>
      </c>
      <c r="V58" s="67">
        <v>67.0</v>
      </c>
      <c r="W58" s="67">
        <v>6.0</v>
      </c>
      <c r="X58" s="69">
        <v>0.16</v>
      </c>
      <c r="Y58" s="69">
        <v>0.05</v>
      </c>
      <c r="Z58" s="69">
        <v>0.16</v>
      </c>
      <c r="AA58" s="67">
        <v>10.0</v>
      </c>
      <c r="AB58" s="69">
        <v>0.04</v>
      </c>
      <c r="AC58" s="69">
        <v>0.07</v>
      </c>
      <c r="AD58" s="68">
        <v>0.2</v>
      </c>
      <c r="AE58" s="69">
        <v>0.08</v>
      </c>
      <c r="AF58" s="69">
        <v>0.02</v>
      </c>
      <c r="AG58" s="67">
        <v>5.0</v>
      </c>
      <c r="AH58" s="69">
        <v>0.04</v>
      </c>
      <c r="AI58" s="67">
        <v>2.0</v>
      </c>
    </row>
    <row r="59" ht="15.0" customHeight="1">
      <c r="B59" s="158" t="s">
        <v>195</v>
      </c>
      <c r="C59" s="20"/>
      <c r="D59" s="20"/>
      <c r="E59" s="20"/>
      <c r="F59" s="20"/>
      <c r="G59" s="21"/>
      <c r="H59" s="159">
        <v>4.0</v>
      </c>
      <c r="I59" s="67">
        <f t="shared" si="2"/>
        <v>41.7</v>
      </c>
      <c r="J59" s="68">
        <v>0.0</v>
      </c>
      <c r="K59" s="68">
        <v>4.5</v>
      </c>
      <c r="L59" s="69">
        <v>0.67</v>
      </c>
      <c r="M59" s="69">
        <v>1.39</v>
      </c>
      <c r="N59" s="69">
        <v>2.71</v>
      </c>
      <c r="O59" s="67">
        <v>1.0</v>
      </c>
      <c r="P59" s="68">
        <v>0.3</v>
      </c>
      <c r="Q59" s="68">
        <v>0.0</v>
      </c>
      <c r="R59" s="67">
        <v>1.0</v>
      </c>
      <c r="S59" s="67">
        <v>1.0</v>
      </c>
      <c r="T59" s="68">
        <v>0.0</v>
      </c>
      <c r="U59" s="67">
        <v>27.0</v>
      </c>
      <c r="V59" s="67">
        <v>2.0</v>
      </c>
      <c r="W59" s="67">
        <v>0.0</v>
      </c>
      <c r="X59" s="69">
        <v>0.01</v>
      </c>
      <c r="Y59" s="69">
        <v>0.0</v>
      </c>
      <c r="Z59" s="69">
        <v>0.0</v>
      </c>
      <c r="AA59" s="67">
        <v>2.0</v>
      </c>
      <c r="AB59" s="69">
        <v>0.0</v>
      </c>
      <c r="AC59" s="69">
        <v>0.0</v>
      </c>
      <c r="AD59" s="68">
        <v>0.0</v>
      </c>
      <c r="AE59" s="69">
        <v>0.01</v>
      </c>
      <c r="AF59" s="69">
        <v>0.01</v>
      </c>
      <c r="AG59" s="67">
        <v>0.0</v>
      </c>
      <c r="AH59" s="69">
        <v>0.01</v>
      </c>
      <c r="AI59" s="67">
        <v>0.0</v>
      </c>
    </row>
    <row r="60" ht="15.0" customHeight="1">
      <c r="B60" s="158" t="s">
        <v>196</v>
      </c>
      <c r="C60" s="20"/>
      <c r="D60" s="20"/>
      <c r="E60" s="20"/>
      <c r="F60" s="20"/>
      <c r="G60" s="21"/>
      <c r="H60" s="66"/>
      <c r="I60" s="67">
        <f t="shared" si="2"/>
        <v>47</v>
      </c>
      <c r="J60" s="68">
        <v>0.4</v>
      </c>
      <c r="K60" s="68">
        <v>4.6</v>
      </c>
      <c r="L60" s="69">
        <v>0.66</v>
      </c>
      <c r="M60" s="69">
        <v>2.7</v>
      </c>
      <c r="N60" s="69">
        <v>0.96</v>
      </c>
      <c r="O60" s="67">
        <v>0.0</v>
      </c>
      <c r="P60" s="68">
        <v>1.0</v>
      </c>
      <c r="Q60" s="68">
        <v>0.6</v>
      </c>
      <c r="R60" s="67">
        <v>7.0</v>
      </c>
      <c r="S60" s="67">
        <v>7.0</v>
      </c>
      <c r="T60" s="68">
        <v>0.2</v>
      </c>
      <c r="U60" s="67">
        <v>55.0</v>
      </c>
      <c r="V60" s="67">
        <v>49.0</v>
      </c>
      <c r="W60" s="67">
        <v>5.0</v>
      </c>
      <c r="X60" s="69">
        <v>0.07</v>
      </c>
      <c r="Y60" s="69">
        <v>0.03</v>
      </c>
      <c r="Z60" s="69">
        <v>0.02</v>
      </c>
      <c r="AA60" s="67">
        <v>12.0</v>
      </c>
      <c r="AB60" s="69">
        <v>0.01</v>
      </c>
      <c r="AC60" s="69">
        <v>0.01</v>
      </c>
      <c r="AD60" s="68">
        <v>0.3</v>
      </c>
      <c r="AE60" s="69">
        <v>0.08</v>
      </c>
      <c r="AF60" s="69">
        <v>0.03</v>
      </c>
      <c r="AG60" s="67">
        <v>5.0</v>
      </c>
      <c r="AH60" s="69">
        <v>0.0</v>
      </c>
      <c r="AI60" s="67">
        <v>1.0</v>
      </c>
    </row>
    <row r="61" ht="15.0" customHeight="1">
      <c r="B61" s="158" t="s">
        <v>197</v>
      </c>
      <c r="C61" s="20"/>
      <c r="D61" s="20"/>
      <c r="E61" s="20"/>
      <c r="F61" s="20"/>
      <c r="G61" s="21"/>
      <c r="H61" s="159">
        <v>2.0</v>
      </c>
      <c r="I61" s="67">
        <f t="shared" si="2"/>
        <v>45.6</v>
      </c>
      <c r="J61" s="68">
        <v>0.3</v>
      </c>
      <c r="K61" s="68">
        <v>4.8</v>
      </c>
      <c r="L61" s="69">
        <v>2.66</v>
      </c>
      <c r="M61" s="69">
        <v>1.57</v>
      </c>
      <c r="N61" s="69">
        <v>0.28</v>
      </c>
      <c r="O61" s="67">
        <v>10.0</v>
      </c>
      <c r="P61" s="68">
        <v>0.3</v>
      </c>
      <c r="Q61" s="68">
        <v>0.0</v>
      </c>
      <c r="R61" s="67">
        <v>8.0</v>
      </c>
      <c r="S61" s="67">
        <v>7.0</v>
      </c>
      <c r="T61" s="68">
        <v>0.0</v>
      </c>
      <c r="U61" s="67">
        <v>9.0</v>
      </c>
      <c r="V61" s="67">
        <v>10.0</v>
      </c>
      <c r="W61" s="67">
        <v>1.0</v>
      </c>
      <c r="X61" s="69">
        <v>0.03</v>
      </c>
      <c r="Y61" s="69">
        <v>0.0</v>
      </c>
      <c r="Z61" s="69">
        <v>0.0</v>
      </c>
      <c r="AA61" s="67">
        <v>31.0</v>
      </c>
      <c r="AB61" s="69">
        <v>0.0</v>
      </c>
      <c r="AC61" s="69">
        <v>0.01</v>
      </c>
      <c r="AD61" s="68">
        <v>0.0</v>
      </c>
      <c r="AE61" s="69">
        <v>0.03</v>
      </c>
      <c r="AF61" s="69">
        <v>0.0</v>
      </c>
      <c r="AG61" s="67">
        <v>1.0</v>
      </c>
      <c r="AH61" s="69">
        <v>0.03</v>
      </c>
      <c r="AI61" s="67">
        <v>0.0</v>
      </c>
    </row>
    <row r="62" ht="15.0" customHeight="1">
      <c r="B62" s="158" t="s">
        <v>198</v>
      </c>
      <c r="C62" s="20"/>
      <c r="D62" s="20"/>
      <c r="E62" s="20"/>
      <c r="F62" s="20"/>
      <c r="G62" s="21"/>
      <c r="H62" s="66"/>
      <c r="I62" s="67">
        <f t="shared" si="2"/>
        <v>44.6</v>
      </c>
      <c r="J62" s="68">
        <v>0.3</v>
      </c>
      <c r="K62" s="68">
        <v>4.6</v>
      </c>
      <c r="L62" s="69">
        <v>1.33</v>
      </c>
      <c r="M62" s="69">
        <v>1.88</v>
      </c>
      <c r="N62" s="69">
        <v>1.32</v>
      </c>
      <c r="O62" s="67">
        <v>4.0</v>
      </c>
      <c r="P62" s="68">
        <v>0.5</v>
      </c>
      <c r="Q62" s="68">
        <v>0.2</v>
      </c>
      <c r="R62" s="67">
        <v>5.0</v>
      </c>
      <c r="S62" s="67">
        <v>5.0</v>
      </c>
      <c r="T62" s="68">
        <v>0.1</v>
      </c>
      <c r="U62" s="67">
        <v>30.0</v>
      </c>
      <c r="V62" s="67">
        <v>20.0</v>
      </c>
      <c r="W62" s="67">
        <v>2.0</v>
      </c>
      <c r="X62" s="69">
        <v>0.04</v>
      </c>
      <c r="Y62" s="69">
        <v>0.01</v>
      </c>
      <c r="Z62" s="69">
        <v>0.01</v>
      </c>
      <c r="AA62" s="67">
        <v>15.0</v>
      </c>
      <c r="AB62" s="69">
        <v>0.0</v>
      </c>
      <c r="AC62" s="69">
        <v>0.01</v>
      </c>
      <c r="AD62" s="68">
        <v>0.1</v>
      </c>
      <c r="AE62" s="69">
        <v>0.04</v>
      </c>
      <c r="AF62" s="69">
        <v>0.01</v>
      </c>
      <c r="AG62" s="67">
        <v>2.0</v>
      </c>
      <c r="AH62" s="69">
        <v>0.01</v>
      </c>
      <c r="AI62" s="67">
        <v>0.0</v>
      </c>
    </row>
    <row r="63" ht="15.0" customHeight="1">
      <c r="B63" s="158" t="s">
        <v>200</v>
      </c>
      <c r="C63" s="20"/>
      <c r="D63" s="20"/>
      <c r="E63" s="20"/>
      <c r="F63" s="20"/>
      <c r="G63" s="21"/>
      <c r="H63" s="66"/>
      <c r="I63" s="67">
        <f t="shared" si="2"/>
        <v>39.3</v>
      </c>
      <c r="J63" s="68">
        <v>1.3</v>
      </c>
      <c r="K63" s="68">
        <v>3.3</v>
      </c>
      <c r="L63" s="69">
        <v>1.16</v>
      </c>
      <c r="M63" s="69">
        <v>0.98</v>
      </c>
      <c r="N63" s="69">
        <v>0.89</v>
      </c>
      <c r="O63" s="67">
        <v>6.0</v>
      </c>
      <c r="P63" s="68">
        <v>1.1</v>
      </c>
      <c r="Q63" s="68">
        <v>0.0</v>
      </c>
      <c r="R63" s="67">
        <v>16.0</v>
      </c>
      <c r="S63" s="67">
        <v>37.0</v>
      </c>
      <c r="T63" s="68">
        <v>0.0</v>
      </c>
      <c r="U63" s="67">
        <v>125.0</v>
      </c>
      <c r="V63" s="67">
        <v>19.0</v>
      </c>
      <c r="W63" s="67">
        <v>2.0</v>
      </c>
      <c r="X63" s="69">
        <v>0.12</v>
      </c>
      <c r="Y63" s="69">
        <v>0.0</v>
      </c>
      <c r="Z63" s="69">
        <v>0.0</v>
      </c>
      <c r="AA63" s="67">
        <v>41.0</v>
      </c>
      <c r="AB63" s="69">
        <v>0.0</v>
      </c>
      <c r="AC63" s="69">
        <v>0.02</v>
      </c>
      <c r="AD63" s="68">
        <v>0.0</v>
      </c>
      <c r="AE63" s="69">
        <v>0.04</v>
      </c>
      <c r="AF63" s="69">
        <v>0.03</v>
      </c>
      <c r="AG63" s="67">
        <v>3.0</v>
      </c>
      <c r="AH63" s="69">
        <v>0.06</v>
      </c>
      <c r="AI63" s="67">
        <v>0.0</v>
      </c>
    </row>
    <row r="64" ht="15.75" customHeight="1">
      <c r="B64" s="72"/>
      <c r="C64" s="72"/>
      <c r="D64" s="72"/>
      <c r="E64" s="72"/>
      <c r="F64" s="72"/>
      <c r="G64" s="72"/>
      <c r="AI64" s="73"/>
    </row>
    <row r="65" ht="15.75" customHeight="1">
      <c r="B65" s="72"/>
      <c r="C65" s="72"/>
      <c r="D65" s="72"/>
      <c r="E65" s="72"/>
      <c r="F65" s="72"/>
      <c r="G65" s="72"/>
    </row>
    <row r="66" ht="15.75" customHeight="1">
      <c r="B66" s="62" t="s">
        <v>95</v>
      </c>
      <c r="C66" s="20"/>
      <c r="D66" s="20"/>
      <c r="E66" s="20"/>
      <c r="F66" s="20"/>
      <c r="G66" s="21"/>
      <c r="H66" s="63" t="s">
        <v>96</v>
      </c>
      <c r="I66" s="63" t="s">
        <v>97</v>
      </c>
      <c r="J66" s="63" t="s">
        <v>98</v>
      </c>
      <c r="K66" s="63" t="s">
        <v>99</v>
      </c>
      <c r="L66" s="63" t="s">
        <v>100</v>
      </c>
      <c r="M66" s="63" t="s">
        <v>101</v>
      </c>
      <c r="N66" s="63" t="s">
        <v>102</v>
      </c>
      <c r="O66" s="63" t="s">
        <v>103</v>
      </c>
      <c r="P66" s="63" t="s">
        <v>104</v>
      </c>
      <c r="Q66" s="63" t="s">
        <v>105</v>
      </c>
      <c r="R66" s="157" t="s">
        <v>106</v>
      </c>
      <c r="S66" s="157" t="s">
        <v>107</v>
      </c>
      <c r="T66" s="157" t="s">
        <v>108</v>
      </c>
      <c r="U66" s="157" t="s">
        <v>109</v>
      </c>
      <c r="V66" s="157" t="s">
        <v>110</v>
      </c>
      <c r="W66" s="157" t="s">
        <v>111</v>
      </c>
      <c r="X66" s="157" t="s">
        <v>112</v>
      </c>
      <c r="Y66" s="157" t="s">
        <v>113</v>
      </c>
      <c r="Z66" s="157" t="s">
        <v>114</v>
      </c>
      <c r="AA66" s="157" t="s">
        <v>115</v>
      </c>
      <c r="AB66" s="157" t="s">
        <v>116</v>
      </c>
      <c r="AC66" s="157" t="s">
        <v>117</v>
      </c>
      <c r="AD66" s="157" t="s">
        <v>118</v>
      </c>
      <c r="AE66" s="157" t="s">
        <v>119</v>
      </c>
      <c r="AF66" s="157" t="s">
        <v>120</v>
      </c>
      <c r="AG66" s="157" t="s">
        <v>121</v>
      </c>
      <c r="AH66" s="157" t="s">
        <v>122</v>
      </c>
      <c r="AI66" s="157" t="s">
        <v>123</v>
      </c>
    </row>
    <row r="67" ht="15.0" customHeight="1">
      <c r="B67" s="158" t="s">
        <v>126</v>
      </c>
      <c r="C67" s="20"/>
      <c r="D67" s="20"/>
      <c r="E67" s="20"/>
      <c r="F67" s="20"/>
      <c r="G67" s="21"/>
      <c r="H67" s="161">
        <f t="shared" ref="H67:H87" si="3">H43</f>
        <v>3</v>
      </c>
      <c r="I67" s="67">
        <f t="shared" ref="I67:I87" si="4">(I43*H43)</f>
        <v>417.3</v>
      </c>
      <c r="J67" s="68">
        <f t="shared" ref="J67:J87" si="5">(J43*H43)</f>
        <v>20.1</v>
      </c>
      <c r="K67" s="68">
        <f t="shared" ref="K67:K87" si="6">(K43*H43)</f>
        <v>20.1</v>
      </c>
      <c r="L67" s="69">
        <f t="shared" ref="L67:L87" si="7">(L43*H43)</f>
        <v>13.2</v>
      </c>
      <c r="M67" s="69">
        <f t="shared" ref="M67:M87" si="8">(M43*H43)</f>
        <v>5.85</v>
      </c>
      <c r="N67" s="69">
        <f t="shared" ref="N67:N87" si="9">(N43*H43)</f>
        <v>1.47</v>
      </c>
      <c r="O67" s="67">
        <f t="shared" ref="O67:O87" si="10">(O43*H43)</f>
        <v>78</v>
      </c>
      <c r="P67" s="68">
        <f t="shared" ref="P67:P87" si="11">(P43*H43)</f>
        <v>39</v>
      </c>
      <c r="Q67" s="68">
        <f t="shared" ref="Q67:Q87" si="12">(Q43*H43)</f>
        <v>0</v>
      </c>
      <c r="R67" s="67">
        <f t="shared" ref="R67:R87" si="13">(R43*H43)</f>
        <v>708</v>
      </c>
      <c r="S67" s="67">
        <f t="shared" ref="S67:S87" si="14">(S43*H43)</f>
        <v>519</v>
      </c>
      <c r="T67" s="68">
        <f t="shared" ref="T67:T87" si="15">(T43*H43)</f>
        <v>0.6</v>
      </c>
      <c r="U67" s="67">
        <f t="shared" ref="U67:U87" si="16">(U43*H43)</f>
        <v>288</v>
      </c>
      <c r="V67" s="67">
        <f t="shared" ref="V67:V87" si="17">(V43*H43)</f>
        <v>990</v>
      </c>
      <c r="W67" s="67">
        <f t="shared" ref="W67:W87" si="18">(W43*H43)</f>
        <v>75</v>
      </c>
      <c r="X67" s="69">
        <f t="shared" ref="X67:X87" si="19">(X43*H43)</f>
        <v>2.67</v>
      </c>
      <c r="Y67" s="69">
        <f t="shared" ref="Y67:Y87" si="20">(Y43*H43)</f>
        <v>0.09</v>
      </c>
      <c r="Z67" s="69">
        <f t="shared" ref="Z67:Z87" si="21">(Z43*H43)</f>
        <v>0.03</v>
      </c>
      <c r="AA67" s="67">
        <f t="shared" ref="AA67:AA87" si="22">(AA43*H43)</f>
        <v>219</v>
      </c>
      <c r="AB67" s="69">
        <f t="shared" ref="AB67:AB87" si="23">(AB43*H43)</f>
        <v>0.24</v>
      </c>
      <c r="AC67" s="69">
        <f t="shared" ref="AC67:AC87" si="24">(AC43*H43)</f>
        <v>1.02</v>
      </c>
      <c r="AD67" s="68">
        <f t="shared" ref="AD67:AD87" si="25">(AD43*H43)</f>
        <v>0.9</v>
      </c>
      <c r="AE67" s="69">
        <f t="shared" ref="AE67:AE87" si="26">(AE43*H43)</f>
        <v>2.01</v>
      </c>
      <c r="AF67" s="69">
        <f t="shared" ref="AF67:AF87" si="27">(AF43*H43)</f>
        <v>0.24</v>
      </c>
      <c r="AG67" s="67">
        <f t="shared" ref="AG67:AG87" si="28">(AG43*H43)</f>
        <v>30</v>
      </c>
      <c r="AH67" s="69">
        <f t="shared" ref="AH67:AH87" si="29">(AH43*H43)</f>
        <v>1.95</v>
      </c>
      <c r="AI67" s="67">
        <f t="shared" ref="AI67:AI87" si="30">(AI43*H43)</f>
        <v>9</v>
      </c>
    </row>
    <row r="68" ht="15.0" customHeight="1">
      <c r="B68" s="158" t="s">
        <v>127</v>
      </c>
      <c r="C68" s="20"/>
      <c r="D68" s="20"/>
      <c r="E68" s="20"/>
      <c r="F68" s="20"/>
      <c r="G68" s="21"/>
      <c r="H68" s="161" t="str">
        <f t="shared" si="3"/>
        <v/>
      </c>
      <c r="I68" s="67">
        <f t="shared" si="4"/>
        <v>0</v>
      </c>
      <c r="J68" s="68">
        <f t="shared" si="5"/>
        <v>0</v>
      </c>
      <c r="K68" s="68">
        <f t="shared" si="6"/>
        <v>0</v>
      </c>
      <c r="L68" s="69">
        <f t="shared" si="7"/>
        <v>0</v>
      </c>
      <c r="M68" s="69">
        <f t="shared" si="8"/>
        <v>0</v>
      </c>
      <c r="N68" s="69">
        <f t="shared" si="9"/>
        <v>0</v>
      </c>
      <c r="O68" s="67">
        <f t="shared" si="10"/>
        <v>0</v>
      </c>
      <c r="P68" s="68">
        <f t="shared" si="11"/>
        <v>0</v>
      </c>
      <c r="Q68" s="68">
        <f t="shared" si="12"/>
        <v>0</v>
      </c>
      <c r="R68" s="67">
        <f t="shared" si="13"/>
        <v>0</v>
      </c>
      <c r="S68" s="67">
        <f t="shared" si="14"/>
        <v>0</v>
      </c>
      <c r="T68" s="68">
        <f t="shared" si="15"/>
        <v>0</v>
      </c>
      <c r="U68" s="67">
        <f t="shared" si="16"/>
        <v>0</v>
      </c>
      <c r="V68" s="67">
        <f t="shared" si="17"/>
        <v>0</v>
      </c>
      <c r="W68" s="67">
        <f t="shared" si="18"/>
        <v>0</v>
      </c>
      <c r="X68" s="69">
        <f t="shared" si="19"/>
        <v>0</v>
      </c>
      <c r="Y68" s="69">
        <f t="shared" si="20"/>
        <v>0</v>
      </c>
      <c r="Z68" s="69">
        <f t="shared" si="21"/>
        <v>0</v>
      </c>
      <c r="AA68" s="67">
        <f t="shared" si="22"/>
        <v>0</v>
      </c>
      <c r="AB68" s="69">
        <f t="shared" si="23"/>
        <v>0</v>
      </c>
      <c r="AC68" s="69">
        <f t="shared" si="24"/>
        <v>0</v>
      </c>
      <c r="AD68" s="68">
        <f t="shared" si="25"/>
        <v>0</v>
      </c>
      <c r="AE68" s="69">
        <f t="shared" si="26"/>
        <v>0</v>
      </c>
      <c r="AF68" s="69">
        <f t="shared" si="27"/>
        <v>0</v>
      </c>
      <c r="AG68" s="67">
        <f t="shared" si="28"/>
        <v>0</v>
      </c>
      <c r="AH68" s="69">
        <f t="shared" si="29"/>
        <v>0</v>
      </c>
      <c r="AI68" s="67">
        <f t="shared" si="30"/>
        <v>0</v>
      </c>
    </row>
    <row r="69" ht="15.0" customHeight="1">
      <c r="B69" s="158" t="s">
        <v>128</v>
      </c>
      <c r="C69" s="20"/>
      <c r="D69" s="20"/>
      <c r="E69" s="20"/>
      <c r="F69" s="20"/>
      <c r="G69" s="21"/>
      <c r="H69" s="161" t="str">
        <f t="shared" si="3"/>
        <v/>
      </c>
      <c r="I69" s="67">
        <f t="shared" si="4"/>
        <v>0</v>
      </c>
      <c r="J69" s="68">
        <f t="shared" si="5"/>
        <v>0</v>
      </c>
      <c r="K69" s="68">
        <f t="shared" si="6"/>
        <v>0</v>
      </c>
      <c r="L69" s="69">
        <f t="shared" si="7"/>
        <v>0</v>
      </c>
      <c r="M69" s="69">
        <f t="shared" si="8"/>
        <v>0</v>
      </c>
      <c r="N69" s="69">
        <f t="shared" si="9"/>
        <v>0</v>
      </c>
      <c r="O69" s="67">
        <f t="shared" si="10"/>
        <v>0</v>
      </c>
      <c r="P69" s="68">
        <f t="shared" si="11"/>
        <v>0</v>
      </c>
      <c r="Q69" s="68">
        <f t="shared" si="12"/>
        <v>0</v>
      </c>
      <c r="R69" s="67">
        <f t="shared" si="13"/>
        <v>0</v>
      </c>
      <c r="S69" s="67">
        <f t="shared" si="14"/>
        <v>0</v>
      </c>
      <c r="T69" s="68">
        <f t="shared" si="15"/>
        <v>0</v>
      </c>
      <c r="U69" s="67">
        <f t="shared" si="16"/>
        <v>0</v>
      </c>
      <c r="V69" s="67">
        <f t="shared" si="17"/>
        <v>0</v>
      </c>
      <c r="W69" s="67">
        <f t="shared" si="18"/>
        <v>0</v>
      </c>
      <c r="X69" s="69">
        <f t="shared" si="19"/>
        <v>0</v>
      </c>
      <c r="Y69" s="69">
        <f t="shared" si="20"/>
        <v>0</v>
      </c>
      <c r="Z69" s="69">
        <f t="shared" si="21"/>
        <v>0</v>
      </c>
      <c r="AA69" s="67">
        <f t="shared" si="22"/>
        <v>0</v>
      </c>
      <c r="AB69" s="69">
        <f t="shared" si="23"/>
        <v>0</v>
      </c>
      <c r="AC69" s="69">
        <f t="shared" si="24"/>
        <v>0</v>
      </c>
      <c r="AD69" s="68">
        <f t="shared" si="25"/>
        <v>0</v>
      </c>
      <c r="AE69" s="69">
        <f t="shared" si="26"/>
        <v>0</v>
      </c>
      <c r="AF69" s="69">
        <f t="shared" si="27"/>
        <v>0</v>
      </c>
      <c r="AG69" s="67">
        <f t="shared" si="28"/>
        <v>0</v>
      </c>
      <c r="AH69" s="69">
        <f t="shared" si="29"/>
        <v>0</v>
      </c>
      <c r="AI69" s="67">
        <f t="shared" si="30"/>
        <v>0</v>
      </c>
    </row>
    <row r="70" ht="15.0" customHeight="1">
      <c r="B70" s="158" t="s">
        <v>129</v>
      </c>
      <c r="C70" s="20"/>
      <c r="D70" s="20"/>
      <c r="E70" s="20"/>
      <c r="F70" s="20"/>
      <c r="G70" s="21"/>
      <c r="H70" s="161" t="str">
        <f t="shared" si="3"/>
        <v/>
      </c>
      <c r="I70" s="67">
        <f t="shared" si="4"/>
        <v>0</v>
      </c>
      <c r="J70" s="68">
        <f t="shared" si="5"/>
        <v>0</v>
      </c>
      <c r="K70" s="68">
        <f t="shared" si="6"/>
        <v>0</v>
      </c>
      <c r="L70" s="69">
        <f t="shared" si="7"/>
        <v>0</v>
      </c>
      <c r="M70" s="69">
        <f t="shared" si="8"/>
        <v>0</v>
      </c>
      <c r="N70" s="69">
        <f t="shared" si="9"/>
        <v>0</v>
      </c>
      <c r="O70" s="67">
        <f t="shared" si="10"/>
        <v>0</v>
      </c>
      <c r="P70" s="68">
        <f t="shared" si="11"/>
        <v>0</v>
      </c>
      <c r="Q70" s="68">
        <f t="shared" si="12"/>
        <v>0</v>
      </c>
      <c r="R70" s="67">
        <f t="shared" si="13"/>
        <v>0</v>
      </c>
      <c r="S70" s="67">
        <f t="shared" si="14"/>
        <v>0</v>
      </c>
      <c r="T70" s="68">
        <f t="shared" si="15"/>
        <v>0</v>
      </c>
      <c r="U70" s="67">
        <f t="shared" si="16"/>
        <v>0</v>
      </c>
      <c r="V70" s="67">
        <f t="shared" si="17"/>
        <v>0</v>
      </c>
      <c r="W70" s="67">
        <f t="shared" si="18"/>
        <v>0</v>
      </c>
      <c r="X70" s="69">
        <f t="shared" si="19"/>
        <v>0</v>
      </c>
      <c r="Y70" s="69">
        <f t="shared" si="20"/>
        <v>0</v>
      </c>
      <c r="Z70" s="69">
        <f t="shared" si="21"/>
        <v>0</v>
      </c>
      <c r="AA70" s="67">
        <f t="shared" si="22"/>
        <v>0</v>
      </c>
      <c r="AB70" s="69">
        <f t="shared" si="23"/>
        <v>0</v>
      </c>
      <c r="AC70" s="69">
        <f t="shared" si="24"/>
        <v>0</v>
      </c>
      <c r="AD70" s="68">
        <f t="shared" si="25"/>
        <v>0</v>
      </c>
      <c r="AE70" s="69">
        <f t="shared" si="26"/>
        <v>0</v>
      </c>
      <c r="AF70" s="69">
        <f t="shared" si="27"/>
        <v>0</v>
      </c>
      <c r="AG70" s="67">
        <f t="shared" si="28"/>
        <v>0</v>
      </c>
      <c r="AH70" s="69">
        <f t="shared" si="29"/>
        <v>0</v>
      </c>
      <c r="AI70" s="67">
        <f t="shared" si="30"/>
        <v>0</v>
      </c>
    </row>
    <row r="71" ht="15.0" customHeight="1">
      <c r="B71" s="160" t="s">
        <v>138</v>
      </c>
      <c r="C71" s="20"/>
      <c r="D71" s="20"/>
      <c r="E71" s="20"/>
      <c r="F71" s="20"/>
      <c r="G71" s="21"/>
      <c r="H71" s="161">
        <f t="shared" si="3"/>
        <v>4</v>
      </c>
      <c r="I71" s="67">
        <f t="shared" si="4"/>
        <v>308.4</v>
      </c>
      <c r="J71" s="68">
        <f t="shared" si="5"/>
        <v>23.2</v>
      </c>
      <c r="K71" s="68">
        <f t="shared" si="6"/>
        <v>22</v>
      </c>
      <c r="L71" s="69">
        <f t="shared" si="7"/>
        <v>11.64</v>
      </c>
      <c r="M71" s="69">
        <f t="shared" si="8"/>
        <v>7.76</v>
      </c>
      <c r="N71" s="69">
        <f t="shared" si="9"/>
        <v>1.64</v>
      </c>
      <c r="O71" s="67">
        <f t="shared" si="10"/>
        <v>160</v>
      </c>
      <c r="P71" s="68">
        <f t="shared" si="11"/>
        <v>4.4</v>
      </c>
      <c r="Q71" s="68">
        <f t="shared" si="12"/>
        <v>0</v>
      </c>
      <c r="R71" s="67">
        <f t="shared" si="13"/>
        <v>380</v>
      </c>
      <c r="S71" s="67">
        <f t="shared" si="14"/>
        <v>340</v>
      </c>
      <c r="T71" s="68">
        <f t="shared" si="15"/>
        <v>4.4</v>
      </c>
      <c r="U71" s="67">
        <f t="shared" si="16"/>
        <v>844</v>
      </c>
      <c r="V71" s="67">
        <f t="shared" si="17"/>
        <v>208</v>
      </c>
      <c r="W71" s="67">
        <f t="shared" si="18"/>
        <v>24</v>
      </c>
      <c r="X71" s="69">
        <f t="shared" si="19"/>
        <v>2.6</v>
      </c>
      <c r="Y71" s="69">
        <f t="shared" si="20"/>
        <v>0.12</v>
      </c>
      <c r="Z71" s="69">
        <f t="shared" si="21"/>
        <v>0.04</v>
      </c>
      <c r="AA71" s="67">
        <f t="shared" si="22"/>
        <v>180</v>
      </c>
      <c r="AB71" s="69">
        <f t="shared" si="23"/>
        <v>0.16</v>
      </c>
      <c r="AC71" s="69">
        <f t="shared" si="24"/>
        <v>0.4</v>
      </c>
      <c r="AD71" s="68">
        <f t="shared" si="25"/>
        <v>1.6</v>
      </c>
      <c r="AE71" s="69">
        <f t="shared" si="26"/>
        <v>0.64</v>
      </c>
      <c r="AF71" s="69">
        <f t="shared" si="27"/>
        <v>0.2</v>
      </c>
      <c r="AG71" s="67">
        <f t="shared" si="28"/>
        <v>16</v>
      </c>
      <c r="AH71" s="69">
        <f t="shared" si="29"/>
        <v>2.88</v>
      </c>
      <c r="AI71" s="67">
        <f t="shared" si="30"/>
        <v>0</v>
      </c>
    </row>
    <row r="72" ht="15.0" customHeight="1">
      <c r="B72" s="160" t="s">
        <v>311</v>
      </c>
      <c r="C72" s="20"/>
      <c r="D72" s="20"/>
      <c r="E72" s="20"/>
      <c r="F72" s="20"/>
      <c r="G72" s="21"/>
      <c r="H72" s="161">
        <f t="shared" si="3"/>
        <v>3</v>
      </c>
      <c r="I72" s="67">
        <f t="shared" si="4"/>
        <v>324.9</v>
      </c>
      <c r="J72" s="68">
        <f t="shared" si="5"/>
        <v>57.3</v>
      </c>
      <c r="K72" s="68">
        <f t="shared" si="6"/>
        <v>9.3</v>
      </c>
      <c r="L72" s="69">
        <f t="shared" si="7"/>
        <v>2.76</v>
      </c>
      <c r="M72" s="69">
        <f t="shared" si="8"/>
        <v>3.48</v>
      </c>
      <c r="N72" s="69">
        <f t="shared" si="9"/>
        <v>1.59</v>
      </c>
      <c r="O72" s="67">
        <f t="shared" si="10"/>
        <v>150</v>
      </c>
      <c r="P72" s="68">
        <f t="shared" si="11"/>
        <v>3</v>
      </c>
      <c r="Q72" s="68">
        <f t="shared" si="12"/>
        <v>0.9</v>
      </c>
      <c r="R72" s="67">
        <f t="shared" si="13"/>
        <v>66</v>
      </c>
      <c r="S72" s="67">
        <f t="shared" si="14"/>
        <v>573</v>
      </c>
      <c r="T72" s="68">
        <f t="shared" si="15"/>
        <v>4.5</v>
      </c>
      <c r="U72" s="67">
        <f t="shared" si="16"/>
        <v>216</v>
      </c>
      <c r="V72" s="67">
        <f t="shared" si="17"/>
        <v>975</v>
      </c>
      <c r="W72" s="67">
        <f t="shared" si="18"/>
        <v>84</v>
      </c>
      <c r="X72" s="69">
        <f t="shared" si="19"/>
        <v>5.43</v>
      </c>
      <c r="Y72" s="69">
        <f t="shared" si="20"/>
        <v>0.33</v>
      </c>
      <c r="Z72" s="69">
        <f t="shared" si="21"/>
        <v>0.36</v>
      </c>
      <c r="AA72" s="67">
        <f t="shared" si="22"/>
        <v>21</v>
      </c>
      <c r="AB72" s="69">
        <f t="shared" si="23"/>
        <v>0.57</v>
      </c>
      <c r="AC72" s="69">
        <f t="shared" si="24"/>
        <v>0.54</v>
      </c>
      <c r="AD72" s="68">
        <f t="shared" si="25"/>
        <v>16.8</v>
      </c>
      <c r="AE72" s="69">
        <f t="shared" si="26"/>
        <v>2.34</v>
      </c>
      <c r="AF72" s="69">
        <f t="shared" si="27"/>
        <v>1.05</v>
      </c>
      <c r="AG72" s="67">
        <f t="shared" si="28"/>
        <v>45</v>
      </c>
      <c r="AH72" s="69">
        <f t="shared" si="29"/>
        <v>7.17</v>
      </c>
      <c r="AI72" s="67">
        <f t="shared" si="30"/>
        <v>3</v>
      </c>
    </row>
    <row r="73" ht="15.0" customHeight="1">
      <c r="B73" s="160" t="s">
        <v>312</v>
      </c>
      <c r="C73" s="20"/>
      <c r="D73" s="20"/>
      <c r="E73" s="20"/>
      <c r="F73" s="20"/>
      <c r="G73" s="21"/>
      <c r="H73" s="161" t="str">
        <f t="shared" si="3"/>
        <v/>
      </c>
      <c r="I73" s="67">
        <f t="shared" si="4"/>
        <v>0</v>
      </c>
      <c r="J73" s="68">
        <f t="shared" si="5"/>
        <v>0</v>
      </c>
      <c r="K73" s="68">
        <f t="shared" si="6"/>
        <v>0</v>
      </c>
      <c r="L73" s="69">
        <f t="shared" si="7"/>
        <v>0</v>
      </c>
      <c r="M73" s="69">
        <f t="shared" si="8"/>
        <v>0</v>
      </c>
      <c r="N73" s="69">
        <f t="shared" si="9"/>
        <v>0</v>
      </c>
      <c r="O73" s="67">
        <f t="shared" si="10"/>
        <v>0</v>
      </c>
      <c r="P73" s="68">
        <f t="shared" si="11"/>
        <v>0</v>
      </c>
      <c r="Q73" s="68">
        <f t="shared" si="12"/>
        <v>0</v>
      </c>
      <c r="R73" s="67">
        <f t="shared" si="13"/>
        <v>0</v>
      </c>
      <c r="S73" s="67">
        <f t="shared" si="14"/>
        <v>0</v>
      </c>
      <c r="T73" s="68">
        <f t="shared" si="15"/>
        <v>0</v>
      </c>
      <c r="U73" s="67">
        <f t="shared" si="16"/>
        <v>0</v>
      </c>
      <c r="V73" s="67">
        <f t="shared" si="17"/>
        <v>0</v>
      </c>
      <c r="W73" s="67">
        <f t="shared" si="18"/>
        <v>0</v>
      </c>
      <c r="X73" s="69">
        <f t="shared" si="19"/>
        <v>0</v>
      </c>
      <c r="Y73" s="69">
        <f t="shared" si="20"/>
        <v>0</v>
      </c>
      <c r="Z73" s="69">
        <f t="shared" si="21"/>
        <v>0</v>
      </c>
      <c r="AA73" s="67">
        <f t="shared" si="22"/>
        <v>0</v>
      </c>
      <c r="AB73" s="69">
        <f t="shared" si="23"/>
        <v>0</v>
      </c>
      <c r="AC73" s="69">
        <f t="shared" si="24"/>
        <v>0</v>
      </c>
      <c r="AD73" s="68">
        <f t="shared" si="25"/>
        <v>0</v>
      </c>
      <c r="AE73" s="69">
        <f t="shared" si="26"/>
        <v>0</v>
      </c>
      <c r="AF73" s="69">
        <f t="shared" si="27"/>
        <v>0</v>
      </c>
      <c r="AG73" s="67">
        <f t="shared" si="28"/>
        <v>0</v>
      </c>
      <c r="AH73" s="69">
        <f t="shared" si="29"/>
        <v>0</v>
      </c>
      <c r="AI73" s="67">
        <f t="shared" si="30"/>
        <v>0</v>
      </c>
    </row>
    <row r="74" ht="15.0" customHeight="1">
      <c r="B74" s="160" t="s">
        <v>153</v>
      </c>
      <c r="C74" s="20"/>
      <c r="D74" s="20"/>
      <c r="E74" s="20"/>
      <c r="F74" s="20"/>
      <c r="G74" s="21"/>
      <c r="H74" s="161">
        <f t="shared" si="3"/>
        <v>3</v>
      </c>
      <c r="I74" s="67">
        <f t="shared" si="4"/>
        <v>474.3</v>
      </c>
      <c r="J74" s="68">
        <f t="shared" si="5"/>
        <v>29.4</v>
      </c>
      <c r="K74" s="68">
        <f t="shared" si="6"/>
        <v>5.1</v>
      </c>
      <c r="L74" s="69">
        <f t="shared" si="7"/>
        <v>0.75</v>
      </c>
      <c r="M74" s="69">
        <f t="shared" si="8"/>
        <v>0.96</v>
      </c>
      <c r="N74" s="69">
        <f t="shared" si="9"/>
        <v>2.82</v>
      </c>
      <c r="O74" s="67">
        <f t="shared" si="10"/>
        <v>0</v>
      </c>
      <c r="P74" s="68">
        <f t="shared" si="11"/>
        <v>77.7</v>
      </c>
      <c r="Q74" s="68">
        <f t="shared" si="12"/>
        <v>23.7</v>
      </c>
      <c r="R74" s="67">
        <f t="shared" si="13"/>
        <v>150</v>
      </c>
      <c r="S74" s="67">
        <f t="shared" si="14"/>
        <v>501</v>
      </c>
      <c r="T74" s="68">
        <f t="shared" si="15"/>
        <v>9.3</v>
      </c>
      <c r="U74" s="67">
        <f t="shared" si="16"/>
        <v>30</v>
      </c>
      <c r="V74" s="67">
        <f t="shared" si="17"/>
        <v>1602</v>
      </c>
      <c r="W74" s="67">
        <f t="shared" si="18"/>
        <v>186</v>
      </c>
      <c r="X74" s="69">
        <f t="shared" si="19"/>
        <v>3.66</v>
      </c>
      <c r="Y74" s="69">
        <f t="shared" si="20"/>
        <v>0.84</v>
      </c>
      <c r="Z74" s="69">
        <f t="shared" si="21"/>
        <v>1.8</v>
      </c>
      <c r="AA74" s="67">
        <f t="shared" si="22"/>
        <v>30</v>
      </c>
      <c r="AB74" s="69">
        <f t="shared" si="23"/>
        <v>0.6</v>
      </c>
      <c r="AC74" s="69">
        <f t="shared" si="24"/>
        <v>0.27</v>
      </c>
      <c r="AD74" s="68">
        <f t="shared" si="25"/>
        <v>2.7</v>
      </c>
      <c r="AE74" s="69">
        <f t="shared" si="26"/>
        <v>1.26</v>
      </c>
      <c r="AF74" s="69">
        <f t="shared" si="27"/>
        <v>0.48</v>
      </c>
      <c r="AG74" s="67">
        <f t="shared" si="28"/>
        <v>426</v>
      </c>
      <c r="AH74" s="69">
        <f t="shared" si="29"/>
        <v>0</v>
      </c>
      <c r="AI74" s="67">
        <f t="shared" si="30"/>
        <v>12</v>
      </c>
    </row>
    <row r="75" ht="15.0" customHeight="1">
      <c r="B75" s="158" t="s">
        <v>159</v>
      </c>
      <c r="C75" s="20"/>
      <c r="D75" s="20"/>
      <c r="E75" s="20"/>
      <c r="F75" s="20"/>
      <c r="G75" s="21"/>
      <c r="H75" s="161">
        <f t="shared" si="3"/>
        <v>4</v>
      </c>
      <c r="I75" s="67">
        <f t="shared" si="4"/>
        <v>375.2</v>
      </c>
      <c r="J75" s="68">
        <f t="shared" si="5"/>
        <v>10</v>
      </c>
      <c r="K75" s="68">
        <f t="shared" si="6"/>
        <v>4</v>
      </c>
      <c r="L75" s="69">
        <f t="shared" si="7"/>
        <v>0.96</v>
      </c>
      <c r="M75" s="69">
        <f t="shared" si="8"/>
        <v>1.28</v>
      </c>
      <c r="N75" s="69">
        <f t="shared" si="9"/>
        <v>1.32</v>
      </c>
      <c r="O75" s="67">
        <f t="shared" si="10"/>
        <v>4</v>
      </c>
      <c r="P75" s="68">
        <f t="shared" si="11"/>
        <v>74.8</v>
      </c>
      <c r="Q75" s="68">
        <f t="shared" si="12"/>
        <v>4.8</v>
      </c>
      <c r="R75" s="67">
        <f t="shared" si="13"/>
        <v>76</v>
      </c>
      <c r="S75" s="67">
        <f t="shared" si="14"/>
        <v>188</v>
      </c>
      <c r="T75" s="68">
        <f t="shared" si="15"/>
        <v>3.6</v>
      </c>
      <c r="U75" s="67">
        <f t="shared" si="16"/>
        <v>328</v>
      </c>
      <c r="V75" s="67">
        <f t="shared" si="17"/>
        <v>212</v>
      </c>
      <c r="W75" s="67">
        <f t="shared" si="18"/>
        <v>52</v>
      </c>
      <c r="X75" s="69">
        <f t="shared" si="19"/>
        <v>1.68</v>
      </c>
      <c r="Y75" s="69">
        <f t="shared" si="20"/>
        <v>0.2</v>
      </c>
      <c r="Z75" s="69">
        <f t="shared" si="21"/>
        <v>0.96</v>
      </c>
      <c r="AA75" s="67">
        <f t="shared" si="22"/>
        <v>88</v>
      </c>
      <c r="AB75" s="69">
        <f t="shared" si="23"/>
        <v>0.44</v>
      </c>
      <c r="AC75" s="69">
        <f t="shared" si="24"/>
        <v>0.36</v>
      </c>
      <c r="AD75" s="68">
        <f t="shared" si="25"/>
        <v>4.4</v>
      </c>
      <c r="AE75" s="69">
        <f t="shared" si="26"/>
        <v>0.6</v>
      </c>
      <c r="AF75" s="69">
        <f t="shared" si="27"/>
        <v>0.32</v>
      </c>
      <c r="AG75" s="67">
        <f t="shared" si="28"/>
        <v>152</v>
      </c>
      <c r="AH75" s="69">
        <f t="shared" si="29"/>
        <v>0</v>
      </c>
      <c r="AI75" s="67">
        <f t="shared" si="30"/>
        <v>8</v>
      </c>
    </row>
    <row r="76" ht="15.0" customHeight="1">
      <c r="B76" s="158" t="s">
        <v>167</v>
      </c>
      <c r="C76" s="20"/>
      <c r="D76" s="20"/>
      <c r="E76" s="20"/>
      <c r="F76" s="20"/>
      <c r="G76" s="21"/>
      <c r="H76" s="161" t="str">
        <f t="shared" si="3"/>
        <v/>
      </c>
      <c r="I76" s="67">
        <f t="shared" si="4"/>
        <v>0</v>
      </c>
      <c r="J76" s="68">
        <f t="shared" si="5"/>
        <v>0</v>
      </c>
      <c r="K76" s="68">
        <f t="shared" si="6"/>
        <v>0</v>
      </c>
      <c r="L76" s="69">
        <f t="shared" si="7"/>
        <v>0</v>
      </c>
      <c r="M76" s="69">
        <f t="shared" si="8"/>
        <v>0</v>
      </c>
      <c r="N76" s="69">
        <f t="shared" si="9"/>
        <v>0</v>
      </c>
      <c r="O76" s="67">
        <f t="shared" si="10"/>
        <v>0</v>
      </c>
      <c r="P76" s="68">
        <f t="shared" si="11"/>
        <v>0</v>
      </c>
      <c r="Q76" s="68">
        <f t="shared" si="12"/>
        <v>0</v>
      </c>
      <c r="R76" s="67">
        <f t="shared" si="13"/>
        <v>0</v>
      </c>
      <c r="S76" s="67">
        <f t="shared" si="14"/>
        <v>0</v>
      </c>
      <c r="T76" s="68">
        <f t="shared" si="15"/>
        <v>0</v>
      </c>
      <c r="U76" s="67">
        <f t="shared" si="16"/>
        <v>0</v>
      </c>
      <c r="V76" s="67">
        <f t="shared" si="17"/>
        <v>0</v>
      </c>
      <c r="W76" s="67">
        <f t="shared" si="18"/>
        <v>0</v>
      </c>
      <c r="X76" s="69">
        <f t="shared" si="19"/>
        <v>0</v>
      </c>
      <c r="Y76" s="69">
        <f t="shared" si="20"/>
        <v>0</v>
      </c>
      <c r="Z76" s="69">
        <f t="shared" si="21"/>
        <v>0</v>
      </c>
      <c r="AA76" s="67">
        <f t="shared" si="22"/>
        <v>0</v>
      </c>
      <c r="AB76" s="69">
        <f t="shared" si="23"/>
        <v>0</v>
      </c>
      <c r="AC76" s="69">
        <f t="shared" si="24"/>
        <v>0</v>
      </c>
      <c r="AD76" s="68">
        <f t="shared" si="25"/>
        <v>0</v>
      </c>
      <c r="AE76" s="69">
        <f t="shared" si="26"/>
        <v>0</v>
      </c>
      <c r="AF76" s="69">
        <f t="shared" si="27"/>
        <v>0</v>
      </c>
      <c r="AG76" s="67">
        <f t="shared" si="28"/>
        <v>0</v>
      </c>
      <c r="AH76" s="69">
        <f t="shared" si="29"/>
        <v>0</v>
      </c>
      <c r="AI76" s="67">
        <f t="shared" si="30"/>
        <v>0</v>
      </c>
    </row>
    <row r="77" ht="15.0" customHeight="1">
      <c r="B77" s="158" t="s">
        <v>313</v>
      </c>
      <c r="C77" s="20"/>
      <c r="D77" s="20"/>
      <c r="E77" s="20"/>
      <c r="F77" s="20"/>
      <c r="G77" s="21"/>
      <c r="H77" s="161" t="str">
        <f t="shared" si="3"/>
        <v/>
      </c>
      <c r="I77" s="67">
        <f t="shared" si="4"/>
        <v>0</v>
      </c>
      <c r="J77" s="68">
        <f t="shared" si="5"/>
        <v>0</v>
      </c>
      <c r="K77" s="68">
        <f t="shared" si="6"/>
        <v>0</v>
      </c>
      <c r="L77" s="69">
        <f t="shared" si="7"/>
        <v>0</v>
      </c>
      <c r="M77" s="69">
        <f t="shared" si="8"/>
        <v>0</v>
      </c>
      <c r="N77" s="69">
        <f t="shared" si="9"/>
        <v>0</v>
      </c>
      <c r="O77" s="67">
        <f t="shared" si="10"/>
        <v>0</v>
      </c>
      <c r="P77" s="68">
        <f t="shared" si="11"/>
        <v>0</v>
      </c>
      <c r="Q77" s="68">
        <f t="shared" si="12"/>
        <v>0</v>
      </c>
      <c r="R77" s="67">
        <f t="shared" si="13"/>
        <v>0</v>
      </c>
      <c r="S77" s="67">
        <f t="shared" si="14"/>
        <v>0</v>
      </c>
      <c r="T77" s="68">
        <f t="shared" si="15"/>
        <v>0</v>
      </c>
      <c r="U77" s="67">
        <f t="shared" si="16"/>
        <v>0</v>
      </c>
      <c r="V77" s="67">
        <f t="shared" si="17"/>
        <v>0</v>
      </c>
      <c r="W77" s="67">
        <f t="shared" si="18"/>
        <v>0</v>
      </c>
      <c r="X77" s="69">
        <f t="shared" si="19"/>
        <v>0</v>
      </c>
      <c r="Y77" s="69">
        <f t="shared" si="20"/>
        <v>0</v>
      </c>
      <c r="Z77" s="69">
        <f t="shared" si="21"/>
        <v>0</v>
      </c>
      <c r="AA77" s="67">
        <f t="shared" si="22"/>
        <v>0</v>
      </c>
      <c r="AB77" s="69">
        <f t="shared" si="23"/>
        <v>0</v>
      </c>
      <c r="AC77" s="69">
        <f t="shared" si="24"/>
        <v>0</v>
      </c>
      <c r="AD77" s="68">
        <f t="shared" si="25"/>
        <v>0</v>
      </c>
      <c r="AE77" s="69">
        <f t="shared" si="26"/>
        <v>0</v>
      </c>
      <c r="AF77" s="69">
        <f t="shared" si="27"/>
        <v>0</v>
      </c>
      <c r="AG77" s="67">
        <f t="shared" si="28"/>
        <v>0</v>
      </c>
      <c r="AH77" s="69">
        <f t="shared" si="29"/>
        <v>0</v>
      </c>
      <c r="AI77" s="67">
        <f t="shared" si="30"/>
        <v>0</v>
      </c>
    </row>
    <row r="78" ht="15.0" customHeight="1">
      <c r="B78" s="160" t="s">
        <v>176</v>
      </c>
      <c r="C78" s="20"/>
      <c r="D78" s="20"/>
      <c r="E78" s="20"/>
      <c r="F78" s="20"/>
      <c r="G78" s="21"/>
      <c r="H78" s="161">
        <f t="shared" si="3"/>
        <v>5</v>
      </c>
      <c r="I78" s="67">
        <f t="shared" si="4"/>
        <v>147.5</v>
      </c>
      <c r="J78" s="68">
        <f t="shared" si="5"/>
        <v>6</v>
      </c>
      <c r="K78" s="68">
        <f t="shared" si="6"/>
        <v>1.5</v>
      </c>
      <c r="L78" s="69">
        <f t="shared" si="7"/>
        <v>0.25</v>
      </c>
      <c r="M78" s="69">
        <f t="shared" si="8"/>
        <v>0.15</v>
      </c>
      <c r="N78" s="69">
        <f t="shared" si="9"/>
        <v>0.65</v>
      </c>
      <c r="O78" s="67">
        <f t="shared" si="10"/>
        <v>0</v>
      </c>
      <c r="P78" s="68">
        <f t="shared" si="11"/>
        <v>27.5</v>
      </c>
      <c r="Q78" s="68">
        <f t="shared" si="12"/>
        <v>8.5</v>
      </c>
      <c r="R78" s="67">
        <f t="shared" si="13"/>
        <v>75</v>
      </c>
      <c r="S78" s="67">
        <f t="shared" si="14"/>
        <v>160</v>
      </c>
      <c r="T78" s="68">
        <f t="shared" si="15"/>
        <v>3.5</v>
      </c>
      <c r="U78" s="67">
        <f t="shared" si="16"/>
        <v>340</v>
      </c>
      <c r="V78" s="67">
        <f t="shared" si="17"/>
        <v>935</v>
      </c>
      <c r="W78" s="67">
        <f t="shared" si="18"/>
        <v>60</v>
      </c>
      <c r="X78" s="69">
        <f t="shared" si="19"/>
        <v>1.45</v>
      </c>
      <c r="Y78" s="69">
        <f t="shared" si="20"/>
        <v>0.5</v>
      </c>
      <c r="Z78" s="69">
        <f t="shared" si="21"/>
        <v>0.8</v>
      </c>
      <c r="AA78" s="67">
        <f t="shared" si="22"/>
        <v>680</v>
      </c>
      <c r="AB78" s="69">
        <f t="shared" si="23"/>
        <v>0.25</v>
      </c>
      <c r="AC78" s="69">
        <f t="shared" si="24"/>
        <v>0.3</v>
      </c>
      <c r="AD78" s="68">
        <f t="shared" si="25"/>
        <v>4</v>
      </c>
      <c r="AE78" s="69">
        <f t="shared" si="26"/>
        <v>1.85</v>
      </c>
      <c r="AF78" s="69">
        <f t="shared" si="27"/>
        <v>0.45</v>
      </c>
      <c r="AG78" s="67">
        <f t="shared" si="28"/>
        <v>115</v>
      </c>
      <c r="AH78" s="69">
        <f t="shared" si="29"/>
        <v>0</v>
      </c>
      <c r="AI78" s="67">
        <f t="shared" si="30"/>
        <v>95</v>
      </c>
    </row>
    <row r="79" ht="15.0" customHeight="1">
      <c r="B79" s="160" t="s">
        <v>179</v>
      </c>
      <c r="C79" s="20"/>
      <c r="D79" s="20"/>
      <c r="E79" s="20"/>
      <c r="F79" s="20"/>
      <c r="G79" s="21"/>
      <c r="H79" s="161">
        <f t="shared" si="3"/>
        <v>2</v>
      </c>
      <c r="I79" s="67">
        <f t="shared" si="4"/>
        <v>119.8</v>
      </c>
      <c r="J79" s="68">
        <f t="shared" si="5"/>
        <v>2</v>
      </c>
      <c r="K79" s="68">
        <f t="shared" si="6"/>
        <v>0.6</v>
      </c>
      <c r="L79" s="69">
        <f t="shared" si="7"/>
        <v>0.12</v>
      </c>
      <c r="M79" s="69">
        <f t="shared" si="8"/>
        <v>0.18</v>
      </c>
      <c r="N79" s="69">
        <f t="shared" si="9"/>
        <v>0.22</v>
      </c>
      <c r="O79" s="67">
        <f t="shared" si="10"/>
        <v>0</v>
      </c>
      <c r="P79" s="68">
        <f t="shared" si="11"/>
        <v>26.6</v>
      </c>
      <c r="Q79" s="68">
        <f t="shared" si="12"/>
        <v>5.2</v>
      </c>
      <c r="R79" s="67">
        <f t="shared" si="13"/>
        <v>42</v>
      </c>
      <c r="S79" s="67">
        <f t="shared" si="14"/>
        <v>48</v>
      </c>
      <c r="T79" s="68">
        <f t="shared" si="15"/>
        <v>1</v>
      </c>
      <c r="U79" s="67">
        <f t="shared" si="16"/>
        <v>8</v>
      </c>
      <c r="V79" s="67">
        <f t="shared" si="17"/>
        <v>488</v>
      </c>
      <c r="W79" s="67">
        <f t="shared" si="18"/>
        <v>38</v>
      </c>
      <c r="X79" s="69">
        <f t="shared" si="19"/>
        <v>0.28</v>
      </c>
      <c r="Y79" s="69">
        <f t="shared" si="20"/>
        <v>0.14</v>
      </c>
      <c r="Z79" s="69">
        <f t="shared" si="21"/>
        <v>0.34</v>
      </c>
      <c r="AA79" s="67">
        <f t="shared" si="22"/>
        <v>148</v>
      </c>
      <c r="AB79" s="69">
        <f t="shared" si="23"/>
        <v>0.12</v>
      </c>
      <c r="AC79" s="69">
        <f t="shared" si="24"/>
        <v>0.12</v>
      </c>
      <c r="AD79" s="68">
        <f t="shared" si="25"/>
        <v>1.8</v>
      </c>
      <c r="AE79" s="69">
        <f t="shared" si="26"/>
        <v>0.54</v>
      </c>
      <c r="AF79" s="69">
        <f t="shared" si="27"/>
        <v>0.2</v>
      </c>
      <c r="AG79" s="67">
        <f t="shared" si="28"/>
        <v>40</v>
      </c>
      <c r="AH79" s="69">
        <f t="shared" si="29"/>
        <v>0</v>
      </c>
      <c r="AI79" s="67">
        <f t="shared" si="30"/>
        <v>104</v>
      </c>
    </row>
    <row r="80" ht="15.0" customHeight="1">
      <c r="B80" s="158" t="s">
        <v>184</v>
      </c>
      <c r="C80" s="20"/>
      <c r="D80" s="20"/>
      <c r="E80" s="20"/>
      <c r="F80" s="20"/>
      <c r="G80" s="21"/>
      <c r="H80" s="161">
        <f t="shared" si="3"/>
        <v>2</v>
      </c>
      <c r="I80" s="67">
        <f t="shared" si="4"/>
        <v>112.8</v>
      </c>
      <c r="J80" s="68">
        <f t="shared" si="5"/>
        <v>2.6</v>
      </c>
      <c r="K80" s="68">
        <f t="shared" si="6"/>
        <v>9.6</v>
      </c>
      <c r="L80" s="69">
        <f t="shared" si="7"/>
        <v>2.3</v>
      </c>
      <c r="M80" s="69">
        <f t="shared" si="8"/>
        <v>4.88</v>
      </c>
      <c r="N80" s="69">
        <f t="shared" si="9"/>
        <v>1.98</v>
      </c>
      <c r="O80" s="67">
        <f t="shared" si="10"/>
        <v>0</v>
      </c>
      <c r="P80" s="68">
        <f t="shared" si="11"/>
        <v>4</v>
      </c>
      <c r="Q80" s="68">
        <f t="shared" si="12"/>
        <v>1.4</v>
      </c>
      <c r="R80" s="67">
        <f t="shared" si="13"/>
        <v>16</v>
      </c>
      <c r="S80" s="67">
        <f t="shared" si="14"/>
        <v>68</v>
      </c>
      <c r="T80" s="68">
        <f t="shared" si="15"/>
        <v>0.6</v>
      </c>
      <c r="U80" s="67">
        <f t="shared" si="16"/>
        <v>12</v>
      </c>
      <c r="V80" s="67">
        <f t="shared" si="17"/>
        <v>110</v>
      </c>
      <c r="W80" s="67">
        <f t="shared" si="18"/>
        <v>32</v>
      </c>
      <c r="X80" s="69">
        <f t="shared" si="19"/>
        <v>0.56</v>
      </c>
      <c r="Y80" s="69">
        <f t="shared" si="20"/>
        <v>0.2</v>
      </c>
      <c r="Z80" s="69">
        <f t="shared" si="21"/>
        <v>0.36</v>
      </c>
      <c r="AA80" s="67">
        <f t="shared" si="22"/>
        <v>2</v>
      </c>
      <c r="AB80" s="69">
        <f t="shared" si="23"/>
        <v>0.06</v>
      </c>
      <c r="AC80" s="69">
        <f t="shared" si="24"/>
        <v>0.04</v>
      </c>
      <c r="AD80" s="68">
        <f t="shared" si="25"/>
        <v>0.4</v>
      </c>
      <c r="AE80" s="69">
        <f t="shared" si="26"/>
        <v>0.16</v>
      </c>
      <c r="AF80" s="69">
        <f t="shared" si="27"/>
        <v>0.04</v>
      </c>
      <c r="AG80" s="67">
        <f t="shared" si="28"/>
        <v>10</v>
      </c>
      <c r="AH80" s="69">
        <f t="shared" si="29"/>
        <v>0</v>
      </c>
      <c r="AI80" s="67">
        <f t="shared" si="30"/>
        <v>0</v>
      </c>
    </row>
    <row r="81" ht="15.0" customHeight="1">
      <c r="B81" s="158" t="s">
        <v>186</v>
      </c>
      <c r="C81" s="20"/>
      <c r="D81" s="20"/>
      <c r="E81" s="20"/>
      <c r="F81" s="20"/>
      <c r="G81" s="21"/>
      <c r="H81" s="161" t="str">
        <f t="shared" si="3"/>
        <v/>
      </c>
      <c r="I81" s="67">
        <f t="shared" si="4"/>
        <v>0</v>
      </c>
      <c r="J81" s="68">
        <f t="shared" si="5"/>
        <v>0</v>
      </c>
      <c r="K81" s="68">
        <f t="shared" si="6"/>
        <v>0</v>
      </c>
      <c r="L81" s="69">
        <f t="shared" si="7"/>
        <v>0</v>
      </c>
      <c r="M81" s="69">
        <f t="shared" si="8"/>
        <v>0</v>
      </c>
      <c r="N81" s="69">
        <f t="shared" si="9"/>
        <v>0</v>
      </c>
      <c r="O81" s="67">
        <f t="shared" si="10"/>
        <v>0</v>
      </c>
      <c r="P81" s="68">
        <f t="shared" si="11"/>
        <v>0</v>
      </c>
      <c r="Q81" s="68">
        <f t="shared" si="12"/>
        <v>0</v>
      </c>
      <c r="R81" s="67">
        <f t="shared" si="13"/>
        <v>0</v>
      </c>
      <c r="S81" s="67">
        <f t="shared" si="14"/>
        <v>0</v>
      </c>
      <c r="T81" s="68">
        <f t="shared" si="15"/>
        <v>0</v>
      </c>
      <c r="U81" s="67">
        <f t="shared" si="16"/>
        <v>0</v>
      </c>
      <c r="V81" s="67">
        <f t="shared" si="17"/>
        <v>0</v>
      </c>
      <c r="W81" s="67">
        <f t="shared" si="18"/>
        <v>0</v>
      </c>
      <c r="X81" s="69">
        <f t="shared" si="19"/>
        <v>0</v>
      </c>
      <c r="Y81" s="69">
        <f t="shared" si="20"/>
        <v>0</v>
      </c>
      <c r="Z81" s="69">
        <f t="shared" si="21"/>
        <v>0</v>
      </c>
      <c r="AA81" s="67">
        <f t="shared" si="22"/>
        <v>0</v>
      </c>
      <c r="AB81" s="69">
        <f t="shared" si="23"/>
        <v>0</v>
      </c>
      <c r="AC81" s="69">
        <f t="shared" si="24"/>
        <v>0</v>
      </c>
      <c r="AD81" s="68">
        <f t="shared" si="25"/>
        <v>0</v>
      </c>
      <c r="AE81" s="69">
        <f t="shared" si="26"/>
        <v>0</v>
      </c>
      <c r="AF81" s="69">
        <f t="shared" si="27"/>
        <v>0</v>
      </c>
      <c r="AG81" s="67">
        <f t="shared" si="28"/>
        <v>0</v>
      </c>
      <c r="AH81" s="69">
        <f t="shared" si="29"/>
        <v>0</v>
      </c>
      <c r="AI81" s="67">
        <f t="shared" si="30"/>
        <v>0</v>
      </c>
    </row>
    <row r="82" ht="15.0" customHeight="1">
      <c r="B82" s="160" t="s">
        <v>189</v>
      </c>
      <c r="C82" s="20"/>
      <c r="D82" s="20"/>
      <c r="E82" s="20"/>
      <c r="F82" s="20"/>
      <c r="G82" s="21"/>
      <c r="H82" s="161">
        <f t="shared" si="3"/>
        <v>3</v>
      </c>
      <c r="I82" s="67">
        <f t="shared" si="4"/>
        <v>269.7</v>
      </c>
      <c r="J82" s="68">
        <f t="shared" si="5"/>
        <v>2.7</v>
      </c>
      <c r="K82" s="68">
        <f t="shared" si="6"/>
        <v>3.3</v>
      </c>
      <c r="L82" s="69">
        <f t="shared" si="7"/>
        <v>1.89</v>
      </c>
      <c r="M82" s="69">
        <f t="shared" si="8"/>
        <v>0.99</v>
      </c>
      <c r="N82" s="69">
        <f t="shared" si="9"/>
        <v>0.21</v>
      </c>
      <c r="O82" s="67">
        <f t="shared" si="10"/>
        <v>6</v>
      </c>
      <c r="P82" s="68">
        <f t="shared" si="11"/>
        <v>57.3</v>
      </c>
      <c r="Q82" s="68">
        <f t="shared" si="12"/>
        <v>1.5</v>
      </c>
      <c r="R82" s="67">
        <f t="shared" si="13"/>
        <v>60</v>
      </c>
      <c r="S82" s="67">
        <f t="shared" si="14"/>
        <v>69</v>
      </c>
      <c r="T82" s="68">
        <f t="shared" si="15"/>
        <v>0.9</v>
      </c>
      <c r="U82" s="67">
        <f t="shared" si="16"/>
        <v>75</v>
      </c>
      <c r="V82" s="67">
        <f t="shared" si="17"/>
        <v>201</v>
      </c>
      <c r="W82" s="67">
        <f t="shared" si="18"/>
        <v>18</v>
      </c>
      <c r="X82" s="69">
        <f t="shared" si="19"/>
        <v>0.48</v>
      </c>
      <c r="Y82" s="69">
        <f t="shared" si="20"/>
        <v>0.15</v>
      </c>
      <c r="Z82" s="69">
        <f t="shared" si="21"/>
        <v>0.48</v>
      </c>
      <c r="AA82" s="67">
        <f t="shared" si="22"/>
        <v>30</v>
      </c>
      <c r="AB82" s="69">
        <f t="shared" si="23"/>
        <v>0.12</v>
      </c>
      <c r="AC82" s="69">
        <f t="shared" si="24"/>
        <v>0.21</v>
      </c>
      <c r="AD82" s="68">
        <f t="shared" si="25"/>
        <v>0.6</v>
      </c>
      <c r="AE82" s="69">
        <f t="shared" si="26"/>
        <v>0.24</v>
      </c>
      <c r="AF82" s="69">
        <f t="shared" si="27"/>
        <v>0.06</v>
      </c>
      <c r="AG82" s="67">
        <f t="shared" si="28"/>
        <v>15</v>
      </c>
      <c r="AH82" s="69">
        <f t="shared" si="29"/>
        <v>0.12</v>
      </c>
      <c r="AI82" s="67">
        <f t="shared" si="30"/>
        <v>6</v>
      </c>
    </row>
    <row r="83" ht="15.0" customHeight="1">
      <c r="B83" s="158" t="s">
        <v>195</v>
      </c>
      <c r="C83" s="20"/>
      <c r="D83" s="20"/>
      <c r="E83" s="20"/>
      <c r="F83" s="20"/>
      <c r="G83" s="21"/>
      <c r="H83" s="161">
        <f t="shared" si="3"/>
        <v>4</v>
      </c>
      <c r="I83" s="67">
        <f t="shared" si="4"/>
        <v>166.8</v>
      </c>
      <c r="J83" s="68">
        <f t="shared" si="5"/>
        <v>0</v>
      </c>
      <c r="K83" s="68">
        <f t="shared" si="6"/>
        <v>18</v>
      </c>
      <c r="L83" s="69">
        <f t="shared" si="7"/>
        <v>2.68</v>
      </c>
      <c r="M83" s="69">
        <f t="shared" si="8"/>
        <v>5.56</v>
      </c>
      <c r="N83" s="69">
        <f t="shared" si="9"/>
        <v>10.84</v>
      </c>
      <c r="O83" s="67">
        <f t="shared" si="10"/>
        <v>4</v>
      </c>
      <c r="P83" s="68">
        <f t="shared" si="11"/>
        <v>1.2</v>
      </c>
      <c r="Q83" s="68">
        <f t="shared" si="12"/>
        <v>0</v>
      </c>
      <c r="R83" s="67">
        <f t="shared" si="13"/>
        <v>4</v>
      </c>
      <c r="S83" s="67">
        <f t="shared" si="14"/>
        <v>4</v>
      </c>
      <c r="T83" s="68">
        <f t="shared" si="15"/>
        <v>0</v>
      </c>
      <c r="U83" s="67">
        <f t="shared" si="16"/>
        <v>108</v>
      </c>
      <c r="V83" s="67">
        <f t="shared" si="17"/>
        <v>8</v>
      </c>
      <c r="W83" s="67">
        <f t="shared" si="18"/>
        <v>0</v>
      </c>
      <c r="X83" s="69">
        <f t="shared" si="19"/>
        <v>0.04</v>
      </c>
      <c r="Y83" s="69">
        <f t="shared" si="20"/>
        <v>0</v>
      </c>
      <c r="Z83" s="69">
        <f t="shared" si="21"/>
        <v>0</v>
      </c>
      <c r="AA83" s="67">
        <f t="shared" si="22"/>
        <v>8</v>
      </c>
      <c r="AB83" s="69">
        <f t="shared" si="23"/>
        <v>0</v>
      </c>
      <c r="AC83" s="69">
        <f t="shared" si="24"/>
        <v>0</v>
      </c>
      <c r="AD83" s="68">
        <f t="shared" si="25"/>
        <v>0</v>
      </c>
      <c r="AE83" s="69">
        <f t="shared" si="26"/>
        <v>0.04</v>
      </c>
      <c r="AF83" s="69">
        <f t="shared" si="27"/>
        <v>0.04</v>
      </c>
      <c r="AG83" s="67">
        <f t="shared" si="28"/>
        <v>0</v>
      </c>
      <c r="AH83" s="69">
        <f t="shared" si="29"/>
        <v>0.04</v>
      </c>
      <c r="AI83" s="67">
        <f t="shared" si="30"/>
        <v>0</v>
      </c>
    </row>
    <row r="84" ht="15.0" customHeight="1">
      <c r="B84" s="158" t="s">
        <v>196</v>
      </c>
      <c r="C84" s="20"/>
      <c r="D84" s="20"/>
      <c r="E84" s="20"/>
      <c r="F84" s="20"/>
      <c r="G84" s="21"/>
      <c r="H84" s="161" t="str">
        <f t="shared" si="3"/>
        <v/>
      </c>
      <c r="I84" s="67">
        <f t="shared" si="4"/>
        <v>0</v>
      </c>
      <c r="J84" s="68">
        <f t="shared" si="5"/>
        <v>0</v>
      </c>
      <c r="K84" s="68">
        <f t="shared" si="6"/>
        <v>0</v>
      </c>
      <c r="L84" s="69">
        <f t="shared" si="7"/>
        <v>0</v>
      </c>
      <c r="M84" s="69">
        <f t="shared" si="8"/>
        <v>0</v>
      </c>
      <c r="N84" s="69">
        <f t="shared" si="9"/>
        <v>0</v>
      </c>
      <c r="O84" s="67">
        <f t="shared" si="10"/>
        <v>0</v>
      </c>
      <c r="P84" s="68">
        <f t="shared" si="11"/>
        <v>0</v>
      </c>
      <c r="Q84" s="68">
        <f t="shared" si="12"/>
        <v>0</v>
      </c>
      <c r="R84" s="67">
        <f t="shared" si="13"/>
        <v>0</v>
      </c>
      <c r="S84" s="67">
        <f t="shared" si="14"/>
        <v>0</v>
      </c>
      <c r="T84" s="68">
        <f t="shared" si="15"/>
        <v>0</v>
      </c>
      <c r="U84" s="67">
        <f t="shared" si="16"/>
        <v>0</v>
      </c>
      <c r="V84" s="67">
        <f t="shared" si="17"/>
        <v>0</v>
      </c>
      <c r="W84" s="67">
        <f t="shared" si="18"/>
        <v>0</v>
      </c>
      <c r="X84" s="69">
        <f t="shared" si="19"/>
        <v>0</v>
      </c>
      <c r="Y84" s="69">
        <f t="shared" si="20"/>
        <v>0</v>
      </c>
      <c r="Z84" s="69">
        <f t="shared" si="21"/>
        <v>0</v>
      </c>
      <c r="AA84" s="67">
        <f t="shared" si="22"/>
        <v>0</v>
      </c>
      <c r="AB84" s="69">
        <f t="shared" si="23"/>
        <v>0</v>
      </c>
      <c r="AC84" s="69">
        <f t="shared" si="24"/>
        <v>0</v>
      </c>
      <c r="AD84" s="68">
        <f t="shared" si="25"/>
        <v>0</v>
      </c>
      <c r="AE84" s="69">
        <f t="shared" si="26"/>
        <v>0</v>
      </c>
      <c r="AF84" s="69">
        <f t="shared" si="27"/>
        <v>0</v>
      </c>
      <c r="AG84" s="67">
        <f t="shared" si="28"/>
        <v>0</v>
      </c>
      <c r="AH84" s="69">
        <f t="shared" si="29"/>
        <v>0</v>
      </c>
      <c r="AI84" s="67">
        <f t="shared" si="30"/>
        <v>0</v>
      </c>
    </row>
    <row r="85" ht="15.0" customHeight="1">
      <c r="B85" s="158" t="s">
        <v>197</v>
      </c>
      <c r="C85" s="20"/>
      <c r="D85" s="20"/>
      <c r="E85" s="20"/>
      <c r="F85" s="20"/>
      <c r="G85" s="21"/>
      <c r="H85" s="161">
        <f t="shared" si="3"/>
        <v>2</v>
      </c>
      <c r="I85" s="67">
        <f t="shared" si="4"/>
        <v>91.2</v>
      </c>
      <c r="J85" s="68">
        <f t="shared" si="5"/>
        <v>0.6</v>
      </c>
      <c r="K85" s="68">
        <f t="shared" si="6"/>
        <v>9.6</v>
      </c>
      <c r="L85" s="69">
        <f t="shared" si="7"/>
        <v>5.32</v>
      </c>
      <c r="M85" s="69">
        <f t="shared" si="8"/>
        <v>3.14</v>
      </c>
      <c r="N85" s="69">
        <f t="shared" si="9"/>
        <v>0.56</v>
      </c>
      <c r="O85" s="67">
        <f t="shared" si="10"/>
        <v>20</v>
      </c>
      <c r="P85" s="68">
        <f t="shared" si="11"/>
        <v>0.6</v>
      </c>
      <c r="Q85" s="68">
        <f t="shared" si="12"/>
        <v>0</v>
      </c>
      <c r="R85" s="67">
        <f t="shared" si="13"/>
        <v>16</v>
      </c>
      <c r="S85" s="67">
        <f t="shared" si="14"/>
        <v>14</v>
      </c>
      <c r="T85" s="68">
        <f t="shared" si="15"/>
        <v>0</v>
      </c>
      <c r="U85" s="67">
        <f t="shared" si="16"/>
        <v>18</v>
      </c>
      <c r="V85" s="67">
        <f t="shared" si="17"/>
        <v>20</v>
      </c>
      <c r="W85" s="67">
        <f t="shared" si="18"/>
        <v>2</v>
      </c>
      <c r="X85" s="69">
        <f t="shared" si="19"/>
        <v>0.06</v>
      </c>
      <c r="Y85" s="69">
        <f t="shared" si="20"/>
        <v>0</v>
      </c>
      <c r="Z85" s="69">
        <f t="shared" si="21"/>
        <v>0</v>
      </c>
      <c r="AA85" s="67">
        <f t="shared" si="22"/>
        <v>62</v>
      </c>
      <c r="AB85" s="69">
        <f t="shared" si="23"/>
        <v>0</v>
      </c>
      <c r="AC85" s="69">
        <f t="shared" si="24"/>
        <v>0.02</v>
      </c>
      <c r="AD85" s="68">
        <f t="shared" si="25"/>
        <v>0</v>
      </c>
      <c r="AE85" s="69">
        <f t="shared" si="26"/>
        <v>0.06</v>
      </c>
      <c r="AF85" s="69">
        <f t="shared" si="27"/>
        <v>0</v>
      </c>
      <c r="AG85" s="67">
        <f t="shared" si="28"/>
        <v>2</v>
      </c>
      <c r="AH85" s="69">
        <f t="shared" si="29"/>
        <v>0.06</v>
      </c>
      <c r="AI85" s="67">
        <f t="shared" si="30"/>
        <v>0</v>
      </c>
    </row>
    <row r="86" ht="15.0" customHeight="1">
      <c r="B86" s="158" t="s">
        <v>198</v>
      </c>
      <c r="C86" s="20"/>
      <c r="D86" s="20"/>
      <c r="E86" s="20"/>
      <c r="F86" s="20"/>
      <c r="G86" s="21"/>
      <c r="H86" s="161" t="str">
        <f t="shared" si="3"/>
        <v/>
      </c>
      <c r="I86" s="67">
        <f t="shared" si="4"/>
        <v>0</v>
      </c>
      <c r="J86" s="68">
        <f t="shared" si="5"/>
        <v>0</v>
      </c>
      <c r="K86" s="68">
        <f t="shared" si="6"/>
        <v>0</v>
      </c>
      <c r="L86" s="69">
        <f t="shared" si="7"/>
        <v>0</v>
      </c>
      <c r="M86" s="69">
        <f t="shared" si="8"/>
        <v>0</v>
      </c>
      <c r="N86" s="69">
        <f t="shared" si="9"/>
        <v>0</v>
      </c>
      <c r="O86" s="67">
        <f t="shared" si="10"/>
        <v>0</v>
      </c>
      <c r="P86" s="68">
        <f t="shared" si="11"/>
        <v>0</v>
      </c>
      <c r="Q86" s="68">
        <f t="shared" si="12"/>
        <v>0</v>
      </c>
      <c r="R86" s="67">
        <f t="shared" si="13"/>
        <v>0</v>
      </c>
      <c r="S86" s="67">
        <f t="shared" si="14"/>
        <v>0</v>
      </c>
      <c r="T86" s="68">
        <f t="shared" si="15"/>
        <v>0</v>
      </c>
      <c r="U86" s="67">
        <f t="shared" si="16"/>
        <v>0</v>
      </c>
      <c r="V86" s="67">
        <f t="shared" si="17"/>
        <v>0</v>
      </c>
      <c r="W86" s="67">
        <f t="shared" si="18"/>
        <v>0</v>
      </c>
      <c r="X86" s="69">
        <f t="shared" si="19"/>
        <v>0</v>
      </c>
      <c r="Y86" s="69">
        <f t="shared" si="20"/>
        <v>0</v>
      </c>
      <c r="Z86" s="69">
        <f t="shared" si="21"/>
        <v>0</v>
      </c>
      <c r="AA86" s="67">
        <f t="shared" si="22"/>
        <v>0</v>
      </c>
      <c r="AB86" s="69">
        <f t="shared" si="23"/>
        <v>0</v>
      </c>
      <c r="AC86" s="69">
        <f t="shared" si="24"/>
        <v>0</v>
      </c>
      <c r="AD86" s="68">
        <f t="shared" si="25"/>
        <v>0</v>
      </c>
      <c r="AE86" s="69">
        <f t="shared" si="26"/>
        <v>0</v>
      </c>
      <c r="AF86" s="69">
        <f t="shared" si="27"/>
        <v>0</v>
      </c>
      <c r="AG86" s="67">
        <f t="shared" si="28"/>
        <v>0</v>
      </c>
      <c r="AH86" s="69">
        <f t="shared" si="29"/>
        <v>0</v>
      </c>
      <c r="AI86" s="67">
        <f t="shared" si="30"/>
        <v>0</v>
      </c>
    </row>
    <row r="87" ht="15.0" customHeight="1">
      <c r="B87" s="158" t="s">
        <v>200</v>
      </c>
      <c r="C87" s="20"/>
      <c r="D87" s="20"/>
      <c r="E87" s="20"/>
      <c r="F87" s="20"/>
      <c r="G87" s="21"/>
      <c r="H87" s="161" t="str">
        <f t="shared" si="3"/>
        <v/>
      </c>
      <c r="I87" s="67">
        <f t="shared" si="4"/>
        <v>0</v>
      </c>
      <c r="J87" s="68">
        <f t="shared" si="5"/>
        <v>0</v>
      </c>
      <c r="K87" s="68">
        <f t="shared" si="6"/>
        <v>0</v>
      </c>
      <c r="L87" s="69">
        <f t="shared" si="7"/>
        <v>0</v>
      </c>
      <c r="M87" s="69">
        <f t="shared" si="8"/>
        <v>0</v>
      </c>
      <c r="N87" s="69">
        <f t="shared" si="9"/>
        <v>0</v>
      </c>
      <c r="O87" s="67">
        <f t="shared" si="10"/>
        <v>0</v>
      </c>
      <c r="P87" s="68">
        <f t="shared" si="11"/>
        <v>0</v>
      </c>
      <c r="Q87" s="68">
        <f t="shared" si="12"/>
        <v>0</v>
      </c>
      <c r="R87" s="67">
        <f t="shared" si="13"/>
        <v>0</v>
      </c>
      <c r="S87" s="67">
        <f t="shared" si="14"/>
        <v>0</v>
      </c>
      <c r="T87" s="68">
        <f t="shared" si="15"/>
        <v>0</v>
      </c>
      <c r="U87" s="67">
        <f t="shared" si="16"/>
        <v>0</v>
      </c>
      <c r="V87" s="67">
        <f t="shared" si="17"/>
        <v>0</v>
      </c>
      <c r="W87" s="67">
        <f t="shared" si="18"/>
        <v>0</v>
      </c>
      <c r="X87" s="69">
        <f t="shared" si="19"/>
        <v>0</v>
      </c>
      <c r="Y87" s="69">
        <f t="shared" si="20"/>
        <v>0</v>
      </c>
      <c r="Z87" s="69">
        <f t="shared" si="21"/>
        <v>0</v>
      </c>
      <c r="AA87" s="67">
        <f t="shared" si="22"/>
        <v>0</v>
      </c>
      <c r="AB87" s="69">
        <f t="shared" si="23"/>
        <v>0</v>
      </c>
      <c r="AC87" s="69">
        <f t="shared" si="24"/>
        <v>0</v>
      </c>
      <c r="AD87" s="68">
        <f t="shared" si="25"/>
        <v>0</v>
      </c>
      <c r="AE87" s="69">
        <f t="shared" si="26"/>
        <v>0</v>
      </c>
      <c r="AF87" s="69">
        <f t="shared" si="27"/>
        <v>0</v>
      </c>
      <c r="AG87" s="67">
        <f t="shared" si="28"/>
        <v>0</v>
      </c>
      <c r="AH87" s="69">
        <f t="shared" si="29"/>
        <v>0</v>
      </c>
      <c r="AI87" s="67">
        <f t="shared" si="30"/>
        <v>0</v>
      </c>
    </row>
    <row r="88" ht="15.75" customHeight="1">
      <c r="H88" s="162" t="s">
        <v>212</v>
      </c>
      <c r="I88" s="163">
        <f t="shared" ref="I88:AI88" si="31">SUM(I67:I87)</f>
        <v>2807.9</v>
      </c>
      <c r="J88" s="164">
        <f t="shared" si="31"/>
        <v>153.9</v>
      </c>
      <c r="K88" s="164">
        <f t="shared" si="31"/>
        <v>103.1</v>
      </c>
      <c r="L88" s="165">
        <f t="shared" si="31"/>
        <v>41.87</v>
      </c>
      <c r="M88" s="165">
        <f t="shared" si="31"/>
        <v>34.23</v>
      </c>
      <c r="N88" s="165">
        <f t="shared" si="31"/>
        <v>23.3</v>
      </c>
      <c r="O88" s="163">
        <f t="shared" si="31"/>
        <v>422</v>
      </c>
      <c r="P88" s="164">
        <f t="shared" si="31"/>
        <v>316.1</v>
      </c>
      <c r="Q88" s="164">
        <f t="shared" si="31"/>
        <v>46</v>
      </c>
      <c r="R88" s="163">
        <f t="shared" si="31"/>
        <v>1593</v>
      </c>
      <c r="S88" s="163">
        <f t="shared" si="31"/>
        <v>2484</v>
      </c>
      <c r="T88" s="164">
        <f t="shared" si="31"/>
        <v>28.4</v>
      </c>
      <c r="U88" s="163">
        <f t="shared" si="31"/>
        <v>2267</v>
      </c>
      <c r="V88" s="163">
        <f t="shared" si="31"/>
        <v>5749</v>
      </c>
      <c r="W88" s="163">
        <f t="shared" si="31"/>
        <v>571</v>
      </c>
      <c r="X88" s="165">
        <f t="shared" si="31"/>
        <v>18.91</v>
      </c>
      <c r="Y88" s="165">
        <f t="shared" si="31"/>
        <v>2.57</v>
      </c>
      <c r="Z88" s="165">
        <f t="shared" si="31"/>
        <v>5.17</v>
      </c>
      <c r="AA88" s="163">
        <f t="shared" si="31"/>
        <v>1468</v>
      </c>
      <c r="AB88" s="165">
        <f t="shared" si="31"/>
        <v>2.56</v>
      </c>
      <c r="AC88" s="165">
        <f t="shared" si="31"/>
        <v>3.28</v>
      </c>
      <c r="AD88" s="164">
        <f t="shared" si="31"/>
        <v>33.2</v>
      </c>
      <c r="AE88" s="165">
        <f t="shared" si="31"/>
        <v>9.74</v>
      </c>
      <c r="AF88" s="165">
        <f t="shared" si="31"/>
        <v>3.08</v>
      </c>
      <c r="AG88" s="163">
        <f t="shared" si="31"/>
        <v>851</v>
      </c>
      <c r="AH88" s="165">
        <f t="shared" si="31"/>
        <v>12.22</v>
      </c>
      <c r="AI88" s="163">
        <f t="shared" si="31"/>
        <v>237</v>
      </c>
    </row>
    <row r="89" ht="15.75" customHeight="1">
      <c r="H89" s="162" t="s">
        <v>213</v>
      </c>
      <c r="I89" s="84">
        <f t="shared" ref="I89:Q89" si="32">B38</f>
        <v>2731.5</v>
      </c>
      <c r="J89" s="85">
        <f t="shared" si="32"/>
        <v>127.5</v>
      </c>
      <c r="K89" s="85">
        <f t="shared" si="32"/>
        <v>75.875</v>
      </c>
      <c r="L89" s="86">
        <f t="shared" si="32"/>
        <v>30.35</v>
      </c>
      <c r="M89" s="86">
        <f t="shared" si="32"/>
        <v>15.175</v>
      </c>
      <c r="N89" s="86">
        <f t="shared" si="32"/>
        <v>30.35</v>
      </c>
      <c r="O89" s="52">
        <f t="shared" si="32"/>
        <v>200</v>
      </c>
      <c r="P89" s="85">
        <f t="shared" si="32"/>
        <v>384.65625</v>
      </c>
      <c r="Q89" s="85">
        <f t="shared" si="32"/>
        <v>14</v>
      </c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</row>
    <row r="90" ht="15.75" customHeight="1">
      <c r="H90" s="162" t="s">
        <v>214</v>
      </c>
      <c r="I90" s="166">
        <f t="shared" ref="I90:AI90" si="33">((100/I89)*I88)</f>
        <v>102.796998</v>
      </c>
      <c r="J90" s="166">
        <f t="shared" si="33"/>
        <v>120.7058824</v>
      </c>
      <c r="K90" s="166">
        <f t="shared" si="33"/>
        <v>135.8813839</v>
      </c>
      <c r="L90" s="166">
        <f t="shared" si="33"/>
        <v>137.9571664</v>
      </c>
      <c r="M90" s="166">
        <f t="shared" si="33"/>
        <v>225.568369</v>
      </c>
      <c r="N90" s="166">
        <f t="shared" si="33"/>
        <v>76.77100494</v>
      </c>
      <c r="O90" s="166">
        <f t="shared" si="33"/>
        <v>211</v>
      </c>
      <c r="P90" s="166">
        <f t="shared" si="33"/>
        <v>82.17726867</v>
      </c>
      <c r="Q90" s="166">
        <f t="shared" si="33"/>
        <v>328.5714286</v>
      </c>
      <c r="R90" s="166" t="str">
        <f t="shared" si="33"/>
        <v>#DIV/0!</v>
      </c>
      <c r="S90" s="166" t="str">
        <f t="shared" si="33"/>
        <v>#DIV/0!</v>
      </c>
      <c r="T90" s="166" t="str">
        <f t="shared" si="33"/>
        <v>#DIV/0!</v>
      </c>
      <c r="U90" s="166" t="str">
        <f t="shared" si="33"/>
        <v>#DIV/0!</v>
      </c>
      <c r="V90" s="166" t="str">
        <f t="shared" si="33"/>
        <v>#DIV/0!</v>
      </c>
      <c r="W90" s="166" t="str">
        <f t="shared" si="33"/>
        <v>#DIV/0!</v>
      </c>
      <c r="X90" s="166" t="str">
        <f t="shared" si="33"/>
        <v>#DIV/0!</v>
      </c>
      <c r="Y90" s="166" t="str">
        <f t="shared" si="33"/>
        <v>#DIV/0!</v>
      </c>
      <c r="Z90" s="166" t="str">
        <f t="shared" si="33"/>
        <v>#DIV/0!</v>
      </c>
      <c r="AA90" s="166" t="str">
        <f t="shared" si="33"/>
        <v>#DIV/0!</v>
      </c>
      <c r="AB90" s="166" t="str">
        <f t="shared" si="33"/>
        <v>#DIV/0!</v>
      </c>
      <c r="AC90" s="166" t="str">
        <f t="shared" si="33"/>
        <v>#DIV/0!</v>
      </c>
      <c r="AD90" s="166" t="str">
        <f t="shared" si="33"/>
        <v>#DIV/0!</v>
      </c>
      <c r="AE90" s="166" t="str">
        <f t="shared" si="33"/>
        <v>#DIV/0!</v>
      </c>
      <c r="AF90" s="166" t="str">
        <f t="shared" si="33"/>
        <v>#DIV/0!</v>
      </c>
      <c r="AG90" s="166" t="str">
        <f t="shared" si="33"/>
        <v>#DIV/0!</v>
      </c>
      <c r="AH90" s="166" t="str">
        <f t="shared" si="33"/>
        <v>#DIV/0!</v>
      </c>
      <c r="AI90" s="166" t="str">
        <f t="shared" si="33"/>
        <v>#DIV/0!</v>
      </c>
    </row>
    <row r="91" ht="44.25" customHeight="1">
      <c r="I91" s="63" t="s">
        <v>97</v>
      </c>
      <c r="J91" s="63" t="s">
        <v>98</v>
      </c>
      <c r="K91" s="63" t="s">
        <v>99</v>
      </c>
      <c r="L91" s="63" t="s">
        <v>100</v>
      </c>
      <c r="M91" s="63" t="s">
        <v>101</v>
      </c>
      <c r="N91" s="63" t="s">
        <v>102</v>
      </c>
      <c r="O91" s="63" t="s">
        <v>103</v>
      </c>
      <c r="P91" s="63" t="s">
        <v>104</v>
      </c>
      <c r="Q91" s="63" t="s">
        <v>105</v>
      </c>
      <c r="R91" s="157" t="s">
        <v>106</v>
      </c>
      <c r="S91" s="157" t="s">
        <v>107</v>
      </c>
      <c r="T91" s="157" t="s">
        <v>108</v>
      </c>
      <c r="U91" s="157" t="s">
        <v>109</v>
      </c>
      <c r="V91" s="157" t="s">
        <v>110</v>
      </c>
      <c r="W91" s="157" t="s">
        <v>111</v>
      </c>
      <c r="X91" s="157" t="s">
        <v>112</v>
      </c>
      <c r="Y91" s="157" t="s">
        <v>113</v>
      </c>
      <c r="Z91" s="157" t="s">
        <v>114</v>
      </c>
      <c r="AA91" s="157" t="s">
        <v>115</v>
      </c>
      <c r="AB91" s="157" t="s">
        <v>116</v>
      </c>
      <c r="AC91" s="157" t="s">
        <v>117</v>
      </c>
      <c r="AD91" s="157" t="s">
        <v>118</v>
      </c>
      <c r="AE91" s="157" t="s">
        <v>119</v>
      </c>
      <c r="AF91" s="157" t="s">
        <v>120</v>
      </c>
      <c r="AG91" s="157" t="s">
        <v>121</v>
      </c>
      <c r="AH91" s="157" t="s">
        <v>122</v>
      </c>
      <c r="AI91" s="157" t="s">
        <v>123</v>
      </c>
    </row>
    <row r="92" ht="15.75" customHeight="1"/>
    <row r="93" ht="15.75" customHeight="1">
      <c r="B93" s="90" t="s">
        <v>314</v>
      </c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1"/>
      <c r="T93" s="61"/>
      <c r="U93" s="61"/>
      <c r="V93" s="61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</row>
    <row r="94" ht="15.75" customHeight="1"/>
    <row r="95" ht="15.75" customHeight="1">
      <c r="I95" s="167" t="s">
        <v>314</v>
      </c>
      <c r="J95" s="20"/>
      <c r="K95" s="20"/>
      <c r="L95" s="20"/>
      <c r="M95" s="20"/>
      <c r="N95" s="21"/>
      <c r="O95" s="167" t="s">
        <v>216</v>
      </c>
      <c r="P95" s="20"/>
      <c r="Q95" s="21"/>
      <c r="S95" s="19" t="s">
        <v>315</v>
      </c>
      <c r="T95" s="20"/>
      <c r="U95" s="21"/>
    </row>
    <row r="96" ht="15.75" customHeight="1">
      <c r="I96" s="168" t="s">
        <v>217</v>
      </c>
      <c r="J96" s="168" t="s">
        <v>218</v>
      </c>
      <c r="K96" s="168" t="s">
        <v>219</v>
      </c>
      <c r="L96" s="168" t="s">
        <v>220</v>
      </c>
      <c r="M96" s="169" t="s">
        <v>221</v>
      </c>
      <c r="N96" s="170"/>
      <c r="O96" s="171" t="s">
        <v>222</v>
      </c>
      <c r="P96" s="172"/>
      <c r="Q96" s="173" t="s">
        <v>223</v>
      </c>
      <c r="S96" s="174" t="s">
        <v>316</v>
      </c>
      <c r="T96" s="21"/>
      <c r="U96" s="52">
        <f>J97/6.25</f>
        <v>24.624</v>
      </c>
    </row>
    <row r="97" ht="15.75" customHeight="1">
      <c r="I97" s="175" t="s">
        <v>224</v>
      </c>
      <c r="J97" s="176">
        <f>(J88)</f>
        <v>153.9</v>
      </c>
      <c r="K97" s="177">
        <f>(J97*4)</f>
        <v>615.6</v>
      </c>
      <c r="L97" s="176">
        <f>((100/K109)*K97)</f>
        <v>21.92385769</v>
      </c>
      <c r="M97" s="173" t="s">
        <v>225</v>
      </c>
      <c r="N97" s="178">
        <f>SUM(J67:J73)</f>
        <v>100.6</v>
      </c>
      <c r="O97" s="171" t="s">
        <v>226</v>
      </c>
      <c r="P97" s="172"/>
      <c r="Q97" s="173" t="s">
        <v>227</v>
      </c>
      <c r="S97" s="113" t="s">
        <v>317</v>
      </c>
      <c r="T97" s="113"/>
      <c r="U97" s="84">
        <f>K100+K107</f>
        <v>2192.3</v>
      </c>
    </row>
    <row r="98" ht="15.75" customHeight="1">
      <c r="I98" s="99"/>
      <c r="J98" s="99"/>
      <c r="K98" s="99"/>
      <c r="L98" s="99"/>
      <c r="M98" s="173" t="s">
        <v>228</v>
      </c>
      <c r="N98" s="178">
        <f>((100/J97)*N97)</f>
        <v>65.36712151</v>
      </c>
      <c r="O98" s="171" t="s">
        <v>229</v>
      </c>
      <c r="P98" s="172"/>
      <c r="Q98" s="173" t="s">
        <v>230</v>
      </c>
      <c r="S98" s="113" t="s">
        <v>318</v>
      </c>
      <c r="T98" s="113"/>
      <c r="U98" s="84">
        <f>U97/U96</f>
        <v>89.03102664</v>
      </c>
    </row>
    <row r="99" ht="15.75" customHeight="1">
      <c r="I99" s="100"/>
      <c r="J99" s="100"/>
      <c r="K99" s="100"/>
      <c r="L99" s="100"/>
      <c r="M99" s="173" t="s">
        <v>231</v>
      </c>
      <c r="N99" s="179">
        <f>(J97/J110)</f>
        <v>2.052</v>
      </c>
      <c r="O99" s="171" t="s">
        <v>232</v>
      </c>
      <c r="P99" s="172"/>
      <c r="Q99" s="173" t="s">
        <v>233</v>
      </c>
      <c r="S99" s="113" t="s">
        <v>54</v>
      </c>
      <c r="T99" s="113"/>
      <c r="U99" s="52" t="str">
        <f>IF(U98&gt;180,"Adecuado","Inadecuado")</f>
        <v>Inadecuado</v>
      </c>
    </row>
    <row r="100" ht="15.75" customHeight="1">
      <c r="I100" s="175" t="s">
        <v>234</v>
      </c>
      <c r="J100" s="176">
        <f>(K88)</f>
        <v>103.1</v>
      </c>
      <c r="K100" s="177">
        <f>(J100*9)</f>
        <v>927.9</v>
      </c>
      <c r="L100" s="176">
        <f>((100/K109)*K100)</f>
        <v>33.04604865</v>
      </c>
      <c r="M100" s="173" t="s">
        <v>235</v>
      </c>
      <c r="N100" s="179">
        <f>(L88)</f>
        <v>41.87</v>
      </c>
      <c r="O100" s="171" t="s">
        <v>236</v>
      </c>
      <c r="P100" s="172"/>
      <c r="Q100" s="173" t="s">
        <v>237</v>
      </c>
    </row>
    <row r="101" ht="15.75" customHeight="1">
      <c r="I101" s="99"/>
      <c r="J101" s="99"/>
      <c r="K101" s="99"/>
      <c r="L101" s="99"/>
      <c r="M101" s="173" t="s">
        <v>238</v>
      </c>
      <c r="N101" s="179">
        <f>((100/K109)*(N100*9))</f>
        <v>13.42034973</v>
      </c>
      <c r="O101" s="171" t="s">
        <v>239</v>
      </c>
      <c r="P101" s="172"/>
      <c r="Q101" s="173" t="s">
        <v>240</v>
      </c>
    </row>
    <row r="102" ht="15.75" customHeight="1">
      <c r="I102" s="99"/>
      <c r="J102" s="99"/>
      <c r="K102" s="99"/>
      <c r="L102" s="99"/>
      <c r="M102" s="173" t="s">
        <v>241</v>
      </c>
      <c r="N102" s="179">
        <f>(M88)</f>
        <v>34.23</v>
      </c>
      <c r="O102" s="171" t="s">
        <v>242</v>
      </c>
      <c r="P102" s="172"/>
      <c r="Q102" s="173" t="s">
        <v>237</v>
      </c>
    </row>
    <row r="103" ht="15.75" customHeight="1">
      <c r="I103" s="99"/>
      <c r="J103" s="99"/>
      <c r="K103" s="99"/>
      <c r="L103" s="99"/>
      <c r="M103" s="173" t="s">
        <v>243</v>
      </c>
      <c r="N103" s="179">
        <f>((100/K109)*(N102*9))</f>
        <v>10.97154457</v>
      </c>
      <c r="O103" s="171" t="s">
        <v>244</v>
      </c>
      <c r="P103" s="172"/>
      <c r="Q103" s="173" t="s">
        <v>245</v>
      </c>
    </row>
    <row r="104" ht="15.75" customHeight="1">
      <c r="I104" s="99"/>
      <c r="J104" s="99"/>
      <c r="K104" s="99"/>
      <c r="L104" s="99"/>
      <c r="M104" s="173" t="s">
        <v>246</v>
      </c>
      <c r="N104" s="179">
        <f>(N88)</f>
        <v>23.3</v>
      </c>
      <c r="O104" s="171" t="s">
        <v>247</v>
      </c>
      <c r="P104" s="172"/>
      <c r="Q104" s="173" t="s">
        <v>248</v>
      </c>
    </row>
    <row r="105" ht="15.75" customHeight="1">
      <c r="I105" s="99"/>
      <c r="J105" s="99"/>
      <c r="K105" s="99"/>
      <c r="L105" s="99"/>
      <c r="M105" s="173" t="s">
        <v>249</v>
      </c>
      <c r="N105" s="179">
        <f>((100/K109)*(N104*9))</f>
        <v>7.46821468</v>
      </c>
      <c r="O105" s="171" t="s">
        <v>250</v>
      </c>
      <c r="P105" s="172"/>
      <c r="Q105" s="173" t="s">
        <v>251</v>
      </c>
    </row>
    <row r="106" ht="15.75" customHeight="1">
      <c r="I106" s="100"/>
      <c r="J106" s="100"/>
      <c r="K106" s="100"/>
      <c r="L106" s="100"/>
      <c r="M106" s="173" t="s">
        <v>252</v>
      </c>
      <c r="N106" s="180">
        <f>(O88)</f>
        <v>422</v>
      </c>
      <c r="O106" s="171" t="s">
        <v>252</v>
      </c>
      <c r="P106" s="172"/>
      <c r="Q106" s="173" t="s">
        <v>253</v>
      </c>
    </row>
    <row r="107" ht="15.75" customHeight="1">
      <c r="I107" s="175" t="s">
        <v>254</v>
      </c>
      <c r="J107" s="176">
        <f>(P88)</f>
        <v>316.1</v>
      </c>
      <c r="K107" s="175">
        <f>(J107*4)</f>
        <v>1264.4</v>
      </c>
      <c r="L107" s="176">
        <f>((100/K109)*K107)</f>
        <v>45.03009366</v>
      </c>
      <c r="M107" s="173" t="s">
        <v>255</v>
      </c>
      <c r="N107" s="178">
        <f>SUM(P82)</f>
        <v>57.3</v>
      </c>
      <c r="O107" s="171" t="s">
        <v>256</v>
      </c>
      <c r="P107" s="172"/>
      <c r="Q107" s="173" t="s">
        <v>257</v>
      </c>
    </row>
    <row r="108" ht="15.75" customHeight="1">
      <c r="I108" s="100"/>
      <c r="J108" s="100"/>
      <c r="K108" s="100"/>
      <c r="L108" s="100"/>
      <c r="M108" s="173" t="s">
        <v>258</v>
      </c>
      <c r="N108" s="178">
        <f>((100/K109)*(N107*4))</f>
        <v>8.162683856</v>
      </c>
      <c r="O108" s="171" t="s">
        <v>259</v>
      </c>
      <c r="P108" s="172"/>
      <c r="Q108" s="173" t="s">
        <v>260</v>
      </c>
    </row>
    <row r="109" ht="15.75" customHeight="1">
      <c r="I109" s="181" t="s">
        <v>261</v>
      </c>
      <c r="J109" s="182"/>
      <c r="K109" s="183">
        <f t="shared" ref="K109:L109" si="34">SUM(K97:K108)</f>
        <v>2807.9</v>
      </c>
      <c r="L109" s="184">
        <f t="shared" si="34"/>
        <v>100</v>
      </c>
      <c r="M109" s="173" t="s">
        <v>259</v>
      </c>
      <c r="N109" s="185">
        <f>Q88</f>
        <v>46</v>
      </c>
      <c r="O109" s="171" t="s">
        <v>262</v>
      </c>
      <c r="P109" s="172"/>
      <c r="Q109" s="173" t="s">
        <v>263</v>
      </c>
    </row>
    <row r="110" ht="15.75" customHeight="1">
      <c r="I110" s="186" t="s">
        <v>264</v>
      </c>
      <c r="J110" s="186">
        <f>J33</f>
        <v>75</v>
      </c>
      <c r="K110" s="187"/>
      <c r="L110" s="188"/>
      <c r="M110" s="188"/>
      <c r="N110" s="189"/>
      <c r="O110" s="171" t="s">
        <v>307</v>
      </c>
      <c r="P110" s="172"/>
      <c r="Q110" s="173" t="s">
        <v>308</v>
      </c>
    </row>
    <row r="111" ht="15.75" customHeight="1"/>
    <row r="112" ht="15.0" customHeight="1">
      <c r="B112" s="90" t="s">
        <v>319</v>
      </c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</row>
    <row r="113" ht="15.75" customHeight="1"/>
    <row r="114" ht="15.0" customHeight="1">
      <c r="B114" s="62" t="s">
        <v>95</v>
      </c>
      <c r="C114" s="20"/>
      <c r="D114" s="20"/>
      <c r="E114" s="20"/>
      <c r="F114" s="20"/>
      <c r="G114" s="21"/>
      <c r="H114" s="63" t="s">
        <v>96</v>
      </c>
      <c r="I114" s="63" t="s">
        <v>320</v>
      </c>
      <c r="J114" s="63" t="s">
        <v>321</v>
      </c>
      <c r="K114" s="63" t="s">
        <v>322</v>
      </c>
      <c r="L114" s="63" t="s">
        <v>323</v>
      </c>
      <c r="M114" s="63" t="s">
        <v>324</v>
      </c>
      <c r="N114" s="63" t="s">
        <v>325</v>
      </c>
      <c r="P114" s="190" t="s">
        <v>326</v>
      </c>
      <c r="Q114" s="60"/>
    </row>
    <row r="115" ht="15.0" customHeight="1">
      <c r="B115" s="158" t="s">
        <v>126</v>
      </c>
      <c r="C115" s="20"/>
      <c r="D115" s="20"/>
      <c r="E115" s="20"/>
      <c r="F115" s="20"/>
      <c r="G115" s="21"/>
      <c r="H115" s="161">
        <f t="shared" ref="H115:H122" si="35">H67</f>
        <v>3</v>
      </c>
      <c r="I115" s="66"/>
      <c r="J115" s="66"/>
      <c r="K115" s="66"/>
      <c r="L115" s="66"/>
      <c r="M115" s="66"/>
      <c r="N115" s="66"/>
      <c r="P115" s="191" t="s">
        <v>327</v>
      </c>
      <c r="Q115" s="60"/>
    </row>
    <row r="116" ht="15.0" customHeight="1">
      <c r="B116" s="158" t="s">
        <v>127</v>
      </c>
      <c r="C116" s="20"/>
      <c r="D116" s="20"/>
      <c r="E116" s="20"/>
      <c r="F116" s="20"/>
      <c r="G116" s="21"/>
      <c r="H116" s="161" t="str">
        <f t="shared" si="35"/>
        <v/>
      </c>
      <c r="I116" s="66"/>
      <c r="J116" s="66"/>
      <c r="K116" s="66"/>
      <c r="L116" s="66"/>
      <c r="M116" s="66"/>
      <c r="N116" s="66"/>
      <c r="P116" s="191" t="s">
        <v>328</v>
      </c>
      <c r="Q116" s="60"/>
    </row>
    <row r="117" ht="15.0" customHeight="1">
      <c r="B117" s="158" t="s">
        <v>128</v>
      </c>
      <c r="C117" s="20"/>
      <c r="D117" s="20"/>
      <c r="E117" s="20"/>
      <c r="F117" s="20"/>
      <c r="G117" s="21"/>
      <c r="H117" s="161" t="str">
        <f t="shared" si="35"/>
        <v/>
      </c>
      <c r="I117" s="66"/>
      <c r="J117" s="66"/>
      <c r="K117" s="66"/>
      <c r="L117" s="66"/>
      <c r="M117" s="66"/>
      <c r="N117" s="66"/>
      <c r="P117" s="191" t="s">
        <v>329</v>
      </c>
      <c r="Q117" s="60"/>
    </row>
    <row r="118" ht="15.0" customHeight="1">
      <c r="B118" s="158" t="s">
        <v>129</v>
      </c>
      <c r="C118" s="20"/>
      <c r="D118" s="20"/>
      <c r="E118" s="20"/>
      <c r="F118" s="20"/>
      <c r="G118" s="21"/>
      <c r="H118" s="161" t="str">
        <f t="shared" si="35"/>
        <v/>
      </c>
      <c r="I118" s="66"/>
      <c r="J118" s="66"/>
      <c r="K118" s="66"/>
      <c r="L118" s="66"/>
      <c r="M118" s="66"/>
      <c r="N118" s="66"/>
      <c r="P118" s="191" t="s">
        <v>330</v>
      </c>
      <c r="Q118" s="60"/>
    </row>
    <row r="119" ht="15.0" customHeight="1">
      <c r="B119" s="160" t="s">
        <v>138</v>
      </c>
      <c r="C119" s="20"/>
      <c r="D119" s="20"/>
      <c r="E119" s="20"/>
      <c r="F119" s="20"/>
      <c r="G119" s="21"/>
      <c r="H119" s="161">
        <f t="shared" si="35"/>
        <v>4</v>
      </c>
      <c r="I119" s="66"/>
      <c r="J119" s="66"/>
      <c r="K119" s="66"/>
      <c r="L119" s="66"/>
      <c r="M119" s="66"/>
      <c r="N119" s="66"/>
      <c r="P119" s="191" t="s">
        <v>331</v>
      </c>
      <c r="Q119" s="60"/>
    </row>
    <row r="120" ht="15.0" customHeight="1">
      <c r="B120" s="160" t="s">
        <v>311</v>
      </c>
      <c r="C120" s="20"/>
      <c r="D120" s="20"/>
      <c r="E120" s="20"/>
      <c r="F120" s="20"/>
      <c r="G120" s="21"/>
      <c r="H120" s="161">
        <f t="shared" si="35"/>
        <v>3</v>
      </c>
      <c r="I120" s="66"/>
      <c r="J120" s="66"/>
      <c r="K120" s="66"/>
      <c r="L120" s="66"/>
      <c r="M120" s="66"/>
      <c r="N120" s="66"/>
    </row>
    <row r="121" ht="15.0" customHeight="1">
      <c r="B121" s="160" t="s">
        <v>312</v>
      </c>
      <c r="C121" s="20"/>
      <c r="D121" s="20"/>
      <c r="E121" s="20"/>
      <c r="F121" s="20"/>
      <c r="G121" s="21"/>
      <c r="H121" s="161" t="str">
        <f t="shared" si="35"/>
        <v/>
      </c>
      <c r="I121" s="66"/>
      <c r="J121" s="66"/>
      <c r="K121" s="66"/>
      <c r="L121" s="66"/>
      <c r="M121" s="66"/>
      <c r="N121" s="66"/>
    </row>
    <row r="122" ht="15.0" customHeight="1">
      <c r="B122" s="160" t="s">
        <v>153</v>
      </c>
      <c r="C122" s="20"/>
      <c r="D122" s="20"/>
      <c r="E122" s="20"/>
      <c r="F122" s="20"/>
      <c r="G122" s="21"/>
      <c r="H122" s="161">
        <f t="shared" si="35"/>
        <v>3</v>
      </c>
      <c r="I122" s="66"/>
      <c r="J122" s="66"/>
      <c r="K122" s="66"/>
      <c r="L122" s="66"/>
      <c r="M122" s="66"/>
      <c r="N122" s="66"/>
    </row>
    <row r="123" ht="15.0" hidden="1" customHeight="1">
      <c r="B123" s="158" t="s">
        <v>332</v>
      </c>
      <c r="C123" s="20"/>
      <c r="D123" s="20"/>
      <c r="E123" s="20"/>
      <c r="F123" s="20"/>
      <c r="G123" s="21"/>
      <c r="H123" s="106" t="str">
        <f>#REF!</f>
        <v>#REF!</v>
      </c>
      <c r="I123" s="66"/>
      <c r="J123" s="66"/>
      <c r="K123" s="66"/>
      <c r="L123" s="66"/>
      <c r="M123" s="66"/>
      <c r="N123" s="66"/>
    </row>
    <row r="124" ht="15.0" customHeight="1">
      <c r="B124" s="158" t="s">
        <v>159</v>
      </c>
      <c r="C124" s="20"/>
      <c r="D124" s="20"/>
      <c r="E124" s="20"/>
      <c r="F124" s="20"/>
      <c r="G124" s="21"/>
      <c r="H124" s="161">
        <f>H75</f>
        <v>4</v>
      </c>
      <c r="I124" s="66"/>
      <c r="J124" s="66"/>
      <c r="K124" s="66"/>
      <c r="L124" s="66"/>
      <c r="M124" s="66"/>
      <c r="N124" s="66"/>
    </row>
    <row r="125" ht="15.0" hidden="1" customHeight="1">
      <c r="B125" s="158" t="s">
        <v>333</v>
      </c>
      <c r="C125" s="20"/>
      <c r="D125" s="20"/>
      <c r="E125" s="20"/>
      <c r="F125" s="20"/>
      <c r="G125" s="21"/>
      <c r="H125" s="106" t="str">
        <f>#REF!</f>
        <v>#REF!</v>
      </c>
      <c r="I125" s="66"/>
      <c r="J125" s="66"/>
      <c r="K125" s="66"/>
      <c r="L125" s="66"/>
      <c r="M125" s="66"/>
      <c r="N125" s="66"/>
    </row>
    <row r="126" ht="15.0" customHeight="1">
      <c r="B126" s="158" t="s">
        <v>167</v>
      </c>
      <c r="C126" s="20"/>
      <c r="D126" s="20"/>
      <c r="E126" s="20"/>
      <c r="F126" s="20"/>
      <c r="G126" s="21"/>
      <c r="H126" s="161" t="str">
        <f t="shared" ref="H126:H127" si="36">H76</f>
        <v/>
      </c>
      <c r="I126" s="66"/>
      <c r="J126" s="66"/>
      <c r="K126" s="66"/>
      <c r="L126" s="66"/>
      <c r="M126" s="66"/>
      <c r="N126" s="66"/>
    </row>
    <row r="127" ht="15.0" customHeight="1">
      <c r="B127" s="158" t="s">
        <v>313</v>
      </c>
      <c r="C127" s="20"/>
      <c r="D127" s="20"/>
      <c r="E127" s="20"/>
      <c r="F127" s="20"/>
      <c r="G127" s="21"/>
      <c r="H127" s="161" t="str">
        <f t="shared" si="36"/>
        <v/>
      </c>
      <c r="I127" s="66"/>
      <c r="J127" s="66"/>
      <c r="K127" s="66"/>
      <c r="L127" s="66"/>
      <c r="M127" s="66"/>
      <c r="N127" s="66"/>
    </row>
    <row r="128" ht="15.0" hidden="1" customHeight="1">
      <c r="B128" s="160" t="s">
        <v>169</v>
      </c>
      <c r="C128" s="20"/>
      <c r="D128" s="20"/>
      <c r="E128" s="20"/>
      <c r="F128" s="20"/>
      <c r="G128" s="21"/>
      <c r="H128" s="106" t="str">
        <f t="shared" ref="H128:H129" si="37">#REF!</f>
        <v>#REF!</v>
      </c>
      <c r="I128" s="66"/>
      <c r="J128" s="66"/>
      <c r="K128" s="66"/>
      <c r="L128" s="66"/>
      <c r="M128" s="66"/>
      <c r="N128" s="66"/>
    </row>
    <row r="129" ht="15.0" hidden="1" customHeight="1">
      <c r="B129" s="160" t="s">
        <v>334</v>
      </c>
      <c r="C129" s="20"/>
      <c r="D129" s="20"/>
      <c r="E129" s="20"/>
      <c r="F129" s="20"/>
      <c r="G129" s="21"/>
      <c r="H129" s="106" t="str">
        <f t="shared" si="37"/>
        <v>#REF!</v>
      </c>
      <c r="I129" s="66"/>
      <c r="J129" s="66"/>
      <c r="K129" s="66"/>
      <c r="L129" s="66"/>
      <c r="M129" s="66"/>
      <c r="N129" s="66"/>
    </row>
    <row r="130" ht="15.0" customHeight="1">
      <c r="B130" s="160" t="s">
        <v>176</v>
      </c>
      <c r="C130" s="20"/>
      <c r="D130" s="20"/>
      <c r="E130" s="20"/>
      <c r="F130" s="20"/>
      <c r="G130" s="21"/>
      <c r="H130" s="161">
        <f t="shared" ref="H130:H134" si="38">H78</f>
        <v>5</v>
      </c>
      <c r="I130" s="66"/>
      <c r="J130" s="66"/>
      <c r="K130" s="66"/>
      <c r="L130" s="66"/>
      <c r="M130" s="66"/>
      <c r="N130" s="66"/>
    </row>
    <row r="131" ht="15.0" customHeight="1">
      <c r="B131" s="160" t="s">
        <v>179</v>
      </c>
      <c r="C131" s="20"/>
      <c r="D131" s="20"/>
      <c r="E131" s="20"/>
      <c r="F131" s="20"/>
      <c r="G131" s="21"/>
      <c r="H131" s="161">
        <f t="shared" si="38"/>
        <v>2</v>
      </c>
      <c r="I131" s="66"/>
      <c r="J131" s="66"/>
      <c r="K131" s="66"/>
      <c r="L131" s="66"/>
      <c r="M131" s="66"/>
      <c r="N131" s="66"/>
    </row>
    <row r="132" ht="15.0" customHeight="1">
      <c r="B132" s="158" t="s">
        <v>184</v>
      </c>
      <c r="C132" s="20"/>
      <c r="D132" s="20"/>
      <c r="E132" s="20"/>
      <c r="F132" s="20"/>
      <c r="G132" s="21"/>
      <c r="H132" s="161">
        <f t="shared" si="38"/>
        <v>2</v>
      </c>
      <c r="I132" s="66"/>
      <c r="J132" s="66"/>
      <c r="K132" s="66"/>
      <c r="L132" s="66"/>
      <c r="M132" s="66"/>
      <c r="N132" s="66"/>
    </row>
    <row r="133" ht="15.0" customHeight="1">
      <c r="B133" s="158" t="s">
        <v>186</v>
      </c>
      <c r="C133" s="20"/>
      <c r="D133" s="20"/>
      <c r="E133" s="20"/>
      <c r="F133" s="20"/>
      <c r="G133" s="21"/>
      <c r="H133" s="161" t="str">
        <f t="shared" si="38"/>
        <v/>
      </c>
      <c r="I133" s="66"/>
      <c r="J133" s="66"/>
      <c r="K133" s="66"/>
      <c r="L133" s="66"/>
      <c r="M133" s="66"/>
      <c r="N133" s="66"/>
    </row>
    <row r="134" ht="15.0" customHeight="1">
      <c r="B134" s="160" t="s">
        <v>189</v>
      </c>
      <c r="C134" s="20"/>
      <c r="D134" s="20"/>
      <c r="E134" s="20"/>
      <c r="F134" s="20"/>
      <c r="G134" s="21"/>
      <c r="H134" s="161">
        <f t="shared" si="38"/>
        <v>3</v>
      </c>
      <c r="I134" s="66"/>
      <c r="J134" s="66"/>
      <c r="K134" s="66"/>
      <c r="L134" s="66"/>
      <c r="M134" s="66"/>
      <c r="N134" s="66"/>
    </row>
    <row r="135" ht="15.0" hidden="1" customHeight="1">
      <c r="B135" s="160" t="s">
        <v>210</v>
      </c>
      <c r="C135" s="20"/>
      <c r="D135" s="20"/>
      <c r="E135" s="20"/>
      <c r="F135" s="20"/>
      <c r="G135" s="21"/>
      <c r="H135" s="106" t="str">
        <f>#REF!</f>
        <v>#REF!</v>
      </c>
      <c r="I135" s="66"/>
      <c r="J135" s="66"/>
      <c r="K135" s="66"/>
      <c r="L135" s="66"/>
      <c r="M135" s="66"/>
      <c r="N135" s="66"/>
    </row>
    <row r="136" ht="15.0" customHeight="1">
      <c r="B136" s="158" t="s">
        <v>195</v>
      </c>
      <c r="C136" s="20"/>
      <c r="D136" s="20"/>
      <c r="E136" s="20"/>
      <c r="F136" s="20"/>
      <c r="G136" s="21"/>
      <c r="H136" s="161">
        <f t="shared" ref="H136:H140" si="39">H83</f>
        <v>4</v>
      </c>
      <c r="I136" s="66"/>
      <c r="J136" s="66"/>
      <c r="K136" s="66"/>
      <c r="L136" s="66"/>
      <c r="M136" s="66"/>
      <c r="N136" s="66"/>
    </row>
    <row r="137" ht="15.0" customHeight="1">
      <c r="B137" s="158" t="s">
        <v>196</v>
      </c>
      <c r="C137" s="20"/>
      <c r="D137" s="20"/>
      <c r="E137" s="20"/>
      <c r="F137" s="20"/>
      <c r="G137" s="21"/>
      <c r="H137" s="161" t="str">
        <f t="shared" si="39"/>
        <v/>
      </c>
      <c r="I137" s="66"/>
      <c r="J137" s="66"/>
      <c r="K137" s="66"/>
      <c r="L137" s="66"/>
      <c r="M137" s="66"/>
      <c r="N137" s="66"/>
    </row>
    <row r="138" ht="15.0" customHeight="1">
      <c r="B138" s="158" t="s">
        <v>197</v>
      </c>
      <c r="C138" s="20"/>
      <c r="D138" s="20"/>
      <c r="E138" s="20"/>
      <c r="F138" s="20"/>
      <c r="G138" s="21"/>
      <c r="H138" s="161">
        <f t="shared" si="39"/>
        <v>2</v>
      </c>
      <c r="I138" s="66"/>
      <c r="J138" s="66"/>
      <c r="K138" s="66"/>
      <c r="L138" s="66"/>
      <c r="M138" s="66"/>
      <c r="N138" s="66"/>
    </row>
    <row r="139" ht="15.0" customHeight="1">
      <c r="B139" s="158" t="s">
        <v>198</v>
      </c>
      <c r="C139" s="20"/>
      <c r="D139" s="20"/>
      <c r="E139" s="20"/>
      <c r="F139" s="20"/>
      <c r="G139" s="21"/>
      <c r="H139" s="161" t="str">
        <f t="shared" si="39"/>
        <v/>
      </c>
      <c r="I139" s="66"/>
      <c r="J139" s="66"/>
      <c r="K139" s="66"/>
      <c r="L139" s="66"/>
      <c r="M139" s="66"/>
      <c r="N139" s="66"/>
    </row>
    <row r="140" ht="15.0" customHeight="1">
      <c r="B140" s="158" t="s">
        <v>200</v>
      </c>
      <c r="C140" s="20"/>
      <c r="D140" s="20"/>
      <c r="E140" s="20"/>
      <c r="F140" s="20"/>
      <c r="G140" s="21"/>
      <c r="H140" s="161" t="str">
        <f t="shared" si="39"/>
        <v/>
      </c>
      <c r="I140" s="66"/>
      <c r="J140" s="66"/>
      <c r="K140" s="66"/>
      <c r="L140" s="66"/>
      <c r="M140" s="66"/>
      <c r="N140" s="66"/>
    </row>
    <row r="141" ht="15.75" customHeight="1"/>
    <row r="142" ht="15.0" customHeight="1">
      <c r="B142" s="90" t="s">
        <v>335</v>
      </c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</row>
    <row r="143" ht="15.75" customHeight="1"/>
    <row r="144" ht="15.0" customHeight="1">
      <c r="B144" s="62" t="s">
        <v>336</v>
      </c>
      <c r="C144" s="21"/>
      <c r="D144" s="62" t="s">
        <v>337</v>
      </c>
      <c r="E144" s="21"/>
      <c r="F144" s="62" t="s">
        <v>338</v>
      </c>
      <c r="G144" s="21"/>
      <c r="H144" s="62" t="s">
        <v>339</v>
      </c>
      <c r="I144" s="21"/>
      <c r="J144" s="62" t="s">
        <v>340</v>
      </c>
      <c r="K144" s="21"/>
      <c r="L144" s="62" t="s">
        <v>341</v>
      </c>
      <c r="M144" s="21"/>
    </row>
    <row r="145" ht="15.0" customHeight="1">
      <c r="B145" s="192"/>
      <c r="C145" s="193"/>
      <c r="D145" s="192"/>
      <c r="E145" s="193"/>
      <c r="F145" s="192"/>
      <c r="G145" s="193"/>
      <c r="H145" s="192"/>
      <c r="I145" s="193"/>
      <c r="J145" s="192"/>
      <c r="K145" s="193"/>
      <c r="L145" s="192"/>
      <c r="M145" s="193"/>
      <c r="O145" s="194"/>
    </row>
    <row r="146" ht="15.0" customHeight="1">
      <c r="B146" s="195"/>
      <c r="C146" s="196"/>
      <c r="D146" s="195"/>
      <c r="E146" s="196"/>
      <c r="F146" s="195"/>
      <c r="G146" s="196"/>
      <c r="H146" s="195"/>
      <c r="I146" s="196"/>
      <c r="J146" s="195"/>
      <c r="K146" s="196"/>
      <c r="L146" s="195"/>
      <c r="M146" s="196"/>
      <c r="O146" s="72"/>
    </row>
    <row r="147" ht="15.0" customHeight="1">
      <c r="B147" s="195"/>
      <c r="C147" s="196"/>
      <c r="D147" s="195"/>
      <c r="E147" s="196"/>
      <c r="F147" s="195"/>
      <c r="G147" s="196"/>
      <c r="H147" s="195"/>
      <c r="I147" s="196"/>
      <c r="J147" s="195"/>
      <c r="K147" s="196"/>
      <c r="L147" s="195"/>
      <c r="M147" s="196"/>
      <c r="O147" s="72"/>
    </row>
    <row r="148" ht="15.0" customHeight="1">
      <c r="B148" s="195"/>
      <c r="C148" s="196"/>
      <c r="D148" s="195"/>
      <c r="E148" s="196"/>
      <c r="F148" s="195"/>
      <c r="G148" s="196"/>
      <c r="H148" s="195"/>
      <c r="I148" s="196"/>
      <c r="J148" s="195"/>
      <c r="K148" s="196"/>
      <c r="L148" s="195"/>
      <c r="M148" s="196"/>
      <c r="O148" s="72"/>
    </row>
    <row r="149" ht="15.0" customHeight="1">
      <c r="B149" s="195"/>
      <c r="C149" s="196"/>
      <c r="D149" s="195"/>
      <c r="E149" s="196"/>
      <c r="F149" s="195"/>
      <c r="G149" s="196"/>
      <c r="H149" s="195"/>
      <c r="I149" s="196"/>
      <c r="J149" s="195"/>
      <c r="K149" s="196"/>
      <c r="L149" s="195"/>
      <c r="M149" s="196"/>
      <c r="O149" s="72"/>
    </row>
    <row r="150" ht="15.0" customHeight="1">
      <c r="B150" s="195"/>
      <c r="C150" s="196"/>
      <c r="D150" s="195"/>
      <c r="E150" s="196"/>
      <c r="F150" s="195"/>
      <c r="G150" s="196"/>
      <c r="H150" s="195"/>
      <c r="I150" s="196"/>
      <c r="J150" s="195"/>
      <c r="K150" s="196"/>
      <c r="L150" s="195"/>
      <c r="M150" s="196"/>
      <c r="O150" s="72"/>
    </row>
    <row r="151" ht="15.0" customHeight="1">
      <c r="B151" s="195"/>
      <c r="C151" s="196"/>
      <c r="D151" s="195"/>
      <c r="E151" s="196"/>
      <c r="F151" s="195"/>
      <c r="G151" s="196"/>
      <c r="H151" s="195"/>
      <c r="I151" s="196"/>
      <c r="J151" s="195"/>
      <c r="K151" s="196"/>
      <c r="L151" s="195"/>
      <c r="M151" s="196"/>
    </row>
    <row r="152" ht="15.0" customHeight="1">
      <c r="B152" s="195"/>
      <c r="C152" s="196"/>
      <c r="D152" s="195"/>
      <c r="E152" s="196"/>
      <c r="F152" s="195"/>
      <c r="G152" s="196"/>
      <c r="H152" s="195"/>
      <c r="I152" s="196"/>
      <c r="J152" s="195"/>
      <c r="K152" s="196"/>
      <c r="L152" s="195"/>
      <c r="M152" s="196"/>
    </row>
    <row r="153" ht="15.0" customHeight="1">
      <c r="B153" s="195"/>
      <c r="C153" s="196"/>
      <c r="D153" s="195"/>
      <c r="E153" s="196"/>
      <c r="F153" s="195"/>
      <c r="G153" s="196"/>
      <c r="H153" s="195"/>
      <c r="I153" s="196"/>
      <c r="J153" s="195"/>
      <c r="K153" s="196"/>
      <c r="L153" s="195"/>
      <c r="M153" s="196"/>
    </row>
    <row r="154" ht="15.0" customHeight="1">
      <c r="B154" s="195"/>
      <c r="C154" s="196"/>
      <c r="D154" s="195"/>
      <c r="E154" s="196"/>
      <c r="F154" s="195"/>
      <c r="G154" s="196"/>
      <c r="H154" s="195"/>
      <c r="I154" s="196"/>
      <c r="J154" s="195"/>
      <c r="K154" s="196"/>
      <c r="L154" s="195"/>
      <c r="M154" s="196"/>
    </row>
    <row r="155" ht="15.0" customHeight="1">
      <c r="B155" s="195"/>
      <c r="C155" s="196"/>
      <c r="D155" s="195"/>
      <c r="E155" s="196"/>
      <c r="F155" s="195"/>
      <c r="G155" s="196"/>
      <c r="H155" s="195"/>
      <c r="I155" s="196"/>
      <c r="J155" s="195"/>
      <c r="K155" s="196"/>
      <c r="L155" s="195"/>
      <c r="M155" s="196"/>
    </row>
    <row r="156" ht="15.0" customHeight="1">
      <c r="B156" s="195"/>
      <c r="C156" s="196"/>
      <c r="D156" s="195"/>
      <c r="E156" s="196"/>
      <c r="F156" s="195"/>
      <c r="G156" s="196"/>
      <c r="H156" s="195"/>
      <c r="I156" s="196"/>
      <c r="J156" s="195"/>
      <c r="K156" s="196"/>
      <c r="L156" s="195"/>
      <c r="M156" s="196"/>
    </row>
    <row r="157" ht="15.0" customHeight="1">
      <c r="B157" s="195"/>
      <c r="C157" s="196"/>
      <c r="D157" s="195"/>
      <c r="E157" s="196"/>
      <c r="F157" s="195"/>
      <c r="G157" s="196"/>
      <c r="H157" s="195"/>
      <c r="I157" s="196"/>
      <c r="J157" s="195"/>
      <c r="K157" s="196"/>
      <c r="L157" s="195"/>
      <c r="M157" s="196"/>
    </row>
    <row r="158" ht="15.0" customHeight="1">
      <c r="B158" s="195"/>
      <c r="C158" s="196"/>
      <c r="D158" s="195"/>
      <c r="E158" s="196"/>
      <c r="F158" s="195"/>
      <c r="G158" s="196"/>
      <c r="H158" s="195"/>
      <c r="I158" s="196"/>
      <c r="J158" s="195"/>
      <c r="K158" s="196"/>
      <c r="L158" s="195"/>
      <c r="M158" s="196"/>
    </row>
    <row r="159" ht="15.0" customHeight="1">
      <c r="B159" s="195"/>
      <c r="C159" s="196"/>
      <c r="D159" s="195"/>
      <c r="E159" s="196"/>
      <c r="F159" s="195"/>
      <c r="G159" s="196"/>
      <c r="H159" s="195"/>
      <c r="I159" s="196"/>
      <c r="J159" s="195"/>
      <c r="K159" s="196"/>
      <c r="L159" s="195"/>
      <c r="M159" s="196"/>
    </row>
    <row r="160" ht="15.0" customHeight="1">
      <c r="B160" s="195"/>
      <c r="C160" s="196"/>
      <c r="D160" s="195"/>
      <c r="E160" s="196"/>
      <c r="F160" s="195"/>
      <c r="G160" s="196"/>
      <c r="H160" s="195"/>
      <c r="I160" s="196"/>
      <c r="J160" s="195"/>
      <c r="K160" s="196"/>
      <c r="L160" s="195"/>
      <c r="M160" s="196"/>
    </row>
    <row r="161" ht="15.0" customHeight="1">
      <c r="B161" s="195"/>
      <c r="C161" s="196"/>
      <c r="D161" s="195"/>
      <c r="E161" s="196"/>
      <c r="F161" s="195"/>
      <c r="G161" s="196"/>
      <c r="H161" s="195"/>
      <c r="I161" s="196"/>
      <c r="J161" s="195"/>
      <c r="K161" s="196"/>
      <c r="L161" s="195"/>
      <c r="M161" s="196"/>
    </row>
    <row r="162" ht="15.0" customHeight="1">
      <c r="B162" s="195"/>
      <c r="C162" s="196"/>
      <c r="D162" s="195"/>
      <c r="E162" s="196"/>
      <c r="F162" s="195"/>
      <c r="G162" s="196"/>
      <c r="H162" s="195"/>
      <c r="I162" s="196"/>
      <c r="J162" s="195"/>
      <c r="K162" s="196"/>
      <c r="L162" s="195"/>
      <c r="M162" s="196"/>
    </row>
    <row r="163" ht="15.0" customHeight="1">
      <c r="B163" s="195"/>
      <c r="C163" s="196"/>
      <c r="D163" s="195"/>
      <c r="E163" s="196"/>
      <c r="F163" s="195"/>
      <c r="G163" s="196"/>
      <c r="H163" s="195"/>
      <c r="I163" s="196"/>
      <c r="J163" s="195"/>
      <c r="K163" s="196"/>
      <c r="L163" s="195"/>
      <c r="M163" s="196"/>
    </row>
    <row r="164" ht="15.0" customHeight="1">
      <c r="B164" s="195"/>
      <c r="C164" s="196"/>
      <c r="D164" s="195"/>
      <c r="E164" s="196"/>
      <c r="F164" s="195"/>
      <c r="G164" s="196"/>
      <c r="H164" s="195"/>
      <c r="I164" s="196"/>
      <c r="J164" s="195"/>
      <c r="K164" s="196"/>
      <c r="L164" s="195"/>
      <c r="M164" s="196"/>
    </row>
    <row r="165" ht="15.0" customHeight="1">
      <c r="B165" s="195"/>
      <c r="C165" s="196"/>
      <c r="D165" s="195"/>
      <c r="E165" s="196"/>
      <c r="F165" s="195"/>
      <c r="G165" s="196"/>
      <c r="H165" s="195"/>
      <c r="I165" s="196"/>
      <c r="J165" s="195"/>
      <c r="K165" s="196"/>
      <c r="L165" s="195"/>
      <c r="M165" s="196"/>
    </row>
    <row r="166" ht="15.0" customHeight="1">
      <c r="B166" s="195"/>
      <c r="C166" s="196"/>
      <c r="D166" s="195"/>
      <c r="E166" s="196"/>
      <c r="F166" s="195"/>
      <c r="G166" s="196"/>
      <c r="H166" s="195"/>
      <c r="I166" s="196"/>
      <c r="J166" s="195"/>
      <c r="K166" s="196"/>
      <c r="L166" s="195"/>
      <c r="M166" s="196"/>
    </row>
    <row r="167" ht="15.0" customHeight="1">
      <c r="B167" s="195"/>
      <c r="C167" s="196"/>
      <c r="D167" s="195"/>
      <c r="E167" s="196"/>
      <c r="F167" s="195"/>
      <c r="G167" s="196"/>
      <c r="H167" s="195"/>
      <c r="I167" s="196"/>
      <c r="J167" s="195"/>
      <c r="K167" s="196"/>
      <c r="L167" s="195"/>
      <c r="M167" s="196"/>
    </row>
    <row r="168" ht="15.0" customHeight="1">
      <c r="B168" s="195"/>
      <c r="C168" s="196"/>
      <c r="D168" s="195"/>
      <c r="E168" s="196"/>
      <c r="F168" s="195"/>
      <c r="G168" s="196"/>
      <c r="H168" s="195"/>
      <c r="I168" s="196"/>
      <c r="J168" s="195"/>
      <c r="K168" s="196"/>
      <c r="L168" s="195"/>
      <c r="M168" s="196"/>
    </row>
    <row r="169" ht="15.0" customHeight="1">
      <c r="B169" s="195"/>
      <c r="C169" s="196"/>
      <c r="D169" s="195"/>
      <c r="E169" s="196"/>
      <c r="F169" s="195"/>
      <c r="G169" s="196"/>
      <c r="H169" s="195"/>
      <c r="I169" s="196"/>
      <c r="J169" s="195"/>
      <c r="K169" s="196"/>
      <c r="L169" s="195"/>
      <c r="M169" s="196"/>
    </row>
    <row r="170" ht="15.0" customHeight="1">
      <c r="B170" s="197"/>
      <c r="C170" s="198"/>
      <c r="D170" s="197"/>
      <c r="E170" s="198"/>
      <c r="F170" s="197"/>
      <c r="G170" s="198"/>
      <c r="H170" s="197"/>
      <c r="I170" s="198"/>
      <c r="J170" s="197"/>
      <c r="K170" s="198"/>
      <c r="L170" s="197"/>
      <c r="M170" s="198"/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6">
    <mergeCell ref="P28:Q28"/>
    <mergeCell ref="P29:Q29"/>
    <mergeCell ref="P33:Q33"/>
    <mergeCell ref="P21:Q21"/>
    <mergeCell ref="P22:Q22"/>
    <mergeCell ref="P23:Q23"/>
    <mergeCell ref="P24:Q24"/>
    <mergeCell ref="P25:Q25"/>
    <mergeCell ref="P26:Q26"/>
    <mergeCell ref="P27:Q27"/>
    <mergeCell ref="J30:J31"/>
    <mergeCell ref="K30:K31"/>
    <mergeCell ref="J20:J22"/>
    <mergeCell ref="K20:K22"/>
    <mergeCell ref="I23:I29"/>
    <mergeCell ref="J23:J29"/>
    <mergeCell ref="K23:K29"/>
    <mergeCell ref="L23:L29"/>
    <mergeCell ref="I30:I31"/>
    <mergeCell ref="L30:L31"/>
    <mergeCell ref="B30:B31"/>
    <mergeCell ref="B32:C32"/>
    <mergeCell ref="C30:C31"/>
    <mergeCell ref="D30:D31"/>
    <mergeCell ref="I32:J32"/>
    <mergeCell ref="B35:Q35"/>
    <mergeCell ref="B40:Q40"/>
    <mergeCell ref="B42:G42"/>
    <mergeCell ref="B43:G43"/>
    <mergeCell ref="B3:R3"/>
    <mergeCell ref="B5:C5"/>
    <mergeCell ref="E5:F5"/>
    <mergeCell ref="H5:J5"/>
    <mergeCell ref="L5:M5"/>
    <mergeCell ref="O5:Q5"/>
    <mergeCell ref="E7:F7"/>
    <mergeCell ref="B10:C10"/>
    <mergeCell ref="H10:I10"/>
    <mergeCell ref="L10:M10"/>
    <mergeCell ref="E11:F11"/>
    <mergeCell ref="B12:C12"/>
    <mergeCell ref="L12:M12"/>
    <mergeCell ref="B16:Q16"/>
    <mergeCell ref="E20:E22"/>
    <mergeCell ref="I20:I22"/>
    <mergeCell ref="P19:Q19"/>
    <mergeCell ref="P20:Q20"/>
    <mergeCell ref="P30:Q30"/>
    <mergeCell ref="P31:Q31"/>
    <mergeCell ref="P32:Q32"/>
    <mergeCell ref="B18:G18"/>
    <mergeCell ref="I18:N18"/>
    <mergeCell ref="P18:R18"/>
    <mergeCell ref="F19:G19"/>
    <mergeCell ref="M19:N19"/>
    <mergeCell ref="B20:B22"/>
    <mergeCell ref="L20:L22"/>
    <mergeCell ref="C20:C22"/>
    <mergeCell ref="D20:D22"/>
    <mergeCell ref="B23:B29"/>
    <mergeCell ref="C23:C29"/>
    <mergeCell ref="D23:D29"/>
    <mergeCell ref="E23:E29"/>
    <mergeCell ref="E30:E31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  <mergeCell ref="B66:G66"/>
    <mergeCell ref="B67:G67"/>
    <mergeCell ref="B68:G68"/>
    <mergeCell ref="B69:G69"/>
    <mergeCell ref="B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B87:G87"/>
    <mergeCell ref="B93:R93"/>
    <mergeCell ref="I95:N95"/>
    <mergeCell ref="O95:Q95"/>
    <mergeCell ref="S95:U95"/>
    <mergeCell ref="S96:T96"/>
    <mergeCell ref="I97:I99"/>
    <mergeCell ref="J97:J99"/>
    <mergeCell ref="K97:K99"/>
    <mergeCell ref="L97:L99"/>
    <mergeCell ref="I100:I106"/>
    <mergeCell ref="J100:J106"/>
    <mergeCell ref="K100:K106"/>
    <mergeCell ref="L100:L106"/>
    <mergeCell ref="I107:I108"/>
    <mergeCell ref="L107:L108"/>
    <mergeCell ref="J144:K144"/>
    <mergeCell ref="L144:M144"/>
    <mergeCell ref="B137:G137"/>
    <mergeCell ref="B138:G138"/>
    <mergeCell ref="B139:G139"/>
    <mergeCell ref="B140:G140"/>
    <mergeCell ref="B142:Q142"/>
    <mergeCell ref="B144:C144"/>
    <mergeCell ref="D144:E144"/>
    <mergeCell ref="P115:Q115"/>
    <mergeCell ref="P116:Q116"/>
    <mergeCell ref="P114:Q114"/>
    <mergeCell ref="P117:Q117"/>
    <mergeCell ref="J107:J108"/>
    <mergeCell ref="K107:K108"/>
    <mergeCell ref="B112:Q112"/>
    <mergeCell ref="B114:G114"/>
    <mergeCell ref="B115:G115"/>
    <mergeCell ref="B116:G116"/>
    <mergeCell ref="B117:G117"/>
    <mergeCell ref="B118:G118"/>
    <mergeCell ref="P118:Q118"/>
    <mergeCell ref="B119:G119"/>
    <mergeCell ref="P119:Q119"/>
    <mergeCell ref="B120:G120"/>
    <mergeCell ref="B121:G121"/>
    <mergeCell ref="B122:G122"/>
    <mergeCell ref="B123:G123"/>
    <mergeCell ref="B124:G124"/>
    <mergeCell ref="B125:G125"/>
    <mergeCell ref="B126:G126"/>
    <mergeCell ref="B127:G127"/>
    <mergeCell ref="B128:G128"/>
    <mergeCell ref="B129:G129"/>
    <mergeCell ref="F144:G144"/>
    <mergeCell ref="H144:I144"/>
    <mergeCell ref="O145:P145"/>
    <mergeCell ref="O146:P146"/>
    <mergeCell ref="O147:P147"/>
    <mergeCell ref="O148:P148"/>
    <mergeCell ref="O149:P149"/>
    <mergeCell ref="O150:P150"/>
    <mergeCell ref="B145:C170"/>
    <mergeCell ref="D145:E170"/>
    <mergeCell ref="F145:G170"/>
    <mergeCell ref="H145:I170"/>
    <mergeCell ref="J145:K170"/>
    <mergeCell ref="L145:M170"/>
    <mergeCell ref="B130:G130"/>
    <mergeCell ref="B131:G131"/>
    <mergeCell ref="B132:G132"/>
    <mergeCell ref="B133:G133"/>
    <mergeCell ref="B134:G134"/>
    <mergeCell ref="B135:G135"/>
    <mergeCell ref="B136:G13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0.14"/>
    <col customWidth="1" min="3" max="3" width="19.29"/>
    <col customWidth="1" min="4" max="4" width="7.14"/>
    <col customWidth="1" min="5" max="5" width="13.43"/>
    <col customWidth="1" min="6" max="8" width="10.71"/>
    <col customWidth="1" min="9" max="9" width="11.43"/>
    <col customWidth="1" min="10" max="10" width="10.71"/>
    <col customWidth="1" min="11" max="11" width="13.29"/>
    <col customWidth="1" hidden="1" min="12" max="12" width="7.71"/>
    <col customWidth="1" min="13" max="13" width="16.0"/>
    <col customWidth="1" min="14" max="14" width="15.71"/>
    <col customWidth="1" min="15" max="15" width="13.29"/>
    <col customWidth="1" min="16" max="16" width="12.29"/>
    <col customWidth="1" min="17" max="18" width="13.0"/>
    <col customWidth="1" min="19" max="35" width="10.71"/>
  </cols>
  <sheetData>
    <row r="1">
      <c r="L1" s="43"/>
    </row>
    <row r="2">
      <c r="B2" s="90" t="s">
        <v>342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>
      <c r="L3" s="43"/>
    </row>
    <row r="4">
      <c r="B4" s="7" t="s">
        <v>12</v>
      </c>
      <c r="C4" s="8"/>
      <c r="E4" s="199" t="s">
        <v>343</v>
      </c>
      <c r="F4" s="60"/>
      <c r="G4" s="60"/>
      <c r="H4" s="60"/>
      <c r="I4" s="60"/>
      <c r="J4" s="60"/>
      <c r="K4" s="60"/>
      <c r="L4" s="60"/>
      <c r="M4" s="60"/>
      <c r="N4" s="60"/>
      <c r="P4" s="200" t="s">
        <v>344</v>
      </c>
      <c r="Q4" s="60"/>
      <c r="R4" s="60"/>
      <c r="S4" s="60"/>
      <c r="T4" s="60"/>
      <c r="U4" s="60"/>
      <c r="V4" s="60"/>
      <c r="W4" s="60"/>
      <c r="X4" s="60"/>
      <c r="Y4" s="60"/>
      <c r="Z4" s="201"/>
    </row>
    <row r="5">
      <c r="B5" s="11" t="s">
        <v>13</v>
      </c>
      <c r="C5" s="202"/>
      <c r="L5" s="43" t="s">
        <v>16</v>
      </c>
    </row>
    <row r="6">
      <c r="B6" s="13" t="s">
        <v>15</v>
      </c>
      <c r="C6" s="202"/>
      <c r="L6" s="43"/>
    </row>
    <row r="7">
      <c r="B7" s="13" t="s">
        <v>17</v>
      </c>
      <c r="C7" s="202"/>
      <c r="L7" s="43" t="s">
        <v>345</v>
      </c>
    </row>
    <row r="8">
      <c r="B8" s="13" t="s">
        <v>18</v>
      </c>
      <c r="C8" s="203" t="s">
        <v>16</v>
      </c>
      <c r="L8" s="43" t="s">
        <v>43</v>
      </c>
    </row>
    <row r="9">
      <c r="B9" s="13" t="s">
        <v>19</v>
      </c>
      <c r="C9" s="202"/>
      <c r="L9" s="43" t="s">
        <v>346</v>
      </c>
    </row>
    <row r="10">
      <c r="B10" s="13" t="s">
        <v>20</v>
      </c>
      <c r="C10" s="202"/>
      <c r="L10" s="43" t="s">
        <v>347</v>
      </c>
    </row>
    <row r="11">
      <c r="B11" s="13" t="s">
        <v>348</v>
      </c>
      <c r="C11" s="202"/>
      <c r="L11" s="43" t="s">
        <v>349</v>
      </c>
    </row>
    <row r="12">
      <c r="B12" s="18" t="s">
        <v>350</v>
      </c>
      <c r="C12" s="203">
        <f>C11/100</f>
        <v>0</v>
      </c>
      <c r="L12" s="43" t="s">
        <v>351</v>
      </c>
    </row>
    <row r="13">
      <c r="B13" s="204" t="s">
        <v>352</v>
      </c>
      <c r="C13" s="205"/>
      <c r="L13" s="43" t="s">
        <v>353</v>
      </c>
    </row>
    <row r="14">
      <c r="B14" s="11" t="s">
        <v>354</v>
      </c>
      <c r="C14" s="202"/>
      <c r="L14" s="43" t="s">
        <v>355</v>
      </c>
    </row>
    <row r="15">
      <c r="B15" s="13" t="s">
        <v>356</v>
      </c>
      <c r="C15" s="202"/>
      <c r="L15" s="43" t="s">
        <v>357</v>
      </c>
    </row>
    <row r="16">
      <c r="B16" s="13" t="s">
        <v>28</v>
      </c>
      <c r="C16" s="202"/>
      <c r="L16" s="43" t="s">
        <v>349</v>
      </c>
    </row>
    <row r="17">
      <c r="B17" s="11" t="s">
        <v>358</v>
      </c>
      <c r="C17" s="206">
        <f>C14-(3.14159*C15)</f>
        <v>0</v>
      </c>
      <c r="L17" s="43" t="s">
        <v>359</v>
      </c>
    </row>
    <row r="18">
      <c r="B18" s="13" t="s">
        <v>360</v>
      </c>
      <c r="C18" s="206">
        <f>(C17^2)/(4*3.14159)</f>
        <v>0</v>
      </c>
      <c r="L18" s="43" t="s">
        <v>361</v>
      </c>
    </row>
    <row r="19">
      <c r="B19" s="13" t="s">
        <v>362</v>
      </c>
      <c r="C19" s="202"/>
      <c r="L19" s="43"/>
    </row>
    <row r="20" ht="48.75" customHeight="1">
      <c r="B20" s="207" t="s">
        <v>363</v>
      </c>
      <c r="C20" s="208" t="str">
        <f>IF(C19=L35,"Franco agotamiento de la reserva muscular",IF(C19=L36,"Sugiere agotamiento de la reserva muscular",IF(C19=L37,"Adecuada reserva muscular",IF(C19=L38,"Buena reserva muscular","Introduzca percentil AMB"))))</f>
        <v>Introduzca percentil AMB</v>
      </c>
      <c r="L20" s="43" t="s">
        <v>364</v>
      </c>
    </row>
    <row r="21" ht="15.75" customHeight="1">
      <c r="B21" s="11" t="s">
        <v>365</v>
      </c>
      <c r="C21" s="206">
        <f>(3.14159/4)*((C14/3.14159)^2)</f>
        <v>0</v>
      </c>
      <c r="L21" s="43" t="s">
        <v>366</v>
      </c>
    </row>
    <row r="22" ht="15.75" customHeight="1">
      <c r="B22" s="13" t="s">
        <v>367</v>
      </c>
      <c r="C22" s="206">
        <f>C21-C18</f>
        <v>0</v>
      </c>
      <c r="L22" s="43" t="s">
        <v>349</v>
      </c>
    </row>
    <row r="23" ht="15.75" customHeight="1">
      <c r="B23" s="13" t="s">
        <v>368</v>
      </c>
      <c r="C23" s="202"/>
      <c r="E23" s="209" t="s">
        <v>369</v>
      </c>
      <c r="F23" s="60"/>
      <c r="G23" s="60"/>
      <c r="H23" s="60"/>
      <c r="I23" s="60"/>
      <c r="J23" s="60"/>
      <c r="K23" s="210"/>
      <c r="L23" s="43"/>
      <c r="M23" s="211"/>
      <c r="N23" s="211"/>
      <c r="P23" s="200" t="s">
        <v>370</v>
      </c>
      <c r="Q23" s="60"/>
      <c r="R23" s="60"/>
      <c r="S23" s="60"/>
      <c r="T23" s="60"/>
      <c r="U23" s="60"/>
      <c r="V23" s="60"/>
      <c r="W23" s="60"/>
      <c r="X23" s="60"/>
      <c r="Y23" s="60"/>
      <c r="Z23" s="201"/>
    </row>
    <row r="24" ht="57.0" customHeight="1">
      <c r="B24" s="207" t="s">
        <v>371</v>
      </c>
      <c r="C24" s="208" t="str">
        <f>IF(C23=L40,"Franco agotamiento de la reserva energetica",IF(C23=L41,"Sugiere agotamiento de la reserva energetica",IF(C23=L42,"Reserva energetica adecuada",IF(C23=L43,"Alta reserva energetica asociada a sobrepeso",IF(C23=L44,"Sugiere obesidad","Introduzca percentil AGB")))))</f>
        <v>Introduzca percentil AGB</v>
      </c>
      <c r="L24" s="43" t="s">
        <v>372</v>
      </c>
    </row>
    <row r="25" ht="15.75" customHeight="1">
      <c r="B25" s="11" t="s">
        <v>373</v>
      </c>
      <c r="C25" s="29">
        <f>C15+C16</f>
        <v>0</v>
      </c>
      <c r="L25" s="43" t="s">
        <v>349</v>
      </c>
    </row>
    <row r="26" ht="15.75" customHeight="1">
      <c r="B26" s="13" t="s">
        <v>374</v>
      </c>
      <c r="C26" s="202"/>
      <c r="L26" s="43" t="s">
        <v>375</v>
      </c>
    </row>
    <row r="27" ht="42.75" customHeight="1">
      <c r="B27" s="207" t="s">
        <v>376</v>
      </c>
      <c r="C27" s="208" t="str">
        <f>IF(C26=L46,"Grasa muy baja",IF(C26=L47,"Grasa baja",IF(C26=L48,"Grasa adecuada",IF(C26=L49,"Exceso de grasa",IF(C26=L50,"Obesidad","Introduzca percentil de adiposidad")))))</f>
        <v>Introduzca percentil de adiposidad</v>
      </c>
      <c r="L27" s="43" t="s">
        <v>377</v>
      </c>
    </row>
    <row r="28" ht="15.75" customHeight="1">
      <c r="L28" s="43" t="s">
        <v>38</v>
      </c>
    </row>
    <row r="29" ht="15.75" customHeight="1">
      <c r="B29" s="19" t="s">
        <v>378</v>
      </c>
      <c r="C29" s="21"/>
      <c r="L29" s="43" t="s">
        <v>43</v>
      </c>
    </row>
    <row r="30" ht="15.75" customHeight="1">
      <c r="B30" s="212" t="s">
        <v>379</v>
      </c>
      <c r="C30" s="213"/>
      <c r="L30" s="43" t="s">
        <v>346</v>
      </c>
    </row>
    <row r="31" ht="37.5" customHeight="1">
      <c r="B31" s="214" t="s">
        <v>380</v>
      </c>
      <c r="C31" s="215" t="str">
        <f>IF(C30&gt;3,"Obesidad",IF(AND(C30&gt;2,C30&lt;=3),"Sobrepeso",IF(AND(C30&gt;1,C30&lt;=2),"Riesgo de sobrepeso",IF(AND(C30&gt;=-1,C30&lt;=1),"Peso adecuado para la talla",IF(AND(C30&gt;=-2,C30&lt;-1),"Riesgo de desnutricion aguda",IF(AND(C30&lt;-2,C30&gt;=-3),"Desnutricion aguda moderada","Desnutricion aguda severa"))))))</f>
        <v>Peso adecuado para la talla</v>
      </c>
      <c r="L31" s="43" t="s">
        <v>349</v>
      </c>
    </row>
    <row r="32" ht="15.75" customHeight="1">
      <c r="B32" s="214" t="s">
        <v>381</v>
      </c>
      <c r="C32" s="213"/>
      <c r="L32" s="43" t="s">
        <v>382</v>
      </c>
    </row>
    <row r="33" ht="34.5" customHeight="1">
      <c r="B33" s="214" t="s">
        <v>383</v>
      </c>
      <c r="C33" s="215" t="str">
        <f>IF(C32&gt;=-1,"Talla adecuada para la edad",IF(AND(C32&gt;=-2,C32&lt;-1),"Riesgo de talla baja","Retraso en talla"))</f>
        <v>Talla adecuada para la edad</v>
      </c>
      <c r="L33" s="43" t="s">
        <v>384</v>
      </c>
    </row>
    <row r="34" ht="15.75" customHeight="1">
      <c r="B34" s="214" t="s">
        <v>385</v>
      </c>
      <c r="C34" s="213"/>
      <c r="L34" s="43" t="s">
        <v>386</v>
      </c>
    </row>
    <row r="35" ht="34.5" customHeight="1">
      <c r="B35" s="207" t="s">
        <v>387</v>
      </c>
      <c r="C35" s="215" t="str">
        <f>IF(AND(C34&gt;=-2,C34&lt;=2),"Normal","Riesgo neurodesarrollo")</f>
        <v>Normal</v>
      </c>
      <c r="L35" s="43" t="s">
        <v>53</v>
      </c>
    </row>
    <row r="36" ht="15.75" customHeight="1">
      <c r="B36" s="216" t="s">
        <v>388</v>
      </c>
      <c r="C36" s="205"/>
      <c r="L36" s="43" t="s">
        <v>389</v>
      </c>
    </row>
    <row r="37" ht="15.75" customHeight="1">
      <c r="B37" s="212" t="s">
        <v>381</v>
      </c>
      <c r="C37" s="213"/>
      <c r="L37" s="43" t="s">
        <v>390</v>
      </c>
    </row>
    <row r="38" ht="15.75" customHeight="1">
      <c r="B38" s="214" t="s">
        <v>383</v>
      </c>
      <c r="C38" s="215" t="str">
        <f>IF(C37&gt;=-1,"Talla adecuada para la edad",IF(AND(C37&gt;=-2,C37&lt;-1),"Riesgo de retraso en talla","Retraso en talla"))</f>
        <v>Talla adecuada para la edad</v>
      </c>
      <c r="L38" s="43" t="s">
        <v>391</v>
      </c>
    </row>
    <row r="39" ht="15.75" customHeight="1">
      <c r="B39" s="214" t="s">
        <v>38</v>
      </c>
      <c r="C39" s="217" t="str">
        <f>F56</f>
        <v>#DIV/0!</v>
      </c>
      <c r="L39" s="43"/>
    </row>
    <row r="40" ht="15.75" customHeight="1">
      <c r="B40" s="214" t="s">
        <v>392</v>
      </c>
      <c r="C40" s="213"/>
      <c r="L40" s="43" t="s">
        <v>53</v>
      </c>
    </row>
    <row r="41" ht="36.75" customHeight="1">
      <c r="B41" s="207" t="s">
        <v>393</v>
      </c>
      <c r="C41" s="215" t="str">
        <f>IF(C40&gt;2,"Obesidad",IF(AND(C40&gt;1,C40&lt;=2),"Sobrepeso",IF(AND(C40&gt;=-1,C40&lt;=1),"Adecuado",IF(AND(C40&gt;=-2,C40&lt;-1),"Riesgo delgadez","Delgadez"))))</f>
        <v>Adecuado</v>
      </c>
      <c r="L41" s="43" t="s">
        <v>389</v>
      </c>
    </row>
    <row r="42" ht="15.75" customHeight="1">
      <c r="L42" s="43" t="s">
        <v>390</v>
      </c>
    </row>
    <row r="43" ht="15.75" customHeight="1">
      <c r="B43" s="90" t="s">
        <v>394</v>
      </c>
      <c r="C43" s="60"/>
      <c r="D43" s="60"/>
      <c r="E43" s="60"/>
      <c r="F43" s="60"/>
      <c r="G43" s="60"/>
      <c r="H43" s="60"/>
      <c r="I43" s="60"/>
      <c r="J43" s="60"/>
      <c r="K43" s="60"/>
      <c r="L43" s="218" t="s">
        <v>395</v>
      </c>
      <c r="M43" s="219"/>
      <c r="N43" s="219"/>
      <c r="O43" s="58"/>
      <c r="P43" s="58"/>
      <c r="Q43" s="58"/>
      <c r="R43" s="58"/>
      <c r="S43" s="58"/>
      <c r="T43" s="58"/>
      <c r="U43" s="58"/>
      <c r="V43" s="58"/>
    </row>
    <row r="44" ht="15.75" customHeight="1">
      <c r="L44" s="43" t="s">
        <v>396</v>
      </c>
    </row>
    <row r="45" ht="15.0" customHeight="1">
      <c r="B45" s="220" t="s">
        <v>397</v>
      </c>
      <c r="C45" s="12"/>
      <c r="E45" s="221" t="s">
        <v>398</v>
      </c>
      <c r="F45" s="193"/>
      <c r="L45" s="43" t="s">
        <v>373</v>
      </c>
    </row>
    <row r="46" ht="15.75" customHeight="1">
      <c r="B46" s="204" t="s">
        <v>399</v>
      </c>
      <c r="C46" s="205"/>
      <c r="E46" s="195"/>
      <c r="F46" s="196"/>
      <c r="L46" s="43" t="s">
        <v>53</v>
      </c>
    </row>
    <row r="47" ht="15.75" customHeight="1">
      <c r="B47" s="11" t="s">
        <v>400</v>
      </c>
      <c r="C47" s="222">
        <f>-152+(92.8*C45)</f>
        <v>-152</v>
      </c>
      <c r="E47" s="195"/>
      <c r="F47" s="196"/>
      <c r="L47" s="43" t="s">
        <v>401</v>
      </c>
    </row>
    <row r="48" ht="15.75" customHeight="1">
      <c r="B48" s="13" t="s">
        <v>402</v>
      </c>
      <c r="C48" s="222">
        <f>-29+(82.6*C45)</f>
        <v>-29</v>
      </c>
      <c r="E48" s="195"/>
      <c r="F48" s="196"/>
      <c r="L48" s="43" t="s">
        <v>403</v>
      </c>
    </row>
    <row r="49" ht="15.75" customHeight="1">
      <c r="B49" s="13" t="s">
        <v>404</v>
      </c>
      <c r="C49" s="222">
        <f>-95.4+(88.3*C45)</f>
        <v>-95.4</v>
      </c>
      <c r="E49" s="195"/>
      <c r="F49" s="196"/>
      <c r="L49" s="43" t="s">
        <v>405</v>
      </c>
    </row>
    <row r="50" ht="15.75" customHeight="1">
      <c r="B50" s="18" t="s">
        <v>406</v>
      </c>
      <c r="C50" s="222">
        <f>IF(C8="Mujer",(263.4+(65.3*C45)-(0.454*(C45^2))),(310.2+(63.3*C45)-(0.263*(C45^2))))</f>
        <v>263.4</v>
      </c>
      <c r="E50" s="195"/>
      <c r="F50" s="196"/>
      <c r="L50" s="43" t="s">
        <v>396</v>
      </c>
    </row>
    <row r="51" ht="15.75" customHeight="1">
      <c r="B51" s="204" t="s">
        <v>407</v>
      </c>
      <c r="C51" s="205"/>
      <c r="E51" s="195"/>
      <c r="F51" s="196"/>
      <c r="L51" s="43"/>
    </row>
    <row r="52" ht="15.75" customHeight="1">
      <c r="B52" s="11" t="s">
        <v>408</v>
      </c>
      <c r="C52" s="12"/>
      <c r="E52" s="197"/>
      <c r="F52" s="198"/>
      <c r="L52" s="43"/>
    </row>
    <row r="53" ht="15.75" customHeight="1">
      <c r="B53" s="13" t="s">
        <v>409</v>
      </c>
      <c r="C53" s="12"/>
      <c r="E53" s="51" t="s">
        <v>266</v>
      </c>
      <c r="F53" s="21"/>
      <c r="L53" s="43"/>
    </row>
    <row r="54" ht="15.75" customHeight="1">
      <c r="B54" s="13" t="s">
        <v>410</v>
      </c>
      <c r="C54" s="12"/>
      <c r="E54" s="52" t="s">
        <v>20</v>
      </c>
      <c r="F54" s="52" t="str">
        <f>C10</f>
        <v/>
      </c>
      <c r="L54" s="73">
        <f>IF(C56="Moderado",(L58),IF(C56="Sedentario",(L58*0.85),(L58*1.15)))</f>
        <v>0</v>
      </c>
    </row>
    <row r="55" ht="15.75" customHeight="1">
      <c r="B55" s="13" t="s">
        <v>411</v>
      </c>
      <c r="C55" s="29">
        <f>C54*C53</f>
        <v>0</v>
      </c>
      <c r="E55" s="52" t="s">
        <v>277</v>
      </c>
      <c r="F55" s="52">
        <f>C12</f>
        <v>0</v>
      </c>
      <c r="L55" s="43" t="s">
        <v>279</v>
      </c>
    </row>
    <row r="56" ht="15.75" customHeight="1">
      <c r="B56" s="13" t="s">
        <v>412</v>
      </c>
      <c r="C56" s="12"/>
      <c r="E56" s="52" t="s">
        <v>38</v>
      </c>
      <c r="F56" s="85" t="str">
        <f>(F54/(F55*F55))</f>
        <v>#DIV/0!</v>
      </c>
      <c r="L56" s="43" t="s">
        <v>272</v>
      </c>
    </row>
    <row r="57" ht="15.75" customHeight="1">
      <c r="B57" s="18" t="s">
        <v>413</v>
      </c>
      <c r="C57" s="222">
        <f>L54</f>
        <v>0</v>
      </c>
      <c r="E57" s="52" t="s">
        <v>285</v>
      </c>
      <c r="F57" s="68"/>
      <c r="L57" s="43" t="s">
        <v>288</v>
      </c>
    </row>
    <row r="58" ht="15.75" customHeight="1">
      <c r="E58" s="223" t="s">
        <v>414</v>
      </c>
      <c r="F58" s="21"/>
      <c r="L58" s="73">
        <f>SUM(C52,C55)</f>
        <v>0</v>
      </c>
    </row>
    <row r="59" ht="15.75" customHeight="1">
      <c r="B59" s="19" t="s">
        <v>415</v>
      </c>
      <c r="C59" s="21"/>
      <c r="E59" s="52" t="s">
        <v>271</v>
      </c>
      <c r="F59" s="85">
        <f>(F57*(F55*F55))</f>
        <v>0</v>
      </c>
      <c r="L59" s="43" t="s">
        <v>416</v>
      </c>
    </row>
    <row r="60" ht="15.75" customHeight="1">
      <c r="B60" s="52" t="s">
        <v>417</v>
      </c>
      <c r="C60" s="64" t="s">
        <v>418</v>
      </c>
      <c r="L60" s="43" t="s">
        <v>418</v>
      </c>
    </row>
    <row r="61" ht="15.75" customHeight="1">
      <c r="B61" s="52" t="s">
        <v>413</v>
      </c>
      <c r="C61" s="84">
        <f>L63+L58</f>
        <v>0</v>
      </c>
      <c r="L61" s="54">
        <f>IF(C60="Duplicar",2,3)</f>
        <v>3</v>
      </c>
    </row>
    <row r="62" ht="15.75" customHeight="1">
      <c r="L62" s="54">
        <f>C53*L61</f>
        <v>0</v>
      </c>
    </row>
    <row r="63" ht="15.75" customHeight="1">
      <c r="B63" s="224" t="s">
        <v>419</v>
      </c>
      <c r="C63" s="193"/>
      <c r="L63" s="54">
        <f>L62*5</f>
        <v>0</v>
      </c>
    </row>
    <row r="64" ht="15.75" customHeight="1">
      <c r="B64" s="195"/>
      <c r="C64" s="196"/>
    </row>
    <row r="65" ht="15.75" customHeight="1">
      <c r="B65" s="195"/>
      <c r="C65" s="196"/>
    </row>
    <row r="66" ht="15.75" customHeight="1">
      <c r="B66" s="195"/>
      <c r="C66" s="196"/>
    </row>
    <row r="67" ht="15.75" customHeight="1">
      <c r="B67" s="195"/>
      <c r="C67" s="196"/>
    </row>
    <row r="68" ht="15.75" customHeight="1">
      <c r="B68" s="197"/>
      <c r="C68" s="198"/>
    </row>
    <row r="69" ht="15.75" customHeight="1"/>
    <row r="70" ht="15.75" customHeight="1"/>
    <row r="71" ht="15.75" customHeight="1">
      <c r="B71" s="90" t="s">
        <v>300</v>
      </c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58"/>
      <c r="T71" s="58"/>
      <c r="U71" s="58"/>
      <c r="V71" s="58"/>
    </row>
    <row r="72" ht="15.75" customHeight="1">
      <c r="L72" s="43"/>
    </row>
    <row r="73" ht="15.75" customHeight="1">
      <c r="E73" s="19" t="s">
        <v>300</v>
      </c>
      <c r="F73" s="20"/>
      <c r="G73" s="20"/>
      <c r="H73" s="20"/>
      <c r="I73" s="20"/>
      <c r="J73" s="21"/>
      <c r="M73" s="162" t="s">
        <v>420</v>
      </c>
      <c r="N73" s="225" t="s">
        <v>421</v>
      </c>
      <c r="O73" s="225" t="s">
        <v>422</v>
      </c>
      <c r="P73" s="225" t="s">
        <v>423</v>
      </c>
      <c r="Q73" s="225" t="s">
        <v>424</v>
      </c>
      <c r="R73" s="225" t="s">
        <v>425</v>
      </c>
    </row>
    <row r="74" ht="15.75" customHeight="1">
      <c r="E74" s="23" t="s">
        <v>217</v>
      </c>
      <c r="F74" s="23" t="s">
        <v>218</v>
      </c>
      <c r="G74" s="23" t="s">
        <v>219</v>
      </c>
      <c r="H74" s="23" t="s">
        <v>220</v>
      </c>
      <c r="I74" s="130" t="s">
        <v>221</v>
      </c>
      <c r="J74" s="21"/>
      <c r="M74" s="113" t="s">
        <v>426</v>
      </c>
      <c r="N74" s="106" t="s">
        <v>427</v>
      </c>
      <c r="O74" s="106" t="s">
        <v>427</v>
      </c>
      <c r="P74" s="226" t="s">
        <v>428</v>
      </c>
      <c r="Q74" s="226" t="s">
        <v>428</v>
      </c>
      <c r="R74" s="226" t="s">
        <v>428</v>
      </c>
    </row>
    <row r="75" ht="15.75" customHeight="1">
      <c r="E75" s="94" t="s">
        <v>224</v>
      </c>
      <c r="F75" s="95">
        <f>(J77*F88)</f>
        <v>0</v>
      </c>
      <c r="G75" s="96">
        <f>(F75*4)</f>
        <v>0</v>
      </c>
      <c r="H75" s="95" t="str">
        <f>((100/G87)*G75)</f>
        <v>#DIV/0!</v>
      </c>
      <c r="I75" s="113" t="s">
        <v>225</v>
      </c>
      <c r="J75" s="137">
        <f>((J76/100)*F75)</f>
        <v>0</v>
      </c>
      <c r="M75" s="113" t="s">
        <v>226</v>
      </c>
      <c r="N75" s="106">
        <v>1.52</v>
      </c>
      <c r="O75" s="106">
        <v>1.67</v>
      </c>
      <c r="P75" s="106">
        <v>1.46</v>
      </c>
      <c r="Q75" s="106">
        <v>1.32</v>
      </c>
      <c r="R75" s="106">
        <v>1.18</v>
      </c>
    </row>
    <row r="76" ht="15.75" customHeight="1">
      <c r="E76" s="99"/>
      <c r="F76" s="99"/>
      <c r="G76" s="99"/>
      <c r="H76" s="99"/>
      <c r="I76" s="113" t="s">
        <v>228</v>
      </c>
      <c r="J76" s="227"/>
      <c r="M76" s="113" t="s">
        <v>229</v>
      </c>
      <c r="N76" s="106" t="s">
        <v>230</v>
      </c>
      <c r="O76" s="106" t="s">
        <v>230</v>
      </c>
      <c r="P76" s="106" t="s">
        <v>230</v>
      </c>
      <c r="Q76" s="106" t="s">
        <v>230</v>
      </c>
      <c r="R76" s="106" t="s">
        <v>230</v>
      </c>
    </row>
    <row r="77" ht="15.75" customHeight="1">
      <c r="E77" s="100"/>
      <c r="F77" s="100"/>
      <c r="G77" s="100"/>
      <c r="H77" s="100"/>
      <c r="I77" s="113" t="s">
        <v>231</v>
      </c>
      <c r="J77" s="227"/>
      <c r="M77" s="113" t="s">
        <v>302</v>
      </c>
      <c r="N77" s="106" t="s">
        <v>130</v>
      </c>
      <c r="O77" s="106" t="s">
        <v>429</v>
      </c>
      <c r="P77" s="106" t="s">
        <v>233</v>
      </c>
      <c r="Q77" s="106" t="s">
        <v>233</v>
      </c>
      <c r="R77" s="106" t="s">
        <v>233</v>
      </c>
    </row>
    <row r="78" ht="15.75" customHeight="1">
      <c r="E78" s="94" t="s">
        <v>234</v>
      </c>
      <c r="F78" s="95">
        <f>(G78/9)</f>
        <v>0</v>
      </c>
      <c r="G78" s="96">
        <f>((G87/100)*H78)</f>
        <v>0</v>
      </c>
      <c r="H78" s="228"/>
      <c r="I78" s="113" t="s">
        <v>235</v>
      </c>
      <c r="J78" s="137">
        <f>(((G87/100)*J79)/9)</f>
        <v>0</v>
      </c>
      <c r="M78" s="113" t="s">
        <v>303</v>
      </c>
      <c r="N78" s="106" t="s">
        <v>237</v>
      </c>
      <c r="O78" s="106" t="s">
        <v>237</v>
      </c>
      <c r="P78" s="106" t="s">
        <v>237</v>
      </c>
      <c r="Q78" s="106" t="s">
        <v>237</v>
      </c>
      <c r="R78" s="106" t="s">
        <v>237</v>
      </c>
    </row>
    <row r="79" ht="15.75" customHeight="1">
      <c r="E79" s="99"/>
      <c r="F79" s="99"/>
      <c r="G79" s="99"/>
      <c r="H79" s="99"/>
      <c r="I79" s="113" t="s">
        <v>238</v>
      </c>
      <c r="J79" s="227"/>
      <c r="M79" s="113" t="s">
        <v>239</v>
      </c>
      <c r="N79" s="106" t="s">
        <v>430</v>
      </c>
      <c r="O79" s="106" t="s">
        <v>136</v>
      </c>
      <c r="P79" s="106" t="s">
        <v>431</v>
      </c>
      <c r="Q79" s="106" t="s">
        <v>432</v>
      </c>
      <c r="R79" s="106" t="s">
        <v>432</v>
      </c>
    </row>
    <row r="80" ht="15.75" customHeight="1">
      <c r="E80" s="99"/>
      <c r="F80" s="99"/>
      <c r="G80" s="99"/>
      <c r="H80" s="99"/>
      <c r="I80" s="113" t="s">
        <v>241</v>
      </c>
      <c r="J80" s="137">
        <f>(((G87/100)*J81)/9)</f>
        <v>0</v>
      </c>
      <c r="M80" s="113" t="s">
        <v>242</v>
      </c>
      <c r="N80" s="106" t="s">
        <v>427</v>
      </c>
      <c r="O80" s="106" t="s">
        <v>427</v>
      </c>
      <c r="P80" s="106" t="s">
        <v>427</v>
      </c>
      <c r="Q80" s="106" t="s">
        <v>237</v>
      </c>
      <c r="R80" s="106" t="s">
        <v>237</v>
      </c>
    </row>
    <row r="81" ht="15.75" customHeight="1">
      <c r="E81" s="99"/>
      <c r="F81" s="99"/>
      <c r="G81" s="99"/>
      <c r="H81" s="99"/>
      <c r="I81" s="113" t="s">
        <v>243</v>
      </c>
      <c r="J81" s="141">
        <f>(H78-J79)-J83</f>
        <v>0</v>
      </c>
      <c r="M81" s="113" t="s">
        <v>247</v>
      </c>
      <c r="N81" s="106" t="s">
        <v>433</v>
      </c>
      <c r="O81" s="106" t="s">
        <v>434</v>
      </c>
      <c r="P81" s="106" t="s">
        <v>248</v>
      </c>
      <c r="Q81" s="106" t="s">
        <v>248</v>
      </c>
      <c r="R81" s="106" t="s">
        <v>248</v>
      </c>
    </row>
    <row r="82" ht="15.75" customHeight="1">
      <c r="E82" s="99"/>
      <c r="F82" s="99"/>
      <c r="G82" s="99"/>
      <c r="H82" s="99"/>
      <c r="I82" s="113" t="s">
        <v>246</v>
      </c>
      <c r="J82" s="137">
        <f>(((G87/100)*J83)/9)</f>
        <v>0</v>
      </c>
      <c r="M82" s="113" t="s">
        <v>244</v>
      </c>
      <c r="N82" s="106" t="s">
        <v>427</v>
      </c>
      <c r="O82" s="106" t="s">
        <v>427</v>
      </c>
      <c r="P82" s="106" t="s">
        <v>245</v>
      </c>
      <c r="Q82" s="106" t="s">
        <v>245</v>
      </c>
      <c r="R82" s="106" t="s">
        <v>245</v>
      </c>
    </row>
    <row r="83" ht="15.75" customHeight="1">
      <c r="E83" s="99"/>
      <c r="F83" s="99"/>
      <c r="G83" s="99"/>
      <c r="H83" s="99"/>
      <c r="I83" s="113" t="s">
        <v>249</v>
      </c>
      <c r="J83" s="227"/>
      <c r="M83" s="113" t="s">
        <v>250</v>
      </c>
      <c r="N83" s="106" t="s">
        <v>427</v>
      </c>
      <c r="O83" s="106" t="s">
        <v>427</v>
      </c>
      <c r="P83" s="106" t="s">
        <v>427</v>
      </c>
      <c r="Q83" s="106" t="s">
        <v>251</v>
      </c>
      <c r="R83" s="106" t="s">
        <v>251</v>
      </c>
    </row>
    <row r="84" ht="15.75" customHeight="1">
      <c r="E84" s="100"/>
      <c r="F84" s="100"/>
      <c r="G84" s="100"/>
      <c r="H84" s="100"/>
      <c r="I84" s="113" t="s">
        <v>252</v>
      </c>
      <c r="J84" s="227"/>
      <c r="M84" s="92" t="s">
        <v>259</v>
      </c>
      <c r="N84" s="106" t="s">
        <v>427</v>
      </c>
      <c r="O84" s="106" t="s">
        <v>427</v>
      </c>
      <c r="P84" s="106" t="s">
        <v>306</v>
      </c>
      <c r="Q84" s="106" t="s">
        <v>306</v>
      </c>
      <c r="R84" s="106" t="s">
        <v>306</v>
      </c>
    </row>
    <row r="85" ht="15.75" customHeight="1">
      <c r="E85" s="94" t="s">
        <v>254</v>
      </c>
      <c r="F85" s="95" t="str">
        <f>(G85/4)</f>
        <v>#DIV/0!</v>
      </c>
      <c r="G85" s="96" t="str">
        <f>((G87/100)*H85)</f>
        <v>#DIV/0!</v>
      </c>
      <c r="H85" s="95" t="str">
        <f>(100-H88)</f>
        <v>#DIV/0!</v>
      </c>
      <c r="I85" s="113" t="s">
        <v>255</v>
      </c>
      <c r="J85" s="137">
        <f>(((G87/100)*J86)/4)</f>
        <v>0</v>
      </c>
      <c r="M85" s="92" t="s">
        <v>262</v>
      </c>
      <c r="N85" s="106" t="s">
        <v>435</v>
      </c>
      <c r="O85" s="106" t="s">
        <v>436</v>
      </c>
      <c r="P85" s="106" t="s">
        <v>308</v>
      </c>
      <c r="Q85" s="106" t="s">
        <v>437</v>
      </c>
      <c r="R85" s="106" t="s">
        <v>263</v>
      </c>
    </row>
    <row r="86" ht="15.75" customHeight="1">
      <c r="E86" s="100"/>
      <c r="F86" s="100"/>
      <c r="G86" s="100"/>
      <c r="H86" s="100"/>
      <c r="I86" s="113" t="s">
        <v>258</v>
      </c>
      <c r="J86" s="227"/>
    </row>
    <row r="87" ht="15.75" customHeight="1">
      <c r="E87" s="104" t="s">
        <v>261</v>
      </c>
      <c r="F87" s="21"/>
      <c r="G87" s="229"/>
      <c r="H87" s="230" t="str">
        <f>SUM(H75:H86)</f>
        <v>#DIV/0!</v>
      </c>
      <c r="I87" s="123" t="s">
        <v>259</v>
      </c>
      <c r="J87" s="231">
        <f>0.014*G87</f>
        <v>0</v>
      </c>
    </row>
    <row r="88" ht="15.75" customHeight="1">
      <c r="E88" s="108" t="s">
        <v>264</v>
      </c>
      <c r="F88" s="232" t="str">
        <f>C45</f>
        <v/>
      </c>
      <c r="G88" s="233" t="str">
        <f>SUM(G75:G86)</f>
        <v>#DIV/0!</v>
      </c>
      <c r="H88" s="234" t="str">
        <f>SUM(H75:H84)</f>
        <v>#DIV/0!</v>
      </c>
      <c r="I88" s="235"/>
      <c r="J88" s="236"/>
    </row>
    <row r="89" ht="15.75" customHeight="1"/>
    <row r="90" ht="15.75" customHeight="1">
      <c r="B90" s="58"/>
      <c r="C90" s="58"/>
      <c r="D90" s="58"/>
      <c r="E90" s="59" t="s">
        <v>310</v>
      </c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</row>
    <row r="91" ht="15.75" customHeight="1"/>
    <row r="92" ht="60.0" customHeight="1">
      <c r="B92" s="62" t="s">
        <v>95</v>
      </c>
      <c r="C92" s="20"/>
      <c r="D92" s="20"/>
      <c r="E92" s="21"/>
      <c r="F92" s="63" t="s">
        <v>96</v>
      </c>
      <c r="G92" s="63" t="s">
        <v>97</v>
      </c>
      <c r="H92" s="63" t="s">
        <v>98</v>
      </c>
      <c r="I92" s="63" t="s">
        <v>99</v>
      </c>
      <c r="J92" s="63" t="s">
        <v>100</v>
      </c>
      <c r="K92" s="63" t="s">
        <v>101</v>
      </c>
      <c r="L92" s="237"/>
      <c r="M92" s="63" t="s">
        <v>102</v>
      </c>
      <c r="N92" s="63" t="s">
        <v>103</v>
      </c>
      <c r="O92" s="63" t="s">
        <v>104</v>
      </c>
      <c r="P92" s="63" t="s">
        <v>105</v>
      </c>
      <c r="Q92" s="157" t="s">
        <v>106</v>
      </c>
      <c r="R92" s="157" t="s">
        <v>107</v>
      </c>
      <c r="S92" s="157" t="s">
        <v>108</v>
      </c>
      <c r="T92" s="157" t="s">
        <v>109</v>
      </c>
      <c r="U92" s="157" t="s">
        <v>110</v>
      </c>
      <c r="V92" s="157" t="s">
        <v>111</v>
      </c>
      <c r="W92" s="157" t="s">
        <v>112</v>
      </c>
      <c r="X92" s="157" t="s">
        <v>113</v>
      </c>
      <c r="Y92" s="157" t="s">
        <v>114</v>
      </c>
      <c r="Z92" s="157" t="s">
        <v>115</v>
      </c>
      <c r="AA92" s="157" t="s">
        <v>116</v>
      </c>
      <c r="AB92" s="157" t="s">
        <v>117</v>
      </c>
      <c r="AC92" s="157" t="s">
        <v>118</v>
      </c>
      <c r="AD92" s="157" t="s">
        <v>119</v>
      </c>
      <c r="AE92" s="157" t="s">
        <v>120</v>
      </c>
      <c r="AF92" s="157" t="s">
        <v>121</v>
      </c>
      <c r="AG92" s="157" t="s">
        <v>122</v>
      </c>
      <c r="AH92" s="157" t="s">
        <v>438</v>
      </c>
    </row>
    <row r="93" ht="15.75" customHeight="1">
      <c r="B93" s="65" t="s">
        <v>126</v>
      </c>
      <c r="C93" s="20"/>
      <c r="D93" s="20"/>
      <c r="E93" s="21"/>
      <c r="F93" s="66"/>
      <c r="G93" s="67">
        <f t="shared" ref="G93:G133" si="1">(H93*4)+(I93*9)+(O93*4)</f>
        <v>139.1</v>
      </c>
      <c r="H93" s="68">
        <v>6.7</v>
      </c>
      <c r="I93" s="68">
        <v>6.7</v>
      </c>
      <c r="J93" s="69">
        <v>4.4</v>
      </c>
      <c r="K93" s="69">
        <v>1.95</v>
      </c>
      <c r="L93" s="69"/>
      <c r="M93" s="69">
        <v>0.49</v>
      </c>
      <c r="N93" s="67">
        <v>26.0</v>
      </c>
      <c r="O93" s="68">
        <v>13.0</v>
      </c>
      <c r="P93" s="68">
        <v>0.0</v>
      </c>
      <c r="Q93" s="67">
        <v>236.0</v>
      </c>
      <c r="R93" s="67">
        <v>173.0</v>
      </c>
      <c r="S93" s="68">
        <v>0.2</v>
      </c>
      <c r="T93" s="67">
        <v>96.0</v>
      </c>
      <c r="U93" s="67">
        <v>330.0</v>
      </c>
      <c r="V93" s="67">
        <v>25.0</v>
      </c>
      <c r="W93" s="69">
        <v>0.89</v>
      </c>
      <c r="X93" s="69">
        <v>0.03</v>
      </c>
      <c r="Y93" s="69">
        <v>0.01</v>
      </c>
      <c r="Z93" s="67">
        <v>73.0</v>
      </c>
      <c r="AA93" s="69">
        <v>0.08</v>
      </c>
      <c r="AB93" s="69">
        <v>0.34</v>
      </c>
      <c r="AC93" s="68">
        <v>0.3</v>
      </c>
      <c r="AD93" s="69">
        <v>0.67</v>
      </c>
      <c r="AE93" s="69">
        <v>0.08</v>
      </c>
      <c r="AF93" s="67">
        <v>10.0</v>
      </c>
      <c r="AG93" s="69">
        <v>0.65</v>
      </c>
      <c r="AH93" s="67">
        <v>3.0</v>
      </c>
    </row>
    <row r="94" ht="15.75" customHeight="1">
      <c r="B94" s="65" t="s">
        <v>127</v>
      </c>
      <c r="C94" s="20"/>
      <c r="D94" s="20"/>
      <c r="E94" s="21"/>
      <c r="F94" s="66"/>
      <c r="G94" s="67">
        <f t="shared" si="1"/>
        <v>94.5</v>
      </c>
      <c r="H94" s="68">
        <v>5.4</v>
      </c>
      <c r="I94" s="68">
        <v>2.1</v>
      </c>
      <c r="J94" s="69">
        <v>0.87</v>
      </c>
      <c r="K94" s="69">
        <v>0.54</v>
      </c>
      <c r="L94" s="69"/>
      <c r="M94" s="69">
        <v>0.35</v>
      </c>
      <c r="N94" s="67">
        <v>5.0</v>
      </c>
      <c r="O94" s="68">
        <v>13.5</v>
      </c>
      <c r="P94" s="68">
        <v>0.8</v>
      </c>
      <c r="Q94" s="67">
        <v>153.0</v>
      </c>
      <c r="R94" s="67">
        <v>143.0</v>
      </c>
      <c r="S94" s="68">
        <v>0.4</v>
      </c>
      <c r="T94" s="67">
        <v>72.0</v>
      </c>
      <c r="U94" s="67">
        <v>268.0</v>
      </c>
      <c r="V94" s="67">
        <v>25.0</v>
      </c>
      <c r="W94" s="69">
        <v>1.24</v>
      </c>
      <c r="X94" s="69">
        <v>0.06</v>
      </c>
      <c r="Y94" s="69">
        <v>0.11</v>
      </c>
      <c r="Z94" s="67">
        <v>76.0</v>
      </c>
      <c r="AA94" s="69">
        <v>0.12</v>
      </c>
      <c r="AB94" s="69">
        <v>0.25</v>
      </c>
      <c r="AC94" s="68">
        <v>0.2</v>
      </c>
      <c r="AD94" s="69">
        <v>0.41</v>
      </c>
      <c r="AE94" s="69">
        <v>0.06</v>
      </c>
      <c r="AF94" s="67">
        <v>8.0</v>
      </c>
      <c r="AG94" s="69">
        <v>0.5</v>
      </c>
      <c r="AH94" s="67">
        <v>4.0</v>
      </c>
    </row>
    <row r="95" ht="15.75" customHeight="1">
      <c r="B95" s="65" t="s">
        <v>128</v>
      </c>
      <c r="C95" s="20"/>
      <c r="D95" s="20"/>
      <c r="E95" s="21"/>
      <c r="F95" s="66"/>
      <c r="G95" s="67">
        <f t="shared" si="1"/>
        <v>82.3</v>
      </c>
      <c r="H95" s="68">
        <v>9.0</v>
      </c>
      <c r="I95" s="68">
        <v>0.7</v>
      </c>
      <c r="J95" s="69">
        <v>0.45</v>
      </c>
      <c r="K95" s="69">
        <v>0.18</v>
      </c>
      <c r="L95" s="69"/>
      <c r="M95" s="69">
        <v>0.03</v>
      </c>
      <c r="N95" s="67">
        <v>6.0</v>
      </c>
      <c r="O95" s="68">
        <v>10.0</v>
      </c>
      <c r="P95" s="68">
        <v>0.0</v>
      </c>
      <c r="Q95" s="67">
        <v>256.0</v>
      </c>
      <c r="R95" s="67">
        <v>214.0</v>
      </c>
      <c r="S95" s="68">
        <v>0.1</v>
      </c>
      <c r="T95" s="67">
        <v>101.0</v>
      </c>
      <c r="U95" s="67">
        <v>340.0</v>
      </c>
      <c r="V95" s="67">
        <v>24.0</v>
      </c>
      <c r="W95" s="69">
        <v>1.05</v>
      </c>
      <c r="X95" s="69">
        <v>0.02</v>
      </c>
      <c r="Y95" s="69">
        <v>0.01</v>
      </c>
      <c r="Z95" s="67">
        <v>89.0</v>
      </c>
      <c r="AA95" s="69">
        <v>0.08</v>
      </c>
      <c r="AB95" s="69">
        <v>0.33</v>
      </c>
      <c r="AC95" s="68">
        <v>0.2</v>
      </c>
      <c r="AD95" s="69">
        <v>0.79</v>
      </c>
      <c r="AE95" s="69">
        <v>0.08</v>
      </c>
      <c r="AF95" s="67">
        <v>14.0</v>
      </c>
      <c r="AG95" s="69">
        <v>0.84</v>
      </c>
      <c r="AH95" s="67">
        <v>2.0</v>
      </c>
    </row>
    <row r="96" ht="15.75" customHeight="1">
      <c r="B96" s="65" t="s">
        <v>129</v>
      </c>
      <c r="C96" s="20"/>
      <c r="D96" s="20"/>
      <c r="E96" s="21"/>
      <c r="F96" s="66"/>
      <c r="G96" s="67">
        <f t="shared" si="1"/>
        <v>170.7</v>
      </c>
      <c r="H96" s="68">
        <v>6.4</v>
      </c>
      <c r="I96" s="68">
        <v>5.9</v>
      </c>
      <c r="J96" s="69">
        <v>3.8</v>
      </c>
      <c r="K96" s="69">
        <v>1.91</v>
      </c>
      <c r="L96" s="69"/>
      <c r="M96" s="69">
        <v>0.63</v>
      </c>
      <c r="N96" s="67">
        <v>22.0</v>
      </c>
      <c r="O96" s="68">
        <v>23.0</v>
      </c>
      <c r="P96" s="68">
        <v>0.4</v>
      </c>
      <c r="Q96" s="67">
        <v>258.0</v>
      </c>
      <c r="R96" s="67">
        <v>169.0</v>
      </c>
      <c r="S96" s="68">
        <v>0.3</v>
      </c>
      <c r="T96" s="67">
        <v>115.0</v>
      </c>
      <c r="U96" s="67">
        <v>334.0</v>
      </c>
      <c r="V96" s="67">
        <v>27.0</v>
      </c>
      <c r="W96" s="69">
        <v>1.03</v>
      </c>
      <c r="X96" s="69">
        <v>0.05</v>
      </c>
      <c r="Y96" s="69">
        <v>0.04</v>
      </c>
      <c r="Z96" s="67">
        <v>45.0</v>
      </c>
      <c r="AA96" s="69">
        <v>0.08</v>
      </c>
      <c r="AB96" s="69">
        <v>0.37</v>
      </c>
      <c r="AC96" s="68">
        <v>0.2</v>
      </c>
      <c r="AD96" s="69">
        <v>0.73</v>
      </c>
      <c r="AE96" s="69">
        <v>0.08</v>
      </c>
      <c r="AF96" s="67">
        <v>13.0</v>
      </c>
      <c r="AG96" s="69">
        <v>0.76</v>
      </c>
      <c r="AH96" s="67">
        <v>3.0</v>
      </c>
    </row>
    <row r="97" ht="15.75" customHeight="1">
      <c r="B97" s="65" t="s">
        <v>132</v>
      </c>
      <c r="C97" s="20"/>
      <c r="D97" s="20"/>
      <c r="E97" s="21"/>
      <c r="F97" s="66"/>
      <c r="G97" s="67">
        <f t="shared" si="1"/>
        <v>50.7</v>
      </c>
      <c r="H97" s="68">
        <v>2.9</v>
      </c>
      <c r="I97" s="68">
        <v>3.1</v>
      </c>
      <c r="J97" s="69">
        <v>2.01</v>
      </c>
      <c r="K97" s="69">
        <v>0.96</v>
      </c>
      <c r="L97" s="69"/>
      <c r="M97" s="69">
        <v>0.18</v>
      </c>
      <c r="N97" s="67">
        <v>12.0</v>
      </c>
      <c r="O97" s="68">
        <v>2.8</v>
      </c>
      <c r="P97" s="68">
        <v>0.0</v>
      </c>
      <c r="Q97" s="67">
        <v>93.0</v>
      </c>
      <c r="R97" s="67">
        <v>62.0</v>
      </c>
      <c r="S97" s="68">
        <v>0.1</v>
      </c>
      <c r="T97" s="67">
        <v>57.0</v>
      </c>
      <c r="U97" s="67">
        <v>57.0</v>
      </c>
      <c r="V97" s="67">
        <v>6.0</v>
      </c>
      <c r="W97" s="69">
        <v>0.38</v>
      </c>
      <c r="X97" s="69">
        <v>0.01</v>
      </c>
      <c r="Y97" s="69">
        <v>0.0</v>
      </c>
      <c r="Z97" s="67">
        <v>36.0</v>
      </c>
      <c r="AA97" s="69">
        <v>0.01</v>
      </c>
      <c r="AB97" s="69">
        <v>0.08</v>
      </c>
      <c r="AC97" s="68">
        <v>0.1</v>
      </c>
      <c r="AD97" s="69">
        <v>0.12</v>
      </c>
      <c r="AE97" s="69">
        <v>0.02</v>
      </c>
      <c r="AF97" s="67">
        <v>2.0</v>
      </c>
      <c r="AG97" s="69">
        <v>0.2</v>
      </c>
      <c r="AH97" s="67">
        <v>0.0</v>
      </c>
    </row>
    <row r="98" ht="15.75" customHeight="1">
      <c r="B98" s="70" t="s">
        <v>439</v>
      </c>
      <c r="C98" s="20"/>
      <c r="D98" s="20"/>
      <c r="E98" s="21"/>
      <c r="F98" s="66"/>
      <c r="G98" s="67">
        <f t="shared" si="1"/>
        <v>71.2</v>
      </c>
      <c r="H98" s="68">
        <v>1.0</v>
      </c>
      <c r="I98" s="68">
        <v>4.4</v>
      </c>
      <c r="J98" s="69">
        <v>2.01</v>
      </c>
      <c r="K98" s="69">
        <v>1.66</v>
      </c>
      <c r="L98" s="238"/>
      <c r="M98" s="69">
        <v>0.5</v>
      </c>
      <c r="N98" s="67">
        <v>14.0</v>
      </c>
      <c r="O98" s="68">
        <v>6.9</v>
      </c>
      <c r="P98" s="68">
        <v>0.0</v>
      </c>
      <c r="Q98" s="67">
        <v>32.0</v>
      </c>
      <c r="R98" s="67">
        <v>14.0</v>
      </c>
      <c r="S98" s="68">
        <v>0.0</v>
      </c>
      <c r="T98" s="67">
        <v>17.0</v>
      </c>
      <c r="U98" s="67">
        <v>51.0</v>
      </c>
      <c r="V98" s="67">
        <v>3.0</v>
      </c>
      <c r="W98" s="69">
        <v>0.17</v>
      </c>
      <c r="X98" s="69">
        <v>0.05</v>
      </c>
      <c r="Y98" s="69">
        <v>0.03</v>
      </c>
      <c r="Z98" s="67">
        <v>64.0</v>
      </c>
      <c r="AA98" s="69">
        <v>0.01</v>
      </c>
      <c r="AB98" s="69">
        <v>0.04</v>
      </c>
      <c r="AC98" s="68">
        <v>0.2</v>
      </c>
      <c r="AD98" s="69">
        <v>0.22</v>
      </c>
      <c r="AE98" s="69">
        <v>0.01</v>
      </c>
      <c r="AF98" s="67">
        <v>5.0</v>
      </c>
      <c r="AG98" s="69">
        <v>0.05</v>
      </c>
      <c r="AH98" s="67">
        <v>5.0</v>
      </c>
    </row>
    <row r="99" ht="15.75" customHeight="1">
      <c r="B99" s="71" t="s">
        <v>138</v>
      </c>
      <c r="C99" s="20"/>
      <c r="D99" s="20"/>
      <c r="E99" s="21"/>
      <c r="F99" s="66"/>
      <c r="G99" s="67">
        <f t="shared" si="1"/>
        <v>77.1</v>
      </c>
      <c r="H99" s="68">
        <v>5.8</v>
      </c>
      <c r="I99" s="68">
        <v>5.5</v>
      </c>
      <c r="J99" s="69">
        <v>2.91</v>
      </c>
      <c r="K99" s="69">
        <v>1.94</v>
      </c>
      <c r="L99" s="69"/>
      <c r="M99" s="69">
        <v>0.41</v>
      </c>
      <c r="N99" s="67">
        <v>40.0</v>
      </c>
      <c r="O99" s="68">
        <v>1.1</v>
      </c>
      <c r="P99" s="68">
        <v>0.0</v>
      </c>
      <c r="Q99" s="67">
        <v>95.0</v>
      </c>
      <c r="R99" s="67">
        <v>85.0</v>
      </c>
      <c r="S99" s="68">
        <v>1.1</v>
      </c>
      <c r="T99" s="67">
        <v>211.0</v>
      </c>
      <c r="U99" s="67">
        <v>52.0</v>
      </c>
      <c r="V99" s="67">
        <v>6.0</v>
      </c>
      <c r="W99" s="69">
        <v>0.65</v>
      </c>
      <c r="X99" s="69">
        <v>0.03</v>
      </c>
      <c r="Y99" s="69">
        <v>0.01</v>
      </c>
      <c r="Z99" s="67">
        <v>45.0</v>
      </c>
      <c r="AA99" s="69">
        <v>0.04</v>
      </c>
      <c r="AB99" s="69">
        <v>0.1</v>
      </c>
      <c r="AC99" s="68">
        <v>0.4</v>
      </c>
      <c r="AD99" s="69">
        <v>0.16</v>
      </c>
      <c r="AE99" s="69">
        <v>0.05</v>
      </c>
      <c r="AF99" s="67">
        <v>4.0</v>
      </c>
      <c r="AG99" s="69">
        <v>0.72</v>
      </c>
      <c r="AH99" s="67">
        <v>0.0</v>
      </c>
    </row>
    <row r="100" ht="15.75" customHeight="1">
      <c r="B100" s="71" t="s">
        <v>140</v>
      </c>
      <c r="C100" s="20"/>
      <c r="D100" s="20"/>
      <c r="E100" s="21"/>
      <c r="F100" s="66"/>
      <c r="G100" s="67">
        <f t="shared" si="1"/>
        <v>52.9</v>
      </c>
      <c r="H100" s="68">
        <v>4.5</v>
      </c>
      <c r="I100" s="68">
        <v>3.7</v>
      </c>
      <c r="J100" s="69">
        <v>1.15</v>
      </c>
      <c r="K100" s="69">
        <v>1.42</v>
      </c>
      <c r="L100" s="69"/>
      <c r="M100" s="69">
        <v>0.49</v>
      </c>
      <c r="N100" s="67">
        <v>180.0</v>
      </c>
      <c r="O100" s="68">
        <v>0.4</v>
      </c>
      <c r="P100" s="68">
        <v>0.0</v>
      </c>
      <c r="Q100" s="67">
        <v>19.0</v>
      </c>
      <c r="R100" s="67">
        <v>64.0</v>
      </c>
      <c r="S100" s="68">
        <v>0.6</v>
      </c>
      <c r="T100" s="67">
        <v>46.0</v>
      </c>
      <c r="U100" s="67">
        <v>46.0</v>
      </c>
      <c r="V100" s="67">
        <v>4.0</v>
      </c>
      <c r="W100" s="69">
        <v>0.4</v>
      </c>
      <c r="X100" s="69">
        <v>0.01</v>
      </c>
      <c r="Y100" s="69">
        <v>0.01</v>
      </c>
      <c r="Z100" s="67">
        <v>57.0</v>
      </c>
      <c r="AA100" s="69">
        <v>0.03</v>
      </c>
      <c r="AB100" s="69">
        <v>0.2</v>
      </c>
      <c r="AC100" s="68">
        <v>0.0</v>
      </c>
      <c r="AD100" s="69">
        <v>0.51</v>
      </c>
      <c r="AE100" s="69">
        <v>0.05</v>
      </c>
      <c r="AF100" s="67">
        <v>18.0</v>
      </c>
      <c r="AG100" s="69">
        <v>0.43</v>
      </c>
      <c r="AH100" s="67">
        <v>0.0</v>
      </c>
    </row>
    <row r="101" ht="15.75" customHeight="1">
      <c r="B101" s="65" t="s">
        <v>143</v>
      </c>
      <c r="C101" s="20"/>
      <c r="D101" s="20"/>
      <c r="E101" s="21"/>
      <c r="F101" s="66"/>
      <c r="G101" s="67">
        <f t="shared" si="1"/>
        <v>108.3</v>
      </c>
      <c r="H101" s="68">
        <v>19.1</v>
      </c>
      <c r="I101" s="68">
        <v>3.1</v>
      </c>
      <c r="J101" s="69">
        <v>0.92</v>
      </c>
      <c r="K101" s="69">
        <v>1.16</v>
      </c>
      <c r="L101" s="69"/>
      <c r="M101" s="69">
        <v>0.53</v>
      </c>
      <c r="N101" s="67">
        <v>50.0</v>
      </c>
      <c r="O101" s="68">
        <v>1.0</v>
      </c>
      <c r="P101" s="68">
        <v>0.3</v>
      </c>
      <c r="Q101" s="67">
        <v>22.0</v>
      </c>
      <c r="R101" s="67">
        <v>191.0</v>
      </c>
      <c r="S101" s="68">
        <v>1.5</v>
      </c>
      <c r="T101" s="67">
        <v>72.0</v>
      </c>
      <c r="U101" s="67">
        <v>325.0</v>
      </c>
      <c r="V101" s="67">
        <v>28.0</v>
      </c>
      <c r="W101" s="69">
        <v>1.81</v>
      </c>
      <c r="X101" s="69">
        <v>0.11</v>
      </c>
      <c r="Y101" s="69">
        <v>0.12</v>
      </c>
      <c r="Z101" s="67">
        <v>7.0</v>
      </c>
      <c r="AA101" s="69">
        <v>0.19</v>
      </c>
      <c r="AB101" s="69">
        <v>0.18</v>
      </c>
      <c r="AC101" s="68">
        <v>5.6</v>
      </c>
      <c r="AD101" s="69">
        <v>0.78</v>
      </c>
      <c r="AE101" s="69">
        <v>0.35</v>
      </c>
      <c r="AF101" s="67">
        <v>15.0</v>
      </c>
      <c r="AG101" s="69">
        <v>2.39</v>
      </c>
      <c r="AH101" s="67">
        <v>1.0</v>
      </c>
    </row>
    <row r="102" ht="15.75" customHeight="1">
      <c r="B102" s="65" t="s">
        <v>146</v>
      </c>
      <c r="C102" s="20"/>
      <c r="D102" s="20"/>
      <c r="E102" s="21"/>
      <c r="F102" s="66"/>
      <c r="G102" s="67">
        <f t="shared" si="1"/>
        <v>49.2</v>
      </c>
      <c r="H102" s="68">
        <v>7.8</v>
      </c>
      <c r="I102" s="68">
        <v>2.0</v>
      </c>
      <c r="J102" s="69">
        <v>0.52</v>
      </c>
      <c r="K102" s="69">
        <v>0.84</v>
      </c>
      <c r="L102" s="69"/>
      <c r="M102" s="69">
        <v>0.35</v>
      </c>
      <c r="N102" s="67">
        <v>21.0</v>
      </c>
      <c r="O102" s="68">
        <v>0.0</v>
      </c>
      <c r="P102" s="68">
        <v>0.0</v>
      </c>
      <c r="Q102" s="67">
        <v>7.0</v>
      </c>
      <c r="R102" s="67">
        <v>74.0</v>
      </c>
      <c r="S102" s="68">
        <v>0.4</v>
      </c>
      <c r="T102" s="67">
        <v>19.0</v>
      </c>
      <c r="U102" s="67">
        <v>108.0</v>
      </c>
      <c r="V102" s="67">
        <v>8.0</v>
      </c>
      <c r="W102" s="69">
        <v>0.55</v>
      </c>
      <c r="X102" s="69">
        <v>0.04</v>
      </c>
      <c r="Y102" s="69">
        <v>0.09</v>
      </c>
      <c r="Z102" s="67">
        <v>5.0</v>
      </c>
      <c r="AA102" s="69">
        <v>0.1</v>
      </c>
      <c r="AB102" s="69">
        <v>0.07</v>
      </c>
      <c r="AC102" s="68">
        <v>1.9</v>
      </c>
      <c r="AD102" s="69">
        <v>0.33</v>
      </c>
      <c r="AE102" s="69">
        <v>0.09</v>
      </c>
      <c r="AF102" s="67">
        <v>2.0</v>
      </c>
      <c r="AG102" s="69">
        <v>1.0</v>
      </c>
      <c r="AH102" s="67">
        <v>0.0</v>
      </c>
    </row>
    <row r="103" ht="15.75" customHeight="1">
      <c r="B103" s="65" t="s">
        <v>149</v>
      </c>
      <c r="C103" s="20"/>
      <c r="D103" s="20"/>
      <c r="E103" s="21"/>
      <c r="F103" s="66"/>
      <c r="G103" s="67">
        <f t="shared" si="1"/>
        <v>138.7</v>
      </c>
      <c r="H103" s="68">
        <v>15.6</v>
      </c>
      <c r="I103" s="68">
        <v>7.9</v>
      </c>
      <c r="J103" s="69">
        <v>2.51</v>
      </c>
      <c r="K103" s="69">
        <v>3.3</v>
      </c>
      <c r="L103" s="69"/>
      <c r="M103" s="69">
        <v>1.25</v>
      </c>
      <c r="N103" s="67">
        <v>137.0</v>
      </c>
      <c r="O103" s="68">
        <v>1.3</v>
      </c>
      <c r="P103" s="68">
        <v>0.0</v>
      </c>
      <c r="Q103" s="67">
        <v>37.0</v>
      </c>
      <c r="R103" s="67">
        <v>186.0</v>
      </c>
      <c r="S103" s="68">
        <v>2.5</v>
      </c>
      <c r="T103" s="67">
        <v>101.0</v>
      </c>
      <c r="U103" s="67">
        <v>234.0</v>
      </c>
      <c r="V103" s="67">
        <v>20.0</v>
      </c>
      <c r="W103" s="69">
        <v>1.87</v>
      </c>
      <c r="X103" s="69">
        <v>0.47</v>
      </c>
      <c r="Y103" s="69">
        <v>0.09</v>
      </c>
      <c r="Z103" s="67">
        <v>1515.0</v>
      </c>
      <c r="AA103" s="69">
        <v>0.07</v>
      </c>
      <c r="AB103" s="69">
        <v>0.53</v>
      </c>
      <c r="AC103" s="68">
        <v>4.4</v>
      </c>
      <c r="AD103" s="69">
        <v>1.67</v>
      </c>
      <c r="AE103" s="69">
        <v>0.27</v>
      </c>
      <c r="AF103" s="67">
        <v>87.0</v>
      </c>
      <c r="AG103" s="69">
        <v>10.58</v>
      </c>
      <c r="AH103" s="67">
        <v>6.0</v>
      </c>
    </row>
    <row r="104" ht="15.75" customHeight="1">
      <c r="B104" s="65" t="s">
        <v>150</v>
      </c>
      <c r="C104" s="20"/>
      <c r="D104" s="20"/>
      <c r="E104" s="21"/>
      <c r="F104" s="66"/>
      <c r="G104" s="67">
        <f t="shared" si="1"/>
        <v>46.8</v>
      </c>
      <c r="H104" s="68">
        <v>6.9</v>
      </c>
      <c r="I104" s="68">
        <v>2.0</v>
      </c>
      <c r="J104" s="69">
        <v>0.78</v>
      </c>
      <c r="K104" s="69">
        <v>0.86</v>
      </c>
      <c r="L104" s="69"/>
      <c r="M104" s="69">
        <v>0.31</v>
      </c>
      <c r="N104" s="67">
        <v>79.0</v>
      </c>
      <c r="O104" s="68">
        <v>0.3</v>
      </c>
      <c r="P104" s="68">
        <v>0.0</v>
      </c>
      <c r="Q104" s="67">
        <v>3.0</v>
      </c>
      <c r="R104" s="67">
        <v>57.0</v>
      </c>
      <c r="S104" s="68">
        <v>3.0</v>
      </c>
      <c r="T104" s="67">
        <v>62.0</v>
      </c>
      <c r="U104" s="67">
        <v>55.0</v>
      </c>
      <c r="V104" s="67">
        <v>6.0</v>
      </c>
      <c r="W104" s="69">
        <v>1.21</v>
      </c>
      <c r="X104" s="69">
        <v>0.25</v>
      </c>
      <c r="Y104" s="69">
        <v>0.04</v>
      </c>
      <c r="Z104" s="67">
        <v>620.0</v>
      </c>
      <c r="AA104" s="69">
        <v>0.02</v>
      </c>
      <c r="AB104" s="69">
        <v>0.29</v>
      </c>
      <c r="AC104" s="68">
        <v>1.1</v>
      </c>
      <c r="AD104" s="69">
        <v>0.55</v>
      </c>
      <c r="AE104" s="69">
        <v>0.09</v>
      </c>
      <c r="AF104" s="67">
        <v>39.0</v>
      </c>
      <c r="AG104" s="69">
        <v>4.29</v>
      </c>
      <c r="AH104" s="67">
        <v>2.0</v>
      </c>
    </row>
    <row r="105" ht="15.75" customHeight="1">
      <c r="B105" s="71" t="s">
        <v>153</v>
      </c>
      <c r="C105" s="20"/>
      <c r="D105" s="20"/>
      <c r="E105" s="21"/>
      <c r="F105" s="66"/>
      <c r="G105" s="67">
        <f t="shared" si="1"/>
        <v>158.1</v>
      </c>
      <c r="H105" s="68">
        <v>9.8</v>
      </c>
      <c r="I105" s="68">
        <v>1.7</v>
      </c>
      <c r="J105" s="69">
        <v>0.25</v>
      </c>
      <c r="K105" s="69">
        <v>0.32</v>
      </c>
      <c r="L105" s="69"/>
      <c r="M105" s="69">
        <v>0.94</v>
      </c>
      <c r="N105" s="67">
        <v>0.0</v>
      </c>
      <c r="O105" s="68">
        <v>25.9</v>
      </c>
      <c r="P105" s="68">
        <v>7.9</v>
      </c>
      <c r="Q105" s="67">
        <v>50.0</v>
      </c>
      <c r="R105" s="67">
        <v>167.0</v>
      </c>
      <c r="S105" s="68">
        <v>3.1</v>
      </c>
      <c r="T105" s="67">
        <v>10.0</v>
      </c>
      <c r="U105" s="67">
        <v>534.0</v>
      </c>
      <c r="V105" s="67">
        <v>62.0</v>
      </c>
      <c r="W105" s="69">
        <v>1.22</v>
      </c>
      <c r="X105" s="69">
        <v>0.28</v>
      </c>
      <c r="Y105" s="69">
        <v>0.6</v>
      </c>
      <c r="Z105" s="67">
        <v>10.0</v>
      </c>
      <c r="AA105" s="69">
        <v>0.2</v>
      </c>
      <c r="AB105" s="69">
        <v>0.09</v>
      </c>
      <c r="AC105" s="68">
        <v>0.9</v>
      </c>
      <c r="AD105" s="69">
        <v>0.42</v>
      </c>
      <c r="AE105" s="69">
        <v>0.16</v>
      </c>
      <c r="AF105" s="67">
        <v>142.0</v>
      </c>
      <c r="AG105" s="69">
        <v>0.0</v>
      </c>
      <c r="AH105" s="67">
        <v>4.0</v>
      </c>
    </row>
    <row r="106" ht="15.75" customHeight="1">
      <c r="B106" s="71" t="s">
        <v>155</v>
      </c>
      <c r="C106" s="20"/>
      <c r="D106" s="20"/>
      <c r="E106" s="21"/>
      <c r="F106" s="66"/>
      <c r="G106" s="67">
        <f t="shared" si="1"/>
        <v>84.96</v>
      </c>
      <c r="H106" s="68">
        <v>5.2</v>
      </c>
      <c r="I106" s="68">
        <v>1.04</v>
      </c>
      <c r="J106" s="69">
        <v>0.14</v>
      </c>
      <c r="K106" s="69">
        <v>0.18</v>
      </c>
      <c r="L106" s="69"/>
      <c r="M106" s="69">
        <v>0.53</v>
      </c>
      <c r="N106" s="67">
        <v>0.0</v>
      </c>
      <c r="O106" s="68">
        <v>13.7</v>
      </c>
      <c r="P106" s="68">
        <v>4.0</v>
      </c>
      <c r="Q106" s="67">
        <v>29.0</v>
      </c>
      <c r="R106" s="67">
        <v>92.0</v>
      </c>
      <c r="S106" s="68">
        <v>1.7</v>
      </c>
      <c r="T106" s="67">
        <v>6.0</v>
      </c>
      <c r="U106" s="67">
        <v>290.0</v>
      </c>
      <c r="V106" s="67">
        <v>34.0</v>
      </c>
      <c r="W106" s="69">
        <v>0.65</v>
      </c>
      <c r="X106" s="69">
        <v>0.15</v>
      </c>
      <c r="Y106" s="69">
        <v>0.32</v>
      </c>
      <c r="Z106" s="67">
        <v>6.0</v>
      </c>
      <c r="AA106" s="69">
        <v>0.1</v>
      </c>
      <c r="AB106" s="69">
        <v>0.05</v>
      </c>
      <c r="AC106" s="68">
        <v>0.4</v>
      </c>
      <c r="AD106" s="69">
        <v>0.2</v>
      </c>
      <c r="AE106" s="69">
        <v>0.09</v>
      </c>
      <c r="AF106" s="67">
        <v>79.0</v>
      </c>
      <c r="AG106" s="69">
        <v>0.0</v>
      </c>
      <c r="AH106" s="67">
        <v>2.0</v>
      </c>
    </row>
    <row r="107" ht="15.75" customHeight="1">
      <c r="B107" s="71" t="s">
        <v>156</v>
      </c>
      <c r="C107" s="20"/>
      <c r="D107" s="20"/>
      <c r="E107" s="21"/>
      <c r="F107" s="66"/>
      <c r="G107" s="67">
        <f t="shared" si="1"/>
        <v>41.5</v>
      </c>
      <c r="H107" s="68">
        <v>2.7</v>
      </c>
      <c r="I107" s="68">
        <v>0.3</v>
      </c>
      <c r="J107" s="69">
        <v>0.03</v>
      </c>
      <c r="K107" s="69">
        <v>0.05</v>
      </c>
      <c r="L107" s="69"/>
      <c r="M107" s="69">
        <v>0.14</v>
      </c>
      <c r="N107" s="67">
        <v>0.0</v>
      </c>
      <c r="O107" s="68">
        <v>7.0</v>
      </c>
      <c r="P107" s="68">
        <v>2.2</v>
      </c>
      <c r="Q107" s="67">
        <v>9.0</v>
      </c>
      <c r="R107" s="67">
        <v>48.0</v>
      </c>
      <c r="S107" s="68">
        <v>0.9</v>
      </c>
      <c r="T107" s="67">
        <v>1.0</v>
      </c>
      <c r="U107" s="67">
        <v>113.0</v>
      </c>
      <c r="V107" s="67">
        <v>13.0</v>
      </c>
      <c r="W107" s="69">
        <v>0.37</v>
      </c>
      <c r="X107" s="69">
        <v>0.08</v>
      </c>
      <c r="Y107" s="69">
        <v>0.18</v>
      </c>
      <c r="Z107" s="67">
        <v>0.0</v>
      </c>
      <c r="AA107" s="69">
        <v>0.05</v>
      </c>
      <c r="AB107" s="69">
        <v>0.02</v>
      </c>
      <c r="AC107" s="68">
        <v>0.2</v>
      </c>
      <c r="AD107" s="69">
        <v>0.11</v>
      </c>
      <c r="AE107" s="69">
        <v>0.04</v>
      </c>
      <c r="AF107" s="67">
        <v>47.0</v>
      </c>
      <c r="AG107" s="69">
        <v>0.0</v>
      </c>
      <c r="AH107" s="67">
        <v>0.0</v>
      </c>
    </row>
    <row r="108" ht="15.75" customHeight="1">
      <c r="B108" s="65" t="s">
        <v>159</v>
      </c>
      <c r="C108" s="20"/>
      <c r="D108" s="20"/>
      <c r="E108" s="21"/>
      <c r="F108" s="66"/>
      <c r="G108" s="67">
        <f t="shared" si="1"/>
        <v>93.8</v>
      </c>
      <c r="H108" s="68">
        <v>2.5</v>
      </c>
      <c r="I108" s="68">
        <v>1.0</v>
      </c>
      <c r="J108" s="69">
        <v>0.24</v>
      </c>
      <c r="K108" s="69">
        <v>0.32</v>
      </c>
      <c r="L108" s="69"/>
      <c r="M108" s="69">
        <v>0.33</v>
      </c>
      <c r="N108" s="67">
        <v>1.0</v>
      </c>
      <c r="O108" s="68">
        <v>18.7</v>
      </c>
      <c r="P108" s="68">
        <v>1.2</v>
      </c>
      <c r="Q108" s="67">
        <v>19.0</v>
      </c>
      <c r="R108" s="67">
        <v>47.0</v>
      </c>
      <c r="S108" s="68">
        <v>0.9</v>
      </c>
      <c r="T108" s="67">
        <v>82.0</v>
      </c>
      <c r="U108" s="67">
        <v>53.0</v>
      </c>
      <c r="V108" s="67">
        <v>13.0</v>
      </c>
      <c r="W108" s="69">
        <v>0.42</v>
      </c>
      <c r="X108" s="69">
        <v>0.05</v>
      </c>
      <c r="Y108" s="69">
        <v>0.24</v>
      </c>
      <c r="Z108" s="67">
        <v>22.0</v>
      </c>
      <c r="AA108" s="69">
        <v>0.11</v>
      </c>
      <c r="AB108" s="69">
        <v>0.09</v>
      </c>
      <c r="AC108" s="68">
        <v>1.1</v>
      </c>
      <c r="AD108" s="69">
        <v>0.15</v>
      </c>
      <c r="AE108" s="69">
        <v>0.08</v>
      </c>
      <c r="AF108" s="67">
        <v>38.0</v>
      </c>
      <c r="AG108" s="69">
        <v>0.0</v>
      </c>
      <c r="AH108" s="67">
        <v>2.0</v>
      </c>
    </row>
    <row r="109" ht="15.75" customHeight="1">
      <c r="B109" s="65" t="s">
        <v>162</v>
      </c>
      <c r="C109" s="20"/>
      <c r="D109" s="20"/>
      <c r="E109" s="21"/>
      <c r="F109" s="66"/>
      <c r="G109" s="67">
        <f t="shared" si="1"/>
        <v>74</v>
      </c>
      <c r="H109" s="68">
        <v>2.0</v>
      </c>
      <c r="I109" s="68">
        <v>0.8</v>
      </c>
      <c r="J109" s="69">
        <v>0.2</v>
      </c>
      <c r="K109" s="69">
        <v>0.26</v>
      </c>
      <c r="L109" s="69"/>
      <c r="M109" s="69">
        <v>0.27</v>
      </c>
      <c r="N109" s="67">
        <v>1.0</v>
      </c>
      <c r="O109" s="68">
        <v>14.7</v>
      </c>
      <c r="P109" s="68">
        <v>0.9</v>
      </c>
      <c r="Q109" s="67">
        <v>18.0</v>
      </c>
      <c r="R109" s="67">
        <v>38.0</v>
      </c>
      <c r="S109" s="68">
        <v>0.8</v>
      </c>
      <c r="T109" s="67">
        <v>75.0</v>
      </c>
      <c r="U109" s="67">
        <v>37.0</v>
      </c>
      <c r="V109" s="67">
        <v>10.0</v>
      </c>
      <c r="W109" s="69">
        <v>0.36</v>
      </c>
      <c r="X109" s="69">
        <v>0.04</v>
      </c>
      <c r="Y109" s="69">
        <v>0.19</v>
      </c>
      <c r="Z109" s="67">
        <v>20.0</v>
      </c>
      <c r="AA109" s="69">
        <v>0.09</v>
      </c>
      <c r="AB109" s="69">
        <v>0.08</v>
      </c>
      <c r="AC109" s="68">
        <v>1.0</v>
      </c>
      <c r="AD109" s="69">
        <v>0.12</v>
      </c>
      <c r="AE109" s="69">
        <v>0.06</v>
      </c>
      <c r="AF109" s="67">
        <v>34.0</v>
      </c>
      <c r="AG109" s="69">
        <v>0.0</v>
      </c>
      <c r="AH109" s="67">
        <v>1.0</v>
      </c>
    </row>
    <row r="110" ht="15.75" customHeight="1">
      <c r="B110" s="65" t="s">
        <v>165</v>
      </c>
      <c r="C110" s="20"/>
      <c r="D110" s="20"/>
      <c r="E110" s="21"/>
      <c r="F110" s="66"/>
      <c r="G110" s="67">
        <f t="shared" si="1"/>
        <v>41</v>
      </c>
      <c r="H110" s="68">
        <v>1.3</v>
      </c>
      <c r="I110" s="68">
        <v>0.6</v>
      </c>
      <c r="J110" s="69">
        <v>0.13</v>
      </c>
      <c r="K110" s="69">
        <v>0.18</v>
      </c>
      <c r="L110" s="69"/>
      <c r="M110" s="69">
        <v>0.21</v>
      </c>
      <c r="N110" s="67">
        <v>1.0</v>
      </c>
      <c r="O110" s="68">
        <v>7.6</v>
      </c>
      <c r="P110" s="68">
        <v>0.5</v>
      </c>
      <c r="Q110" s="67">
        <v>13.0</v>
      </c>
      <c r="R110" s="67">
        <v>23.0</v>
      </c>
      <c r="S110" s="68">
        <v>0.3</v>
      </c>
      <c r="T110" s="67">
        <v>43.0</v>
      </c>
      <c r="U110" s="67">
        <v>24.0</v>
      </c>
      <c r="V110" s="67">
        <v>6.0</v>
      </c>
      <c r="W110" s="69">
        <v>0.14</v>
      </c>
      <c r="X110" s="69">
        <v>0.02</v>
      </c>
      <c r="Y110" s="69">
        <v>0.11</v>
      </c>
      <c r="Z110" s="67">
        <v>1.0</v>
      </c>
      <c r="AA110" s="69">
        <v>0.05</v>
      </c>
      <c r="AB110" s="69">
        <v>0.03</v>
      </c>
      <c r="AC110" s="68">
        <v>0.4</v>
      </c>
      <c r="AD110" s="69">
        <v>0.09</v>
      </c>
      <c r="AE110" s="69">
        <v>0.01</v>
      </c>
      <c r="AF110" s="67">
        <v>15.0</v>
      </c>
      <c r="AG110" s="69">
        <v>0.0</v>
      </c>
      <c r="AH110" s="67">
        <v>0.0</v>
      </c>
    </row>
    <row r="111" ht="15.75" customHeight="1">
      <c r="B111" s="71" t="s">
        <v>167</v>
      </c>
      <c r="C111" s="20"/>
      <c r="D111" s="20"/>
      <c r="E111" s="21"/>
      <c r="F111" s="66"/>
      <c r="G111" s="67">
        <f t="shared" si="1"/>
        <v>95.7</v>
      </c>
      <c r="H111" s="68">
        <v>1.4</v>
      </c>
      <c r="I111" s="68">
        <v>0.1</v>
      </c>
      <c r="J111" s="69">
        <v>0.05</v>
      </c>
      <c r="K111" s="69">
        <v>0.01</v>
      </c>
      <c r="L111" s="69"/>
      <c r="M111" s="69">
        <v>0.06</v>
      </c>
      <c r="N111" s="67">
        <v>0.0</v>
      </c>
      <c r="O111" s="68">
        <v>22.3</v>
      </c>
      <c r="P111" s="68">
        <v>1.9</v>
      </c>
      <c r="Q111" s="67">
        <v>11.0</v>
      </c>
      <c r="R111" s="67">
        <v>40.0</v>
      </c>
      <c r="S111" s="68">
        <v>0.5</v>
      </c>
      <c r="T111" s="67">
        <v>10.0</v>
      </c>
      <c r="U111" s="67">
        <v>376.0</v>
      </c>
      <c r="V111" s="67">
        <v>20.0</v>
      </c>
      <c r="W111" s="69">
        <v>0.23</v>
      </c>
      <c r="X111" s="69">
        <v>0.13</v>
      </c>
      <c r="Y111" s="69">
        <v>0.25</v>
      </c>
      <c r="Z111" s="67">
        <v>156.0</v>
      </c>
      <c r="AA111" s="69">
        <v>0.05</v>
      </c>
      <c r="AB111" s="69">
        <v>0.04</v>
      </c>
      <c r="AC111" s="68">
        <v>0.9</v>
      </c>
      <c r="AD111" s="69">
        <v>0.29</v>
      </c>
      <c r="AE111" s="69">
        <v>0.21</v>
      </c>
      <c r="AF111" s="67">
        <v>13.0</v>
      </c>
      <c r="AG111" s="69">
        <v>0.0</v>
      </c>
      <c r="AH111" s="67">
        <v>28.0</v>
      </c>
    </row>
    <row r="112" ht="15.75" customHeight="1">
      <c r="B112" s="71" t="s">
        <v>169</v>
      </c>
      <c r="C112" s="20"/>
      <c r="D112" s="20"/>
      <c r="E112" s="21"/>
      <c r="F112" s="66"/>
      <c r="G112" s="67">
        <f t="shared" si="1"/>
        <v>65.7</v>
      </c>
      <c r="H112" s="68">
        <v>1.0</v>
      </c>
      <c r="I112" s="68">
        <v>0.1</v>
      </c>
      <c r="J112" s="69">
        <v>0.03</v>
      </c>
      <c r="K112" s="69">
        <v>0.01</v>
      </c>
      <c r="L112" s="69"/>
      <c r="M112" s="69">
        <v>0.04</v>
      </c>
      <c r="N112" s="67">
        <v>0.0</v>
      </c>
      <c r="O112" s="68">
        <v>15.2</v>
      </c>
      <c r="P112" s="68">
        <v>1.3</v>
      </c>
      <c r="Q112" s="67">
        <v>8.0</v>
      </c>
      <c r="R112" s="67">
        <v>29.0</v>
      </c>
      <c r="S112" s="68">
        <v>0.4</v>
      </c>
      <c r="T112" s="67">
        <v>7.0</v>
      </c>
      <c r="U112" s="67">
        <v>264.0</v>
      </c>
      <c r="V112" s="67">
        <v>14.0</v>
      </c>
      <c r="W112" s="69">
        <v>0.17</v>
      </c>
      <c r="X112" s="69">
        <v>0.09</v>
      </c>
      <c r="Y112" s="69">
        <v>0.17</v>
      </c>
      <c r="Z112" s="67">
        <v>81.0</v>
      </c>
      <c r="AA112" s="69">
        <v>0.04</v>
      </c>
      <c r="AB112" s="69">
        <v>0.03</v>
      </c>
      <c r="AC112" s="68">
        <v>0.6</v>
      </c>
      <c r="AD112" s="69">
        <v>0.2</v>
      </c>
      <c r="AE112" s="69">
        <v>0.15</v>
      </c>
      <c r="AF112" s="67">
        <v>9.0</v>
      </c>
      <c r="AG112" s="69">
        <v>0.0</v>
      </c>
      <c r="AH112" s="67">
        <v>21.0</v>
      </c>
    </row>
    <row r="113" ht="15.75" customHeight="1">
      <c r="B113" s="71" t="s">
        <v>171</v>
      </c>
      <c r="C113" s="20"/>
      <c r="D113" s="20"/>
      <c r="E113" s="21"/>
      <c r="F113" s="66"/>
      <c r="G113" s="67">
        <f t="shared" si="1"/>
        <v>38</v>
      </c>
      <c r="H113" s="68">
        <v>0.5</v>
      </c>
      <c r="I113" s="68">
        <v>0.0</v>
      </c>
      <c r="J113" s="69">
        <v>0.02</v>
      </c>
      <c r="K113" s="69">
        <v>0.0</v>
      </c>
      <c r="L113" s="69"/>
      <c r="M113" s="69">
        <v>0.02</v>
      </c>
      <c r="N113" s="67">
        <v>0.0</v>
      </c>
      <c r="O113" s="68">
        <v>9.0</v>
      </c>
      <c r="P113" s="68">
        <v>0.8</v>
      </c>
      <c r="Q113" s="67">
        <v>3.0</v>
      </c>
      <c r="R113" s="67">
        <v>13.0</v>
      </c>
      <c r="S113" s="68">
        <v>0.2</v>
      </c>
      <c r="T113" s="67">
        <v>2.0</v>
      </c>
      <c r="U113" s="67">
        <v>153.0</v>
      </c>
      <c r="V113" s="67">
        <v>8.0</v>
      </c>
      <c r="W113" s="69">
        <v>0.07</v>
      </c>
      <c r="X113" s="69">
        <v>0.04</v>
      </c>
      <c r="Y113" s="69">
        <v>0.1</v>
      </c>
      <c r="Z113" s="67">
        <v>7.0</v>
      </c>
      <c r="AA113" s="69">
        <v>0.02</v>
      </c>
      <c r="AB113" s="69">
        <v>0.01</v>
      </c>
      <c r="AC113" s="68">
        <v>0.3</v>
      </c>
      <c r="AD113" s="69">
        <v>0.11</v>
      </c>
      <c r="AE113" s="69">
        <v>0.09</v>
      </c>
      <c r="AF113" s="67">
        <v>5.0</v>
      </c>
      <c r="AG113" s="69">
        <v>0.0</v>
      </c>
      <c r="AH113" s="67">
        <v>5.0</v>
      </c>
    </row>
    <row r="114" ht="15.75" customHeight="1">
      <c r="B114" s="65" t="s">
        <v>173</v>
      </c>
      <c r="C114" s="20"/>
      <c r="D114" s="20"/>
      <c r="E114" s="21"/>
      <c r="F114" s="66"/>
      <c r="G114" s="67">
        <f t="shared" si="1"/>
        <v>95.4</v>
      </c>
      <c r="H114" s="68">
        <v>2.0</v>
      </c>
      <c r="I114" s="68">
        <v>0.6</v>
      </c>
      <c r="J114" s="69">
        <v>0.14</v>
      </c>
      <c r="K114" s="69">
        <v>0.16</v>
      </c>
      <c r="L114" s="69"/>
      <c r="M114" s="69">
        <v>0.19</v>
      </c>
      <c r="N114" s="67">
        <v>0.0</v>
      </c>
      <c r="O114" s="68">
        <v>20.5</v>
      </c>
      <c r="P114" s="68">
        <v>1.5</v>
      </c>
      <c r="Q114" s="67">
        <v>15.0</v>
      </c>
      <c r="R114" s="67">
        <v>43.0</v>
      </c>
      <c r="S114" s="68">
        <v>0.7</v>
      </c>
      <c r="T114" s="67">
        <v>46.0</v>
      </c>
      <c r="U114" s="67">
        <v>214.0</v>
      </c>
      <c r="V114" s="67">
        <v>17.0</v>
      </c>
      <c r="W114" s="69">
        <v>0.33</v>
      </c>
      <c r="X114" s="69">
        <v>0.09</v>
      </c>
      <c r="Y114" s="69">
        <v>0.24</v>
      </c>
      <c r="Z114" s="67">
        <v>89.0</v>
      </c>
      <c r="AA114" s="69">
        <v>0.08</v>
      </c>
      <c r="AB114" s="69">
        <v>0.07</v>
      </c>
      <c r="AC114" s="68">
        <v>1.0</v>
      </c>
      <c r="AD114" s="69">
        <v>0.22</v>
      </c>
      <c r="AE114" s="69">
        <v>0.15</v>
      </c>
      <c r="AF114" s="67">
        <v>26.0</v>
      </c>
      <c r="AG114" s="69">
        <v>0.0</v>
      </c>
      <c r="AH114" s="67">
        <v>15.0</v>
      </c>
    </row>
    <row r="115" ht="15.75" customHeight="1">
      <c r="B115" s="65" t="s">
        <v>174</v>
      </c>
      <c r="C115" s="20"/>
      <c r="D115" s="20"/>
      <c r="E115" s="21"/>
      <c r="F115" s="66"/>
      <c r="G115" s="67">
        <f t="shared" si="1"/>
        <v>70.5</v>
      </c>
      <c r="H115" s="68">
        <v>1.5</v>
      </c>
      <c r="I115" s="68">
        <v>0.5</v>
      </c>
      <c r="J115" s="69">
        <v>0.12</v>
      </c>
      <c r="K115" s="69">
        <v>0.14</v>
      </c>
      <c r="L115" s="69"/>
      <c r="M115" s="69">
        <v>0.15</v>
      </c>
      <c r="N115" s="67">
        <v>0.0</v>
      </c>
      <c r="O115" s="68">
        <v>15.0</v>
      </c>
      <c r="P115" s="68">
        <v>1.1</v>
      </c>
      <c r="Q115" s="67">
        <v>13.0</v>
      </c>
      <c r="R115" s="67">
        <v>34.0</v>
      </c>
      <c r="S115" s="68">
        <v>0.6</v>
      </c>
      <c r="T115" s="67">
        <v>41.0</v>
      </c>
      <c r="U115" s="67">
        <v>150.0</v>
      </c>
      <c r="V115" s="67">
        <v>12.0</v>
      </c>
      <c r="W115" s="69">
        <v>0.26</v>
      </c>
      <c r="X115" s="69">
        <v>0.07</v>
      </c>
      <c r="Y115" s="69">
        <v>0.18</v>
      </c>
      <c r="Z115" s="67">
        <v>51.0</v>
      </c>
      <c r="AA115" s="69">
        <v>0.07</v>
      </c>
      <c r="AB115" s="69">
        <v>0.05</v>
      </c>
      <c r="AC115" s="68">
        <v>0.8</v>
      </c>
      <c r="AD115" s="69">
        <v>0.16</v>
      </c>
      <c r="AE115" s="69">
        <v>0.11</v>
      </c>
      <c r="AF115" s="67">
        <v>22.0</v>
      </c>
      <c r="AG115" s="69">
        <v>0.0</v>
      </c>
      <c r="AH115" s="67">
        <v>11.0</v>
      </c>
    </row>
    <row r="116" ht="15.75" customHeight="1">
      <c r="B116" s="65" t="s">
        <v>175</v>
      </c>
      <c r="C116" s="20"/>
      <c r="D116" s="20"/>
      <c r="E116" s="21"/>
      <c r="F116" s="66"/>
      <c r="G116" s="67">
        <f t="shared" si="1"/>
        <v>39.5</v>
      </c>
      <c r="H116" s="68">
        <v>0.9</v>
      </c>
      <c r="I116" s="68">
        <v>0.3</v>
      </c>
      <c r="J116" s="69">
        <v>0.08</v>
      </c>
      <c r="K116" s="69">
        <v>0.09</v>
      </c>
      <c r="L116" s="69"/>
      <c r="M116" s="69">
        <v>0.11</v>
      </c>
      <c r="N116" s="67">
        <v>0.0</v>
      </c>
      <c r="O116" s="68">
        <v>8.3</v>
      </c>
      <c r="P116" s="68">
        <v>0.6</v>
      </c>
      <c r="Q116" s="67">
        <v>8.0</v>
      </c>
      <c r="R116" s="67">
        <v>18.0</v>
      </c>
      <c r="S116" s="68">
        <v>0.2</v>
      </c>
      <c r="T116" s="67">
        <v>23.0</v>
      </c>
      <c r="U116" s="67">
        <v>89.0</v>
      </c>
      <c r="V116" s="67">
        <v>7.0</v>
      </c>
      <c r="W116" s="69">
        <v>0.11</v>
      </c>
      <c r="X116" s="69">
        <v>0.03</v>
      </c>
      <c r="Y116" s="69">
        <v>0.11</v>
      </c>
      <c r="Z116" s="67">
        <v>4.0</v>
      </c>
      <c r="AA116" s="69">
        <v>0.03</v>
      </c>
      <c r="AB116" s="69">
        <v>0.02</v>
      </c>
      <c r="AC116" s="68">
        <v>0.3</v>
      </c>
      <c r="AD116" s="69">
        <v>0.1</v>
      </c>
      <c r="AE116" s="69">
        <v>0.05</v>
      </c>
      <c r="AF116" s="67">
        <v>10.0</v>
      </c>
      <c r="AG116" s="69">
        <v>0.0</v>
      </c>
      <c r="AH116" s="67">
        <v>3.0</v>
      </c>
    </row>
    <row r="117" ht="15.75" customHeight="1">
      <c r="B117" s="71" t="s">
        <v>176</v>
      </c>
      <c r="C117" s="20"/>
      <c r="D117" s="20"/>
      <c r="E117" s="21"/>
      <c r="F117" s="66"/>
      <c r="G117" s="67">
        <f t="shared" si="1"/>
        <v>29.5</v>
      </c>
      <c r="H117" s="68">
        <v>1.2</v>
      </c>
      <c r="I117" s="68">
        <v>0.3</v>
      </c>
      <c r="J117" s="69">
        <v>0.05</v>
      </c>
      <c r="K117" s="69">
        <v>0.03</v>
      </c>
      <c r="L117" s="69"/>
      <c r="M117" s="69">
        <v>0.13</v>
      </c>
      <c r="N117" s="67">
        <v>0.0</v>
      </c>
      <c r="O117" s="68">
        <v>5.5</v>
      </c>
      <c r="P117" s="68">
        <v>1.7</v>
      </c>
      <c r="Q117" s="67">
        <v>15.0</v>
      </c>
      <c r="R117" s="67">
        <v>32.0</v>
      </c>
      <c r="S117" s="68">
        <v>0.7</v>
      </c>
      <c r="T117" s="67">
        <v>68.0</v>
      </c>
      <c r="U117" s="67">
        <v>187.0</v>
      </c>
      <c r="V117" s="67">
        <v>12.0</v>
      </c>
      <c r="W117" s="69">
        <v>0.29</v>
      </c>
      <c r="X117" s="69">
        <v>0.1</v>
      </c>
      <c r="Y117" s="69">
        <v>0.16</v>
      </c>
      <c r="Z117" s="67">
        <v>136.0</v>
      </c>
      <c r="AA117" s="69">
        <v>0.05</v>
      </c>
      <c r="AB117" s="69">
        <v>0.06</v>
      </c>
      <c r="AC117" s="68">
        <v>0.8</v>
      </c>
      <c r="AD117" s="69">
        <v>0.37</v>
      </c>
      <c r="AE117" s="69">
        <v>0.09</v>
      </c>
      <c r="AF117" s="67">
        <v>23.0</v>
      </c>
      <c r="AG117" s="69">
        <v>0.0</v>
      </c>
      <c r="AH117" s="67">
        <v>19.0</v>
      </c>
    </row>
    <row r="118" ht="15.75" customHeight="1">
      <c r="B118" s="71" t="s">
        <v>177</v>
      </c>
      <c r="C118" s="20"/>
      <c r="D118" s="20"/>
      <c r="E118" s="21"/>
      <c r="F118" s="66"/>
      <c r="G118" s="67">
        <f t="shared" si="1"/>
        <v>14.5</v>
      </c>
      <c r="H118" s="68">
        <v>0.7</v>
      </c>
      <c r="I118" s="68">
        <v>0.1</v>
      </c>
      <c r="J118" s="69">
        <v>0.02</v>
      </c>
      <c r="K118" s="69">
        <v>0.01</v>
      </c>
      <c r="L118" s="69"/>
      <c r="M118" s="69">
        <v>0.06</v>
      </c>
      <c r="N118" s="67">
        <v>0.0</v>
      </c>
      <c r="O118" s="68">
        <v>2.7</v>
      </c>
      <c r="P118" s="68">
        <v>0.9</v>
      </c>
      <c r="Q118" s="67">
        <v>9.0</v>
      </c>
      <c r="R118" s="67">
        <v>15.0</v>
      </c>
      <c r="S118" s="68">
        <v>0.3</v>
      </c>
      <c r="T118" s="67">
        <v>8.0</v>
      </c>
      <c r="U118" s="67">
        <v>101.0</v>
      </c>
      <c r="V118" s="67">
        <v>7.0</v>
      </c>
      <c r="W118" s="69">
        <v>0.13</v>
      </c>
      <c r="X118" s="69">
        <v>0.04</v>
      </c>
      <c r="Y118" s="69">
        <v>0.1</v>
      </c>
      <c r="Z118" s="67">
        <v>101.0</v>
      </c>
      <c r="AA118" s="69">
        <v>0.02</v>
      </c>
      <c r="AB118" s="69">
        <v>0.03</v>
      </c>
      <c r="AC118" s="68">
        <v>0.4</v>
      </c>
      <c r="AD118" s="69">
        <v>0.19</v>
      </c>
      <c r="AE118" s="69">
        <v>0.05</v>
      </c>
      <c r="AF118" s="67">
        <v>14.0</v>
      </c>
      <c r="AG118" s="69">
        <v>0.0</v>
      </c>
      <c r="AH118" s="67">
        <v>11.0</v>
      </c>
    </row>
    <row r="119" ht="15.75" customHeight="1">
      <c r="B119" s="71" t="s">
        <v>179</v>
      </c>
      <c r="C119" s="20"/>
      <c r="D119" s="20"/>
      <c r="E119" s="21"/>
      <c r="F119" s="66"/>
      <c r="G119" s="67">
        <f t="shared" si="1"/>
        <v>59.9</v>
      </c>
      <c r="H119" s="68">
        <v>1.0</v>
      </c>
      <c r="I119" s="68">
        <v>0.3</v>
      </c>
      <c r="J119" s="69">
        <v>0.06</v>
      </c>
      <c r="K119" s="69">
        <v>0.09</v>
      </c>
      <c r="L119" s="69"/>
      <c r="M119" s="69">
        <v>0.11</v>
      </c>
      <c r="N119" s="67">
        <v>0.0</v>
      </c>
      <c r="O119" s="68">
        <v>13.3</v>
      </c>
      <c r="P119" s="68">
        <v>2.6</v>
      </c>
      <c r="Q119" s="67">
        <v>21.0</v>
      </c>
      <c r="R119" s="67">
        <v>24.0</v>
      </c>
      <c r="S119" s="68">
        <v>0.5</v>
      </c>
      <c r="T119" s="67">
        <v>4.0</v>
      </c>
      <c r="U119" s="67">
        <v>244.0</v>
      </c>
      <c r="V119" s="67">
        <v>19.0</v>
      </c>
      <c r="W119" s="69">
        <v>0.14</v>
      </c>
      <c r="X119" s="69">
        <v>0.07</v>
      </c>
      <c r="Y119" s="69">
        <v>0.17</v>
      </c>
      <c r="Z119" s="67">
        <v>74.0</v>
      </c>
      <c r="AA119" s="69">
        <v>0.06</v>
      </c>
      <c r="AB119" s="69">
        <v>0.06</v>
      </c>
      <c r="AC119" s="68">
        <v>0.9</v>
      </c>
      <c r="AD119" s="69">
        <v>0.27</v>
      </c>
      <c r="AE119" s="69">
        <v>0.1</v>
      </c>
      <c r="AF119" s="67">
        <v>20.0</v>
      </c>
      <c r="AG119" s="69">
        <v>0.0</v>
      </c>
      <c r="AH119" s="67">
        <v>52.0</v>
      </c>
    </row>
    <row r="120" ht="15.75" customHeight="1">
      <c r="B120" s="71" t="s">
        <v>181</v>
      </c>
      <c r="C120" s="20"/>
      <c r="D120" s="20"/>
      <c r="E120" s="21"/>
      <c r="F120" s="66"/>
      <c r="G120" s="67">
        <f t="shared" si="1"/>
        <v>23.7</v>
      </c>
      <c r="H120" s="68">
        <v>0.3</v>
      </c>
      <c r="I120" s="68">
        <v>0.1</v>
      </c>
      <c r="J120" s="69">
        <v>0.03</v>
      </c>
      <c r="K120" s="69">
        <v>0.02</v>
      </c>
      <c r="L120" s="69"/>
      <c r="M120" s="69">
        <v>0.05</v>
      </c>
      <c r="N120" s="67">
        <v>0.0</v>
      </c>
      <c r="O120" s="68">
        <v>5.4</v>
      </c>
      <c r="P120" s="68">
        <v>1.0</v>
      </c>
      <c r="Q120" s="67">
        <v>7.0</v>
      </c>
      <c r="R120" s="67">
        <v>7.0</v>
      </c>
      <c r="S120" s="68">
        <v>0.1</v>
      </c>
      <c r="T120" s="67">
        <v>1.0</v>
      </c>
      <c r="U120" s="67">
        <v>99.0</v>
      </c>
      <c r="V120" s="67">
        <v>6.0</v>
      </c>
      <c r="W120" s="69">
        <v>0.05</v>
      </c>
      <c r="X120" s="69">
        <v>0.03</v>
      </c>
      <c r="Y120" s="69">
        <v>0.09</v>
      </c>
      <c r="Z120" s="67">
        <v>31.0</v>
      </c>
      <c r="AA120" s="69">
        <v>0.02</v>
      </c>
      <c r="AB120" s="69">
        <v>0.02</v>
      </c>
      <c r="AC120" s="68">
        <v>0.3</v>
      </c>
      <c r="AD120" s="69">
        <v>0.1</v>
      </c>
      <c r="AE120" s="69">
        <v>0.05</v>
      </c>
      <c r="AF120" s="67">
        <v>8.0</v>
      </c>
      <c r="AG120" s="69">
        <v>0.0</v>
      </c>
      <c r="AH120" s="67">
        <v>24.0</v>
      </c>
    </row>
    <row r="121" ht="15.75" customHeight="1">
      <c r="B121" s="65" t="s">
        <v>184</v>
      </c>
      <c r="C121" s="20"/>
      <c r="D121" s="20"/>
      <c r="E121" s="21"/>
      <c r="F121" s="66"/>
      <c r="G121" s="67">
        <f t="shared" si="1"/>
        <v>56.4</v>
      </c>
      <c r="H121" s="68">
        <v>1.3</v>
      </c>
      <c r="I121" s="68">
        <v>4.8</v>
      </c>
      <c r="J121" s="69">
        <v>1.15</v>
      </c>
      <c r="K121" s="69">
        <v>2.44</v>
      </c>
      <c r="L121" s="69"/>
      <c r="M121" s="69">
        <v>0.99</v>
      </c>
      <c r="N121" s="67">
        <v>0.0</v>
      </c>
      <c r="O121" s="68">
        <v>2.0</v>
      </c>
      <c r="P121" s="68">
        <v>0.7</v>
      </c>
      <c r="Q121" s="67">
        <v>8.0</v>
      </c>
      <c r="R121" s="67">
        <v>34.0</v>
      </c>
      <c r="S121" s="68">
        <v>0.3</v>
      </c>
      <c r="T121" s="67">
        <v>6.0</v>
      </c>
      <c r="U121" s="67">
        <v>55.0</v>
      </c>
      <c r="V121" s="67">
        <v>16.0</v>
      </c>
      <c r="W121" s="69">
        <v>0.28</v>
      </c>
      <c r="X121" s="69">
        <v>0.1</v>
      </c>
      <c r="Y121" s="69">
        <v>0.18</v>
      </c>
      <c r="Z121" s="67">
        <v>1.0</v>
      </c>
      <c r="AA121" s="69">
        <v>0.03</v>
      </c>
      <c r="AB121" s="69">
        <v>0.02</v>
      </c>
      <c r="AC121" s="68">
        <v>0.2</v>
      </c>
      <c r="AD121" s="69">
        <v>0.08</v>
      </c>
      <c r="AE121" s="69">
        <v>0.02</v>
      </c>
      <c r="AF121" s="67">
        <v>5.0</v>
      </c>
      <c r="AG121" s="69">
        <v>0.0</v>
      </c>
      <c r="AH121" s="67">
        <v>0.0</v>
      </c>
    </row>
    <row r="122" ht="15.75" customHeight="1">
      <c r="B122" s="65" t="s">
        <v>186</v>
      </c>
      <c r="C122" s="20"/>
      <c r="D122" s="20"/>
      <c r="E122" s="21"/>
      <c r="F122" s="66"/>
      <c r="G122" s="67">
        <f t="shared" si="1"/>
        <v>58.5</v>
      </c>
      <c r="H122" s="68">
        <v>2.3</v>
      </c>
      <c r="I122" s="68">
        <v>4.1</v>
      </c>
      <c r="J122" s="69">
        <v>0.5</v>
      </c>
      <c r="K122" s="69">
        <v>0.91</v>
      </c>
      <c r="L122" s="69"/>
      <c r="M122" s="69">
        <v>2.48</v>
      </c>
      <c r="N122" s="67">
        <v>0.0</v>
      </c>
      <c r="O122" s="68">
        <v>3.1</v>
      </c>
      <c r="P122" s="68">
        <v>2.1</v>
      </c>
      <c r="Q122" s="67">
        <v>50.0</v>
      </c>
      <c r="R122" s="67">
        <v>74.0</v>
      </c>
      <c r="S122" s="68">
        <v>0.9</v>
      </c>
      <c r="T122" s="67">
        <v>2.0</v>
      </c>
      <c r="U122" s="67">
        <v>78.0</v>
      </c>
      <c r="V122" s="67">
        <v>37.0</v>
      </c>
      <c r="W122" s="69">
        <v>0.58</v>
      </c>
      <c r="X122" s="69">
        <v>0.15</v>
      </c>
      <c r="Y122" s="69">
        <v>0.35</v>
      </c>
      <c r="Z122" s="67">
        <v>1.0</v>
      </c>
      <c r="AA122" s="69">
        <v>0.07</v>
      </c>
      <c r="AB122" s="69">
        <v>0.02</v>
      </c>
      <c r="AC122" s="68">
        <v>0.3</v>
      </c>
      <c r="AD122" s="69">
        <v>0.15</v>
      </c>
      <c r="AE122" s="69">
        <v>0.06</v>
      </c>
      <c r="AF122" s="67">
        <v>18.0</v>
      </c>
      <c r="AG122" s="69">
        <v>0.0</v>
      </c>
      <c r="AH122" s="67">
        <v>0.0</v>
      </c>
    </row>
    <row r="123" ht="15.75" customHeight="1">
      <c r="B123" s="71" t="s">
        <v>189</v>
      </c>
      <c r="C123" s="20"/>
      <c r="D123" s="20"/>
      <c r="E123" s="21"/>
      <c r="F123" s="66"/>
      <c r="G123" s="67">
        <f t="shared" si="1"/>
        <v>89.9</v>
      </c>
      <c r="H123" s="68">
        <v>0.9</v>
      </c>
      <c r="I123" s="68">
        <v>1.1</v>
      </c>
      <c r="J123" s="69">
        <v>0.63</v>
      </c>
      <c r="K123" s="69">
        <v>0.33</v>
      </c>
      <c r="L123" s="69"/>
      <c r="M123" s="69">
        <v>0.07</v>
      </c>
      <c r="N123" s="67">
        <v>2.0</v>
      </c>
      <c r="O123" s="68">
        <v>19.1</v>
      </c>
      <c r="P123" s="68">
        <v>0.5</v>
      </c>
      <c r="Q123" s="67">
        <v>20.0</v>
      </c>
      <c r="R123" s="67">
        <v>23.0</v>
      </c>
      <c r="S123" s="68">
        <v>0.3</v>
      </c>
      <c r="T123" s="67">
        <v>25.0</v>
      </c>
      <c r="U123" s="67">
        <v>67.0</v>
      </c>
      <c r="V123" s="67">
        <v>6.0</v>
      </c>
      <c r="W123" s="69">
        <v>0.16</v>
      </c>
      <c r="X123" s="69">
        <v>0.05</v>
      </c>
      <c r="Y123" s="69">
        <v>0.16</v>
      </c>
      <c r="Z123" s="67">
        <v>10.0</v>
      </c>
      <c r="AA123" s="69">
        <v>0.04</v>
      </c>
      <c r="AB123" s="69">
        <v>0.07</v>
      </c>
      <c r="AC123" s="68">
        <v>0.2</v>
      </c>
      <c r="AD123" s="69">
        <v>0.08</v>
      </c>
      <c r="AE123" s="69">
        <v>0.02</v>
      </c>
      <c r="AF123" s="67">
        <v>5.0</v>
      </c>
      <c r="AG123" s="69">
        <v>0.04</v>
      </c>
      <c r="AH123" s="67">
        <v>2.0</v>
      </c>
    </row>
    <row r="124" ht="15.75" customHeight="1">
      <c r="B124" s="71" t="s">
        <v>210</v>
      </c>
      <c r="C124" s="20"/>
      <c r="D124" s="20"/>
      <c r="E124" s="21"/>
      <c r="F124" s="66"/>
      <c r="G124" s="67">
        <f t="shared" si="1"/>
        <v>45.1</v>
      </c>
      <c r="H124" s="68">
        <v>0.4</v>
      </c>
      <c r="I124" s="68">
        <v>0.3</v>
      </c>
      <c r="J124" s="69">
        <v>0.14</v>
      </c>
      <c r="K124" s="69">
        <v>0.1</v>
      </c>
      <c r="L124" s="69"/>
      <c r="M124" s="69">
        <v>0.03</v>
      </c>
      <c r="N124" s="67">
        <v>0.0</v>
      </c>
      <c r="O124" s="68">
        <v>10.2</v>
      </c>
      <c r="P124" s="68">
        <v>0.2</v>
      </c>
      <c r="Q124" s="67">
        <v>8.0</v>
      </c>
      <c r="R124" s="67">
        <v>12.0</v>
      </c>
      <c r="S124" s="68">
        <v>0.2</v>
      </c>
      <c r="T124" s="67">
        <v>11.0</v>
      </c>
      <c r="U124" s="67">
        <v>33.0</v>
      </c>
      <c r="V124" s="67">
        <v>4.0</v>
      </c>
      <c r="W124" s="69">
        <v>0.1</v>
      </c>
      <c r="X124" s="69">
        <v>0.2</v>
      </c>
      <c r="Y124" s="69">
        <v>0.11</v>
      </c>
      <c r="Z124" s="67">
        <v>6.0</v>
      </c>
      <c r="AA124" s="69">
        <v>0.02</v>
      </c>
      <c r="AB124" s="69">
        <v>0.03</v>
      </c>
      <c r="AC124" s="68">
        <v>0.2</v>
      </c>
      <c r="AD124" s="69">
        <v>0.04</v>
      </c>
      <c r="AE124" s="69">
        <v>0.02</v>
      </c>
      <c r="AF124" s="67">
        <v>2.0</v>
      </c>
      <c r="AG124" s="69">
        <v>0.01</v>
      </c>
      <c r="AH124" s="67">
        <v>1.0</v>
      </c>
    </row>
    <row r="125" ht="15.75" customHeight="1">
      <c r="B125" s="65" t="s">
        <v>195</v>
      </c>
      <c r="C125" s="20"/>
      <c r="D125" s="20"/>
      <c r="E125" s="21"/>
      <c r="F125" s="66"/>
      <c r="G125" s="67">
        <f t="shared" si="1"/>
        <v>41.7</v>
      </c>
      <c r="H125" s="68">
        <v>0.0</v>
      </c>
      <c r="I125" s="68">
        <v>4.5</v>
      </c>
      <c r="J125" s="69">
        <v>0.67</v>
      </c>
      <c r="K125" s="69">
        <v>1.39</v>
      </c>
      <c r="L125" s="69"/>
      <c r="M125" s="69">
        <v>2.71</v>
      </c>
      <c r="N125" s="67">
        <v>1.0</v>
      </c>
      <c r="O125" s="68">
        <v>0.3</v>
      </c>
      <c r="P125" s="68">
        <v>0.0</v>
      </c>
      <c r="Q125" s="67">
        <v>1.0</v>
      </c>
      <c r="R125" s="67">
        <v>1.0</v>
      </c>
      <c r="S125" s="68">
        <v>0.0</v>
      </c>
      <c r="T125" s="67">
        <v>27.0</v>
      </c>
      <c r="U125" s="67">
        <v>2.0</v>
      </c>
      <c r="V125" s="67">
        <v>0.0</v>
      </c>
      <c r="W125" s="69">
        <v>0.01</v>
      </c>
      <c r="X125" s="69">
        <v>0.0</v>
      </c>
      <c r="Y125" s="69">
        <v>0.0</v>
      </c>
      <c r="Z125" s="67">
        <v>2.0</v>
      </c>
      <c r="AA125" s="69">
        <v>0.0</v>
      </c>
      <c r="AB125" s="69">
        <v>0.0</v>
      </c>
      <c r="AC125" s="68">
        <v>0.0</v>
      </c>
      <c r="AD125" s="69">
        <v>0.01</v>
      </c>
      <c r="AE125" s="69">
        <v>0.01</v>
      </c>
      <c r="AF125" s="67">
        <v>0.0</v>
      </c>
      <c r="AG125" s="69">
        <v>0.01</v>
      </c>
      <c r="AH125" s="67">
        <v>0.0</v>
      </c>
    </row>
    <row r="126" ht="15.75" customHeight="1">
      <c r="B126" s="65" t="s">
        <v>196</v>
      </c>
      <c r="C126" s="20"/>
      <c r="D126" s="20"/>
      <c r="E126" s="21"/>
      <c r="F126" s="66"/>
      <c r="G126" s="67">
        <f t="shared" si="1"/>
        <v>47</v>
      </c>
      <c r="H126" s="68">
        <v>0.4</v>
      </c>
      <c r="I126" s="68">
        <v>4.6</v>
      </c>
      <c r="J126" s="69">
        <v>0.66</v>
      </c>
      <c r="K126" s="69">
        <v>2.7</v>
      </c>
      <c r="L126" s="69"/>
      <c r="M126" s="69">
        <v>0.96</v>
      </c>
      <c r="N126" s="67">
        <v>0.0</v>
      </c>
      <c r="O126" s="68">
        <v>1.0</v>
      </c>
      <c r="P126" s="68">
        <v>0.6</v>
      </c>
      <c r="Q126" s="67">
        <v>7.0</v>
      </c>
      <c r="R126" s="67">
        <v>7.0</v>
      </c>
      <c r="S126" s="68">
        <v>0.2</v>
      </c>
      <c r="T126" s="67">
        <v>55.0</v>
      </c>
      <c r="U126" s="67">
        <v>49.0</v>
      </c>
      <c r="V126" s="67">
        <v>5.0</v>
      </c>
      <c r="W126" s="69">
        <v>0.07</v>
      </c>
      <c r="X126" s="69">
        <v>0.03</v>
      </c>
      <c r="Y126" s="69">
        <v>0.02</v>
      </c>
      <c r="Z126" s="67">
        <v>12.0</v>
      </c>
      <c r="AA126" s="69">
        <v>0.01</v>
      </c>
      <c r="AB126" s="69">
        <v>0.01</v>
      </c>
      <c r="AC126" s="68">
        <v>0.3</v>
      </c>
      <c r="AD126" s="69">
        <v>0.08</v>
      </c>
      <c r="AE126" s="69">
        <v>0.03</v>
      </c>
      <c r="AF126" s="67">
        <v>5.0</v>
      </c>
      <c r="AG126" s="69">
        <v>0.0</v>
      </c>
      <c r="AH126" s="67">
        <v>1.0</v>
      </c>
    </row>
    <row r="127" ht="15.75" customHeight="1">
      <c r="B127" s="65" t="s">
        <v>197</v>
      </c>
      <c r="C127" s="20"/>
      <c r="D127" s="20"/>
      <c r="E127" s="21"/>
      <c r="F127" s="66"/>
      <c r="G127" s="67">
        <f t="shared" si="1"/>
        <v>45.6</v>
      </c>
      <c r="H127" s="68">
        <v>0.3</v>
      </c>
      <c r="I127" s="68">
        <v>4.8</v>
      </c>
      <c r="J127" s="69">
        <v>2.66</v>
      </c>
      <c r="K127" s="69">
        <v>1.57</v>
      </c>
      <c r="L127" s="69"/>
      <c r="M127" s="69">
        <v>0.28</v>
      </c>
      <c r="N127" s="67">
        <v>10.0</v>
      </c>
      <c r="O127" s="68">
        <v>0.3</v>
      </c>
      <c r="P127" s="68">
        <v>0.0</v>
      </c>
      <c r="Q127" s="67">
        <v>8.0</v>
      </c>
      <c r="R127" s="67">
        <v>7.0</v>
      </c>
      <c r="S127" s="68">
        <v>0.0</v>
      </c>
      <c r="T127" s="67">
        <v>9.0</v>
      </c>
      <c r="U127" s="67">
        <v>10.0</v>
      </c>
      <c r="V127" s="67">
        <v>1.0</v>
      </c>
      <c r="W127" s="69">
        <v>0.03</v>
      </c>
      <c r="X127" s="69">
        <v>0.0</v>
      </c>
      <c r="Y127" s="69">
        <v>0.0</v>
      </c>
      <c r="Z127" s="67">
        <v>31.0</v>
      </c>
      <c r="AA127" s="69">
        <v>0.0</v>
      </c>
      <c r="AB127" s="69">
        <v>0.01</v>
      </c>
      <c r="AC127" s="68">
        <v>0.0</v>
      </c>
      <c r="AD127" s="69">
        <v>0.03</v>
      </c>
      <c r="AE127" s="69">
        <v>0.0</v>
      </c>
      <c r="AF127" s="67">
        <v>1.0</v>
      </c>
      <c r="AG127" s="69">
        <v>0.03</v>
      </c>
      <c r="AH127" s="67">
        <v>0.0</v>
      </c>
    </row>
    <row r="128" ht="15.75" customHeight="1">
      <c r="B128" s="65" t="s">
        <v>198</v>
      </c>
      <c r="C128" s="20"/>
      <c r="D128" s="20"/>
      <c r="E128" s="21"/>
      <c r="F128" s="66"/>
      <c r="G128" s="67">
        <f t="shared" si="1"/>
        <v>44.6</v>
      </c>
      <c r="H128" s="68">
        <v>0.3</v>
      </c>
      <c r="I128" s="68">
        <v>4.6</v>
      </c>
      <c r="J128" s="69">
        <v>1.33</v>
      </c>
      <c r="K128" s="69">
        <v>1.88</v>
      </c>
      <c r="L128" s="69"/>
      <c r="M128" s="69">
        <v>1.32</v>
      </c>
      <c r="N128" s="67">
        <v>4.0</v>
      </c>
      <c r="O128" s="68">
        <v>0.5</v>
      </c>
      <c r="P128" s="68">
        <v>0.2</v>
      </c>
      <c r="Q128" s="67">
        <v>5.0</v>
      </c>
      <c r="R128" s="67">
        <v>5.0</v>
      </c>
      <c r="S128" s="68">
        <v>0.1</v>
      </c>
      <c r="T128" s="67">
        <v>30.0</v>
      </c>
      <c r="U128" s="67">
        <v>20.0</v>
      </c>
      <c r="V128" s="67">
        <v>2.0</v>
      </c>
      <c r="W128" s="69">
        <v>0.04</v>
      </c>
      <c r="X128" s="69">
        <v>0.01</v>
      </c>
      <c r="Y128" s="69">
        <v>0.01</v>
      </c>
      <c r="Z128" s="67">
        <v>15.0</v>
      </c>
      <c r="AA128" s="69">
        <v>0.0</v>
      </c>
      <c r="AB128" s="69">
        <v>0.01</v>
      </c>
      <c r="AC128" s="68">
        <v>0.1</v>
      </c>
      <c r="AD128" s="69">
        <v>0.04</v>
      </c>
      <c r="AE128" s="69">
        <v>0.01</v>
      </c>
      <c r="AF128" s="67">
        <v>2.0</v>
      </c>
      <c r="AG128" s="69">
        <v>0.01</v>
      </c>
      <c r="AH128" s="67">
        <v>0.0</v>
      </c>
    </row>
    <row r="129" ht="15.75" customHeight="1">
      <c r="B129" s="65" t="s">
        <v>200</v>
      </c>
      <c r="C129" s="20"/>
      <c r="D129" s="20"/>
      <c r="E129" s="21"/>
      <c r="F129" s="66"/>
      <c r="G129" s="67">
        <f t="shared" si="1"/>
        <v>39.3</v>
      </c>
      <c r="H129" s="68">
        <v>1.3</v>
      </c>
      <c r="I129" s="68">
        <v>3.3</v>
      </c>
      <c r="J129" s="69">
        <v>1.16</v>
      </c>
      <c r="K129" s="69">
        <v>0.98</v>
      </c>
      <c r="L129" s="69"/>
      <c r="M129" s="69">
        <v>0.89</v>
      </c>
      <c r="N129" s="67">
        <v>6.0</v>
      </c>
      <c r="O129" s="68">
        <v>1.1</v>
      </c>
      <c r="P129" s="68">
        <v>0.0</v>
      </c>
      <c r="Q129" s="67">
        <v>16.0</v>
      </c>
      <c r="R129" s="67">
        <v>37.0</v>
      </c>
      <c r="S129" s="68">
        <v>0.0</v>
      </c>
      <c r="T129" s="67">
        <v>125.0</v>
      </c>
      <c r="U129" s="67">
        <v>19.0</v>
      </c>
      <c r="V129" s="67">
        <v>2.0</v>
      </c>
      <c r="W129" s="69">
        <v>0.12</v>
      </c>
      <c r="X129" s="69">
        <v>0.0</v>
      </c>
      <c r="Y129" s="69">
        <v>0.0</v>
      </c>
      <c r="Z129" s="67">
        <v>41.0</v>
      </c>
      <c r="AA129" s="69">
        <v>0.0</v>
      </c>
      <c r="AB129" s="69">
        <v>0.02</v>
      </c>
      <c r="AC129" s="68">
        <v>0.0</v>
      </c>
      <c r="AD129" s="69">
        <v>0.04</v>
      </c>
      <c r="AE129" s="69">
        <v>0.03</v>
      </c>
      <c r="AF129" s="67">
        <v>3.0</v>
      </c>
      <c r="AG129" s="69">
        <v>0.06</v>
      </c>
      <c r="AH129" s="67">
        <v>0.0</v>
      </c>
    </row>
    <row r="130" ht="15.75" customHeight="1">
      <c r="B130" s="71" t="s">
        <v>203</v>
      </c>
      <c r="C130" s="20"/>
      <c r="D130" s="20"/>
      <c r="E130" s="21"/>
      <c r="F130" s="66"/>
      <c r="G130" s="67">
        <f t="shared" si="1"/>
        <v>27</v>
      </c>
      <c r="H130" s="68">
        <v>0.0</v>
      </c>
      <c r="I130" s="68">
        <v>3.0</v>
      </c>
      <c r="J130" s="69">
        <v>0.39</v>
      </c>
      <c r="K130" s="69">
        <v>0.8</v>
      </c>
      <c r="L130" s="69"/>
      <c r="M130" s="69">
        <v>1.68</v>
      </c>
      <c r="N130" s="67">
        <v>0.0</v>
      </c>
      <c r="O130" s="68">
        <v>0.0</v>
      </c>
      <c r="P130" s="68">
        <v>0.0</v>
      </c>
      <c r="Q130" s="67">
        <v>0.0</v>
      </c>
      <c r="R130" s="67">
        <v>0.0</v>
      </c>
      <c r="S130" s="68">
        <v>0.0</v>
      </c>
      <c r="T130" s="67">
        <v>0.0</v>
      </c>
      <c r="U130" s="67">
        <v>0.0</v>
      </c>
      <c r="V130" s="67">
        <v>0.0</v>
      </c>
      <c r="W130" s="69">
        <v>0.0</v>
      </c>
      <c r="X130" s="69">
        <v>0.0</v>
      </c>
      <c r="Y130" s="69">
        <v>0.0</v>
      </c>
      <c r="Z130" s="67">
        <v>0.0</v>
      </c>
      <c r="AA130" s="69">
        <v>0.0</v>
      </c>
      <c r="AB130" s="69">
        <v>0.0</v>
      </c>
      <c r="AC130" s="68">
        <v>0.0</v>
      </c>
      <c r="AD130" s="69">
        <v>0.0</v>
      </c>
      <c r="AE130" s="69">
        <v>0.0</v>
      </c>
      <c r="AF130" s="67">
        <v>0.0</v>
      </c>
      <c r="AG130" s="69">
        <v>0.0</v>
      </c>
      <c r="AH130" s="67">
        <v>0.0</v>
      </c>
    </row>
    <row r="131" ht="15.75" customHeight="1">
      <c r="B131" s="71" t="s">
        <v>204</v>
      </c>
      <c r="C131" s="20"/>
      <c r="D131" s="20"/>
      <c r="E131" s="21"/>
      <c r="F131" s="66"/>
      <c r="G131" s="67">
        <f t="shared" si="1"/>
        <v>27.5</v>
      </c>
      <c r="H131" s="68">
        <v>0.3</v>
      </c>
      <c r="I131" s="68">
        <v>2.7</v>
      </c>
      <c r="J131" s="69">
        <v>0.37</v>
      </c>
      <c r="K131" s="69">
        <v>1.72</v>
      </c>
      <c r="L131" s="69"/>
      <c r="M131" s="69">
        <v>0.46</v>
      </c>
      <c r="N131" s="67">
        <v>0.0</v>
      </c>
      <c r="O131" s="68">
        <v>0.5</v>
      </c>
      <c r="P131" s="68">
        <v>0.3</v>
      </c>
      <c r="Q131" s="67">
        <v>1.0</v>
      </c>
      <c r="R131" s="67">
        <v>5.0</v>
      </c>
      <c r="S131" s="68">
        <v>0.1</v>
      </c>
      <c r="T131" s="67">
        <v>4.0</v>
      </c>
      <c r="U131" s="67">
        <v>38.0</v>
      </c>
      <c r="V131" s="67">
        <v>3.0</v>
      </c>
      <c r="W131" s="69">
        <v>0.04</v>
      </c>
      <c r="X131" s="69">
        <v>0.02</v>
      </c>
      <c r="Y131" s="69">
        <v>0.02</v>
      </c>
      <c r="Z131" s="67">
        <v>3.0</v>
      </c>
      <c r="AA131" s="69">
        <v>0.01</v>
      </c>
      <c r="AB131" s="69">
        <v>0.01</v>
      </c>
      <c r="AC131" s="68">
        <v>0.2</v>
      </c>
      <c r="AD131" s="69">
        <v>0.06</v>
      </c>
      <c r="AE131" s="69">
        <v>0.02</v>
      </c>
      <c r="AF131" s="67">
        <v>4.0</v>
      </c>
      <c r="AG131" s="69">
        <v>0.0</v>
      </c>
      <c r="AH131" s="67">
        <v>0.0</v>
      </c>
    </row>
    <row r="132" ht="15.75" customHeight="1">
      <c r="B132" s="71" t="s">
        <v>205</v>
      </c>
      <c r="C132" s="20"/>
      <c r="D132" s="20"/>
      <c r="E132" s="21"/>
      <c r="F132" s="66"/>
      <c r="G132" s="67">
        <f t="shared" si="1"/>
        <v>26.8</v>
      </c>
      <c r="H132" s="68">
        <v>0.2</v>
      </c>
      <c r="I132" s="68">
        <v>2.8</v>
      </c>
      <c r="J132" s="69">
        <v>1.66</v>
      </c>
      <c r="K132" s="69">
        <v>0.85</v>
      </c>
      <c r="L132" s="69"/>
      <c r="M132" s="69">
        <v>0.14</v>
      </c>
      <c r="N132" s="67">
        <v>6.0</v>
      </c>
      <c r="O132" s="68">
        <v>0.2</v>
      </c>
      <c r="P132" s="68">
        <v>0.0</v>
      </c>
      <c r="Q132" s="67">
        <v>5.0</v>
      </c>
      <c r="R132" s="67">
        <v>5.0</v>
      </c>
      <c r="S132" s="68">
        <v>0.0</v>
      </c>
      <c r="T132" s="67">
        <v>6.0</v>
      </c>
      <c r="U132" s="67">
        <v>7.0</v>
      </c>
      <c r="V132" s="67">
        <v>1.0</v>
      </c>
      <c r="W132" s="69">
        <v>0.02</v>
      </c>
      <c r="X132" s="69">
        <v>0.0</v>
      </c>
      <c r="Y132" s="69">
        <v>0.0</v>
      </c>
      <c r="Z132" s="67">
        <v>23.0</v>
      </c>
      <c r="AA132" s="69">
        <v>0.0</v>
      </c>
      <c r="AB132" s="69">
        <v>0.01</v>
      </c>
      <c r="AC132" s="68">
        <v>0.0</v>
      </c>
      <c r="AD132" s="69">
        <v>0.02</v>
      </c>
      <c r="AE132" s="69">
        <v>0.0</v>
      </c>
      <c r="AF132" s="67">
        <v>1.0</v>
      </c>
      <c r="AG132" s="69">
        <v>0.02</v>
      </c>
      <c r="AH132" s="67">
        <v>0.0</v>
      </c>
    </row>
    <row r="133" ht="15.75" customHeight="1">
      <c r="B133" s="71" t="s">
        <v>206</v>
      </c>
      <c r="C133" s="20"/>
      <c r="D133" s="20"/>
      <c r="E133" s="21"/>
      <c r="F133" s="66"/>
      <c r="G133" s="67">
        <f t="shared" si="1"/>
        <v>26.8</v>
      </c>
      <c r="H133" s="68">
        <v>0.2</v>
      </c>
      <c r="I133" s="68">
        <v>2.8</v>
      </c>
      <c r="J133" s="69">
        <v>0.81</v>
      </c>
      <c r="K133" s="69">
        <v>1.12</v>
      </c>
      <c r="L133" s="69"/>
      <c r="M133" s="69">
        <v>0.76</v>
      </c>
      <c r="N133" s="67">
        <v>2.0</v>
      </c>
      <c r="O133" s="68">
        <v>0.2</v>
      </c>
      <c r="P133" s="68">
        <v>0.1</v>
      </c>
      <c r="Q133" s="67">
        <v>2.0</v>
      </c>
      <c r="R133" s="67">
        <v>3.0</v>
      </c>
      <c r="S133" s="68">
        <v>0.0</v>
      </c>
      <c r="T133" s="67">
        <v>3.0</v>
      </c>
      <c r="U133" s="67">
        <v>15.0</v>
      </c>
      <c r="V133" s="67">
        <v>1.0</v>
      </c>
      <c r="W133" s="69">
        <v>0.02</v>
      </c>
      <c r="X133" s="69">
        <v>0.01</v>
      </c>
      <c r="Y133" s="69">
        <v>0.01</v>
      </c>
      <c r="Z133" s="67">
        <v>9.0</v>
      </c>
      <c r="AA133" s="69">
        <v>0.0</v>
      </c>
      <c r="AB133" s="69">
        <v>0.01</v>
      </c>
      <c r="AC133" s="68">
        <v>0.1</v>
      </c>
      <c r="AD133" s="69">
        <v>0.03</v>
      </c>
      <c r="AE133" s="69">
        <v>0.01</v>
      </c>
      <c r="AF133" s="67">
        <v>2.0</v>
      </c>
      <c r="AG133" s="69">
        <v>0.01</v>
      </c>
      <c r="AH133" s="67">
        <v>0.0</v>
      </c>
    </row>
    <row r="134" ht="15.75" customHeight="1">
      <c r="E134" s="72"/>
      <c r="L134" s="43"/>
    </row>
    <row r="135" ht="15.75" customHeight="1">
      <c r="B135" s="239" t="s">
        <v>440</v>
      </c>
      <c r="C135" s="60"/>
      <c r="D135" s="60"/>
      <c r="E135" s="60"/>
      <c r="F135" s="60"/>
      <c r="L135" s="43"/>
    </row>
    <row r="136" ht="15.75" customHeight="1">
      <c r="E136" s="72"/>
      <c r="L136" s="43"/>
    </row>
    <row r="137" ht="15.75" customHeight="1">
      <c r="B137" s="62" t="s">
        <v>95</v>
      </c>
      <c r="C137" s="20"/>
      <c r="D137" s="20"/>
      <c r="E137" s="21"/>
      <c r="F137" s="63" t="s">
        <v>96</v>
      </c>
      <c r="G137" s="63" t="s">
        <v>97</v>
      </c>
      <c r="H137" s="63" t="s">
        <v>98</v>
      </c>
      <c r="I137" s="63" t="s">
        <v>99</v>
      </c>
      <c r="J137" s="63" t="s">
        <v>100</v>
      </c>
      <c r="K137" s="63" t="s">
        <v>101</v>
      </c>
      <c r="L137" s="237"/>
      <c r="M137" s="63" t="s">
        <v>102</v>
      </c>
      <c r="N137" s="63" t="s">
        <v>103</v>
      </c>
      <c r="O137" s="63" t="s">
        <v>104</v>
      </c>
      <c r="P137" s="63" t="s">
        <v>105</v>
      </c>
      <c r="Q137" s="157" t="s">
        <v>106</v>
      </c>
      <c r="R137" s="157" t="s">
        <v>107</v>
      </c>
      <c r="S137" s="157" t="s">
        <v>108</v>
      </c>
      <c r="T137" s="157" t="s">
        <v>109</v>
      </c>
      <c r="U137" s="157" t="s">
        <v>110</v>
      </c>
      <c r="V137" s="157" t="s">
        <v>111</v>
      </c>
      <c r="W137" s="157" t="s">
        <v>112</v>
      </c>
      <c r="X137" s="157" t="s">
        <v>113</v>
      </c>
      <c r="Y137" s="157" t="s">
        <v>114</v>
      </c>
      <c r="Z137" s="157" t="s">
        <v>115</v>
      </c>
      <c r="AA137" s="157" t="s">
        <v>116</v>
      </c>
      <c r="AB137" s="157" t="s">
        <v>117</v>
      </c>
      <c r="AC137" s="157" t="s">
        <v>118</v>
      </c>
      <c r="AD137" s="157" t="s">
        <v>119</v>
      </c>
      <c r="AE137" s="157" t="s">
        <v>120</v>
      </c>
      <c r="AF137" s="157" t="s">
        <v>121</v>
      </c>
      <c r="AG137" s="157" t="s">
        <v>122</v>
      </c>
      <c r="AH137" s="157" t="s">
        <v>441</v>
      </c>
    </row>
    <row r="138" ht="15.75" customHeight="1">
      <c r="B138" s="65" t="s">
        <v>126</v>
      </c>
      <c r="C138" s="20"/>
      <c r="D138" s="20"/>
      <c r="E138" s="21"/>
      <c r="F138" s="161" t="str">
        <f t="shared" ref="F138:F178" si="2">F93</f>
        <v/>
      </c>
      <c r="G138" s="67">
        <f t="shared" ref="G138:G178" si="3">(G93*F93)</f>
        <v>0</v>
      </c>
      <c r="H138" s="68">
        <f t="shared" ref="H138:H178" si="4">(H93*F93)</f>
        <v>0</v>
      </c>
      <c r="I138" s="68">
        <f t="shared" ref="I138:I178" si="5">(I93*F93)</f>
        <v>0</v>
      </c>
      <c r="J138" s="69">
        <f t="shared" ref="J138:J178" si="6">(J93*F93)</f>
        <v>0</v>
      </c>
      <c r="K138" s="69">
        <f t="shared" ref="K138:K178" si="7">(K93*F93)</f>
        <v>0</v>
      </c>
      <c r="L138" s="43"/>
      <c r="M138" s="69">
        <f t="shared" ref="M138:M178" si="8">(M93*F93)</f>
        <v>0</v>
      </c>
      <c r="N138" s="67">
        <f t="shared" ref="N138:N178" si="9">(N93*F93)</f>
        <v>0</v>
      </c>
      <c r="O138" s="68">
        <f t="shared" ref="O138:O178" si="10">(O93*F93)</f>
        <v>0</v>
      </c>
      <c r="P138" s="68">
        <f t="shared" ref="P138:P178" si="11">(P93*F93)</f>
        <v>0</v>
      </c>
      <c r="Q138" s="67">
        <f t="shared" ref="Q138:Q178" si="12">(Q93*F93)</f>
        <v>0</v>
      </c>
      <c r="R138" s="67">
        <f t="shared" ref="R138:R178" si="13">(R93*F93)</f>
        <v>0</v>
      </c>
      <c r="S138" s="68">
        <f t="shared" ref="S138:S178" si="14">(S93*F93)</f>
        <v>0</v>
      </c>
      <c r="T138" s="67">
        <f t="shared" ref="T138:T178" si="15">(T93*F93)</f>
        <v>0</v>
      </c>
      <c r="U138" s="67">
        <f t="shared" ref="U138:U178" si="16">(U93*F93)</f>
        <v>0</v>
      </c>
      <c r="V138" s="67">
        <f t="shared" ref="V138:V178" si="17">(V93*F93)</f>
        <v>0</v>
      </c>
      <c r="W138" s="69">
        <f t="shared" ref="W138:W178" si="18">(W93*F93)</f>
        <v>0</v>
      </c>
      <c r="X138" s="69">
        <f t="shared" ref="X138:X178" si="19">(X93*F93)</f>
        <v>0</v>
      </c>
      <c r="Y138" s="69">
        <f t="shared" ref="Y138:Y178" si="20">(Y93*F93)</f>
        <v>0</v>
      </c>
      <c r="Z138" s="67">
        <f t="shared" ref="Z138:Z178" si="21">(Z93*F93)</f>
        <v>0</v>
      </c>
      <c r="AA138" s="69">
        <f t="shared" ref="AA138:AA178" si="22">(AA93*F93)</f>
        <v>0</v>
      </c>
      <c r="AB138" s="69">
        <f t="shared" ref="AB138:AB178" si="23">(AB93*F93)</f>
        <v>0</v>
      </c>
      <c r="AC138" s="68">
        <f t="shared" ref="AC138:AC178" si="24">(AC93*F93)</f>
        <v>0</v>
      </c>
      <c r="AD138" s="69">
        <f t="shared" ref="AD138:AD178" si="25">(AD93*F93)</f>
        <v>0</v>
      </c>
      <c r="AE138" s="69">
        <f t="shared" ref="AE138:AE178" si="26">(AE93*F93)</f>
        <v>0</v>
      </c>
      <c r="AF138" s="67">
        <f t="shared" ref="AF138:AF178" si="27">(AF93*F93)</f>
        <v>0</v>
      </c>
      <c r="AG138" s="69">
        <f t="shared" ref="AG138:AG178" si="28">(AG93*F93)</f>
        <v>0</v>
      </c>
      <c r="AH138" s="67">
        <f t="shared" ref="AH138:AH178" si="29">(AH93*F93)</f>
        <v>0</v>
      </c>
    </row>
    <row r="139" ht="15.75" customHeight="1">
      <c r="B139" s="65" t="s">
        <v>127</v>
      </c>
      <c r="C139" s="20"/>
      <c r="D139" s="20"/>
      <c r="E139" s="21"/>
      <c r="F139" s="161" t="str">
        <f t="shared" si="2"/>
        <v/>
      </c>
      <c r="G139" s="67">
        <f t="shared" si="3"/>
        <v>0</v>
      </c>
      <c r="H139" s="68">
        <f t="shared" si="4"/>
        <v>0</v>
      </c>
      <c r="I139" s="68">
        <f t="shared" si="5"/>
        <v>0</v>
      </c>
      <c r="J139" s="69">
        <f t="shared" si="6"/>
        <v>0</v>
      </c>
      <c r="K139" s="69">
        <f t="shared" si="7"/>
        <v>0</v>
      </c>
      <c r="L139" s="43"/>
      <c r="M139" s="69">
        <f t="shared" si="8"/>
        <v>0</v>
      </c>
      <c r="N139" s="67">
        <f t="shared" si="9"/>
        <v>0</v>
      </c>
      <c r="O139" s="68">
        <f t="shared" si="10"/>
        <v>0</v>
      </c>
      <c r="P139" s="68">
        <f t="shared" si="11"/>
        <v>0</v>
      </c>
      <c r="Q139" s="67">
        <f t="shared" si="12"/>
        <v>0</v>
      </c>
      <c r="R139" s="67">
        <f t="shared" si="13"/>
        <v>0</v>
      </c>
      <c r="S139" s="68">
        <f t="shared" si="14"/>
        <v>0</v>
      </c>
      <c r="T139" s="67">
        <f t="shared" si="15"/>
        <v>0</v>
      </c>
      <c r="U139" s="67">
        <f t="shared" si="16"/>
        <v>0</v>
      </c>
      <c r="V139" s="67">
        <f t="shared" si="17"/>
        <v>0</v>
      </c>
      <c r="W139" s="69">
        <f t="shared" si="18"/>
        <v>0</v>
      </c>
      <c r="X139" s="69">
        <f t="shared" si="19"/>
        <v>0</v>
      </c>
      <c r="Y139" s="69">
        <f t="shared" si="20"/>
        <v>0</v>
      </c>
      <c r="Z139" s="67">
        <f t="shared" si="21"/>
        <v>0</v>
      </c>
      <c r="AA139" s="69">
        <f t="shared" si="22"/>
        <v>0</v>
      </c>
      <c r="AB139" s="69">
        <f t="shared" si="23"/>
        <v>0</v>
      </c>
      <c r="AC139" s="68">
        <f t="shared" si="24"/>
        <v>0</v>
      </c>
      <c r="AD139" s="69">
        <f t="shared" si="25"/>
        <v>0</v>
      </c>
      <c r="AE139" s="69">
        <f t="shared" si="26"/>
        <v>0</v>
      </c>
      <c r="AF139" s="67">
        <f t="shared" si="27"/>
        <v>0</v>
      </c>
      <c r="AG139" s="69">
        <f t="shared" si="28"/>
        <v>0</v>
      </c>
      <c r="AH139" s="67">
        <f t="shared" si="29"/>
        <v>0</v>
      </c>
    </row>
    <row r="140" ht="15.75" customHeight="1">
      <c r="B140" s="65" t="s">
        <v>128</v>
      </c>
      <c r="C140" s="20"/>
      <c r="D140" s="20"/>
      <c r="E140" s="21"/>
      <c r="F140" s="161" t="str">
        <f t="shared" si="2"/>
        <v/>
      </c>
      <c r="G140" s="67">
        <f t="shared" si="3"/>
        <v>0</v>
      </c>
      <c r="H140" s="68">
        <f t="shared" si="4"/>
        <v>0</v>
      </c>
      <c r="I140" s="68">
        <f t="shared" si="5"/>
        <v>0</v>
      </c>
      <c r="J140" s="69">
        <f t="shared" si="6"/>
        <v>0</v>
      </c>
      <c r="K140" s="69">
        <f t="shared" si="7"/>
        <v>0</v>
      </c>
      <c r="L140" s="43"/>
      <c r="M140" s="69">
        <f t="shared" si="8"/>
        <v>0</v>
      </c>
      <c r="N140" s="67">
        <f t="shared" si="9"/>
        <v>0</v>
      </c>
      <c r="O140" s="68">
        <f t="shared" si="10"/>
        <v>0</v>
      </c>
      <c r="P140" s="68">
        <f t="shared" si="11"/>
        <v>0</v>
      </c>
      <c r="Q140" s="67">
        <f t="shared" si="12"/>
        <v>0</v>
      </c>
      <c r="R140" s="67">
        <f t="shared" si="13"/>
        <v>0</v>
      </c>
      <c r="S140" s="68">
        <f t="shared" si="14"/>
        <v>0</v>
      </c>
      <c r="T140" s="67">
        <f t="shared" si="15"/>
        <v>0</v>
      </c>
      <c r="U140" s="67">
        <f t="shared" si="16"/>
        <v>0</v>
      </c>
      <c r="V140" s="67">
        <f t="shared" si="17"/>
        <v>0</v>
      </c>
      <c r="W140" s="69">
        <f t="shared" si="18"/>
        <v>0</v>
      </c>
      <c r="X140" s="69">
        <f t="shared" si="19"/>
        <v>0</v>
      </c>
      <c r="Y140" s="69">
        <f t="shared" si="20"/>
        <v>0</v>
      </c>
      <c r="Z140" s="67">
        <f t="shared" si="21"/>
        <v>0</v>
      </c>
      <c r="AA140" s="69">
        <f t="shared" si="22"/>
        <v>0</v>
      </c>
      <c r="AB140" s="69">
        <f t="shared" si="23"/>
        <v>0</v>
      </c>
      <c r="AC140" s="68">
        <f t="shared" si="24"/>
        <v>0</v>
      </c>
      <c r="AD140" s="69">
        <f t="shared" si="25"/>
        <v>0</v>
      </c>
      <c r="AE140" s="69">
        <f t="shared" si="26"/>
        <v>0</v>
      </c>
      <c r="AF140" s="67">
        <f t="shared" si="27"/>
        <v>0</v>
      </c>
      <c r="AG140" s="69">
        <f t="shared" si="28"/>
        <v>0</v>
      </c>
      <c r="AH140" s="67">
        <f t="shared" si="29"/>
        <v>0</v>
      </c>
    </row>
    <row r="141" ht="15.75" customHeight="1">
      <c r="B141" s="65" t="s">
        <v>129</v>
      </c>
      <c r="C141" s="20"/>
      <c r="D141" s="20"/>
      <c r="E141" s="21"/>
      <c r="F141" s="161" t="str">
        <f t="shared" si="2"/>
        <v/>
      </c>
      <c r="G141" s="67">
        <f t="shared" si="3"/>
        <v>0</v>
      </c>
      <c r="H141" s="68">
        <f t="shared" si="4"/>
        <v>0</v>
      </c>
      <c r="I141" s="68">
        <f t="shared" si="5"/>
        <v>0</v>
      </c>
      <c r="J141" s="69">
        <f t="shared" si="6"/>
        <v>0</v>
      </c>
      <c r="K141" s="69">
        <f t="shared" si="7"/>
        <v>0</v>
      </c>
      <c r="L141" s="43"/>
      <c r="M141" s="69">
        <f t="shared" si="8"/>
        <v>0</v>
      </c>
      <c r="N141" s="67">
        <f t="shared" si="9"/>
        <v>0</v>
      </c>
      <c r="O141" s="68">
        <f t="shared" si="10"/>
        <v>0</v>
      </c>
      <c r="P141" s="68">
        <f t="shared" si="11"/>
        <v>0</v>
      </c>
      <c r="Q141" s="67">
        <f t="shared" si="12"/>
        <v>0</v>
      </c>
      <c r="R141" s="67">
        <f t="shared" si="13"/>
        <v>0</v>
      </c>
      <c r="S141" s="68">
        <f t="shared" si="14"/>
        <v>0</v>
      </c>
      <c r="T141" s="67">
        <f t="shared" si="15"/>
        <v>0</v>
      </c>
      <c r="U141" s="67">
        <f t="shared" si="16"/>
        <v>0</v>
      </c>
      <c r="V141" s="67">
        <f t="shared" si="17"/>
        <v>0</v>
      </c>
      <c r="W141" s="69">
        <f t="shared" si="18"/>
        <v>0</v>
      </c>
      <c r="X141" s="69">
        <f t="shared" si="19"/>
        <v>0</v>
      </c>
      <c r="Y141" s="69">
        <f t="shared" si="20"/>
        <v>0</v>
      </c>
      <c r="Z141" s="67">
        <f t="shared" si="21"/>
        <v>0</v>
      </c>
      <c r="AA141" s="69">
        <f t="shared" si="22"/>
        <v>0</v>
      </c>
      <c r="AB141" s="69">
        <f t="shared" si="23"/>
        <v>0</v>
      </c>
      <c r="AC141" s="68">
        <f t="shared" si="24"/>
        <v>0</v>
      </c>
      <c r="AD141" s="69">
        <f t="shared" si="25"/>
        <v>0</v>
      </c>
      <c r="AE141" s="69">
        <f t="shared" si="26"/>
        <v>0</v>
      </c>
      <c r="AF141" s="67">
        <f t="shared" si="27"/>
        <v>0</v>
      </c>
      <c r="AG141" s="69">
        <f t="shared" si="28"/>
        <v>0</v>
      </c>
      <c r="AH141" s="67">
        <f t="shared" si="29"/>
        <v>0</v>
      </c>
    </row>
    <row r="142" ht="15.75" customHeight="1">
      <c r="B142" s="65" t="s">
        <v>132</v>
      </c>
      <c r="C142" s="20"/>
      <c r="D142" s="20"/>
      <c r="E142" s="21"/>
      <c r="F142" s="161" t="str">
        <f t="shared" si="2"/>
        <v/>
      </c>
      <c r="G142" s="67">
        <f t="shared" si="3"/>
        <v>0</v>
      </c>
      <c r="H142" s="68">
        <f t="shared" si="4"/>
        <v>0</v>
      </c>
      <c r="I142" s="68">
        <f t="shared" si="5"/>
        <v>0</v>
      </c>
      <c r="J142" s="69">
        <f t="shared" si="6"/>
        <v>0</v>
      </c>
      <c r="K142" s="69">
        <f t="shared" si="7"/>
        <v>0</v>
      </c>
      <c r="L142" s="43"/>
      <c r="M142" s="69">
        <f t="shared" si="8"/>
        <v>0</v>
      </c>
      <c r="N142" s="67">
        <f t="shared" si="9"/>
        <v>0</v>
      </c>
      <c r="O142" s="68">
        <f t="shared" si="10"/>
        <v>0</v>
      </c>
      <c r="P142" s="68">
        <f t="shared" si="11"/>
        <v>0</v>
      </c>
      <c r="Q142" s="67">
        <f t="shared" si="12"/>
        <v>0</v>
      </c>
      <c r="R142" s="67">
        <f t="shared" si="13"/>
        <v>0</v>
      </c>
      <c r="S142" s="68">
        <f t="shared" si="14"/>
        <v>0</v>
      </c>
      <c r="T142" s="67">
        <f t="shared" si="15"/>
        <v>0</v>
      </c>
      <c r="U142" s="67">
        <f t="shared" si="16"/>
        <v>0</v>
      </c>
      <c r="V142" s="67">
        <f t="shared" si="17"/>
        <v>0</v>
      </c>
      <c r="W142" s="69">
        <f t="shared" si="18"/>
        <v>0</v>
      </c>
      <c r="X142" s="69">
        <f t="shared" si="19"/>
        <v>0</v>
      </c>
      <c r="Y142" s="69">
        <f t="shared" si="20"/>
        <v>0</v>
      </c>
      <c r="Z142" s="67">
        <f t="shared" si="21"/>
        <v>0</v>
      </c>
      <c r="AA142" s="69">
        <f t="shared" si="22"/>
        <v>0</v>
      </c>
      <c r="AB142" s="69">
        <f t="shared" si="23"/>
        <v>0</v>
      </c>
      <c r="AC142" s="68">
        <f t="shared" si="24"/>
        <v>0</v>
      </c>
      <c r="AD142" s="69">
        <f t="shared" si="25"/>
        <v>0</v>
      </c>
      <c r="AE142" s="69">
        <f t="shared" si="26"/>
        <v>0</v>
      </c>
      <c r="AF142" s="67">
        <f t="shared" si="27"/>
        <v>0</v>
      </c>
      <c r="AG142" s="69">
        <f t="shared" si="28"/>
        <v>0</v>
      </c>
      <c r="AH142" s="67">
        <f t="shared" si="29"/>
        <v>0</v>
      </c>
    </row>
    <row r="143" ht="15.75" customHeight="1">
      <c r="B143" s="70" t="s">
        <v>442</v>
      </c>
      <c r="C143" s="20"/>
      <c r="D143" s="20"/>
      <c r="E143" s="21"/>
      <c r="F143" s="161" t="str">
        <f t="shared" si="2"/>
        <v/>
      </c>
      <c r="G143" s="67">
        <f t="shared" si="3"/>
        <v>0</v>
      </c>
      <c r="H143" s="68">
        <f t="shared" si="4"/>
        <v>0</v>
      </c>
      <c r="I143" s="68">
        <f t="shared" si="5"/>
        <v>0</v>
      </c>
      <c r="J143" s="69">
        <f t="shared" si="6"/>
        <v>0</v>
      </c>
      <c r="K143" s="69">
        <f t="shared" si="7"/>
        <v>0</v>
      </c>
      <c r="L143" s="43"/>
      <c r="M143" s="69">
        <f t="shared" si="8"/>
        <v>0</v>
      </c>
      <c r="N143" s="67">
        <f t="shared" si="9"/>
        <v>0</v>
      </c>
      <c r="O143" s="68">
        <f t="shared" si="10"/>
        <v>0</v>
      </c>
      <c r="P143" s="68">
        <f t="shared" si="11"/>
        <v>0</v>
      </c>
      <c r="Q143" s="67">
        <f t="shared" si="12"/>
        <v>0</v>
      </c>
      <c r="R143" s="67">
        <f t="shared" si="13"/>
        <v>0</v>
      </c>
      <c r="S143" s="68">
        <f t="shared" si="14"/>
        <v>0</v>
      </c>
      <c r="T143" s="67">
        <f t="shared" si="15"/>
        <v>0</v>
      </c>
      <c r="U143" s="67">
        <f t="shared" si="16"/>
        <v>0</v>
      </c>
      <c r="V143" s="67">
        <f t="shared" si="17"/>
        <v>0</v>
      </c>
      <c r="W143" s="69">
        <f t="shared" si="18"/>
        <v>0</v>
      </c>
      <c r="X143" s="69">
        <f t="shared" si="19"/>
        <v>0</v>
      </c>
      <c r="Y143" s="69">
        <f t="shared" si="20"/>
        <v>0</v>
      </c>
      <c r="Z143" s="67">
        <f t="shared" si="21"/>
        <v>0</v>
      </c>
      <c r="AA143" s="69">
        <f t="shared" si="22"/>
        <v>0</v>
      </c>
      <c r="AB143" s="69">
        <f t="shared" si="23"/>
        <v>0</v>
      </c>
      <c r="AC143" s="68">
        <f t="shared" si="24"/>
        <v>0</v>
      </c>
      <c r="AD143" s="69">
        <f t="shared" si="25"/>
        <v>0</v>
      </c>
      <c r="AE143" s="69">
        <f t="shared" si="26"/>
        <v>0</v>
      </c>
      <c r="AF143" s="67">
        <f t="shared" si="27"/>
        <v>0</v>
      </c>
      <c r="AG143" s="69">
        <f t="shared" si="28"/>
        <v>0</v>
      </c>
      <c r="AH143" s="67">
        <f t="shared" si="29"/>
        <v>0</v>
      </c>
    </row>
    <row r="144" ht="15.75" customHeight="1">
      <c r="B144" s="71" t="s">
        <v>138</v>
      </c>
      <c r="C144" s="20"/>
      <c r="D144" s="20"/>
      <c r="E144" s="21"/>
      <c r="F144" s="161" t="str">
        <f t="shared" si="2"/>
        <v/>
      </c>
      <c r="G144" s="67">
        <f t="shared" si="3"/>
        <v>0</v>
      </c>
      <c r="H144" s="68">
        <f t="shared" si="4"/>
        <v>0</v>
      </c>
      <c r="I144" s="68">
        <f t="shared" si="5"/>
        <v>0</v>
      </c>
      <c r="J144" s="69">
        <f t="shared" si="6"/>
        <v>0</v>
      </c>
      <c r="K144" s="69">
        <f t="shared" si="7"/>
        <v>0</v>
      </c>
      <c r="L144" s="43"/>
      <c r="M144" s="69">
        <f t="shared" si="8"/>
        <v>0</v>
      </c>
      <c r="N144" s="67">
        <f t="shared" si="9"/>
        <v>0</v>
      </c>
      <c r="O144" s="68">
        <f t="shared" si="10"/>
        <v>0</v>
      </c>
      <c r="P144" s="68">
        <f t="shared" si="11"/>
        <v>0</v>
      </c>
      <c r="Q144" s="67">
        <f t="shared" si="12"/>
        <v>0</v>
      </c>
      <c r="R144" s="67">
        <f t="shared" si="13"/>
        <v>0</v>
      </c>
      <c r="S144" s="68">
        <f t="shared" si="14"/>
        <v>0</v>
      </c>
      <c r="T144" s="67">
        <f t="shared" si="15"/>
        <v>0</v>
      </c>
      <c r="U144" s="67">
        <f t="shared" si="16"/>
        <v>0</v>
      </c>
      <c r="V144" s="67">
        <f t="shared" si="17"/>
        <v>0</v>
      </c>
      <c r="W144" s="69">
        <f t="shared" si="18"/>
        <v>0</v>
      </c>
      <c r="X144" s="69">
        <f t="shared" si="19"/>
        <v>0</v>
      </c>
      <c r="Y144" s="69">
        <f t="shared" si="20"/>
        <v>0</v>
      </c>
      <c r="Z144" s="67">
        <f t="shared" si="21"/>
        <v>0</v>
      </c>
      <c r="AA144" s="69">
        <f t="shared" si="22"/>
        <v>0</v>
      </c>
      <c r="AB144" s="69">
        <f t="shared" si="23"/>
        <v>0</v>
      </c>
      <c r="AC144" s="68">
        <f t="shared" si="24"/>
        <v>0</v>
      </c>
      <c r="AD144" s="69">
        <f t="shared" si="25"/>
        <v>0</v>
      </c>
      <c r="AE144" s="69">
        <f t="shared" si="26"/>
        <v>0</v>
      </c>
      <c r="AF144" s="67">
        <f t="shared" si="27"/>
        <v>0</v>
      </c>
      <c r="AG144" s="69">
        <f t="shared" si="28"/>
        <v>0</v>
      </c>
      <c r="AH144" s="67">
        <f t="shared" si="29"/>
        <v>0</v>
      </c>
    </row>
    <row r="145" ht="15.75" customHeight="1">
      <c r="B145" s="71" t="s">
        <v>140</v>
      </c>
      <c r="C145" s="20"/>
      <c r="D145" s="20"/>
      <c r="E145" s="21"/>
      <c r="F145" s="161" t="str">
        <f t="shared" si="2"/>
        <v/>
      </c>
      <c r="G145" s="67">
        <f t="shared" si="3"/>
        <v>0</v>
      </c>
      <c r="H145" s="68">
        <f t="shared" si="4"/>
        <v>0</v>
      </c>
      <c r="I145" s="68">
        <f t="shared" si="5"/>
        <v>0</v>
      </c>
      <c r="J145" s="69">
        <f t="shared" si="6"/>
        <v>0</v>
      </c>
      <c r="K145" s="69">
        <f t="shared" si="7"/>
        <v>0</v>
      </c>
      <c r="L145" s="43"/>
      <c r="M145" s="69">
        <f t="shared" si="8"/>
        <v>0</v>
      </c>
      <c r="N145" s="67">
        <f t="shared" si="9"/>
        <v>0</v>
      </c>
      <c r="O145" s="68">
        <f t="shared" si="10"/>
        <v>0</v>
      </c>
      <c r="P145" s="68">
        <f t="shared" si="11"/>
        <v>0</v>
      </c>
      <c r="Q145" s="67">
        <f t="shared" si="12"/>
        <v>0</v>
      </c>
      <c r="R145" s="67">
        <f t="shared" si="13"/>
        <v>0</v>
      </c>
      <c r="S145" s="68">
        <f t="shared" si="14"/>
        <v>0</v>
      </c>
      <c r="T145" s="67">
        <f t="shared" si="15"/>
        <v>0</v>
      </c>
      <c r="U145" s="67">
        <f t="shared" si="16"/>
        <v>0</v>
      </c>
      <c r="V145" s="67">
        <f t="shared" si="17"/>
        <v>0</v>
      </c>
      <c r="W145" s="69">
        <f t="shared" si="18"/>
        <v>0</v>
      </c>
      <c r="X145" s="69">
        <f t="shared" si="19"/>
        <v>0</v>
      </c>
      <c r="Y145" s="69">
        <f t="shared" si="20"/>
        <v>0</v>
      </c>
      <c r="Z145" s="67">
        <f t="shared" si="21"/>
        <v>0</v>
      </c>
      <c r="AA145" s="69">
        <f t="shared" si="22"/>
        <v>0</v>
      </c>
      <c r="AB145" s="69">
        <f t="shared" si="23"/>
        <v>0</v>
      </c>
      <c r="AC145" s="68">
        <f t="shared" si="24"/>
        <v>0</v>
      </c>
      <c r="AD145" s="69">
        <f t="shared" si="25"/>
        <v>0</v>
      </c>
      <c r="AE145" s="69">
        <f t="shared" si="26"/>
        <v>0</v>
      </c>
      <c r="AF145" s="67">
        <f t="shared" si="27"/>
        <v>0</v>
      </c>
      <c r="AG145" s="69">
        <f t="shared" si="28"/>
        <v>0</v>
      </c>
      <c r="AH145" s="67">
        <f t="shared" si="29"/>
        <v>0</v>
      </c>
    </row>
    <row r="146" ht="15.75" customHeight="1">
      <c r="B146" s="65" t="s">
        <v>143</v>
      </c>
      <c r="C146" s="20"/>
      <c r="D146" s="20"/>
      <c r="E146" s="21"/>
      <c r="F146" s="161" t="str">
        <f t="shared" si="2"/>
        <v/>
      </c>
      <c r="G146" s="67">
        <f t="shared" si="3"/>
        <v>0</v>
      </c>
      <c r="H146" s="68">
        <f t="shared" si="4"/>
        <v>0</v>
      </c>
      <c r="I146" s="68">
        <f t="shared" si="5"/>
        <v>0</v>
      </c>
      <c r="J146" s="69">
        <f t="shared" si="6"/>
        <v>0</v>
      </c>
      <c r="K146" s="69">
        <f t="shared" si="7"/>
        <v>0</v>
      </c>
      <c r="L146" s="43"/>
      <c r="M146" s="69">
        <f t="shared" si="8"/>
        <v>0</v>
      </c>
      <c r="N146" s="67">
        <f t="shared" si="9"/>
        <v>0</v>
      </c>
      <c r="O146" s="68">
        <f t="shared" si="10"/>
        <v>0</v>
      </c>
      <c r="P146" s="68">
        <f t="shared" si="11"/>
        <v>0</v>
      </c>
      <c r="Q146" s="67">
        <f t="shared" si="12"/>
        <v>0</v>
      </c>
      <c r="R146" s="67">
        <f t="shared" si="13"/>
        <v>0</v>
      </c>
      <c r="S146" s="68">
        <f t="shared" si="14"/>
        <v>0</v>
      </c>
      <c r="T146" s="67">
        <f t="shared" si="15"/>
        <v>0</v>
      </c>
      <c r="U146" s="67">
        <f t="shared" si="16"/>
        <v>0</v>
      </c>
      <c r="V146" s="67">
        <f t="shared" si="17"/>
        <v>0</v>
      </c>
      <c r="W146" s="69">
        <f t="shared" si="18"/>
        <v>0</v>
      </c>
      <c r="X146" s="69">
        <f t="shared" si="19"/>
        <v>0</v>
      </c>
      <c r="Y146" s="69">
        <f t="shared" si="20"/>
        <v>0</v>
      </c>
      <c r="Z146" s="67">
        <f t="shared" si="21"/>
        <v>0</v>
      </c>
      <c r="AA146" s="69">
        <f t="shared" si="22"/>
        <v>0</v>
      </c>
      <c r="AB146" s="69">
        <f t="shared" si="23"/>
        <v>0</v>
      </c>
      <c r="AC146" s="68">
        <f t="shared" si="24"/>
        <v>0</v>
      </c>
      <c r="AD146" s="69">
        <f t="shared" si="25"/>
        <v>0</v>
      </c>
      <c r="AE146" s="69">
        <f t="shared" si="26"/>
        <v>0</v>
      </c>
      <c r="AF146" s="67">
        <f t="shared" si="27"/>
        <v>0</v>
      </c>
      <c r="AG146" s="69">
        <f t="shared" si="28"/>
        <v>0</v>
      </c>
      <c r="AH146" s="67">
        <f t="shared" si="29"/>
        <v>0</v>
      </c>
    </row>
    <row r="147" ht="15.75" customHeight="1">
      <c r="B147" s="65" t="s">
        <v>146</v>
      </c>
      <c r="C147" s="20"/>
      <c r="D147" s="20"/>
      <c r="E147" s="21"/>
      <c r="F147" s="161" t="str">
        <f t="shared" si="2"/>
        <v/>
      </c>
      <c r="G147" s="67">
        <f t="shared" si="3"/>
        <v>0</v>
      </c>
      <c r="H147" s="68">
        <f t="shared" si="4"/>
        <v>0</v>
      </c>
      <c r="I147" s="68">
        <f t="shared" si="5"/>
        <v>0</v>
      </c>
      <c r="J147" s="69">
        <f t="shared" si="6"/>
        <v>0</v>
      </c>
      <c r="K147" s="69">
        <f t="shared" si="7"/>
        <v>0</v>
      </c>
      <c r="L147" s="43"/>
      <c r="M147" s="69">
        <f t="shared" si="8"/>
        <v>0</v>
      </c>
      <c r="N147" s="67">
        <f t="shared" si="9"/>
        <v>0</v>
      </c>
      <c r="O147" s="68">
        <f t="shared" si="10"/>
        <v>0</v>
      </c>
      <c r="P147" s="68">
        <f t="shared" si="11"/>
        <v>0</v>
      </c>
      <c r="Q147" s="67">
        <f t="shared" si="12"/>
        <v>0</v>
      </c>
      <c r="R147" s="67">
        <f t="shared" si="13"/>
        <v>0</v>
      </c>
      <c r="S147" s="68">
        <f t="shared" si="14"/>
        <v>0</v>
      </c>
      <c r="T147" s="67">
        <f t="shared" si="15"/>
        <v>0</v>
      </c>
      <c r="U147" s="67">
        <f t="shared" si="16"/>
        <v>0</v>
      </c>
      <c r="V147" s="67">
        <f t="shared" si="17"/>
        <v>0</v>
      </c>
      <c r="W147" s="69">
        <f t="shared" si="18"/>
        <v>0</v>
      </c>
      <c r="X147" s="69">
        <f t="shared" si="19"/>
        <v>0</v>
      </c>
      <c r="Y147" s="69">
        <f t="shared" si="20"/>
        <v>0</v>
      </c>
      <c r="Z147" s="67">
        <f t="shared" si="21"/>
        <v>0</v>
      </c>
      <c r="AA147" s="69">
        <f t="shared" si="22"/>
        <v>0</v>
      </c>
      <c r="AB147" s="69">
        <f t="shared" si="23"/>
        <v>0</v>
      </c>
      <c r="AC147" s="68">
        <f t="shared" si="24"/>
        <v>0</v>
      </c>
      <c r="AD147" s="69">
        <f t="shared" si="25"/>
        <v>0</v>
      </c>
      <c r="AE147" s="69">
        <f t="shared" si="26"/>
        <v>0</v>
      </c>
      <c r="AF147" s="67">
        <f t="shared" si="27"/>
        <v>0</v>
      </c>
      <c r="AG147" s="69">
        <f t="shared" si="28"/>
        <v>0</v>
      </c>
      <c r="AH147" s="67">
        <f t="shared" si="29"/>
        <v>0</v>
      </c>
    </row>
    <row r="148" ht="15.75" customHeight="1">
      <c r="B148" s="65" t="s">
        <v>149</v>
      </c>
      <c r="C148" s="20"/>
      <c r="D148" s="20"/>
      <c r="E148" s="21"/>
      <c r="F148" s="161" t="str">
        <f t="shared" si="2"/>
        <v/>
      </c>
      <c r="G148" s="67">
        <f t="shared" si="3"/>
        <v>0</v>
      </c>
      <c r="H148" s="68">
        <f t="shared" si="4"/>
        <v>0</v>
      </c>
      <c r="I148" s="68">
        <f t="shared" si="5"/>
        <v>0</v>
      </c>
      <c r="J148" s="69">
        <f t="shared" si="6"/>
        <v>0</v>
      </c>
      <c r="K148" s="69">
        <f t="shared" si="7"/>
        <v>0</v>
      </c>
      <c r="L148" s="43"/>
      <c r="M148" s="69">
        <f t="shared" si="8"/>
        <v>0</v>
      </c>
      <c r="N148" s="67">
        <f t="shared" si="9"/>
        <v>0</v>
      </c>
      <c r="O148" s="68">
        <f t="shared" si="10"/>
        <v>0</v>
      </c>
      <c r="P148" s="68">
        <f t="shared" si="11"/>
        <v>0</v>
      </c>
      <c r="Q148" s="67">
        <f t="shared" si="12"/>
        <v>0</v>
      </c>
      <c r="R148" s="67">
        <f t="shared" si="13"/>
        <v>0</v>
      </c>
      <c r="S148" s="68">
        <f t="shared" si="14"/>
        <v>0</v>
      </c>
      <c r="T148" s="67">
        <f t="shared" si="15"/>
        <v>0</v>
      </c>
      <c r="U148" s="67">
        <f t="shared" si="16"/>
        <v>0</v>
      </c>
      <c r="V148" s="67">
        <f t="shared" si="17"/>
        <v>0</v>
      </c>
      <c r="W148" s="69">
        <f t="shared" si="18"/>
        <v>0</v>
      </c>
      <c r="X148" s="69">
        <f t="shared" si="19"/>
        <v>0</v>
      </c>
      <c r="Y148" s="69">
        <f t="shared" si="20"/>
        <v>0</v>
      </c>
      <c r="Z148" s="67">
        <f t="shared" si="21"/>
        <v>0</v>
      </c>
      <c r="AA148" s="69">
        <f t="shared" si="22"/>
        <v>0</v>
      </c>
      <c r="AB148" s="69">
        <f t="shared" si="23"/>
        <v>0</v>
      </c>
      <c r="AC148" s="68">
        <f t="shared" si="24"/>
        <v>0</v>
      </c>
      <c r="AD148" s="69">
        <f t="shared" si="25"/>
        <v>0</v>
      </c>
      <c r="AE148" s="69">
        <f t="shared" si="26"/>
        <v>0</v>
      </c>
      <c r="AF148" s="67">
        <f t="shared" si="27"/>
        <v>0</v>
      </c>
      <c r="AG148" s="69">
        <f t="shared" si="28"/>
        <v>0</v>
      </c>
      <c r="AH148" s="67">
        <f t="shared" si="29"/>
        <v>0</v>
      </c>
    </row>
    <row r="149" ht="15.75" customHeight="1">
      <c r="B149" s="65" t="s">
        <v>150</v>
      </c>
      <c r="C149" s="20"/>
      <c r="D149" s="20"/>
      <c r="E149" s="21"/>
      <c r="F149" s="161" t="str">
        <f t="shared" si="2"/>
        <v/>
      </c>
      <c r="G149" s="67">
        <f t="shared" si="3"/>
        <v>0</v>
      </c>
      <c r="H149" s="68">
        <f t="shared" si="4"/>
        <v>0</v>
      </c>
      <c r="I149" s="68">
        <f t="shared" si="5"/>
        <v>0</v>
      </c>
      <c r="J149" s="69">
        <f t="shared" si="6"/>
        <v>0</v>
      </c>
      <c r="K149" s="69">
        <f t="shared" si="7"/>
        <v>0</v>
      </c>
      <c r="L149" s="43"/>
      <c r="M149" s="69">
        <f t="shared" si="8"/>
        <v>0</v>
      </c>
      <c r="N149" s="67">
        <f t="shared" si="9"/>
        <v>0</v>
      </c>
      <c r="O149" s="68">
        <f t="shared" si="10"/>
        <v>0</v>
      </c>
      <c r="P149" s="68">
        <f t="shared" si="11"/>
        <v>0</v>
      </c>
      <c r="Q149" s="67">
        <f t="shared" si="12"/>
        <v>0</v>
      </c>
      <c r="R149" s="67">
        <f t="shared" si="13"/>
        <v>0</v>
      </c>
      <c r="S149" s="68">
        <f t="shared" si="14"/>
        <v>0</v>
      </c>
      <c r="T149" s="67">
        <f t="shared" si="15"/>
        <v>0</v>
      </c>
      <c r="U149" s="67">
        <f t="shared" si="16"/>
        <v>0</v>
      </c>
      <c r="V149" s="67">
        <f t="shared" si="17"/>
        <v>0</v>
      </c>
      <c r="W149" s="69">
        <f t="shared" si="18"/>
        <v>0</v>
      </c>
      <c r="X149" s="69">
        <f t="shared" si="19"/>
        <v>0</v>
      </c>
      <c r="Y149" s="69">
        <f t="shared" si="20"/>
        <v>0</v>
      </c>
      <c r="Z149" s="67">
        <f t="shared" si="21"/>
        <v>0</v>
      </c>
      <c r="AA149" s="69">
        <f t="shared" si="22"/>
        <v>0</v>
      </c>
      <c r="AB149" s="69">
        <f t="shared" si="23"/>
        <v>0</v>
      </c>
      <c r="AC149" s="68">
        <f t="shared" si="24"/>
        <v>0</v>
      </c>
      <c r="AD149" s="69">
        <f t="shared" si="25"/>
        <v>0</v>
      </c>
      <c r="AE149" s="69">
        <f t="shared" si="26"/>
        <v>0</v>
      </c>
      <c r="AF149" s="67">
        <f t="shared" si="27"/>
        <v>0</v>
      </c>
      <c r="AG149" s="69">
        <f t="shared" si="28"/>
        <v>0</v>
      </c>
      <c r="AH149" s="67">
        <f t="shared" si="29"/>
        <v>0</v>
      </c>
    </row>
    <row r="150" ht="15.75" customHeight="1">
      <c r="B150" s="71" t="s">
        <v>153</v>
      </c>
      <c r="C150" s="20"/>
      <c r="D150" s="20"/>
      <c r="E150" s="21"/>
      <c r="F150" s="161" t="str">
        <f t="shared" si="2"/>
        <v/>
      </c>
      <c r="G150" s="67">
        <f t="shared" si="3"/>
        <v>0</v>
      </c>
      <c r="H150" s="68">
        <f t="shared" si="4"/>
        <v>0</v>
      </c>
      <c r="I150" s="68">
        <f t="shared" si="5"/>
        <v>0</v>
      </c>
      <c r="J150" s="69">
        <f t="shared" si="6"/>
        <v>0</v>
      </c>
      <c r="K150" s="69">
        <f t="shared" si="7"/>
        <v>0</v>
      </c>
      <c r="L150" s="43"/>
      <c r="M150" s="69">
        <f t="shared" si="8"/>
        <v>0</v>
      </c>
      <c r="N150" s="67">
        <f t="shared" si="9"/>
        <v>0</v>
      </c>
      <c r="O150" s="68">
        <f t="shared" si="10"/>
        <v>0</v>
      </c>
      <c r="P150" s="68">
        <f t="shared" si="11"/>
        <v>0</v>
      </c>
      <c r="Q150" s="67">
        <f t="shared" si="12"/>
        <v>0</v>
      </c>
      <c r="R150" s="67">
        <f t="shared" si="13"/>
        <v>0</v>
      </c>
      <c r="S150" s="68">
        <f t="shared" si="14"/>
        <v>0</v>
      </c>
      <c r="T150" s="67">
        <f t="shared" si="15"/>
        <v>0</v>
      </c>
      <c r="U150" s="67">
        <f t="shared" si="16"/>
        <v>0</v>
      </c>
      <c r="V150" s="67">
        <f t="shared" si="17"/>
        <v>0</v>
      </c>
      <c r="W150" s="69">
        <f t="shared" si="18"/>
        <v>0</v>
      </c>
      <c r="X150" s="69">
        <f t="shared" si="19"/>
        <v>0</v>
      </c>
      <c r="Y150" s="69">
        <f t="shared" si="20"/>
        <v>0</v>
      </c>
      <c r="Z150" s="67">
        <f t="shared" si="21"/>
        <v>0</v>
      </c>
      <c r="AA150" s="69">
        <f t="shared" si="22"/>
        <v>0</v>
      </c>
      <c r="AB150" s="69">
        <f t="shared" si="23"/>
        <v>0</v>
      </c>
      <c r="AC150" s="68">
        <f t="shared" si="24"/>
        <v>0</v>
      </c>
      <c r="AD150" s="69">
        <f t="shared" si="25"/>
        <v>0</v>
      </c>
      <c r="AE150" s="69">
        <f t="shared" si="26"/>
        <v>0</v>
      </c>
      <c r="AF150" s="67">
        <f t="shared" si="27"/>
        <v>0</v>
      </c>
      <c r="AG150" s="69">
        <f t="shared" si="28"/>
        <v>0</v>
      </c>
      <c r="AH150" s="67">
        <f t="shared" si="29"/>
        <v>0</v>
      </c>
    </row>
    <row r="151" ht="15.75" customHeight="1">
      <c r="B151" s="71" t="s">
        <v>155</v>
      </c>
      <c r="C151" s="20"/>
      <c r="D151" s="20"/>
      <c r="E151" s="21"/>
      <c r="F151" s="161" t="str">
        <f t="shared" si="2"/>
        <v/>
      </c>
      <c r="G151" s="67">
        <f t="shared" si="3"/>
        <v>0</v>
      </c>
      <c r="H151" s="68">
        <f t="shared" si="4"/>
        <v>0</v>
      </c>
      <c r="I151" s="68">
        <f t="shared" si="5"/>
        <v>0</v>
      </c>
      <c r="J151" s="69">
        <f t="shared" si="6"/>
        <v>0</v>
      </c>
      <c r="K151" s="69">
        <f t="shared" si="7"/>
        <v>0</v>
      </c>
      <c r="L151" s="43"/>
      <c r="M151" s="69">
        <f t="shared" si="8"/>
        <v>0</v>
      </c>
      <c r="N151" s="67">
        <f t="shared" si="9"/>
        <v>0</v>
      </c>
      <c r="O151" s="68">
        <f t="shared" si="10"/>
        <v>0</v>
      </c>
      <c r="P151" s="68">
        <f t="shared" si="11"/>
        <v>0</v>
      </c>
      <c r="Q151" s="67">
        <f t="shared" si="12"/>
        <v>0</v>
      </c>
      <c r="R151" s="67">
        <f t="shared" si="13"/>
        <v>0</v>
      </c>
      <c r="S151" s="68">
        <f t="shared" si="14"/>
        <v>0</v>
      </c>
      <c r="T151" s="67">
        <f t="shared" si="15"/>
        <v>0</v>
      </c>
      <c r="U151" s="67">
        <f t="shared" si="16"/>
        <v>0</v>
      </c>
      <c r="V151" s="67">
        <f t="shared" si="17"/>
        <v>0</v>
      </c>
      <c r="W151" s="69">
        <f t="shared" si="18"/>
        <v>0</v>
      </c>
      <c r="X151" s="69">
        <f t="shared" si="19"/>
        <v>0</v>
      </c>
      <c r="Y151" s="69">
        <f t="shared" si="20"/>
        <v>0</v>
      </c>
      <c r="Z151" s="67">
        <f t="shared" si="21"/>
        <v>0</v>
      </c>
      <c r="AA151" s="69">
        <f t="shared" si="22"/>
        <v>0</v>
      </c>
      <c r="AB151" s="69">
        <f t="shared" si="23"/>
        <v>0</v>
      </c>
      <c r="AC151" s="68">
        <f t="shared" si="24"/>
        <v>0</v>
      </c>
      <c r="AD151" s="69">
        <f t="shared" si="25"/>
        <v>0</v>
      </c>
      <c r="AE151" s="69">
        <f t="shared" si="26"/>
        <v>0</v>
      </c>
      <c r="AF151" s="67">
        <f t="shared" si="27"/>
        <v>0</v>
      </c>
      <c r="AG151" s="69">
        <f t="shared" si="28"/>
        <v>0</v>
      </c>
      <c r="AH151" s="67">
        <f t="shared" si="29"/>
        <v>0</v>
      </c>
    </row>
    <row r="152" ht="15.75" customHeight="1">
      <c r="B152" s="71" t="s">
        <v>156</v>
      </c>
      <c r="C152" s="20"/>
      <c r="D152" s="20"/>
      <c r="E152" s="21"/>
      <c r="F152" s="161" t="str">
        <f t="shared" si="2"/>
        <v/>
      </c>
      <c r="G152" s="67">
        <f t="shared" si="3"/>
        <v>0</v>
      </c>
      <c r="H152" s="68">
        <f t="shared" si="4"/>
        <v>0</v>
      </c>
      <c r="I152" s="68">
        <f t="shared" si="5"/>
        <v>0</v>
      </c>
      <c r="J152" s="69">
        <f t="shared" si="6"/>
        <v>0</v>
      </c>
      <c r="K152" s="69">
        <f t="shared" si="7"/>
        <v>0</v>
      </c>
      <c r="L152" s="43"/>
      <c r="M152" s="69">
        <f t="shared" si="8"/>
        <v>0</v>
      </c>
      <c r="N152" s="67">
        <f t="shared" si="9"/>
        <v>0</v>
      </c>
      <c r="O152" s="68">
        <f t="shared" si="10"/>
        <v>0</v>
      </c>
      <c r="P152" s="68">
        <f t="shared" si="11"/>
        <v>0</v>
      </c>
      <c r="Q152" s="67">
        <f t="shared" si="12"/>
        <v>0</v>
      </c>
      <c r="R152" s="67">
        <f t="shared" si="13"/>
        <v>0</v>
      </c>
      <c r="S152" s="68">
        <f t="shared" si="14"/>
        <v>0</v>
      </c>
      <c r="T152" s="67">
        <f t="shared" si="15"/>
        <v>0</v>
      </c>
      <c r="U152" s="67">
        <f t="shared" si="16"/>
        <v>0</v>
      </c>
      <c r="V152" s="67">
        <f t="shared" si="17"/>
        <v>0</v>
      </c>
      <c r="W152" s="69">
        <f t="shared" si="18"/>
        <v>0</v>
      </c>
      <c r="X152" s="69">
        <f t="shared" si="19"/>
        <v>0</v>
      </c>
      <c r="Y152" s="69">
        <f t="shared" si="20"/>
        <v>0</v>
      </c>
      <c r="Z152" s="67">
        <f t="shared" si="21"/>
        <v>0</v>
      </c>
      <c r="AA152" s="69">
        <f t="shared" si="22"/>
        <v>0</v>
      </c>
      <c r="AB152" s="69">
        <f t="shared" si="23"/>
        <v>0</v>
      </c>
      <c r="AC152" s="68">
        <f t="shared" si="24"/>
        <v>0</v>
      </c>
      <c r="AD152" s="69">
        <f t="shared" si="25"/>
        <v>0</v>
      </c>
      <c r="AE152" s="69">
        <f t="shared" si="26"/>
        <v>0</v>
      </c>
      <c r="AF152" s="67">
        <f t="shared" si="27"/>
        <v>0</v>
      </c>
      <c r="AG152" s="69">
        <f t="shared" si="28"/>
        <v>0</v>
      </c>
      <c r="AH152" s="67">
        <f t="shared" si="29"/>
        <v>0</v>
      </c>
    </row>
    <row r="153" ht="15.75" customHeight="1">
      <c r="B153" s="65" t="s">
        <v>159</v>
      </c>
      <c r="C153" s="20"/>
      <c r="D153" s="20"/>
      <c r="E153" s="21"/>
      <c r="F153" s="161" t="str">
        <f t="shared" si="2"/>
        <v/>
      </c>
      <c r="G153" s="67">
        <f t="shared" si="3"/>
        <v>0</v>
      </c>
      <c r="H153" s="68">
        <f t="shared" si="4"/>
        <v>0</v>
      </c>
      <c r="I153" s="68">
        <f t="shared" si="5"/>
        <v>0</v>
      </c>
      <c r="J153" s="69">
        <f t="shared" si="6"/>
        <v>0</v>
      </c>
      <c r="K153" s="69">
        <f t="shared" si="7"/>
        <v>0</v>
      </c>
      <c r="L153" s="43"/>
      <c r="M153" s="69">
        <f t="shared" si="8"/>
        <v>0</v>
      </c>
      <c r="N153" s="67">
        <f t="shared" si="9"/>
        <v>0</v>
      </c>
      <c r="O153" s="68">
        <f t="shared" si="10"/>
        <v>0</v>
      </c>
      <c r="P153" s="68">
        <f t="shared" si="11"/>
        <v>0</v>
      </c>
      <c r="Q153" s="67">
        <f t="shared" si="12"/>
        <v>0</v>
      </c>
      <c r="R153" s="67">
        <f t="shared" si="13"/>
        <v>0</v>
      </c>
      <c r="S153" s="68">
        <f t="shared" si="14"/>
        <v>0</v>
      </c>
      <c r="T153" s="67">
        <f t="shared" si="15"/>
        <v>0</v>
      </c>
      <c r="U153" s="67">
        <f t="shared" si="16"/>
        <v>0</v>
      </c>
      <c r="V153" s="67">
        <f t="shared" si="17"/>
        <v>0</v>
      </c>
      <c r="W153" s="69">
        <f t="shared" si="18"/>
        <v>0</v>
      </c>
      <c r="X153" s="69">
        <f t="shared" si="19"/>
        <v>0</v>
      </c>
      <c r="Y153" s="69">
        <f t="shared" si="20"/>
        <v>0</v>
      </c>
      <c r="Z153" s="67">
        <f t="shared" si="21"/>
        <v>0</v>
      </c>
      <c r="AA153" s="69">
        <f t="shared" si="22"/>
        <v>0</v>
      </c>
      <c r="AB153" s="69">
        <f t="shared" si="23"/>
        <v>0</v>
      </c>
      <c r="AC153" s="68">
        <f t="shared" si="24"/>
        <v>0</v>
      </c>
      <c r="AD153" s="69">
        <f t="shared" si="25"/>
        <v>0</v>
      </c>
      <c r="AE153" s="69">
        <f t="shared" si="26"/>
        <v>0</v>
      </c>
      <c r="AF153" s="67">
        <f t="shared" si="27"/>
        <v>0</v>
      </c>
      <c r="AG153" s="69">
        <f t="shared" si="28"/>
        <v>0</v>
      </c>
      <c r="AH153" s="67">
        <f t="shared" si="29"/>
        <v>0</v>
      </c>
    </row>
    <row r="154" ht="15.75" customHeight="1">
      <c r="B154" s="65" t="s">
        <v>162</v>
      </c>
      <c r="C154" s="20"/>
      <c r="D154" s="20"/>
      <c r="E154" s="21"/>
      <c r="F154" s="161" t="str">
        <f t="shared" si="2"/>
        <v/>
      </c>
      <c r="G154" s="67">
        <f t="shared" si="3"/>
        <v>0</v>
      </c>
      <c r="H154" s="68">
        <f t="shared" si="4"/>
        <v>0</v>
      </c>
      <c r="I154" s="68">
        <f t="shared" si="5"/>
        <v>0</v>
      </c>
      <c r="J154" s="69">
        <f t="shared" si="6"/>
        <v>0</v>
      </c>
      <c r="K154" s="69">
        <f t="shared" si="7"/>
        <v>0</v>
      </c>
      <c r="L154" s="43"/>
      <c r="M154" s="69">
        <f t="shared" si="8"/>
        <v>0</v>
      </c>
      <c r="N154" s="67">
        <f t="shared" si="9"/>
        <v>0</v>
      </c>
      <c r="O154" s="68">
        <f t="shared" si="10"/>
        <v>0</v>
      </c>
      <c r="P154" s="68">
        <f t="shared" si="11"/>
        <v>0</v>
      </c>
      <c r="Q154" s="67">
        <f t="shared" si="12"/>
        <v>0</v>
      </c>
      <c r="R154" s="67">
        <f t="shared" si="13"/>
        <v>0</v>
      </c>
      <c r="S154" s="68">
        <f t="shared" si="14"/>
        <v>0</v>
      </c>
      <c r="T154" s="67">
        <f t="shared" si="15"/>
        <v>0</v>
      </c>
      <c r="U154" s="67">
        <f t="shared" si="16"/>
        <v>0</v>
      </c>
      <c r="V154" s="67">
        <f t="shared" si="17"/>
        <v>0</v>
      </c>
      <c r="W154" s="69">
        <f t="shared" si="18"/>
        <v>0</v>
      </c>
      <c r="X154" s="69">
        <f t="shared" si="19"/>
        <v>0</v>
      </c>
      <c r="Y154" s="69">
        <f t="shared" si="20"/>
        <v>0</v>
      </c>
      <c r="Z154" s="67">
        <f t="shared" si="21"/>
        <v>0</v>
      </c>
      <c r="AA154" s="69">
        <f t="shared" si="22"/>
        <v>0</v>
      </c>
      <c r="AB154" s="69">
        <f t="shared" si="23"/>
        <v>0</v>
      </c>
      <c r="AC154" s="68">
        <f t="shared" si="24"/>
        <v>0</v>
      </c>
      <c r="AD154" s="69">
        <f t="shared" si="25"/>
        <v>0</v>
      </c>
      <c r="AE154" s="69">
        <f t="shared" si="26"/>
        <v>0</v>
      </c>
      <c r="AF154" s="67">
        <f t="shared" si="27"/>
        <v>0</v>
      </c>
      <c r="AG154" s="69">
        <f t="shared" si="28"/>
        <v>0</v>
      </c>
      <c r="AH154" s="67">
        <f t="shared" si="29"/>
        <v>0</v>
      </c>
    </row>
    <row r="155" ht="15.75" customHeight="1">
      <c r="B155" s="65" t="s">
        <v>165</v>
      </c>
      <c r="C155" s="20"/>
      <c r="D155" s="20"/>
      <c r="E155" s="21"/>
      <c r="F155" s="161" t="str">
        <f t="shared" si="2"/>
        <v/>
      </c>
      <c r="G155" s="67">
        <f t="shared" si="3"/>
        <v>0</v>
      </c>
      <c r="H155" s="68">
        <f t="shared" si="4"/>
        <v>0</v>
      </c>
      <c r="I155" s="68">
        <f t="shared" si="5"/>
        <v>0</v>
      </c>
      <c r="J155" s="69">
        <f t="shared" si="6"/>
        <v>0</v>
      </c>
      <c r="K155" s="69">
        <f t="shared" si="7"/>
        <v>0</v>
      </c>
      <c r="L155" s="43"/>
      <c r="M155" s="69">
        <f t="shared" si="8"/>
        <v>0</v>
      </c>
      <c r="N155" s="67">
        <f t="shared" si="9"/>
        <v>0</v>
      </c>
      <c r="O155" s="68">
        <f t="shared" si="10"/>
        <v>0</v>
      </c>
      <c r="P155" s="68">
        <f t="shared" si="11"/>
        <v>0</v>
      </c>
      <c r="Q155" s="67">
        <f t="shared" si="12"/>
        <v>0</v>
      </c>
      <c r="R155" s="67">
        <f t="shared" si="13"/>
        <v>0</v>
      </c>
      <c r="S155" s="68">
        <f t="shared" si="14"/>
        <v>0</v>
      </c>
      <c r="T155" s="67">
        <f t="shared" si="15"/>
        <v>0</v>
      </c>
      <c r="U155" s="67">
        <f t="shared" si="16"/>
        <v>0</v>
      </c>
      <c r="V155" s="67">
        <f t="shared" si="17"/>
        <v>0</v>
      </c>
      <c r="W155" s="69">
        <f t="shared" si="18"/>
        <v>0</v>
      </c>
      <c r="X155" s="69">
        <f t="shared" si="19"/>
        <v>0</v>
      </c>
      <c r="Y155" s="69">
        <f t="shared" si="20"/>
        <v>0</v>
      </c>
      <c r="Z155" s="67">
        <f t="shared" si="21"/>
        <v>0</v>
      </c>
      <c r="AA155" s="69">
        <f t="shared" si="22"/>
        <v>0</v>
      </c>
      <c r="AB155" s="69">
        <f t="shared" si="23"/>
        <v>0</v>
      </c>
      <c r="AC155" s="68">
        <f t="shared" si="24"/>
        <v>0</v>
      </c>
      <c r="AD155" s="69">
        <f t="shared" si="25"/>
        <v>0</v>
      </c>
      <c r="AE155" s="69">
        <f t="shared" si="26"/>
        <v>0</v>
      </c>
      <c r="AF155" s="67">
        <f t="shared" si="27"/>
        <v>0</v>
      </c>
      <c r="AG155" s="69">
        <f t="shared" si="28"/>
        <v>0</v>
      </c>
      <c r="AH155" s="67">
        <f t="shared" si="29"/>
        <v>0</v>
      </c>
    </row>
    <row r="156" ht="15.75" customHeight="1">
      <c r="B156" s="71" t="s">
        <v>167</v>
      </c>
      <c r="C156" s="20"/>
      <c r="D156" s="20"/>
      <c r="E156" s="21"/>
      <c r="F156" s="161" t="str">
        <f t="shared" si="2"/>
        <v/>
      </c>
      <c r="G156" s="67">
        <f t="shared" si="3"/>
        <v>0</v>
      </c>
      <c r="H156" s="68">
        <f t="shared" si="4"/>
        <v>0</v>
      </c>
      <c r="I156" s="68">
        <f t="shared" si="5"/>
        <v>0</v>
      </c>
      <c r="J156" s="69">
        <f t="shared" si="6"/>
        <v>0</v>
      </c>
      <c r="K156" s="69">
        <f t="shared" si="7"/>
        <v>0</v>
      </c>
      <c r="L156" s="43"/>
      <c r="M156" s="69">
        <f t="shared" si="8"/>
        <v>0</v>
      </c>
      <c r="N156" s="67">
        <f t="shared" si="9"/>
        <v>0</v>
      </c>
      <c r="O156" s="68">
        <f t="shared" si="10"/>
        <v>0</v>
      </c>
      <c r="P156" s="68">
        <f t="shared" si="11"/>
        <v>0</v>
      </c>
      <c r="Q156" s="67">
        <f t="shared" si="12"/>
        <v>0</v>
      </c>
      <c r="R156" s="67">
        <f t="shared" si="13"/>
        <v>0</v>
      </c>
      <c r="S156" s="68">
        <f t="shared" si="14"/>
        <v>0</v>
      </c>
      <c r="T156" s="67">
        <f t="shared" si="15"/>
        <v>0</v>
      </c>
      <c r="U156" s="67">
        <f t="shared" si="16"/>
        <v>0</v>
      </c>
      <c r="V156" s="67">
        <f t="shared" si="17"/>
        <v>0</v>
      </c>
      <c r="W156" s="69">
        <f t="shared" si="18"/>
        <v>0</v>
      </c>
      <c r="X156" s="69">
        <f t="shared" si="19"/>
        <v>0</v>
      </c>
      <c r="Y156" s="69">
        <f t="shared" si="20"/>
        <v>0</v>
      </c>
      <c r="Z156" s="67">
        <f t="shared" si="21"/>
        <v>0</v>
      </c>
      <c r="AA156" s="69">
        <f t="shared" si="22"/>
        <v>0</v>
      </c>
      <c r="AB156" s="69">
        <f t="shared" si="23"/>
        <v>0</v>
      </c>
      <c r="AC156" s="68">
        <f t="shared" si="24"/>
        <v>0</v>
      </c>
      <c r="AD156" s="69">
        <f t="shared" si="25"/>
        <v>0</v>
      </c>
      <c r="AE156" s="69">
        <f t="shared" si="26"/>
        <v>0</v>
      </c>
      <c r="AF156" s="67">
        <f t="shared" si="27"/>
        <v>0</v>
      </c>
      <c r="AG156" s="69">
        <f t="shared" si="28"/>
        <v>0</v>
      </c>
      <c r="AH156" s="67">
        <f t="shared" si="29"/>
        <v>0</v>
      </c>
    </row>
    <row r="157" ht="15.75" customHeight="1">
      <c r="B157" s="71" t="s">
        <v>169</v>
      </c>
      <c r="C157" s="20"/>
      <c r="D157" s="20"/>
      <c r="E157" s="21"/>
      <c r="F157" s="161" t="str">
        <f t="shared" si="2"/>
        <v/>
      </c>
      <c r="G157" s="67">
        <f t="shared" si="3"/>
        <v>0</v>
      </c>
      <c r="H157" s="68">
        <f t="shared" si="4"/>
        <v>0</v>
      </c>
      <c r="I157" s="68">
        <f t="shared" si="5"/>
        <v>0</v>
      </c>
      <c r="J157" s="69">
        <f t="shared" si="6"/>
        <v>0</v>
      </c>
      <c r="K157" s="69">
        <f t="shared" si="7"/>
        <v>0</v>
      </c>
      <c r="L157" s="43"/>
      <c r="M157" s="69">
        <f t="shared" si="8"/>
        <v>0</v>
      </c>
      <c r="N157" s="67">
        <f t="shared" si="9"/>
        <v>0</v>
      </c>
      <c r="O157" s="68">
        <f t="shared" si="10"/>
        <v>0</v>
      </c>
      <c r="P157" s="68">
        <f t="shared" si="11"/>
        <v>0</v>
      </c>
      <c r="Q157" s="67">
        <f t="shared" si="12"/>
        <v>0</v>
      </c>
      <c r="R157" s="67">
        <f t="shared" si="13"/>
        <v>0</v>
      </c>
      <c r="S157" s="68">
        <f t="shared" si="14"/>
        <v>0</v>
      </c>
      <c r="T157" s="67">
        <f t="shared" si="15"/>
        <v>0</v>
      </c>
      <c r="U157" s="67">
        <f t="shared" si="16"/>
        <v>0</v>
      </c>
      <c r="V157" s="67">
        <f t="shared" si="17"/>
        <v>0</v>
      </c>
      <c r="W157" s="69">
        <f t="shared" si="18"/>
        <v>0</v>
      </c>
      <c r="X157" s="69">
        <f t="shared" si="19"/>
        <v>0</v>
      </c>
      <c r="Y157" s="69">
        <f t="shared" si="20"/>
        <v>0</v>
      </c>
      <c r="Z157" s="67">
        <f t="shared" si="21"/>
        <v>0</v>
      </c>
      <c r="AA157" s="69">
        <f t="shared" si="22"/>
        <v>0</v>
      </c>
      <c r="AB157" s="69">
        <f t="shared" si="23"/>
        <v>0</v>
      </c>
      <c r="AC157" s="68">
        <f t="shared" si="24"/>
        <v>0</v>
      </c>
      <c r="AD157" s="69">
        <f t="shared" si="25"/>
        <v>0</v>
      </c>
      <c r="AE157" s="69">
        <f t="shared" si="26"/>
        <v>0</v>
      </c>
      <c r="AF157" s="67">
        <f t="shared" si="27"/>
        <v>0</v>
      </c>
      <c r="AG157" s="69">
        <f t="shared" si="28"/>
        <v>0</v>
      </c>
      <c r="AH157" s="67">
        <f t="shared" si="29"/>
        <v>0</v>
      </c>
    </row>
    <row r="158" ht="15.75" customHeight="1">
      <c r="B158" s="71" t="s">
        <v>171</v>
      </c>
      <c r="C158" s="20"/>
      <c r="D158" s="20"/>
      <c r="E158" s="21"/>
      <c r="F158" s="161" t="str">
        <f t="shared" si="2"/>
        <v/>
      </c>
      <c r="G158" s="67">
        <f t="shared" si="3"/>
        <v>0</v>
      </c>
      <c r="H158" s="68">
        <f t="shared" si="4"/>
        <v>0</v>
      </c>
      <c r="I158" s="68">
        <f t="shared" si="5"/>
        <v>0</v>
      </c>
      <c r="J158" s="69">
        <f t="shared" si="6"/>
        <v>0</v>
      </c>
      <c r="K158" s="69">
        <f t="shared" si="7"/>
        <v>0</v>
      </c>
      <c r="L158" s="43"/>
      <c r="M158" s="69">
        <f t="shared" si="8"/>
        <v>0</v>
      </c>
      <c r="N158" s="67">
        <f t="shared" si="9"/>
        <v>0</v>
      </c>
      <c r="O158" s="68">
        <f t="shared" si="10"/>
        <v>0</v>
      </c>
      <c r="P158" s="68">
        <f t="shared" si="11"/>
        <v>0</v>
      </c>
      <c r="Q158" s="67">
        <f t="shared" si="12"/>
        <v>0</v>
      </c>
      <c r="R158" s="67">
        <f t="shared" si="13"/>
        <v>0</v>
      </c>
      <c r="S158" s="68">
        <f t="shared" si="14"/>
        <v>0</v>
      </c>
      <c r="T158" s="67">
        <f t="shared" si="15"/>
        <v>0</v>
      </c>
      <c r="U158" s="67">
        <f t="shared" si="16"/>
        <v>0</v>
      </c>
      <c r="V158" s="67">
        <f t="shared" si="17"/>
        <v>0</v>
      </c>
      <c r="W158" s="69">
        <f t="shared" si="18"/>
        <v>0</v>
      </c>
      <c r="X158" s="69">
        <f t="shared" si="19"/>
        <v>0</v>
      </c>
      <c r="Y158" s="69">
        <f t="shared" si="20"/>
        <v>0</v>
      </c>
      <c r="Z158" s="67">
        <f t="shared" si="21"/>
        <v>0</v>
      </c>
      <c r="AA158" s="69">
        <f t="shared" si="22"/>
        <v>0</v>
      </c>
      <c r="AB158" s="69">
        <f t="shared" si="23"/>
        <v>0</v>
      </c>
      <c r="AC158" s="68">
        <f t="shared" si="24"/>
        <v>0</v>
      </c>
      <c r="AD158" s="69">
        <f t="shared" si="25"/>
        <v>0</v>
      </c>
      <c r="AE158" s="69">
        <f t="shared" si="26"/>
        <v>0</v>
      </c>
      <c r="AF158" s="67">
        <f t="shared" si="27"/>
        <v>0</v>
      </c>
      <c r="AG158" s="69">
        <f t="shared" si="28"/>
        <v>0</v>
      </c>
      <c r="AH158" s="67">
        <f t="shared" si="29"/>
        <v>0</v>
      </c>
    </row>
    <row r="159" ht="15.75" customHeight="1">
      <c r="B159" s="65" t="s">
        <v>173</v>
      </c>
      <c r="C159" s="20"/>
      <c r="D159" s="20"/>
      <c r="E159" s="21"/>
      <c r="F159" s="161" t="str">
        <f t="shared" si="2"/>
        <v/>
      </c>
      <c r="G159" s="67">
        <f t="shared" si="3"/>
        <v>0</v>
      </c>
      <c r="H159" s="68">
        <f t="shared" si="4"/>
        <v>0</v>
      </c>
      <c r="I159" s="68">
        <f t="shared" si="5"/>
        <v>0</v>
      </c>
      <c r="J159" s="69">
        <f t="shared" si="6"/>
        <v>0</v>
      </c>
      <c r="K159" s="69">
        <f t="shared" si="7"/>
        <v>0</v>
      </c>
      <c r="L159" s="43"/>
      <c r="M159" s="69">
        <f t="shared" si="8"/>
        <v>0</v>
      </c>
      <c r="N159" s="67">
        <f t="shared" si="9"/>
        <v>0</v>
      </c>
      <c r="O159" s="68">
        <f t="shared" si="10"/>
        <v>0</v>
      </c>
      <c r="P159" s="68">
        <f t="shared" si="11"/>
        <v>0</v>
      </c>
      <c r="Q159" s="67">
        <f t="shared" si="12"/>
        <v>0</v>
      </c>
      <c r="R159" s="67">
        <f t="shared" si="13"/>
        <v>0</v>
      </c>
      <c r="S159" s="68">
        <f t="shared" si="14"/>
        <v>0</v>
      </c>
      <c r="T159" s="67">
        <f t="shared" si="15"/>
        <v>0</v>
      </c>
      <c r="U159" s="67">
        <f t="shared" si="16"/>
        <v>0</v>
      </c>
      <c r="V159" s="67">
        <f t="shared" si="17"/>
        <v>0</v>
      </c>
      <c r="W159" s="69">
        <f t="shared" si="18"/>
        <v>0</v>
      </c>
      <c r="X159" s="69">
        <f t="shared" si="19"/>
        <v>0</v>
      </c>
      <c r="Y159" s="69">
        <f t="shared" si="20"/>
        <v>0</v>
      </c>
      <c r="Z159" s="67">
        <f t="shared" si="21"/>
        <v>0</v>
      </c>
      <c r="AA159" s="69">
        <f t="shared" si="22"/>
        <v>0</v>
      </c>
      <c r="AB159" s="69">
        <f t="shared" si="23"/>
        <v>0</v>
      </c>
      <c r="AC159" s="68">
        <f t="shared" si="24"/>
        <v>0</v>
      </c>
      <c r="AD159" s="69">
        <f t="shared" si="25"/>
        <v>0</v>
      </c>
      <c r="AE159" s="69">
        <f t="shared" si="26"/>
        <v>0</v>
      </c>
      <c r="AF159" s="67">
        <f t="shared" si="27"/>
        <v>0</v>
      </c>
      <c r="AG159" s="69">
        <f t="shared" si="28"/>
        <v>0</v>
      </c>
      <c r="AH159" s="67">
        <f t="shared" si="29"/>
        <v>0</v>
      </c>
    </row>
    <row r="160" ht="15.75" customHeight="1">
      <c r="B160" s="65" t="s">
        <v>174</v>
      </c>
      <c r="C160" s="20"/>
      <c r="D160" s="20"/>
      <c r="E160" s="21"/>
      <c r="F160" s="161" t="str">
        <f t="shared" si="2"/>
        <v/>
      </c>
      <c r="G160" s="67">
        <f t="shared" si="3"/>
        <v>0</v>
      </c>
      <c r="H160" s="68">
        <f t="shared" si="4"/>
        <v>0</v>
      </c>
      <c r="I160" s="68">
        <f t="shared" si="5"/>
        <v>0</v>
      </c>
      <c r="J160" s="69">
        <f t="shared" si="6"/>
        <v>0</v>
      </c>
      <c r="K160" s="69">
        <f t="shared" si="7"/>
        <v>0</v>
      </c>
      <c r="L160" s="43"/>
      <c r="M160" s="69">
        <f t="shared" si="8"/>
        <v>0</v>
      </c>
      <c r="N160" s="67">
        <f t="shared" si="9"/>
        <v>0</v>
      </c>
      <c r="O160" s="68">
        <f t="shared" si="10"/>
        <v>0</v>
      </c>
      <c r="P160" s="68">
        <f t="shared" si="11"/>
        <v>0</v>
      </c>
      <c r="Q160" s="67">
        <f t="shared" si="12"/>
        <v>0</v>
      </c>
      <c r="R160" s="67">
        <f t="shared" si="13"/>
        <v>0</v>
      </c>
      <c r="S160" s="68">
        <f t="shared" si="14"/>
        <v>0</v>
      </c>
      <c r="T160" s="67">
        <f t="shared" si="15"/>
        <v>0</v>
      </c>
      <c r="U160" s="67">
        <f t="shared" si="16"/>
        <v>0</v>
      </c>
      <c r="V160" s="67">
        <f t="shared" si="17"/>
        <v>0</v>
      </c>
      <c r="W160" s="69">
        <f t="shared" si="18"/>
        <v>0</v>
      </c>
      <c r="X160" s="69">
        <f t="shared" si="19"/>
        <v>0</v>
      </c>
      <c r="Y160" s="69">
        <f t="shared" si="20"/>
        <v>0</v>
      </c>
      <c r="Z160" s="67">
        <f t="shared" si="21"/>
        <v>0</v>
      </c>
      <c r="AA160" s="69">
        <f t="shared" si="22"/>
        <v>0</v>
      </c>
      <c r="AB160" s="69">
        <f t="shared" si="23"/>
        <v>0</v>
      </c>
      <c r="AC160" s="68">
        <f t="shared" si="24"/>
        <v>0</v>
      </c>
      <c r="AD160" s="69">
        <f t="shared" si="25"/>
        <v>0</v>
      </c>
      <c r="AE160" s="69">
        <f t="shared" si="26"/>
        <v>0</v>
      </c>
      <c r="AF160" s="67">
        <f t="shared" si="27"/>
        <v>0</v>
      </c>
      <c r="AG160" s="69">
        <f t="shared" si="28"/>
        <v>0</v>
      </c>
      <c r="AH160" s="67">
        <f t="shared" si="29"/>
        <v>0</v>
      </c>
    </row>
    <row r="161" ht="15.75" customHeight="1">
      <c r="B161" s="65" t="s">
        <v>175</v>
      </c>
      <c r="C161" s="20"/>
      <c r="D161" s="20"/>
      <c r="E161" s="21"/>
      <c r="F161" s="161" t="str">
        <f t="shared" si="2"/>
        <v/>
      </c>
      <c r="G161" s="67">
        <f t="shared" si="3"/>
        <v>0</v>
      </c>
      <c r="H161" s="68">
        <f t="shared" si="4"/>
        <v>0</v>
      </c>
      <c r="I161" s="68">
        <f t="shared" si="5"/>
        <v>0</v>
      </c>
      <c r="J161" s="69">
        <f t="shared" si="6"/>
        <v>0</v>
      </c>
      <c r="K161" s="69">
        <f t="shared" si="7"/>
        <v>0</v>
      </c>
      <c r="L161" s="43"/>
      <c r="M161" s="69">
        <f t="shared" si="8"/>
        <v>0</v>
      </c>
      <c r="N161" s="67">
        <f t="shared" si="9"/>
        <v>0</v>
      </c>
      <c r="O161" s="68">
        <f t="shared" si="10"/>
        <v>0</v>
      </c>
      <c r="P161" s="68">
        <f t="shared" si="11"/>
        <v>0</v>
      </c>
      <c r="Q161" s="67">
        <f t="shared" si="12"/>
        <v>0</v>
      </c>
      <c r="R161" s="67">
        <f t="shared" si="13"/>
        <v>0</v>
      </c>
      <c r="S161" s="68">
        <f t="shared" si="14"/>
        <v>0</v>
      </c>
      <c r="T161" s="67">
        <f t="shared" si="15"/>
        <v>0</v>
      </c>
      <c r="U161" s="67">
        <f t="shared" si="16"/>
        <v>0</v>
      </c>
      <c r="V161" s="67">
        <f t="shared" si="17"/>
        <v>0</v>
      </c>
      <c r="W161" s="69">
        <f t="shared" si="18"/>
        <v>0</v>
      </c>
      <c r="X161" s="69">
        <f t="shared" si="19"/>
        <v>0</v>
      </c>
      <c r="Y161" s="69">
        <f t="shared" si="20"/>
        <v>0</v>
      </c>
      <c r="Z161" s="67">
        <f t="shared" si="21"/>
        <v>0</v>
      </c>
      <c r="AA161" s="69">
        <f t="shared" si="22"/>
        <v>0</v>
      </c>
      <c r="AB161" s="69">
        <f t="shared" si="23"/>
        <v>0</v>
      </c>
      <c r="AC161" s="68">
        <f t="shared" si="24"/>
        <v>0</v>
      </c>
      <c r="AD161" s="69">
        <f t="shared" si="25"/>
        <v>0</v>
      </c>
      <c r="AE161" s="69">
        <f t="shared" si="26"/>
        <v>0</v>
      </c>
      <c r="AF161" s="67">
        <f t="shared" si="27"/>
        <v>0</v>
      </c>
      <c r="AG161" s="69">
        <f t="shared" si="28"/>
        <v>0</v>
      </c>
      <c r="AH161" s="67">
        <f t="shared" si="29"/>
        <v>0</v>
      </c>
    </row>
    <row r="162" ht="15.75" customHeight="1">
      <c r="B162" s="71" t="s">
        <v>176</v>
      </c>
      <c r="C162" s="20"/>
      <c r="D162" s="20"/>
      <c r="E162" s="21"/>
      <c r="F162" s="161" t="str">
        <f t="shared" si="2"/>
        <v/>
      </c>
      <c r="G162" s="67">
        <f t="shared" si="3"/>
        <v>0</v>
      </c>
      <c r="H162" s="68">
        <f t="shared" si="4"/>
        <v>0</v>
      </c>
      <c r="I162" s="68">
        <f t="shared" si="5"/>
        <v>0</v>
      </c>
      <c r="J162" s="69">
        <f t="shared" si="6"/>
        <v>0</v>
      </c>
      <c r="K162" s="69">
        <f t="shared" si="7"/>
        <v>0</v>
      </c>
      <c r="L162" s="43"/>
      <c r="M162" s="69">
        <f t="shared" si="8"/>
        <v>0</v>
      </c>
      <c r="N162" s="67">
        <f t="shared" si="9"/>
        <v>0</v>
      </c>
      <c r="O162" s="68">
        <f t="shared" si="10"/>
        <v>0</v>
      </c>
      <c r="P162" s="68">
        <f t="shared" si="11"/>
        <v>0</v>
      </c>
      <c r="Q162" s="67">
        <f t="shared" si="12"/>
        <v>0</v>
      </c>
      <c r="R162" s="67">
        <f t="shared" si="13"/>
        <v>0</v>
      </c>
      <c r="S162" s="68">
        <f t="shared" si="14"/>
        <v>0</v>
      </c>
      <c r="T162" s="67">
        <f t="shared" si="15"/>
        <v>0</v>
      </c>
      <c r="U162" s="67">
        <f t="shared" si="16"/>
        <v>0</v>
      </c>
      <c r="V162" s="67">
        <f t="shared" si="17"/>
        <v>0</v>
      </c>
      <c r="W162" s="69">
        <f t="shared" si="18"/>
        <v>0</v>
      </c>
      <c r="X162" s="69">
        <f t="shared" si="19"/>
        <v>0</v>
      </c>
      <c r="Y162" s="69">
        <f t="shared" si="20"/>
        <v>0</v>
      </c>
      <c r="Z162" s="67">
        <f t="shared" si="21"/>
        <v>0</v>
      </c>
      <c r="AA162" s="69">
        <f t="shared" si="22"/>
        <v>0</v>
      </c>
      <c r="AB162" s="69">
        <f t="shared" si="23"/>
        <v>0</v>
      </c>
      <c r="AC162" s="68">
        <f t="shared" si="24"/>
        <v>0</v>
      </c>
      <c r="AD162" s="69">
        <f t="shared" si="25"/>
        <v>0</v>
      </c>
      <c r="AE162" s="69">
        <f t="shared" si="26"/>
        <v>0</v>
      </c>
      <c r="AF162" s="67">
        <f t="shared" si="27"/>
        <v>0</v>
      </c>
      <c r="AG162" s="69">
        <f t="shared" si="28"/>
        <v>0</v>
      </c>
      <c r="AH162" s="67">
        <f t="shared" si="29"/>
        <v>0</v>
      </c>
    </row>
    <row r="163" ht="15.75" customHeight="1">
      <c r="B163" s="71" t="s">
        <v>177</v>
      </c>
      <c r="C163" s="20"/>
      <c r="D163" s="20"/>
      <c r="E163" s="21"/>
      <c r="F163" s="161" t="str">
        <f t="shared" si="2"/>
        <v/>
      </c>
      <c r="G163" s="67">
        <f t="shared" si="3"/>
        <v>0</v>
      </c>
      <c r="H163" s="68">
        <f t="shared" si="4"/>
        <v>0</v>
      </c>
      <c r="I163" s="68">
        <f t="shared" si="5"/>
        <v>0</v>
      </c>
      <c r="J163" s="69">
        <f t="shared" si="6"/>
        <v>0</v>
      </c>
      <c r="K163" s="69">
        <f t="shared" si="7"/>
        <v>0</v>
      </c>
      <c r="L163" s="43"/>
      <c r="M163" s="69">
        <f t="shared" si="8"/>
        <v>0</v>
      </c>
      <c r="N163" s="67">
        <f t="shared" si="9"/>
        <v>0</v>
      </c>
      <c r="O163" s="68">
        <f t="shared" si="10"/>
        <v>0</v>
      </c>
      <c r="P163" s="68">
        <f t="shared" si="11"/>
        <v>0</v>
      </c>
      <c r="Q163" s="67">
        <f t="shared" si="12"/>
        <v>0</v>
      </c>
      <c r="R163" s="67">
        <f t="shared" si="13"/>
        <v>0</v>
      </c>
      <c r="S163" s="68">
        <f t="shared" si="14"/>
        <v>0</v>
      </c>
      <c r="T163" s="67">
        <f t="shared" si="15"/>
        <v>0</v>
      </c>
      <c r="U163" s="67">
        <f t="shared" si="16"/>
        <v>0</v>
      </c>
      <c r="V163" s="67">
        <f t="shared" si="17"/>
        <v>0</v>
      </c>
      <c r="W163" s="69">
        <f t="shared" si="18"/>
        <v>0</v>
      </c>
      <c r="X163" s="69">
        <f t="shared" si="19"/>
        <v>0</v>
      </c>
      <c r="Y163" s="69">
        <f t="shared" si="20"/>
        <v>0</v>
      </c>
      <c r="Z163" s="67">
        <f t="shared" si="21"/>
        <v>0</v>
      </c>
      <c r="AA163" s="69">
        <f t="shared" si="22"/>
        <v>0</v>
      </c>
      <c r="AB163" s="69">
        <f t="shared" si="23"/>
        <v>0</v>
      </c>
      <c r="AC163" s="68">
        <f t="shared" si="24"/>
        <v>0</v>
      </c>
      <c r="AD163" s="69">
        <f t="shared" si="25"/>
        <v>0</v>
      </c>
      <c r="AE163" s="69">
        <f t="shared" si="26"/>
        <v>0</v>
      </c>
      <c r="AF163" s="67">
        <f t="shared" si="27"/>
        <v>0</v>
      </c>
      <c r="AG163" s="69">
        <f t="shared" si="28"/>
        <v>0</v>
      </c>
      <c r="AH163" s="67">
        <f t="shared" si="29"/>
        <v>0</v>
      </c>
    </row>
    <row r="164" ht="15.75" customHeight="1">
      <c r="B164" s="71" t="s">
        <v>179</v>
      </c>
      <c r="C164" s="20"/>
      <c r="D164" s="20"/>
      <c r="E164" s="21"/>
      <c r="F164" s="161" t="str">
        <f t="shared" si="2"/>
        <v/>
      </c>
      <c r="G164" s="67">
        <f t="shared" si="3"/>
        <v>0</v>
      </c>
      <c r="H164" s="68">
        <f t="shared" si="4"/>
        <v>0</v>
      </c>
      <c r="I164" s="68">
        <f t="shared" si="5"/>
        <v>0</v>
      </c>
      <c r="J164" s="69">
        <f t="shared" si="6"/>
        <v>0</v>
      </c>
      <c r="K164" s="69">
        <f t="shared" si="7"/>
        <v>0</v>
      </c>
      <c r="L164" s="43"/>
      <c r="M164" s="69">
        <f t="shared" si="8"/>
        <v>0</v>
      </c>
      <c r="N164" s="67">
        <f t="shared" si="9"/>
        <v>0</v>
      </c>
      <c r="O164" s="68">
        <f t="shared" si="10"/>
        <v>0</v>
      </c>
      <c r="P164" s="68">
        <f t="shared" si="11"/>
        <v>0</v>
      </c>
      <c r="Q164" s="67">
        <f t="shared" si="12"/>
        <v>0</v>
      </c>
      <c r="R164" s="67">
        <f t="shared" si="13"/>
        <v>0</v>
      </c>
      <c r="S164" s="68">
        <f t="shared" si="14"/>
        <v>0</v>
      </c>
      <c r="T164" s="67">
        <f t="shared" si="15"/>
        <v>0</v>
      </c>
      <c r="U164" s="67">
        <f t="shared" si="16"/>
        <v>0</v>
      </c>
      <c r="V164" s="67">
        <f t="shared" si="17"/>
        <v>0</v>
      </c>
      <c r="W164" s="69">
        <f t="shared" si="18"/>
        <v>0</v>
      </c>
      <c r="X164" s="69">
        <f t="shared" si="19"/>
        <v>0</v>
      </c>
      <c r="Y164" s="69">
        <f t="shared" si="20"/>
        <v>0</v>
      </c>
      <c r="Z164" s="67">
        <f t="shared" si="21"/>
        <v>0</v>
      </c>
      <c r="AA164" s="69">
        <f t="shared" si="22"/>
        <v>0</v>
      </c>
      <c r="AB164" s="69">
        <f t="shared" si="23"/>
        <v>0</v>
      </c>
      <c r="AC164" s="68">
        <f t="shared" si="24"/>
        <v>0</v>
      </c>
      <c r="AD164" s="69">
        <f t="shared" si="25"/>
        <v>0</v>
      </c>
      <c r="AE164" s="69">
        <f t="shared" si="26"/>
        <v>0</v>
      </c>
      <c r="AF164" s="67">
        <f t="shared" si="27"/>
        <v>0</v>
      </c>
      <c r="AG164" s="69">
        <f t="shared" si="28"/>
        <v>0</v>
      </c>
      <c r="AH164" s="67">
        <f t="shared" si="29"/>
        <v>0</v>
      </c>
    </row>
    <row r="165" ht="15.75" customHeight="1">
      <c r="B165" s="71" t="s">
        <v>181</v>
      </c>
      <c r="C165" s="20"/>
      <c r="D165" s="20"/>
      <c r="E165" s="21"/>
      <c r="F165" s="161" t="str">
        <f t="shared" si="2"/>
        <v/>
      </c>
      <c r="G165" s="67">
        <f t="shared" si="3"/>
        <v>0</v>
      </c>
      <c r="H165" s="68">
        <f t="shared" si="4"/>
        <v>0</v>
      </c>
      <c r="I165" s="68">
        <f t="shared" si="5"/>
        <v>0</v>
      </c>
      <c r="J165" s="69">
        <f t="shared" si="6"/>
        <v>0</v>
      </c>
      <c r="K165" s="69">
        <f t="shared" si="7"/>
        <v>0</v>
      </c>
      <c r="L165" s="43"/>
      <c r="M165" s="69">
        <f t="shared" si="8"/>
        <v>0</v>
      </c>
      <c r="N165" s="67">
        <f t="shared" si="9"/>
        <v>0</v>
      </c>
      <c r="O165" s="68">
        <f t="shared" si="10"/>
        <v>0</v>
      </c>
      <c r="P165" s="68">
        <f t="shared" si="11"/>
        <v>0</v>
      </c>
      <c r="Q165" s="67">
        <f t="shared" si="12"/>
        <v>0</v>
      </c>
      <c r="R165" s="67">
        <f t="shared" si="13"/>
        <v>0</v>
      </c>
      <c r="S165" s="68">
        <f t="shared" si="14"/>
        <v>0</v>
      </c>
      <c r="T165" s="67">
        <f t="shared" si="15"/>
        <v>0</v>
      </c>
      <c r="U165" s="67">
        <f t="shared" si="16"/>
        <v>0</v>
      </c>
      <c r="V165" s="67">
        <f t="shared" si="17"/>
        <v>0</v>
      </c>
      <c r="W165" s="69">
        <f t="shared" si="18"/>
        <v>0</v>
      </c>
      <c r="X165" s="69">
        <f t="shared" si="19"/>
        <v>0</v>
      </c>
      <c r="Y165" s="69">
        <f t="shared" si="20"/>
        <v>0</v>
      </c>
      <c r="Z165" s="67">
        <f t="shared" si="21"/>
        <v>0</v>
      </c>
      <c r="AA165" s="69">
        <f t="shared" si="22"/>
        <v>0</v>
      </c>
      <c r="AB165" s="69">
        <f t="shared" si="23"/>
        <v>0</v>
      </c>
      <c r="AC165" s="68">
        <f t="shared" si="24"/>
        <v>0</v>
      </c>
      <c r="AD165" s="69">
        <f t="shared" si="25"/>
        <v>0</v>
      </c>
      <c r="AE165" s="69">
        <f t="shared" si="26"/>
        <v>0</v>
      </c>
      <c r="AF165" s="67">
        <f t="shared" si="27"/>
        <v>0</v>
      </c>
      <c r="AG165" s="69">
        <f t="shared" si="28"/>
        <v>0</v>
      </c>
      <c r="AH165" s="67">
        <f t="shared" si="29"/>
        <v>0</v>
      </c>
    </row>
    <row r="166" ht="15.75" customHeight="1">
      <c r="B166" s="65" t="s">
        <v>184</v>
      </c>
      <c r="C166" s="20"/>
      <c r="D166" s="20"/>
      <c r="E166" s="21"/>
      <c r="F166" s="161" t="str">
        <f t="shared" si="2"/>
        <v/>
      </c>
      <c r="G166" s="67">
        <f t="shared" si="3"/>
        <v>0</v>
      </c>
      <c r="H166" s="68">
        <f t="shared" si="4"/>
        <v>0</v>
      </c>
      <c r="I166" s="68">
        <f t="shared" si="5"/>
        <v>0</v>
      </c>
      <c r="J166" s="69">
        <f t="shared" si="6"/>
        <v>0</v>
      </c>
      <c r="K166" s="69">
        <f t="shared" si="7"/>
        <v>0</v>
      </c>
      <c r="L166" s="43"/>
      <c r="M166" s="69">
        <f t="shared" si="8"/>
        <v>0</v>
      </c>
      <c r="N166" s="67">
        <f t="shared" si="9"/>
        <v>0</v>
      </c>
      <c r="O166" s="68">
        <f t="shared" si="10"/>
        <v>0</v>
      </c>
      <c r="P166" s="68">
        <f t="shared" si="11"/>
        <v>0</v>
      </c>
      <c r="Q166" s="67">
        <f t="shared" si="12"/>
        <v>0</v>
      </c>
      <c r="R166" s="67">
        <f t="shared" si="13"/>
        <v>0</v>
      </c>
      <c r="S166" s="68">
        <f t="shared" si="14"/>
        <v>0</v>
      </c>
      <c r="T166" s="67">
        <f t="shared" si="15"/>
        <v>0</v>
      </c>
      <c r="U166" s="67">
        <f t="shared" si="16"/>
        <v>0</v>
      </c>
      <c r="V166" s="67">
        <f t="shared" si="17"/>
        <v>0</v>
      </c>
      <c r="W166" s="69">
        <f t="shared" si="18"/>
        <v>0</v>
      </c>
      <c r="X166" s="69">
        <f t="shared" si="19"/>
        <v>0</v>
      </c>
      <c r="Y166" s="69">
        <f t="shared" si="20"/>
        <v>0</v>
      </c>
      <c r="Z166" s="67">
        <f t="shared" si="21"/>
        <v>0</v>
      </c>
      <c r="AA166" s="69">
        <f t="shared" si="22"/>
        <v>0</v>
      </c>
      <c r="AB166" s="69">
        <f t="shared" si="23"/>
        <v>0</v>
      </c>
      <c r="AC166" s="68">
        <f t="shared" si="24"/>
        <v>0</v>
      </c>
      <c r="AD166" s="69">
        <f t="shared" si="25"/>
        <v>0</v>
      </c>
      <c r="AE166" s="69">
        <f t="shared" si="26"/>
        <v>0</v>
      </c>
      <c r="AF166" s="67">
        <f t="shared" si="27"/>
        <v>0</v>
      </c>
      <c r="AG166" s="69">
        <f t="shared" si="28"/>
        <v>0</v>
      </c>
      <c r="AH166" s="67">
        <f t="shared" si="29"/>
        <v>0</v>
      </c>
    </row>
    <row r="167" ht="15.75" customHeight="1">
      <c r="B167" s="65" t="s">
        <v>186</v>
      </c>
      <c r="C167" s="20"/>
      <c r="D167" s="20"/>
      <c r="E167" s="21"/>
      <c r="F167" s="161" t="str">
        <f t="shared" si="2"/>
        <v/>
      </c>
      <c r="G167" s="67">
        <f t="shared" si="3"/>
        <v>0</v>
      </c>
      <c r="H167" s="68">
        <f t="shared" si="4"/>
        <v>0</v>
      </c>
      <c r="I167" s="68">
        <f t="shared" si="5"/>
        <v>0</v>
      </c>
      <c r="J167" s="69">
        <f t="shared" si="6"/>
        <v>0</v>
      </c>
      <c r="K167" s="69">
        <f t="shared" si="7"/>
        <v>0</v>
      </c>
      <c r="L167" s="43"/>
      <c r="M167" s="69">
        <f t="shared" si="8"/>
        <v>0</v>
      </c>
      <c r="N167" s="67">
        <f t="shared" si="9"/>
        <v>0</v>
      </c>
      <c r="O167" s="68">
        <f t="shared" si="10"/>
        <v>0</v>
      </c>
      <c r="P167" s="68">
        <f t="shared" si="11"/>
        <v>0</v>
      </c>
      <c r="Q167" s="67">
        <f t="shared" si="12"/>
        <v>0</v>
      </c>
      <c r="R167" s="67">
        <f t="shared" si="13"/>
        <v>0</v>
      </c>
      <c r="S167" s="68">
        <f t="shared" si="14"/>
        <v>0</v>
      </c>
      <c r="T167" s="67">
        <f t="shared" si="15"/>
        <v>0</v>
      </c>
      <c r="U167" s="67">
        <f t="shared" si="16"/>
        <v>0</v>
      </c>
      <c r="V167" s="67">
        <f t="shared" si="17"/>
        <v>0</v>
      </c>
      <c r="W167" s="69">
        <f t="shared" si="18"/>
        <v>0</v>
      </c>
      <c r="X167" s="69">
        <f t="shared" si="19"/>
        <v>0</v>
      </c>
      <c r="Y167" s="69">
        <f t="shared" si="20"/>
        <v>0</v>
      </c>
      <c r="Z167" s="67">
        <f t="shared" si="21"/>
        <v>0</v>
      </c>
      <c r="AA167" s="69">
        <f t="shared" si="22"/>
        <v>0</v>
      </c>
      <c r="AB167" s="69">
        <f t="shared" si="23"/>
        <v>0</v>
      </c>
      <c r="AC167" s="68">
        <f t="shared" si="24"/>
        <v>0</v>
      </c>
      <c r="AD167" s="69">
        <f t="shared" si="25"/>
        <v>0</v>
      </c>
      <c r="AE167" s="69">
        <f t="shared" si="26"/>
        <v>0</v>
      </c>
      <c r="AF167" s="67">
        <f t="shared" si="27"/>
        <v>0</v>
      </c>
      <c r="AG167" s="69">
        <f t="shared" si="28"/>
        <v>0</v>
      </c>
      <c r="AH167" s="67">
        <f t="shared" si="29"/>
        <v>0</v>
      </c>
    </row>
    <row r="168" ht="15.75" customHeight="1">
      <c r="B168" s="71" t="s">
        <v>189</v>
      </c>
      <c r="C168" s="20"/>
      <c r="D168" s="20"/>
      <c r="E168" s="21"/>
      <c r="F168" s="161" t="str">
        <f t="shared" si="2"/>
        <v/>
      </c>
      <c r="G168" s="67">
        <f t="shared" si="3"/>
        <v>0</v>
      </c>
      <c r="H168" s="68">
        <f t="shared" si="4"/>
        <v>0</v>
      </c>
      <c r="I168" s="68">
        <f t="shared" si="5"/>
        <v>0</v>
      </c>
      <c r="J168" s="69">
        <f t="shared" si="6"/>
        <v>0</v>
      </c>
      <c r="K168" s="69">
        <f t="shared" si="7"/>
        <v>0</v>
      </c>
      <c r="L168" s="43"/>
      <c r="M168" s="69">
        <f t="shared" si="8"/>
        <v>0</v>
      </c>
      <c r="N168" s="67">
        <f t="shared" si="9"/>
        <v>0</v>
      </c>
      <c r="O168" s="68">
        <f t="shared" si="10"/>
        <v>0</v>
      </c>
      <c r="P168" s="68">
        <f t="shared" si="11"/>
        <v>0</v>
      </c>
      <c r="Q168" s="67">
        <f t="shared" si="12"/>
        <v>0</v>
      </c>
      <c r="R168" s="67">
        <f t="shared" si="13"/>
        <v>0</v>
      </c>
      <c r="S168" s="68">
        <f t="shared" si="14"/>
        <v>0</v>
      </c>
      <c r="T168" s="67">
        <f t="shared" si="15"/>
        <v>0</v>
      </c>
      <c r="U168" s="67">
        <f t="shared" si="16"/>
        <v>0</v>
      </c>
      <c r="V168" s="67">
        <f t="shared" si="17"/>
        <v>0</v>
      </c>
      <c r="W168" s="69">
        <f t="shared" si="18"/>
        <v>0</v>
      </c>
      <c r="X168" s="69">
        <f t="shared" si="19"/>
        <v>0</v>
      </c>
      <c r="Y168" s="69">
        <f t="shared" si="20"/>
        <v>0</v>
      </c>
      <c r="Z168" s="67">
        <f t="shared" si="21"/>
        <v>0</v>
      </c>
      <c r="AA168" s="69">
        <f t="shared" si="22"/>
        <v>0</v>
      </c>
      <c r="AB168" s="69">
        <f t="shared" si="23"/>
        <v>0</v>
      </c>
      <c r="AC168" s="68">
        <f t="shared" si="24"/>
        <v>0</v>
      </c>
      <c r="AD168" s="69">
        <f t="shared" si="25"/>
        <v>0</v>
      </c>
      <c r="AE168" s="69">
        <f t="shared" si="26"/>
        <v>0</v>
      </c>
      <c r="AF168" s="67">
        <f t="shared" si="27"/>
        <v>0</v>
      </c>
      <c r="AG168" s="69">
        <f t="shared" si="28"/>
        <v>0</v>
      </c>
      <c r="AH168" s="67">
        <f t="shared" si="29"/>
        <v>0</v>
      </c>
    </row>
    <row r="169" ht="15.75" customHeight="1">
      <c r="B169" s="71" t="s">
        <v>210</v>
      </c>
      <c r="C169" s="20"/>
      <c r="D169" s="20"/>
      <c r="E169" s="21"/>
      <c r="F169" s="161" t="str">
        <f t="shared" si="2"/>
        <v/>
      </c>
      <c r="G169" s="67">
        <f t="shared" si="3"/>
        <v>0</v>
      </c>
      <c r="H169" s="68">
        <f t="shared" si="4"/>
        <v>0</v>
      </c>
      <c r="I169" s="68">
        <f t="shared" si="5"/>
        <v>0</v>
      </c>
      <c r="J169" s="69">
        <f t="shared" si="6"/>
        <v>0</v>
      </c>
      <c r="K169" s="69">
        <f t="shared" si="7"/>
        <v>0</v>
      </c>
      <c r="L169" s="43"/>
      <c r="M169" s="69">
        <f t="shared" si="8"/>
        <v>0</v>
      </c>
      <c r="N169" s="67">
        <f t="shared" si="9"/>
        <v>0</v>
      </c>
      <c r="O169" s="68">
        <f t="shared" si="10"/>
        <v>0</v>
      </c>
      <c r="P169" s="68">
        <f t="shared" si="11"/>
        <v>0</v>
      </c>
      <c r="Q169" s="67">
        <f t="shared" si="12"/>
        <v>0</v>
      </c>
      <c r="R169" s="67">
        <f t="shared" si="13"/>
        <v>0</v>
      </c>
      <c r="S169" s="68">
        <f t="shared" si="14"/>
        <v>0</v>
      </c>
      <c r="T169" s="67">
        <f t="shared" si="15"/>
        <v>0</v>
      </c>
      <c r="U169" s="67">
        <f t="shared" si="16"/>
        <v>0</v>
      </c>
      <c r="V169" s="67">
        <f t="shared" si="17"/>
        <v>0</v>
      </c>
      <c r="W169" s="69">
        <f t="shared" si="18"/>
        <v>0</v>
      </c>
      <c r="X169" s="69">
        <f t="shared" si="19"/>
        <v>0</v>
      </c>
      <c r="Y169" s="69">
        <f t="shared" si="20"/>
        <v>0</v>
      </c>
      <c r="Z169" s="67">
        <f t="shared" si="21"/>
        <v>0</v>
      </c>
      <c r="AA169" s="69">
        <f t="shared" si="22"/>
        <v>0</v>
      </c>
      <c r="AB169" s="69">
        <f t="shared" si="23"/>
        <v>0</v>
      </c>
      <c r="AC169" s="68">
        <f t="shared" si="24"/>
        <v>0</v>
      </c>
      <c r="AD169" s="69">
        <f t="shared" si="25"/>
        <v>0</v>
      </c>
      <c r="AE169" s="69">
        <f t="shared" si="26"/>
        <v>0</v>
      </c>
      <c r="AF169" s="67">
        <f t="shared" si="27"/>
        <v>0</v>
      </c>
      <c r="AG169" s="69">
        <f t="shared" si="28"/>
        <v>0</v>
      </c>
      <c r="AH169" s="67">
        <f t="shared" si="29"/>
        <v>0</v>
      </c>
    </row>
    <row r="170" ht="15.75" customHeight="1">
      <c r="B170" s="65" t="s">
        <v>195</v>
      </c>
      <c r="C170" s="20"/>
      <c r="D170" s="20"/>
      <c r="E170" s="21"/>
      <c r="F170" s="161" t="str">
        <f t="shared" si="2"/>
        <v/>
      </c>
      <c r="G170" s="67">
        <f t="shared" si="3"/>
        <v>0</v>
      </c>
      <c r="H170" s="68">
        <f t="shared" si="4"/>
        <v>0</v>
      </c>
      <c r="I170" s="68">
        <f t="shared" si="5"/>
        <v>0</v>
      </c>
      <c r="J170" s="69">
        <f t="shared" si="6"/>
        <v>0</v>
      </c>
      <c r="K170" s="69">
        <f t="shared" si="7"/>
        <v>0</v>
      </c>
      <c r="L170" s="43"/>
      <c r="M170" s="69">
        <f t="shared" si="8"/>
        <v>0</v>
      </c>
      <c r="N170" s="67">
        <f t="shared" si="9"/>
        <v>0</v>
      </c>
      <c r="O170" s="68">
        <f t="shared" si="10"/>
        <v>0</v>
      </c>
      <c r="P170" s="68">
        <f t="shared" si="11"/>
        <v>0</v>
      </c>
      <c r="Q170" s="67">
        <f t="shared" si="12"/>
        <v>0</v>
      </c>
      <c r="R170" s="67">
        <f t="shared" si="13"/>
        <v>0</v>
      </c>
      <c r="S170" s="68">
        <f t="shared" si="14"/>
        <v>0</v>
      </c>
      <c r="T170" s="67">
        <f t="shared" si="15"/>
        <v>0</v>
      </c>
      <c r="U170" s="67">
        <f t="shared" si="16"/>
        <v>0</v>
      </c>
      <c r="V170" s="67">
        <f t="shared" si="17"/>
        <v>0</v>
      </c>
      <c r="W170" s="69">
        <f t="shared" si="18"/>
        <v>0</v>
      </c>
      <c r="X170" s="69">
        <f t="shared" si="19"/>
        <v>0</v>
      </c>
      <c r="Y170" s="69">
        <f t="shared" si="20"/>
        <v>0</v>
      </c>
      <c r="Z170" s="67">
        <f t="shared" si="21"/>
        <v>0</v>
      </c>
      <c r="AA170" s="69">
        <f t="shared" si="22"/>
        <v>0</v>
      </c>
      <c r="AB170" s="69">
        <f t="shared" si="23"/>
        <v>0</v>
      </c>
      <c r="AC170" s="68">
        <f t="shared" si="24"/>
        <v>0</v>
      </c>
      <c r="AD170" s="69">
        <f t="shared" si="25"/>
        <v>0</v>
      </c>
      <c r="AE170" s="69">
        <f t="shared" si="26"/>
        <v>0</v>
      </c>
      <c r="AF170" s="67">
        <f t="shared" si="27"/>
        <v>0</v>
      </c>
      <c r="AG170" s="69">
        <f t="shared" si="28"/>
        <v>0</v>
      </c>
      <c r="AH170" s="67">
        <f t="shared" si="29"/>
        <v>0</v>
      </c>
    </row>
    <row r="171" ht="15.75" customHeight="1">
      <c r="B171" s="65" t="s">
        <v>196</v>
      </c>
      <c r="C171" s="20"/>
      <c r="D171" s="20"/>
      <c r="E171" s="21"/>
      <c r="F171" s="161" t="str">
        <f t="shared" si="2"/>
        <v/>
      </c>
      <c r="G171" s="67">
        <f t="shared" si="3"/>
        <v>0</v>
      </c>
      <c r="H171" s="68">
        <f t="shared" si="4"/>
        <v>0</v>
      </c>
      <c r="I171" s="68">
        <f t="shared" si="5"/>
        <v>0</v>
      </c>
      <c r="J171" s="69">
        <f t="shared" si="6"/>
        <v>0</v>
      </c>
      <c r="K171" s="69">
        <f t="shared" si="7"/>
        <v>0</v>
      </c>
      <c r="L171" s="43"/>
      <c r="M171" s="69">
        <f t="shared" si="8"/>
        <v>0</v>
      </c>
      <c r="N171" s="67">
        <f t="shared" si="9"/>
        <v>0</v>
      </c>
      <c r="O171" s="68">
        <f t="shared" si="10"/>
        <v>0</v>
      </c>
      <c r="P171" s="68">
        <f t="shared" si="11"/>
        <v>0</v>
      </c>
      <c r="Q171" s="67">
        <f t="shared" si="12"/>
        <v>0</v>
      </c>
      <c r="R171" s="67">
        <f t="shared" si="13"/>
        <v>0</v>
      </c>
      <c r="S171" s="68">
        <f t="shared" si="14"/>
        <v>0</v>
      </c>
      <c r="T171" s="67">
        <f t="shared" si="15"/>
        <v>0</v>
      </c>
      <c r="U171" s="67">
        <f t="shared" si="16"/>
        <v>0</v>
      </c>
      <c r="V171" s="67">
        <f t="shared" si="17"/>
        <v>0</v>
      </c>
      <c r="W171" s="69">
        <f t="shared" si="18"/>
        <v>0</v>
      </c>
      <c r="X171" s="69">
        <f t="shared" si="19"/>
        <v>0</v>
      </c>
      <c r="Y171" s="69">
        <f t="shared" si="20"/>
        <v>0</v>
      </c>
      <c r="Z171" s="67">
        <f t="shared" si="21"/>
        <v>0</v>
      </c>
      <c r="AA171" s="69">
        <f t="shared" si="22"/>
        <v>0</v>
      </c>
      <c r="AB171" s="69">
        <f t="shared" si="23"/>
        <v>0</v>
      </c>
      <c r="AC171" s="68">
        <f t="shared" si="24"/>
        <v>0</v>
      </c>
      <c r="AD171" s="69">
        <f t="shared" si="25"/>
        <v>0</v>
      </c>
      <c r="AE171" s="69">
        <f t="shared" si="26"/>
        <v>0</v>
      </c>
      <c r="AF171" s="67">
        <f t="shared" si="27"/>
        <v>0</v>
      </c>
      <c r="AG171" s="69">
        <f t="shared" si="28"/>
        <v>0</v>
      </c>
      <c r="AH171" s="67">
        <f t="shared" si="29"/>
        <v>0</v>
      </c>
    </row>
    <row r="172" ht="15.75" customHeight="1">
      <c r="B172" s="65" t="s">
        <v>197</v>
      </c>
      <c r="C172" s="20"/>
      <c r="D172" s="20"/>
      <c r="E172" s="21"/>
      <c r="F172" s="161" t="str">
        <f t="shared" si="2"/>
        <v/>
      </c>
      <c r="G172" s="67">
        <f t="shared" si="3"/>
        <v>0</v>
      </c>
      <c r="H172" s="68">
        <f t="shared" si="4"/>
        <v>0</v>
      </c>
      <c r="I172" s="68">
        <f t="shared" si="5"/>
        <v>0</v>
      </c>
      <c r="J172" s="69">
        <f t="shared" si="6"/>
        <v>0</v>
      </c>
      <c r="K172" s="69">
        <f t="shared" si="7"/>
        <v>0</v>
      </c>
      <c r="L172" s="43"/>
      <c r="M172" s="69">
        <f t="shared" si="8"/>
        <v>0</v>
      </c>
      <c r="N172" s="67">
        <f t="shared" si="9"/>
        <v>0</v>
      </c>
      <c r="O172" s="68">
        <f t="shared" si="10"/>
        <v>0</v>
      </c>
      <c r="P172" s="68">
        <f t="shared" si="11"/>
        <v>0</v>
      </c>
      <c r="Q172" s="67">
        <f t="shared" si="12"/>
        <v>0</v>
      </c>
      <c r="R172" s="67">
        <f t="shared" si="13"/>
        <v>0</v>
      </c>
      <c r="S172" s="68">
        <f t="shared" si="14"/>
        <v>0</v>
      </c>
      <c r="T172" s="67">
        <f t="shared" si="15"/>
        <v>0</v>
      </c>
      <c r="U172" s="67">
        <f t="shared" si="16"/>
        <v>0</v>
      </c>
      <c r="V172" s="67">
        <f t="shared" si="17"/>
        <v>0</v>
      </c>
      <c r="W172" s="69">
        <f t="shared" si="18"/>
        <v>0</v>
      </c>
      <c r="X172" s="69">
        <f t="shared" si="19"/>
        <v>0</v>
      </c>
      <c r="Y172" s="69">
        <f t="shared" si="20"/>
        <v>0</v>
      </c>
      <c r="Z172" s="67">
        <f t="shared" si="21"/>
        <v>0</v>
      </c>
      <c r="AA172" s="69">
        <f t="shared" si="22"/>
        <v>0</v>
      </c>
      <c r="AB172" s="69">
        <f t="shared" si="23"/>
        <v>0</v>
      </c>
      <c r="AC172" s="68">
        <f t="shared" si="24"/>
        <v>0</v>
      </c>
      <c r="AD172" s="69">
        <f t="shared" si="25"/>
        <v>0</v>
      </c>
      <c r="AE172" s="69">
        <f t="shared" si="26"/>
        <v>0</v>
      </c>
      <c r="AF172" s="67">
        <f t="shared" si="27"/>
        <v>0</v>
      </c>
      <c r="AG172" s="69">
        <f t="shared" si="28"/>
        <v>0</v>
      </c>
      <c r="AH172" s="67">
        <f t="shared" si="29"/>
        <v>0</v>
      </c>
    </row>
    <row r="173" ht="15.75" customHeight="1">
      <c r="B173" s="65" t="s">
        <v>198</v>
      </c>
      <c r="C173" s="20"/>
      <c r="D173" s="20"/>
      <c r="E173" s="21"/>
      <c r="F173" s="161" t="str">
        <f t="shared" si="2"/>
        <v/>
      </c>
      <c r="G173" s="67">
        <f t="shared" si="3"/>
        <v>0</v>
      </c>
      <c r="H173" s="68">
        <f t="shared" si="4"/>
        <v>0</v>
      </c>
      <c r="I173" s="68">
        <f t="shared" si="5"/>
        <v>0</v>
      </c>
      <c r="J173" s="69">
        <f t="shared" si="6"/>
        <v>0</v>
      </c>
      <c r="K173" s="69">
        <f t="shared" si="7"/>
        <v>0</v>
      </c>
      <c r="L173" s="43"/>
      <c r="M173" s="69">
        <f t="shared" si="8"/>
        <v>0</v>
      </c>
      <c r="N173" s="67">
        <f t="shared" si="9"/>
        <v>0</v>
      </c>
      <c r="O173" s="68">
        <f t="shared" si="10"/>
        <v>0</v>
      </c>
      <c r="P173" s="68">
        <f t="shared" si="11"/>
        <v>0</v>
      </c>
      <c r="Q173" s="67">
        <f t="shared" si="12"/>
        <v>0</v>
      </c>
      <c r="R173" s="67">
        <f t="shared" si="13"/>
        <v>0</v>
      </c>
      <c r="S173" s="68">
        <f t="shared" si="14"/>
        <v>0</v>
      </c>
      <c r="T173" s="67">
        <f t="shared" si="15"/>
        <v>0</v>
      </c>
      <c r="U173" s="67">
        <f t="shared" si="16"/>
        <v>0</v>
      </c>
      <c r="V173" s="67">
        <f t="shared" si="17"/>
        <v>0</v>
      </c>
      <c r="W173" s="69">
        <f t="shared" si="18"/>
        <v>0</v>
      </c>
      <c r="X173" s="69">
        <f t="shared" si="19"/>
        <v>0</v>
      </c>
      <c r="Y173" s="69">
        <f t="shared" si="20"/>
        <v>0</v>
      </c>
      <c r="Z173" s="67">
        <f t="shared" si="21"/>
        <v>0</v>
      </c>
      <c r="AA173" s="69">
        <f t="shared" si="22"/>
        <v>0</v>
      </c>
      <c r="AB173" s="69">
        <f t="shared" si="23"/>
        <v>0</v>
      </c>
      <c r="AC173" s="68">
        <f t="shared" si="24"/>
        <v>0</v>
      </c>
      <c r="AD173" s="69">
        <f t="shared" si="25"/>
        <v>0</v>
      </c>
      <c r="AE173" s="69">
        <f t="shared" si="26"/>
        <v>0</v>
      </c>
      <c r="AF173" s="67">
        <f t="shared" si="27"/>
        <v>0</v>
      </c>
      <c r="AG173" s="69">
        <f t="shared" si="28"/>
        <v>0</v>
      </c>
      <c r="AH173" s="67">
        <f t="shared" si="29"/>
        <v>0</v>
      </c>
    </row>
    <row r="174" ht="15.75" customHeight="1">
      <c r="B174" s="65" t="s">
        <v>200</v>
      </c>
      <c r="C174" s="20"/>
      <c r="D174" s="20"/>
      <c r="E174" s="21"/>
      <c r="F174" s="161" t="str">
        <f t="shared" si="2"/>
        <v/>
      </c>
      <c r="G174" s="67">
        <f t="shared" si="3"/>
        <v>0</v>
      </c>
      <c r="H174" s="68">
        <f t="shared" si="4"/>
        <v>0</v>
      </c>
      <c r="I174" s="68">
        <f t="shared" si="5"/>
        <v>0</v>
      </c>
      <c r="J174" s="69">
        <f t="shared" si="6"/>
        <v>0</v>
      </c>
      <c r="K174" s="69">
        <f t="shared" si="7"/>
        <v>0</v>
      </c>
      <c r="L174" s="43"/>
      <c r="M174" s="69">
        <f t="shared" si="8"/>
        <v>0</v>
      </c>
      <c r="N174" s="67">
        <f t="shared" si="9"/>
        <v>0</v>
      </c>
      <c r="O174" s="68">
        <f t="shared" si="10"/>
        <v>0</v>
      </c>
      <c r="P174" s="68">
        <f t="shared" si="11"/>
        <v>0</v>
      </c>
      <c r="Q174" s="67">
        <f t="shared" si="12"/>
        <v>0</v>
      </c>
      <c r="R174" s="67">
        <f t="shared" si="13"/>
        <v>0</v>
      </c>
      <c r="S174" s="68">
        <f t="shared" si="14"/>
        <v>0</v>
      </c>
      <c r="T174" s="67">
        <f t="shared" si="15"/>
        <v>0</v>
      </c>
      <c r="U174" s="67">
        <f t="shared" si="16"/>
        <v>0</v>
      </c>
      <c r="V174" s="67">
        <f t="shared" si="17"/>
        <v>0</v>
      </c>
      <c r="W174" s="69">
        <f t="shared" si="18"/>
        <v>0</v>
      </c>
      <c r="X174" s="69">
        <f t="shared" si="19"/>
        <v>0</v>
      </c>
      <c r="Y174" s="69">
        <f t="shared" si="20"/>
        <v>0</v>
      </c>
      <c r="Z174" s="67">
        <f t="shared" si="21"/>
        <v>0</v>
      </c>
      <c r="AA174" s="69">
        <f t="shared" si="22"/>
        <v>0</v>
      </c>
      <c r="AB174" s="69">
        <f t="shared" si="23"/>
        <v>0</v>
      </c>
      <c r="AC174" s="68">
        <f t="shared" si="24"/>
        <v>0</v>
      </c>
      <c r="AD174" s="69">
        <f t="shared" si="25"/>
        <v>0</v>
      </c>
      <c r="AE174" s="69">
        <f t="shared" si="26"/>
        <v>0</v>
      </c>
      <c r="AF174" s="67">
        <f t="shared" si="27"/>
        <v>0</v>
      </c>
      <c r="AG174" s="69">
        <f t="shared" si="28"/>
        <v>0</v>
      </c>
      <c r="AH174" s="67">
        <f t="shared" si="29"/>
        <v>0</v>
      </c>
    </row>
    <row r="175" ht="15.75" customHeight="1">
      <c r="B175" s="71" t="s">
        <v>203</v>
      </c>
      <c r="C175" s="20"/>
      <c r="D175" s="20"/>
      <c r="E175" s="21"/>
      <c r="F175" s="161" t="str">
        <f t="shared" si="2"/>
        <v/>
      </c>
      <c r="G175" s="67">
        <f t="shared" si="3"/>
        <v>0</v>
      </c>
      <c r="H175" s="68">
        <f t="shared" si="4"/>
        <v>0</v>
      </c>
      <c r="I175" s="68">
        <f t="shared" si="5"/>
        <v>0</v>
      </c>
      <c r="J175" s="69">
        <f t="shared" si="6"/>
        <v>0</v>
      </c>
      <c r="K175" s="69">
        <f t="shared" si="7"/>
        <v>0</v>
      </c>
      <c r="L175" s="43"/>
      <c r="M175" s="69">
        <f t="shared" si="8"/>
        <v>0</v>
      </c>
      <c r="N175" s="67">
        <f t="shared" si="9"/>
        <v>0</v>
      </c>
      <c r="O175" s="68">
        <f t="shared" si="10"/>
        <v>0</v>
      </c>
      <c r="P175" s="68">
        <f t="shared" si="11"/>
        <v>0</v>
      </c>
      <c r="Q175" s="67">
        <f t="shared" si="12"/>
        <v>0</v>
      </c>
      <c r="R175" s="67">
        <f t="shared" si="13"/>
        <v>0</v>
      </c>
      <c r="S175" s="68">
        <f t="shared" si="14"/>
        <v>0</v>
      </c>
      <c r="T175" s="67">
        <f t="shared" si="15"/>
        <v>0</v>
      </c>
      <c r="U175" s="67">
        <f t="shared" si="16"/>
        <v>0</v>
      </c>
      <c r="V175" s="67">
        <f t="shared" si="17"/>
        <v>0</v>
      </c>
      <c r="W175" s="69">
        <f t="shared" si="18"/>
        <v>0</v>
      </c>
      <c r="X175" s="69">
        <f t="shared" si="19"/>
        <v>0</v>
      </c>
      <c r="Y175" s="69">
        <f t="shared" si="20"/>
        <v>0</v>
      </c>
      <c r="Z175" s="67">
        <f t="shared" si="21"/>
        <v>0</v>
      </c>
      <c r="AA175" s="69">
        <f t="shared" si="22"/>
        <v>0</v>
      </c>
      <c r="AB175" s="69">
        <f t="shared" si="23"/>
        <v>0</v>
      </c>
      <c r="AC175" s="68">
        <f t="shared" si="24"/>
        <v>0</v>
      </c>
      <c r="AD175" s="69">
        <f t="shared" si="25"/>
        <v>0</v>
      </c>
      <c r="AE175" s="69">
        <f t="shared" si="26"/>
        <v>0</v>
      </c>
      <c r="AF175" s="67">
        <f t="shared" si="27"/>
        <v>0</v>
      </c>
      <c r="AG175" s="69">
        <f t="shared" si="28"/>
        <v>0</v>
      </c>
      <c r="AH175" s="67">
        <f t="shared" si="29"/>
        <v>0</v>
      </c>
    </row>
    <row r="176" ht="15.75" customHeight="1">
      <c r="B176" s="71" t="s">
        <v>204</v>
      </c>
      <c r="C176" s="20"/>
      <c r="D176" s="20"/>
      <c r="E176" s="21"/>
      <c r="F176" s="161" t="str">
        <f t="shared" si="2"/>
        <v/>
      </c>
      <c r="G176" s="67">
        <f t="shared" si="3"/>
        <v>0</v>
      </c>
      <c r="H176" s="68">
        <f t="shared" si="4"/>
        <v>0</v>
      </c>
      <c r="I176" s="68">
        <f t="shared" si="5"/>
        <v>0</v>
      </c>
      <c r="J176" s="69">
        <f t="shared" si="6"/>
        <v>0</v>
      </c>
      <c r="K176" s="69">
        <f t="shared" si="7"/>
        <v>0</v>
      </c>
      <c r="L176" s="43"/>
      <c r="M176" s="69">
        <f t="shared" si="8"/>
        <v>0</v>
      </c>
      <c r="N176" s="67">
        <f t="shared" si="9"/>
        <v>0</v>
      </c>
      <c r="O176" s="68">
        <f t="shared" si="10"/>
        <v>0</v>
      </c>
      <c r="P176" s="68">
        <f t="shared" si="11"/>
        <v>0</v>
      </c>
      <c r="Q176" s="67">
        <f t="shared" si="12"/>
        <v>0</v>
      </c>
      <c r="R176" s="67">
        <f t="shared" si="13"/>
        <v>0</v>
      </c>
      <c r="S176" s="68">
        <f t="shared" si="14"/>
        <v>0</v>
      </c>
      <c r="T176" s="67">
        <f t="shared" si="15"/>
        <v>0</v>
      </c>
      <c r="U176" s="67">
        <f t="shared" si="16"/>
        <v>0</v>
      </c>
      <c r="V176" s="67">
        <f t="shared" si="17"/>
        <v>0</v>
      </c>
      <c r="W176" s="69">
        <f t="shared" si="18"/>
        <v>0</v>
      </c>
      <c r="X176" s="69">
        <f t="shared" si="19"/>
        <v>0</v>
      </c>
      <c r="Y176" s="69">
        <f t="shared" si="20"/>
        <v>0</v>
      </c>
      <c r="Z176" s="67">
        <f t="shared" si="21"/>
        <v>0</v>
      </c>
      <c r="AA176" s="69">
        <f t="shared" si="22"/>
        <v>0</v>
      </c>
      <c r="AB176" s="69">
        <f t="shared" si="23"/>
        <v>0</v>
      </c>
      <c r="AC176" s="68">
        <f t="shared" si="24"/>
        <v>0</v>
      </c>
      <c r="AD176" s="69">
        <f t="shared" si="25"/>
        <v>0</v>
      </c>
      <c r="AE176" s="69">
        <f t="shared" si="26"/>
        <v>0</v>
      </c>
      <c r="AF176" s="67">
        <f t="shared" si="27"/>
        <v>0</v>
      </c>
      <c r="AG176" s="69">
        <f t="shared" si="28"/>
        <v>0</v>
      </c>
      <c r="AH176" s="67">
        <f t="shared" si="29"/>
        <v>0</v>
      </c>
    </row>
    <row r="177" ht="15.75" customHeight="1">
      <c r="B177" s="71" t="s">
        <v>205</v>
      </c>
      <c r="C177" s="20"/>
      <c r="D177" s="20"/>
      <c r="E177" s="21"/>
      <c r="F177" s="161" t="str">
        <f t="shared" si="2"/>
        <v/>
      </c>
      <c r="G177" s="67">
        <f t="shared" si="3"/>
        <v>0</v>
      </c>
      <c r="H177" s="68">
        <f t="shared" si="4"/>
        <v>0</v>
      </c>
      <c r="I177" s="68">
        <f t="shared" si="5"/>
        <v>0</v>
      </c>
      <c r="J177" s="69">
        <f t="shared" si="6"/>
        <v>0</v>
      </c>
      <c r="K177" s="69">
        <f t="shared" si="7"/>
        <v>0</v>
      </c>
      <c r="L177" s="43"/>
      <c r="M177" s="69">
        <f t="shared" si="8"/>
        <v>0</v>
      </c>
      <c r="N177" s="67">
        <f t="shared" si="9"/>
        <v>0</v>
      </c>
      <c r="O177" s="68">
        <f t="shared" si="10"/>
        <v>0</v>
      </c>
      <c r="P177" s="68">
        <f t="shared" si="11"/>
        <v>0</v>
      </c>
      <c r="Q177" s="67">
        <f t="shared" si="12"/>
        <v>0</v>
      </c>
      <c r="R177" s="67">
        <f t="shared" si="13"/>
        <v>0</v>
      </c>
      <c r="S177" s="68">
        <f t="shared" si="14"/>
        <v>0</v>
      </c>
      <c r="T177" s="67">
        <f t="shared" si="15"/>
        <v>0</v>
      </c>
      <c r="U177" s="67">
        <f t="shared" si="16"/>
        <v>0</v>
      </c>
      <c r="V177" s="67">
        <f t="shared" si="17"/>
        <v>0</v>
      </c>
      <c r="W177" s="69">
        <f t="shared" si="18"/>
        <v>0</v>
      </c>
      <c r="X177" s="69">
        <f t="shared" si="19"/>
        <v>0</v>
      </c>
      <c r="Y177" s="69">
        <f t="shared" si="20"/>
        <v>0</v>
      </c>
      <c r="Z177" s="67">
        <f t="shared" si="21"/>
        <v>0</v>
      </c>
      <c r="AA177" s="69">
        <f t="shared" si="22"/>
        <v>0</v>
      </c>
      <c r="AB177" s="69">
        <f t="shared" si="23"/>
        <v>0</v>
      </c>
      <c r="AC177" s="68">
        <f t="shared" si="24"/>
        <v>0</v>
      </c>
      <c r="AD177" s="69">
        <f t="shared" si="25"/>
        <v>0</v>
      </c>
      <c r="AE177" s="69">
        <f t="shared" si="26"/>
        <v>0</v>
      </c>
      <c r="AF177" s="67">
        <f t="shared" si="27"/>
        <v>0</v>
      </c>
      <c r="AG177" s="69">
        <f t="shared" si="28"/>
        <v>0</v>
      </c>
      <c r="AH177" s="67">
        <f t="shared" si="29"/>
        <v>0</v>
      </c>
    </row>
    <row r="178" ht="15.75" customHeight="1">
      <c r="B178" s="71" t="s">
        <v>206</v>
      </c>
      <c r="C178" s="20"/>
      <c r="D178" s="20"/>
      <c r="E178" s="21"/>
      <c r="F178" s="161" t="str">
        <f t="shared" si="2"/>
        <v/>
      </c>
      <c r="G178" s="67">
        <f t="shared" si="3"/>
        <v>0</v>
      </c>
      <c r="H178" s="68">
        <f t="shared" si="4"/>
        <v>0</v>
      </c>
      <c r="I178" s="68">
        <f t="shared" si="5"/>
        <v>0</v>
      </c>
      <c r="J178" s="69">
        <f t="shared" si="6"/>
        <v>0</v>
      </c>
      <c r="K178" s="69">
        <f t="shared" si="7"/>
        <v>0</v>
      </c>
      <c r="L178" s="43"/>
      <c r="M178" s="69">
        <f t="shared" si="8"/>
        <v>0</v>
      </c>
      <c r="N178" s="67">
        <f t="shared" si="9"/>
        <v>0</v>
      </c>
      <c r="O178" s="68">
        <f t="shared" si="10"/>
        <v>0</v>
      </c>
      <c r="P178" s="68">
        <f t="shared" si="11"/>
        <v>0</v>
      </c>
      <c r="Q178" s="67">
        <f t="shared" si="12"/>
        <v>0</v>
      </c>
      <c r="R178" s="67">
        <f t="shared" si="13"/>
        <v>0</v>
      </c>
      <c r="S178" s="68">
        <f t="shared" si="14"/>
        <v>0</v>
      </c>
      <c r="T178" s="67">
        <f t="shared" si="15"/>
        <v>0</v>
      </c>
      <c r="U178" s="67">
        <f t="shared" si="16"/>
        <v>0</v>
      </c>
      <c r="V178" s="67">
        <f t="shared" si="17"/>
        <v>0</v>
      </c>
      <c r="W178" s="69">
        <f t="shared" si="18"/>
        <v>0</v>
      </c>
      <c r="X178" s="69">
        <f t="shared" si="19"/>
        <v>0</v>
      </c>
      <c r="Y178" s="69">
        <f t="shared" si="20"/>
        <v>0</v>
      </c>
      <c r="Z178" s="67">
        <f t="shared" si="21"/>
        <v>0</v>
      </c>
      <c r="AA178" s="69">
        <f t="shared" si="22"/>
        <v>0</v>
      </c>
      <c r="AB178" s="69">
        <f t="shared" si="23"/>
        <v>0</v>
      </c>
      <c r="AC178" s="68">
        <f t="shared" si="24"/>
        <v>0</v>
      </c>
      <c r="AD178" s="69">
        <f t="shared" si="25"/>
        <v>0</v>
      </c>
      <c r="AE178" s="69">
        <f t="shared" si="26"/>
        <v>0</v>
      </c>
      <c r="AF178" s="67">
        <f t="shared" si="27"/>
        <v>0</v>
      </c>
      <c r="AG178" s="69">
        <f t="shared" si="28"/>
        <v>0</v>
      </c>
      <c r="AH178" s="67">
        <f t="shared" si="29"/>
        <v>0</v>
      </c>
    </row>
    <row r="179" ht="15.75" customHeight="1">
      <c r="F179" s="162" t="s">
        <v>212</v>
      </c>
      <c r="G179" s="163">
        <f t="shared" ref="G179:K179" si="30">SUM(G138:G178)</f>
        <v>0</v>
      </c>
      <c r="H179" s="164">
        <f t="shared" si="30"/>
        <v>0</v>
      </c>
      <c r="I179" s="164">
        <f t="shared" si="30"/>
        <v>0</v>
      </c>
      <c r="J179" s="165">
        <f t="shared" si="30"/>
        <v>0</v>
      </c>
      <c r="K179" s="165">
        <f t="shared" si="30"/>
        <v>0</v>
      </c>
      <c r="L179" s="237"/>
      <c r="M179" s="165">
        <f t="shared" ref="M179:AH179" si="31">SUM(M138:M178)</f>
        <v>0</v>
      </c>
      <c r="N179" s="163">
        <f t="shared" si="31"/>
        <v>0</v>
      </c>
      <c r="O179" s="164">
        <f t="shared" si="31"/>
        <v>0</v>
      </c>
      <c r="P179" s="164">
        <f t="shared" si="31"/>
        <v>0</v>
      </c>
      <c r="Q179" s="163">
        <f t="shared" si="31"/>
        <v>0</v>
      </c>
      <c r="R179" s="163">
        <f t="shared" si="31"/>
        <v>0</v>
      </c>
      <c r="S179" s="164">
        <f t="shared" si="31"/>
        <v>0</v>
      </c>
      <c r="T179" s="163">
        <f t="shared" si="31"/>
        <v>0</v>
      </c>
      <c r="U179" s="163">
        <f t="shared" si="31"/>
        <v>0</v>
      </c>
      <c r="V179" s="163">
        <f t="shared" si="31"/>
        <v>0</v>
      </c>
      <c r="W179" s="165">
        <f t="shared" si="31"/>
        <v>0</v>
      </c>
      <c r="X179" s="165">
        <f t="shared" si="31"/>
        <v>0</v>
      </c>
      <c r="Y179" s="165">
        <f t="shared" si="31"/>
        <v>0</v>
      </c>
      <c r="Z179" s="163">
        <f t="shared" si="31"/>
        <v>0</v>
      </c>
      <c r="AA179" s="165">
        <f t="shared" si="31"/>
        <v>0</v>
      </c>
      <c r="AB179" s="165">
        <f t="shared" si="31"/>
        <v>0</v>
      </c>
      <c r="AC179" s="164">
        <f t="shared" si="31"/>
        <v>0</v>
      </c>
      <c r="AD179" s="165">
        <f t="shared" si="31"/>
        <v>0</v>
      </c>
      <c r="AE179" s="165">
        <f t="shared" si="31"/>
        <v>0</v>
      </c>
      <c r="AF179" s="163">
        <f t="shared" si="31"/>
        <v>0</v>
      </c>
      <c r="AG179" s="165">
        <f t="shared" si="31"/>
        <v>0</v>
      </c>
      <c r="AH179" s="163">
        <f t="shared" si="31"/>
        <v>0</v>
      </c>
    </row>
    <row r="180" ht="15.75" customHeight="1">
      <c r="F180" s="162" t="s">
        <v>213</v>
      </c>
      <c r="G180" s="85" t="str">
        <f>G87</f>
        <v/>
      </c>
      <c r="H180" s="85">
        <f>F75</f>
        <v>0</v>
      </c>
      <c r="I180" s="85">
        <f>F78</f>
        <v>0</v>
      </c>
      <c r="J180" s="86">
        <f>J78</f>
        <v>0</v>
      </c>
      <c r="K180" s="86">
        <f>J80</f>
        <v>0</v>
      </c>
      <c r="L180" s="240"/>
      <c r="M180" s="86">
        <f>J82</f>
        <v>0</v>
      </c>
      <c r="N180" s="52" t="str">
        <f>J84</f>
        <v/>
      </c>
      <c r="O180" s="85" t="str">
        <f>F85</f>
        <v>#DIV/0!</v>
      </c>
      <c r="P180" s="85">
        <f>J87</f>
        <v>0</v>
      </c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</row>
    <row r="181" ht="15.75" customHeight="1">
      <c r="F181" s="162" t="s">
        <v>214</v>
      </c>
      <c r="G181" s="166" t="str">
        <f t="shared" ref="G181:K181" si="32">((100/G180)*G179)</f>
        <v>#DIV/0!</v>
      </c>
      <c r="H181" s="166" t="str">
        <f t="shared" si="32"/>
        <v>#DIV/0!</v>
      </c>
      <c r="I181" s="166" t="str">
        <f t="shared" si="32"/>
        <v>#DIV/0!</v>
      </c>
      <c r="J181" s="166" t="str">
        <f t="shared" si="32"/>
        <v>#DIV/0!</v>
      </c>
      <c r="K181" s="166" t="str">
        <f t="shared" si="32"/>
        <v>#DIV/0!</v>
      </c>
      <c r="L181" s="241"/>
      <c r="M181" s="166" t="str">
        <f t="shared" ref="M181:AH181" si="33">((100/M180)*M179)</f>
        <v>#DIV/0!</v>
      </c>
      <c r="N181" s="166" t="str">
        <f t="shared" si="33"/>
        <v>#DIV/0!</v>
      </c>
      <c r="O181" s="166" t="str">
        <f t="shared" si="33"/>
        <v>#DIV/0!</v>
      </c>
      <c r="P181" s="166" t="str">
        <f t="shared" si="33"/>
        <v>#DIV/0!</v>
      </c>
      <c r="Q181" s="166" t="str">
        <f t="shared" si="33"/>
        <v>#DIV/0!</v>
      </c>
      <c r="R181" s="166" t="str">
        <f t="shared" si="33"/>
        <v>#DIV/0!</v>
      </c>
      <c r="S181" s="166" t="str">
        <f t="shared" si="33"/>
        <v>#DIV/0!</v>
      </c>
      <c r="T181" s="166" t="str">
        <f t="shared" si="33"/>
        <v>#DIV/0!</v>
      </c>
      <c r="U181" s="166" t="str">
        <f t="shared" si="33"/>
        <v>#DIV/0!</v>
      </c>
      <c r="V181" s="166" t="str">
        <f t="shared" si="33"/>
        <v>#DIV/0!</v>
      </c>
      <c r="W181" s="166" t="str">
        <f t="shared" si="33"/>
        <v>#DIV/0!</v>
      </c>
      <c r="X181" s="166" t="str">
        <f t="shared" si="33"/>
        <v>#DIV/0!</v>
      </c>
      <c r="Y181" s="166" t="str">
        <f t="shared" si="33"/>
        <v>#DIV/0!</v>
      </c>
      <c r="Z181" s="166" t="str">
        <f t="shared" si="33"/>
        <v>#DIV/0!</v>
      </c>
      <c r="AA181" s="166" t="str">
        <f t="shared" si="33"/>
        <v>#DIV/0!</v>
      </c>
      <c r="AB181" s="166" t="str">
        <f t="shared" si="33"/>
        <v>#DIV/0!</v>
      </c>
      <c r="AC181" s="166" t="str">
        <f t="shared" si="33"/>
        <v>#DIV/0!</v>
      </c>
      <c r="AD181" s="166" t="str">
        <f t="shared" si="33"/>
        <v>#DIV/0!</v>
      </c>
      <c r="AE181" s="166" t="str">
        <f t="shared" si="33"/>
        <v>#DIV/0!</v>
      </c>
      <c r="AF181" s="166" t="str">
        <f t="shared" si="33"/>
        <v>#DIV/0!</v>
      </c>
      <c r="AG181" s="166" t="str">
        <f t="shared" si="33"/>
        <v>#DIV/0!</v>
      </c>
      <c r="AH181" s="166" t="str">
        <f t="shared" si="33"/>
        <v>#DIV/0!</v>
      </c>
    </row>
    <row r="182" ht="15.75" customHeight="1">
      <c r="F182" s="242"/>
      <c r="G182" s="63" t="s">
        <v>97</v>
      </c>
      <c r="H182" s="63" t="s">
        <v>98</v>
      </c>
      <c r="I182" s="63" t="s">
        <v>99</v>
      </c>
      <c r="J182" s="63" t="s">
        <v>100</v>
      </c>
      <c r="K182" s="63" t="s">
        <v>101</v>
      </c>
      <c r="L182" s="237"/>
      <c r="M182" s="63" t="s">
        <v>102</v>
      </c>
      <c r="N182" s="63" t="s">
        <v>103</v>
      </c>
      <c r="O182" s="63" t="s">
        <v>104</v>
      </c>
      <c r="P182" s="63" t="s">
        <v>105</v>
      </c>
      <c r="Q182" s="157" t="s">
        <v>106</v>
      </c>
      <c r="R182" s="157" t="s">
        <v>107</v>
      </c>
      <c r="S182" s="157" t="s">
        <v>108</v>
      </c>
      <c r="T182" s="157" t="s">
        <v>109</v>
      </c>
      <c r="U182" s="157" t="s">
        <v>110</v>
      </c>
      <c r="V182" s="157" t="s">
        <v>111</v>
      </c>
      <c r="W182" s="157" t="s">
        <v>112</v>
      </c>
      <c r="X182" s="157" t="s">
        <v>113</v>
      </c>
      <c r="Y182" s="157" t="s">
        <v>114</v>
      </c>
      <c r="Z182" s="157" t="s">
        <v>115</v>
      </c>
      <c r="AA182" s="157" t="s">
        <v>116</v>
      </c>
      <c r="AB182" s="157" t="s">
        <v>117</v>
      </c>
      <c r="AC182" s="157" t="s">
        <v>118</v>
      </c>
      <c r="AD182" s="157" t="s">
        <v>119</v>
      </c>
      <c r="AE182" s="157" t="s">
        <v>120</v>
      </c>
      <c r="AF182" s="157" t="s">
        <v>121</v>
      </c>
      <c r="AG182" s="157" t="s">
        <v>122</v>
      </c>
      <c r="AH182" s="157" t="s">
        <v>438</v>
      </c>
    </row>
    <row r="183" ht="15.75" customHeight="1">
      <c r="F183" s="242"/>
    </row>
    <row r="184" ht="15.75" customHeight="1">
      <c r="B184" s="58"/>
      <c r="C184" s="58"/>
      <c r="D184" s="58"/>
      <c r="E184" s="90" t="s">
        <v>443</v>
      </c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1"/>
      <c r="R184" s="61"/>
      <c r="S184" s="61"/>
      <c r="T184" s="61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</row>
    <row r="185" ht="15.75" customHeight="1"/>
    <row r="186" ht="15.75" customHeight="1">
      <c r="G186" s="19" t="s">
        <v>443</v>
      </c>
      <c r="H186" s="20"/>
      <c r="I186" s="20"/>
      <c r="J186" s="20"/>
      <c r="K186" s="20"/>
      <c r="L186" s="20"/>
      <c r="M186" s="21"/>
      <c r="N186" s="19" t="s">
        <v>216</v>
      </c>
      <c r="O186" s="20"/>
      <c r="P186" s="21"/>
      <c r="R186" s="19" t="s">
        <v>315</v>
      </c>
      <c r="S186" s="20"/>
      <c r="T186" s="21"/>
    </row>
    <row r="187" ht="15.75" customHeight="1">
      <c r="G187" s="243" t="s">
        <v>217</v>
      </c>
      <c r="H187" s="243" t="s">
        <v>218</v>
      </c>
      <c r="I187" s="243" t="s">
        <v>298</v>
      </c>
      <c r="J187" s="243" t="s">
        <v>220</v>
      </c>
      <c r="K187" s="244" t="s">
        <v>221</v>
      </c>
      <c r="L187" s="237"/>
      <c r="M187" s="245"/>
      <c r="N187" s="246" t="s">
        <v>224</v>
      </c>
      <c r="O187" s="247"/>
      <c r="P187" s="248" t="s">
        <v>223</v>
      </c>
      <c r="R187" s="92" t="s">
        <v>316</v>
      </c>
      <c r="S187" s="93"/>
      <c r="T187" s="52">
        <f>H188/6.25</f>
        <v>0</v>
      </c>
    </row>
    <row r="188" ht="15.75" customHeight="1">
      <c r="G188" s="94" t="s">
        <v>224</v>
      </c>
      <c r="H188" s="95">
        <f>(H179)</f>
        <v>0</v>
      </c>
      <c r="I188" s="96">
        <f>(H188*4)</f>
        <v>0</v>
      </c>
      <c r="J188" s="95" t="str">
        <f>((100/I200)*I188)</f>
        <v>#DIV/0!</v>
      </c>
      <c r="K188" s="113" t="s">
        <v>225</v>
      </c>
      <c r="L188" s="43"/>
      <c r="M188" s="98">
        <f>SUM(H138:H149)</f>
        <v>0</v>
      </c>
      <c r="N188" s="92" t="s">
        <v>226</v>
      </c>
      <c r="O188" s="93"/>
      <c r="P188" s="52" t="s">
        <v>227</v>
      </c>
      <c r="R188" s="113" t="s">
        <v>317</v>
      </c>
      <c r="S188" s="113"/>
      <c r="T188" s="84">
        <f>I191+I198</f>
        <v>0</v>
      </c>
    </row>
    <row r="189" ht="15.75" customHeight="1">
      <c r="G189" s="99"/>
      <c r="H189" s="99"/>
      <c r="I189" s="99"/>
      <c r="J189" s="99"/>
      <c r="K189" s="113" t="s">
        <v>228</v>
      </c>
      <c r="L189" s="43"/>
      <c r="M189" s="98" t="str">
        <f>((100/H188)*M188)</f>
        <v>#DIV/0!</v>
      </c>
      <c r="N189" s="92" t="s">
        <v>229</v>
      </c>
      <c r="O189" s="93"/>
      <c r="P189" s="52" t="s">
        <v>230</v>
      </c>
      <c r="R189" s="113" t="s">
        <v>318</v>
      </c>
      <c r="S189" s="113"/>
      <c r="T189" s="52" t="str">
        <f>T188/T187</f>
        <v>#DIV/0!</v>
      </c>
    </row>
    <row r="190" ht="15.75" customHeight="1">
      <c r="G190" s="100"/>
      <c r="H190" s="100"/>
      <c r="I190" s="100"/>
      <c r="J190" s="100"/>
      <c r="K190" s="113" t="s">
        <v>231</v>
      </c>
      <c r="L190" s="43"/>
      <c r="M190" s="101" t="str">
        <f>(H188/H201)</f>
        <v>#DIV/0!</v>
      </c>
      <c r="N190" s="92" t="s">
        <v>232</v>
      </c>
      <c r="O190" s="93"/>
      <c r="P190" s="52" t="s">
        <v>233</v>
      </c>
      <c r="R190" s="174" t="s">
        <v>54</v>
      </c>
      <c r="S190" s="21"/>
      <c r="T190" s="52" t="str">
        <f>IF(T189&gt;180,"Adecuado","Inadecuado")</f>
        <v>#DIV/0!</v>
      </c>
    </row>
    <row r="191" ht="15.75" customHeight="1">
      <c r="G191" s="94" t="s">
        <v>234</v>
      </c>
      <c r="H191" s="95">
        <f>(I179)</f>
        <v>0</v>
      </c>
      <c r="I191" s="96">
        <f>(H191*9)</f>
        <v>0</v>
      </c>
      <c r="J191" s="95" t="str">
        <f>((100/I200)*I191)</f>
        <v>#DIV/0!</v>
      </c>
      <c r="K191" s="113" t="s">
        <v>235</v>
      </c>
      <c r="L191" s="43"/>
      <c r="M191" s="101">
        <f>(J179)</f>
        <v>0</v>
      </c>
      <c r="N191" s="92" t="s">
        <v>236</v>
      </c>
      <c r="O191" s="93"/>
      <c r="P191" s="52" t="s">
        <v>237</v>
      </c>
    </row>
    <row r="192" ht="15.75" customHeight="1">
      <c r="G192" s="99"/>
      <c r="H192" s="99"/>
      <c r="I192" s="99"/>
      <c r="J192" s="99"/>
      <c r="K192" s="113" t="s">
        <v>238</v>
      </c>
      <c r="L192" s="43"/>
      <c r="M192" s="101" t="str">
        <f>((100/I200)*(M191*9))</f>
        <v>#DIV/0!</v>
      </c>
      <c r="N192" s="92" t="s">
        <v>239</v>
      </c>
      <c r="O192" s="93"/>
      <c r="P192" s="52" t="s">
        <v>240</v>
      </c>
    </row>
    <row r="193" ht="15.75" customHeight="1">
      <c r="G193" s="99"/>
      <c r="H193" s="99"/>
      <c r="I193" s="99"/>
      <c r="J193" s="99"/>
      <c r="K193" s="113" t="s">
        <v>241</v>
      </c>
      <c r="L193" s="43"/>
      <c r="M193" s="101">
        <f>(K179)</f>
        <v>0</v>
      </c>
      <c r="N193" s="92" t="s">
        <v>242</v>
      </c>
      <c r="O193" s="93"/>
      <c r="P193" s="52" t="s">
        <v>237</v>
      </c>
    </row>
    <row r="194" ht="15.75" customHeight="1">
      <c r="G194" s="99"/>
      <c r="H194" s="99"/>
      <c r="I194" s="99"/>
      <c r="J194" s="99"/>
      <c r="K194" s="113" t="s">
        <v>243</v>
      </c>
      <c r="L194" s="43"/>
      <c r="M194" s="101" t="str">
        <f>((100/I200)*(M193*9))</f>
        <v>#DIV/0!</v>
      </c>
      <c r="N194" s="92" t="s">
        <v>244</v>
      </c>
      <c r="O194" s="93"/>
      <c r="P194" s="52" t="s">
        <v>245</v>
      </c>
    </row>
    <row r="195" ht="15.75" customHeight="1">
      <c r="G195" s="99"/>
      <c r="H195" s="99"/>
      <c r="I195" s="99"/>
      <c r="J195" s="99"/>
      <c r="K195" s="113" t="s">
        <v>246</v>
      </c>
      <c r="L195" s="43"/>
      <c r="M195" s="101">
        <f>(M179)</f>
        <v>0</v>
      </c>
      <c r="N195" s="92" t="s">
        <v>247</v>
      </c>
      <c r="O195" s="93"/>
      <c r="P195" s="52" t="s">
        <v>248</v>
      </c>
    </row>
    <row r="196" ht="15.75" customHeight="1">
      <c r="G196" s="99"/>
      <c r="H196" s="99"/>
      <c r="I196" s="99"/>
      <c r="J196" s="99"/>
      <c r="K196" s="113" t="s">
        <v>249</v>
      </c>
      <c r="L196" s="43"/>
      <c r="M196" s="101" t="str">
        <f>((100/I200)*(M195*9))</f>
        <v>#DIV/0!</v>
      </c>
      <c r="N196" s="92" t="s">
        <v>250</v>
      </c>
      <c r="O196" s="93"/>
      <c r="P196" s="52" t="s">
        <v>251</v>
      </c>
    </row>
    <row r="197" ht="15.75" customHeight="1">
      <c r="G197" s="100"/>
      <c r="H197" s="100"/>
      <c r="I197" s="100"/>
      <c r="J197" s="100"/>
      <c r="K197" s="113" t="s">
        <v>252</v>
      </c>
      <c r="L197" s="43"/>
      <c r="M197" s="102">
        <f>(N179)</f>
        <v>0</v>
      </c>
      <c r="N197" s="92" t="s">
        <v>252</v>
      </c>
      <c r="O197" s="93"/>
      <c r="P197" s="52" t="s">
        <v>253</v>
      </c>
    </row>
    <row r="198" ht="15.75" customHeight="1">
      <c r="G198" s="94" t="s">
        <v>254</v>
      </c>
      <c r="H198" s="95">
        <f>(O179)</f>
        <v>0</v>
      </c>
      <c r="I198" s="103">
        <f>(H198*4)</f>
        <v>0</v>
      </c>
      <c r="J198" s="95" t="str">
        <f>((100/I200)*I198)</f>
        <v>#DIV/0!</v>
      </c>
      <c r="K198" s="113" t="s">
        <v>255</v>
      </c>
      <c r="L198" s="43"/>
      <c r="M198" s="98">
        <f>SUM(O168:O169)</f>
        <v>0</v>
      </c>
      <c r="N198" s="92" t="s">
        <v>256</v>
      </c>
      <c r="O198" s="93"/>
      <c r="P198" s="52" t="s">
        <v>257</v>
      </c>
    </row>
    <row r="199" ht="15.75" customHeight="1">
      <c r="G199" s="100"/>
      <c r="H199" s="100"/>
      <c r="I199" s="100"/>
      <c r="J199" s="100"/>
      <c r="K199" s="113" t="s">
        <v>258</v>
      </c>
      <c r="L199" s="43"/>
      <c r="M199" s="98" t="str">
        <f>((100/I200)*(M198*4))</f>
        <v>#DIV/0!</v>
      </c>
      <c r="N199" s="92" t="s">
        <v>259</v>
      </c>
      <c r="O199" s="93"/>
      <c r="P199" s="52" t="s">
        <v>260</v>
      </c>
    </row>
    <row r="200" ht="15.75" customHeight="1">
      <c r="G200" s="249" t="s">
        <v>261</v>
      </c>
      <c r="H200" s="250"/>
      <c r="I200" s="105">
        <f t="shared" ref="I200:J200" si="34">SUM(I188:I199)</f>
        <v>0</v>
      </c>
      <c r="J200" s="106" t="str">
        <f t="shared" si="34"/>
        <v>#DIV/0!</v>
      </c>
      <c r="K200" s="113" t="s">
        <v>259</v>
      </c>
      <c r="L200" s="43"/>
      <c r="M200" s="107">
        <f>P179</f>
        <v>0</v>
      </c>
      <c r="N200" s="92" t="s">
        <v>262</v>
      </c>
      <c r="O200" s="93"/>
      <c r="P200" s="52" t="s">
        <v>263</v>
      </c>
    </row>
    <row r="201" ht="15.75" customHeight="1">
      <c r="G201" s="251" t="s">
        <v>264</v>
      </c>
      <c r="H201" s="106" t="str">
        <f>F88</f>
        <v/>
      </c>
      <c r="I201" s="252"/>
      <c r="J201" s="253"/>
      <c r="K201" s="253"/>
      <c r="L201" s="240"/>
      <c r="M201" s="29"/>
      <c r="N201" s="92" t="s">
        <v>307</v>
      </c>
      <c r="O201" s="93"/>
      <c r="P201" s="52" t="s">
        <v>308</v>
      </c>
    </row>
    <row r="202" ht="15.75" customHeight="1"/>
    <row r="203" ht="15.0" customHeight="1">
      <c r="B203" s="90" t="s">
        <v>319</v>
      </c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</row>
    <row r="204" ht="15.75" customHeight="1"/>
    <row r="205" ht="15.0" customHeight="1">
      <c r="B205" s="62" t="s">
        <v>95</v>
      </c>
      <c r="C205" s="20"/>
      <c r="D205" s="20"/>
      <c r="E205" s="21"/>
      <c r="F205" s="63" t="s">
        <v>96</v>
      </c>
      <c r="G205" s="63" t="s">
        <v>320</v>
      </c>
      <c r="H205" s="63" t="s">
        <v>321</v>
      </c>
      <c r="I205" s="63" t="s">
        <v>322</v>
      </c>
      <c r="J205" s="63" t="s">
        <v>323</v>
      </c>
      <c r="K205" s="63" t="s">
        <v>324</v>
      </c>
      <c r="L205" s="63" t="s">
        <v>325</v>
      </c>
      <c r="N205" s="190" t="s">
        <v>444</v>
      </c>
      <c r="O205" s="60"/>
    </row>
    <row r="206" ht="15.0" customHeight="1">
      <c r="B206" s="65" t="s">
        <v>126</v>
      </c>
      <c r="C206" s="20"/>
      <c r="D206" s="20"/>
      <c r="E206" s="21"/>
      <c r="F206" s="161" t="str">
        <f t="shared" ref="F206:F246" si="35">F138</f>
        <v/>
      </c>
      <c r="G206" s="64"/>
      <c r="H206" s="64"/>
      <c r="I206" s="64"/>
      <c r="J206" s="64"/>
      <c r="K206" s="64"/>
      <c r="N206" s="191" t="s">
        <v>445</v>
      </c>
      <c r="O206" s="60"/>
    </row>
    <row r="207" ht="15.0" customHeight="1">
      <c r="B207" s="65" t="s">
        <v>127</v>
      </c>
      <c r="C207" s="20"/>
      <c r="D207" s="20"/>
      <c r="E207" s="21"/>
      <c r="F207" s="161" t="str">
        <f t="shared" si="35"/>
        <v/>
      </c>
      <c r="G207" s="64"/>
      <c r="H207" s="64"/>
      <c r="I207" s="64"/>
      <c r="J207" s="64"/>
      <c r="K207" s="64"/>
      <c r="N207" s="191" t="s">
        <v>446</v>
      </c>
      <c r="O207" s="60"/>
    </row>
    <row r="208" ht="15.0" customHeight="1">
      <c r="B208" s="65" t="s">
        <v>128</v>
      </c>
      <c r="C208" s="20"/>
      <c r="D208" s="20"/>
      <c r="E208" s="21"/>
      <c r="F208" s="161" t="str">
        <f t="shared" si="35"/>
        <v/>
      </c>
      <c r="G208" s="64"/>
      <c r="H208" s="64"/>
      <c r="I208" s="64"/>
      <c r="J208" s="64"/>
      <c r="K208" s="64"/>
      <c r="N208" s="191" t="s">
        <v>447</v>
      </c>
      <c r="O208" s="60"/>
    </row>
    <row r="209" ht="15.0" customHeight="1">
      <c r="B209" s="65" t="s">
        <v>129</v>
      </c>
      <c r="C209" s="20"/>
      <c r="D209" s="20"/>
      <c r="E209" s="21"/>
      <c r="F209" s="161" t="str">
        <f t="shared" si="35"/>
        <v/>
      </c>
      <c r="G209" s="64"/>
      <c r="H209" s="64"/>
      <c r="I209" s="64"/>
      <c r="J209" s="64"/>
      <c r="K209" s="64"/>
      <c r="N209" s="191" t="s">
        <v>448</v>
      </c>
      <c r="O209" s="60"/>
    </row>
    <row r="210" ht="15.0" customHeight="1">
      <c r="B210" s="65" t="s">
        <v>132</v>
      </c>
      <c r="C210" s="20"/>
      <c r="D210" s="20"/>
      <c r="E210" s="21"/>
      <c r="F210" s="161" t="str">
        <f t="shared" si="35"/>
        <v/>
      </c>
      <c r="G210" s="64"/>
      <c r="H210" s="64"/>
      <c r="I210" s="64"/>
      <c r="J210" s="64"/>
      <c r="K210" s="64"/>
      <c r="N210" s="191" t="s">
        <v>449</v>
      </c>
      <c r="O210" s="60"/>
    </row>
    <row r="211" ht="15.0" customHeight="1">
      <c r="B211" s="70" t="s">
        <v>442</v>
      </c>
      <c r="C211" s="20"/>
      <c r="D211" s="20"/>
      <c r="E211" s="21"/>
      <c r="F211" s="161" t="str">
        <f t="shared" si="35"/>
        <v/>
      </c>
      <c r="G211" s="64"/>
      <c r="H211" s="64"/>
      <c r="I211" s="64"/>
      <c r="J211" s="64"/>
      <c r="K211" s="64"/>
      <c r="N211" s="72"/>
      <c r="O211" s="72"/>
    </row>
    <row r="212" ht="15.0" customHeight="1">
      <c r="B212" s="71" t="s">
        <v>138</v>
      </c>
      <c r="C212" s="20"/>
      <c r="D212" s="20"/>
      <c r="E212" s="21"/>
      <c r="F212" s="161" t="str">
        <f t="shared" si="35"/>
        <v/>
      </c>
      <c r="G212" s="64"/>
      <c r="H212" s="64"/>
      <c r="I212" s="64"/>
      <c r="J212" s="64"/>
      <c r="K212" s="64"/>
      <c r="N212" s="72"/>
      <c r="O212" s="72"/>
    </row>
    <row r="213" ht="15.0" customHeight="1">
      <c r="B213" s="71" t="s">
        <v>140</v>
      </c>
      <c r="C213" s="20"/>
      <c r="D213" s="20"/>
      <c r="E213" s="21"/>
      <c r="F213" s="161" t="str">
        <f t="shared" si="35"/>
        <v/>
      </c>
      <c r="G213" s="64"/>
      <c r="H213" s="64"/>
      <c r="I213" s="64"/>
      <c r="J213" s="64"/>
      <c r="K213" s="64"/>
      <c r="N213" s="72"/>
      <c r="O213" s="72"/>
    </row>
    <row r="214" ht="15.0" customHeight="1">
      <c r="B214" s="65" t="s">
        <v>143</v>
      </c>
      <c r="C214" s="20"/>
      <c r="D214" s="20"/>
      <c r="E214" s="21"/>
      <c r="F214" s="161" t="str">
        <f t="shared" si="35"/>
        <v/>
      </c>
      <c r="G214" s="64"/>
      <c r="H214" s="64"/>
      <c r="I214" s="64"/>
      <c r="J214" s="64"/>
      <c r="K214" s="64"/>
      <c r="N214" s="72"/>
      <c r="O214" s="72"/>
    </row>
    <row r="215" ht="15.0" customHeight="1">
      <c r="B215" s="65" t="s">
        <v>146</v>
      </c>
      <c r="C215" s="20"/>
      <c r="D215" s="20"/>
      <c r="E215" s="21"/>
      <c r="F215" s="161" t="str">
        <f t="shared" si="35"/>
        <v/>
      </c>
      <c r="G215" s="64"/>
      <c r="H215" s="64"/>
      <c r="I215" s="64"/>
      <c r="J215" s="64"/>
      <c r="K215" s="64"/>
      <c r="N215" s="72"/>
      <c r="O215" s="72"/>
    </row>
    <row r="216" ht="15.0" customHeight="1">
      <c r="B216" s="65" t="s">
        <v>149</v>
      </c>
      <c r="C216" s="20"/>
      <c r="D216" s="20"/>
      <c r="E216" s="21"/>
      <c r="F216" s="161" t="str">
        <f t="shared" si="35"/>
        <v/>
      </c>
      <c r="G216" s="64"/>
      <c r="H216" s="64"/>
      <c r="I216" s="64"/>
      <c r="J216" s="64"/>
      <c r="K216" s="64"/>
      <c r="N216" s="72"/>
      <c r="O216" s="72"/>
    </row>
    <row r="217" ht="15.0" customHeight="1">
      <c r="B217" s="65" t="s">
        <v>150</v>
      </c>
      <c r="C217" s="20"/>
      <c r="D217" s="20"/>
      <c r="E217" s="21"/>
      <c r="F217" s="161" t="str">
        <f t="shared" si="35"/>
        <v/>
      </c>
      <c r="G217" s="64"/>
      <c r="H217" s="64"/>
      <c r="I217" s="64"/>
      <c r="J217" s="64"/>
      <c r="K217" s="64"/>
      <c r="N217" s="72"/>
      <c r="O217" s="72"/>
    </row>
    <row r="218" ht="15.0" customHeight="1">
      <c r="B218" s="71" t="s">
        <v>153</v>
      </c>
      <c r="C218" s="20"/>
      <c r="D218" s="20"/>
      <c r="E218" s="21"/>
      <c r="F218" s="161" t="str">
        <f t="shared" si="35"/>
        <v/>
      </c>
      <c r="G218" s="64"/>
      <c r="H218" s="64"/>
      <c r="I218" s="64"/>
      <c r="J218" s="64"/>
      <c r="K218" s="64"/>
      <c r="N218" s="72"/>
      <c r="O218" s="72"/>
    </row>
    <row r="219" ht="15.0" customHeight="1">
      <c r="B219" s="71" t="s">
        <v>155</v>
      </c>
      <c r="C219" s="20"/>
      <c r="D219" s="20"/>
      <c r="E219" s="21"/>
      <c r="F219" s="161" t="str">
        <f t="shared" si="35"/>
        <v/>
      </c>
      <c r="G219" s="64"/>
      <c r="H219" s="64"/>
      <c r="I219" s="64"/>
      <c r="J219" s="64"/>
      <c r="K219" s="64"/>
      <c r="N219" s="72"/>
      <c r="O219" s="72"/>
    </row>
    <row r="220" ht="15.0" customHeight="1">
      <c r="B220" s="71" t="s">
        <v>156</v>
      </c>
      <c r="C220" s="20"/>
      <c r="D220" s="20"/>
      <c r="E220" s="21"/>
      <c r="F220" s="161" t="str">
        <f t="shared" si="35"/>
        <v/>
      </c>
      <c r="G220" s="64"/>
      <c r="H220" s="64"/>
      <c r="I220" s="64"/>
      <c r="J220" s="64"/>
      <c r="K220" s="64"/>
      <c r="N220" s="72"/>
      <c r="O220" s="72"/>
    </row>
    <row r="221" ht="15.0" customHeight="1">
      <c r="B221" s="65" t="s">
        <v>159</v>
      </c>
      <c r="C221" s="20"/>
      <c r="D221" s="20"/>
      <c r="E221" s="21"/>
      <c r="F221" s="161" t="str">
        <f t="shared" si="35"/>
        <v/>
      </c>
      <c r="G221" s="64"/>
      <c r="H221" s="64"/>
      <c r="I221" s="64"/>
      <c r="J221" s="64"/>
      <c r="K221" s="64"/>
      <c r="N221" s="72"/>
      <c r="O221" s="72"/>
    </row>
    <row r="222" ht="15.0" customHeight="1">
      <c r="B222" s="65" t="s">
        <v>162</v>
      </c>
      <c r="C222" s="20"/>
      <c r="D222" s="20"/>
      <c r="E222" s="21"/>
      <c r="F222" s="161" t="str">
        <f t="shared" si="35"/>
        <v/>
      </c>
      <c r="G222" s="64"/>
      <c r="H222" s="64"/>
      <c r="I222" s="64"/>
      <c r="J222" s="64"/>
      <c r="K222" s="64"/>
      <c r="N222" s="72"/>
      <c r="O222" s="72"/>
    </row>
    <row r="223" ht="15.0" customHeight="1">
      <c r="B223" s="65" t="s">
        <v>165</v>
      </c>
      <c r="C223" s="20"/>
      <c r="D223" s="20"/>
      <c r="E223" s="21"/>
      <c r="F223" s="161" t="str">
        <f t="shared" si="35"/>
        <v/>
      </c>
      <c r="G223" s="64"/>
      <c r="H223" s="64"/>
      <c r="I223" s="64"/>
      <c r="J223" s="64"/>
      <c r="K223" s="64"/>
      <c r="N223" s="72"/>
      <c r="O223" s="72"/>
    </row>
    <row r="224" ht="15.0" customHeight="1">
      <c r="B224" s="71" t="s">
        <v>167</v>
      </c>
      <c r="C224" s="20"/>
      <c r="D224" s="20"/>
      <c r="E224" s="21"/>
      <c r="F224" s="161" t="str">
        <f t="shared" si="35"/>
        <v/>
      </c>
      <c r="G224" s="64"/>
      <c r="H224" s="64"/>
      <c r="I224" s="64"/>
      <c r="J224" s="64"/>
      <c r="K224" s="64"/>
      <c r="N224" s="72"/>
      <c r="O224" s="72"/>
    </row>
    <row r="225" ht="15.0" customHeight="1">
      <c r="B225" s="71" t="s">
        <v>169</v>
      </c>
      <c r="C225" s="20"/>
      <c r="D225" s="20"/>
      <c r="E225" s="21"/>
      <c r="F225" s="161" t="str">
        <f t="shared" si="35"/>
        <v/>
      </c>
      <c r="G225" s="64"/>
      <c r="H225" s="64"/>
      <c r="I225" s="64"/>
      <c r="J225" s="64"/>
      <c r="K225" s="64"/>
      <c r="N225" s="72"/>
      <c r="O225" s="72"/>
    </row>
    <row r="226" ht="15.0" customHeight="1">
      <c r="B226" s="71" t="s">
        <v>171</v>
      </c>
      <c r="C226" s="20"/>
      <c r="D226" s="20"/>
      <c r="E226" s="21"/>
      <c r="F226" s="161" t="str">
        <f t="shared" si="35"/>
        <v/>
      </c>
      <c r="G226" s="64"/>
      <c r="H226" s="64"/>
      <c r="I226" s="64"/>
      <c r="J226" s="64"/>
      <c r="K226" s="64"/>
      <c r="N226" s="72"/>
      <c r="O226" s="72"/>
    </row>
    <row r="227" ht="15.0" customHeight="1">
      <c r="B227" s="65" t="s">
        <v>173</v>
      </c>
      <c r="C227" s="20"/>
      <c r="D227" s="20"/>
      <c r="E227" s="21"/>
      <c r="F227" s="161" t="str">
        <f t="shared" si="35"/>
        <v/>
      </c>
      <c r="G227" s="64"/>
      <c r="H227" s="64"/>
      <c r="I227" s="64"/>
      <c r="J227" s="64"/>
      <c r="K227" s="64"/>
      <c r="N227" s="72"/>
      <c r="O227" s="72"/>
    </row>
    <row r="228" ht="15.0" customHeight="1">
      <c r="B228" s="65" t="s">
        <v>174</v>
      </c>
      <c r="C228" s="20"/>
      <c r="D228" s="20"/>
      <c r="E228" s="21"/>
      <c r="F228" s="161" t="str">
        <f t="shared" si="35"/>
        <v/>
      </c>
      <c r="G228" s="64"/>
      <c r="H228" s="64"/>
      <c r="I228" s="64"/>
      <c r="J228" s="64"/>
      <c r="K228" s="64"/>
      <c r="N228" s="72"/>
      <c r="O228" s="72"/>
    </row>
    <row r="229" ht="15.0" customHeight="1">
      <c r="B229" s="65" t="s">
        <v>175</v>
      </c>
      <c r="C229" s="20"/>
      <c r="D229" s="20"/>
      <c r="E229" s="21"/>
      <c r="F229" s="161" t="str">
        <f t="shared" si="35"/>
        <v/>
      </c>
      <c r="G229" s="64"/>
      <c r="H229" s="64"/>
      <c r="I229" s="64"/>
      <c r="J229" s="64"/>
      <c r="K229" s="64"/>
      <c r="N229" s="72"/>
      <c r="O229" s="72"/>
    </row>
    <row r="230" ht="15.0" customHeight="1">
      <c r="B230" s="71" t="s">
        <v>176</v>
      </c>
      <c r="C230" s="20"/>
      <c r="D230" s="20"/>
      <c r="E230" s="21"/>
      <c r="F230" s="161" t="str">
        <f t="shared" si="35"/>
        <v/>
      </c>
      <c r="G230" s="64"/>
      <c r="H230" s="64"/>
      <c r="I230" s="64"/>
      <c r="J230" s="64"/>
      <c r="K230" s="64"/>
    </row>
    <row r="231" ht="15.0" customHeight="1">
      <c r="B231" s="71" t="s">
        <v>177</v>
      </c>
      <c r="C231" s="20"/>
      <c r="D231" s="20"/>
      <c r="E231" s="21"/>
      <c r="F231" s="161" t="str">
        <f t="shared" si="35"/>
        <v/>
      </c>
      <c r="G231" s="64"/>
      <c r="H231" s="64"/>
      <c r="I231" s="64"/>
      <c r="J231" s="64"/>
      <c r="K231" s="64"/>
    </row>
    <row r="232" ht="15.0" customHeight="1">
      <c r="B232" s="71" t="s">
        <v>179</v>
      </c>
      <c r="C232" s="20"/>
      <c r="D232" s="20"/>
      <c r="E232" s="21"/>
      <c r="F232" s="161" t="str">
        <f t="shared" si="35"/>
        <v/>
      </c>
      <c r="G232" s="64"/>
      <c r="H232" s="64"/>
      <c r="I232" s="64"/>
      <c r="J232" s="64"/>
      <c r="K232" s="64"/>
    </row>
    <row r="233" ht="15.0" customHeight="1">
      <c r="B233" s="71" t="s">
        <v>181</v>
      </c>
      <c r="C233" s="20"/>
      <c r="D233" s="20"/>
      <c r="E233" s="21"/>
      <c r="F233" s="161" t="str">
        <f t="shared" si="35"/>
        <v/>
      </c>
      <c r="G233" s="64"/>
      <c r="H233" s="64"/>
      <c r="I233" s="64"/>
      <c r="J233" s="64"/>
      <c r="K233" s="64"/>
    </row>
    <row r="234" ht="15.0" customHeight="1">
      <c r="B234" s="65" t="s">
        <v>184</v>
      </c>
      <c r="C234" s="20"/>
      <c r="D234" s="20"/>
      <c r="E234" s="21"/>
      <c r="F234" s="161" t="str">
        <f t="shared" si="35"/>
        <v/>
      </c>
      <c r="G234" s="64"/>
      <c r="H234" s="64"/>
      <c r="I234" s="64"/>
      <c r="J234" s="64"/>
      <c r="K234" s="64"/>
    </row>
    <row r="235" ht="15.0" customHeight="1">
      <c r="B235" s="65" t="s">
        <v>186</v>
      </c>
      <c r="C235" s="20"/>
      <c r="D235" s="20"/>
      <c r="E235" s="21"/>
      <c r="F235" s="161" t="str">
        <f t="shared" si="35"/>
        <v/>
      </c>
      <c r="G235" s="64"/>
      <c r="H235" s="64"/>
      <c r="I235" s="64"/>
      <c r="J235" s="64"/>
      <c r="K235" s="64"/>
    </row>
    <row r="236" ht="15.0" customHeight="1">
      <c r="B236" s="71" t="s">
        <v>189</v>
      </c>
      <c r="C236" s="20"/>
      <c r="D236" s="20"/>
      <c r="E236" s="21"/>
      <c r="F236" s="161" t="str">
        <f t="shared" si="35"/>
        <v/>
      </c>
      <c r="G236" s="64"/>
      <c r="H236" s="64"/>
      <c r="I236" s="64"/>
      <c r="J236" s="64"/>
      <c r="K236" s="64"/>
    </row>
    <row r="237" ht="15.0" customHeight="1">
      <c r="B237" s="71" t="s">
        <v>210</v>
      </c>
      <c r="C237" s="20"/>
      <c r="D237" s="20"/>
      <c r="E237" s="21"/>
      <c r="F237" s="161" t="str">
        <f t="shared" si="35"/>
        <v/>
      </c>
      <c r="G237" s="64"/>
      <c r="H237" s="64"/>
      <c r="I237" s="64"/>
      <c r="J237" s="64"/>
      <c r="K237" s="64"/>
    </row>
    <row r="238" ht="15.0" customHeight="1">
      <c r="B238" s="65" t="s">
        <v>195</v>
      </c>
      <c r="C238" s="20"/>
      <c r="D238" s="20"/>
      <c r="E238" s="21"/>
      <c r="F238" s="161" t="str">
        <f t="shared" si="35"/>
        <v/>
      </c>
      <c r="G238" s="64"/>
      <c r="H238" s="64"/>
      <c r="I238" s="64"/>
      <c r="J238" s="64"/>
      <c r="K238" s="64"/>
    </row>
    <row r="239" ht="15.0" customHeight="1">
      <c r="B239" s="65" t="s">
        <v>196</v>
      </c>
      <c r="C239" s="20"/>
      <c r="D239" s="20"/>
      <c r="E239" s="21"/>
      <c r="F239" s="161" t="str">
        <f t="shared" si="35"/>
        <v/>
      </c>
      <c r="G239" s="64"/>
      <c r="H239" s="64"/>
      <c r="I239" s="64"/>
      <c r="J239" s="64"/>
      <c r="K239" s="64"/>
    </row>
    <row r="240" ht="15.0" customHeight="1">
      <c r="B240" s="65" t="s">
        <v>197</v>
      </c>
      <c r="C240" s="20"/>
      <c r="D240" s="20"/>
      <c r="E240" s="21"/>
      <c r="F240" s="161" t="str">
        <f t="shared" si="35"/>
        <v/>
      </c>
      <c r="G240" s="64"/>
      <c r="H240" s="64"/>
      <c r="I240" s="64"/>
      <c r="J240" s="64"/>
      <c r="K240" s="64"/>
    </row>
    <row r="241" ht="15.0" customHeight="1">
      <c r="B241" s="65" t="s">
        <v>198</v>
      </c>
      <c r="C241" s="20"/>
      <c r="D241" s="20"/>
      <c r="E241" s="21"/>
      <c r="F241" s="161" t="str">
        <f t="shared" si="35"/>
        <v/>
      </c>
      <c r="G241" s="64"/>
      <c r="H241" s="64"/>
      <c r="I241" s="64"/>
      <c r="J241" s="64"/>
      <c r="K241" s="64"/>
    </row>
    <row r="242" ht="15.0" customHeight="1">
      <c r="B242" s="65" t="s">
        <v>200</v>
      </c>
      <c r="C242" s="20"/>
      <c r="D242" s="20"/>
      <c r="E242" s="21"/>
      <c r="F242" s="161" t="str">
        <f t="shared" si="35"/>
        <v/>
      </c>
      <c r="G242" s="64"/>
      <c r="H242" s="64"/>
      <c r="I242" s="64"/>
      <c r="J242" s="64"/>
      <c r="K242" s="64"/>
    </row>
    <row r="243" ht="15.0" customHeight="1">
      <c r="B243" s="71" t="s">
        <v>203</v>
      </c>
      <c r="C243" s="20"/>
      <c r="D243" s="20"/>
      <c r="E243" s="21"/>
      <c r="F243" s="161" t="str">
        <f t="shared" si="35"/>
        <v/>
      </c>
      <c r="G243" s="64"/>
      <c r="H243" s="64"/>
      <c r="I243" s="64"/>
      <c r="J243" s="64"/>
      <c r="K243" s="64"/>
    </row>
    <row r="244" ht="15.0" customHeight="1">
      <c r="B244" s="71" t="s">
        <v>204</v>
      </c>
      <c r="C244" s="20"/>
      <c r="D244" s="20"/>
      <c r="E244" s="21"/>
      <c r="F244" s="161" t="str">
        <f t="shared" si="35"/>
        <v/>
      </c>
      <c r="G244" s="64"/>
      <c r="H244" s="64"/>
      <c r="I244" s="64"/>
      <c r="J244" s="64"/>
      <c r="K244" s="64"/>
    </row>
    <row r="245" ht="15.0" customHeight="1">
      <c r="B245" s="71" t="s">
        <v>205</v>
      </c>
      <c r="C245" s="20"/>
      <c r="D245" s="20"/>
      <c r="E245" s="21"/>
      <c r="F245" s="161" t="str">
        <f t="shared" si="35"/>
        <v/>
      </c>
      <c r="G245" s="64"/>
      <c r="H245" s="64"/>
      <c r="I245" s="64"/>
      <c r="J245" s="64"/>
      <c r="K245" s="64"/>
    </row>
    <row r="246" ht="15.0" customHeight="1">
      <c r="B246" s="71" t="s">
        <v>206</v>
      </c>
      <c r="C246" s="20"/>
      <c r="D246" s="20"/>
      <c r="E246" s="21"/>
      <c r="F246" s="161" t="str">
        <f t="shared" si="35"/>
        <v/>
      </c>
      <c r="G246" s="64"/>
      <c r="H246" s="64"/>
      <c r="I246" s="64"/>
      <c r="J246" s="64"/>
      <c r="K246" s="64"/>
    </row>
    <row r="247" ht="15.75" customHeight="1"/>
    <row r="248" ht="15.0" customHeight="1">
      <c r="B248" s="90" t="s">
        <v>335</v>
      </c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</row>
    <row r="249" ht="15.75" customHeight="1"/>
    <row r="250" ht="15.0" customHeight="1">
      <c r="B250" s="254"/>
      <c r="C250" s="62" t="s">
        <v>336</v>
      </c>
      <c r="D250" s="21"/>
      <c r="E250" s="62" t="s">
        <v>337</v>
      </c>
      <c r="F250" s="21"/>
      <c r="G250" s="62" t="s">
        <v>338</v>
      </c>
      <c r="H250" s="21"/>
      <c r="I250" s="62" t="s">
        <v>339</v>
      </c>
      <c r="J250" s="21"/>
      <c r="K250" s="62" t="s">
        <v>340</v>
      </c>
      <c r="L250" s="20"/>
      <c r="M250" s="21"/>
      <c r="N250" s="62" t="s">
        <v>341</v>
      </c>
      <c r="O250" s="21"/>
    </row>
    <row r="251" ht="15.0" customHeight="1">
      <c r="B251" s="255"/>
      <c r="C251" s="192"/>
      <c r="D251" s="193"/>
      <c r="E251" s="192"/>
      <c r="F251" s="193"/>
      <c r="G251" s="192"/>
      <c r="H251" s="193"/>
      <c r="I251" s="192"/>
      <c r="J251" s="193"/>
      <c r="K251" s="192"/>
      <c r="L251" s="256"/>
      <c r="M251" s="193"/>
      <c r="N251" s="192"/>
      <c r="O251" s="193"/>
    </row>
    <row r="252" ht="15.0" customHeight="1">
      <c r="B252" s="255"/>
      <c r="C252" s="195"/>
      <c r="D252" s="196"/>
      <c r="E252" s="195"/>
      <c r="F252" s="196"/>
      <c r="G252" s="195"/>
      <c r="H252" s="196"/>
      <c r="I252" s="195"/>
      <c r="J252" s="196"/>
      <c r="K252" s="195"/>
      <c r="M252" s="196"/>
      <c r="N252" s="195"/>
      <c r="O252" s="196"/>
    </row>
    <row r="253" ht="15.0" customHeight="1">
      <c r="B253" s="255"/>
      <c r="C253" s="195"/>
      <c r="D253" s="196"/>
      <c r="E253" s="195"/>
      <c r="F253" s="196"/>
      <c r="G253" s="195"/>
      <c r="H253" s="196"/>
      <c r="I253" s="195"/>
      <c r="J253" s="196"/>
      <c r="K253" s="195"/>
      <c r="M253" s="196"/>
      <c r="N253" s="195"/>
      <c r="O253" s="196"/>
    </row>
    <row r="254" ht="15.0" customHeight="1">
      <c r="B254" s="255"/>
      <c r="C254" s="195"/>
      <c r="D254" s="196"/>
      <c r="E254" s="195"/>
      <c r="F254" s="196"/>
      <c r="G254" s="195"/>
      <c r="H254" s="196"/>
      <c r="I254" s="195"/>
      <c r="J254" s="196"/>
      <c r="K254" s="195"/>
      <c r="M254" s="196"/>
      <c r="N254" s="195"/>
      <c r="O254" s="196"/>
    </row>
    <row r="255" ht="15.0" customHeight="1">
      <c r="B255" s="255"/>
      <c r="C255" s="195"/>
      <c r="D255" s="196"/>
      <c r="E255" s="195"/>
      <c r="F255" s="196"/>
      <c r="G255" s="195"/>
      <c r="H255" s="196"/>
      <c r="I255" s="195"/>
      <c r="J255" s="196"/>
      <c r="K255" s="195"/>
      <c r="M255" s="196"/>
      <c r="N255" s="195"/>
      <c r="O255" s="196"/>
    </row>
    <row r="256" ht="15.0" customHeight="1">
      <c r="B256" s="255"/>
      <c r="C256" s="195"/>
      <c r="D256" s="196"/>
      <c r="E256" s="195"/>
      <c r="F256" s="196"/>
      <c r="G256" s="195"/>
      <c r="H256" s="196"/>
      <c r="I256" s="195"/>
      <c r="J256" s="196"/>
      <c r="K256" s="195"/>
      <c r="M256" s="196"/>
      <c r="N256" s="195"/>
      <c r="O256" s="196"/>
    </row>
    <row r="257" ht="15.0" customHeight="1">
      <c r="B257" s="255"/>
      <c r="C257" s="195"/>
      <c r="D257" s="196"/>
      <c r="E257" s="195"/>
      <c r="F257" s="196"/>
      <c r="G257" s="195"/>
      <c r="H257" s="196"/>
      <c r="I257" s="195"/>
      <c r="J257" s="196"/>
      <c r="K257" s="195"/>
      <c r="M257" s="196"/>
      <c r="N257" s="195"/>
      <c r="O257" s="196"/>
    </row>
    <row r="258" ht="15.0" customHeight="1">
      <c r="B258" s="255"/>
      <c r="C258" s="195"/>
      <c r="D258" s="196"/>
      <c r="E258" s="195"/>
      <c r="F258" s="196"/>
      <c r="G258" s="195"/>
      <c r="H258" s="196"/>
      <c r="I258" s="195"/>
      <c r="J258" s="196"/>
      <c r="K258" s="195"/>
      <c r="M258" s="196"/>
      <c r="N258" s="195"/>
      <c r="O258" s="196"/>
    </row>
    <row r="259" ht="15.0" customHeight="1">
      <c r="B259" s="255"/>
      <c r="C259" s="195"/>
      <c r="D259" s="196"/>
      <c r="E259" s="195"/>
      <c r="F259" s="196"/>
      <c r="G259" s="195"/>
      <c r="H259" s="196"/>
      <c r="I259" s="195"/>
      <c r="J259" s="196"/>
      <c r="K259" s="195"/>
      <c r="M259" s="196"/>
      <c r="N259" s="195"/>
      <c r="O259" s="196"/>
    </row>
    <row r="260" ht="15.0" customHeight="1">
      <c r="B260" s="255"/>
      <c r="C260" s="195"/>
      <c r="D260" s="196"/>
      <c r="E260" s="195"/>
      <c r="F260" s="196"/>
      <c r="G260" s="195"/>
      <c r="H260" s="196"/>
      <c r="I260" s="195"/>
      <c r="J260" s="196"/>
      <c r="K260" s="195"/>
      <c r="M260" s="196"/>
      <c r="N260" s="195"/>
      <c r="O260" s="196"/>
    </row>
    <row r="261" ht="15.0" customHeight="1">
      <c r="B261" s="255"/>
      <c r="C261" s="195"/>
      <c r="D261" s="196"/>
      <c r="E261" s="195"/>
      <c r="F261" s="196"/>
      <c r="G261" s="195"/>
      <c r="H261" s="196"/>
      <c r="I261" s="195"/>
      <c r="J261" s="196"/>
      <c r="K261" s="195"/>
      <c r="M261" s="196"/>
      <c r="N261" s="195"/>
      <c r="O261" s="196"/>
    </row>
    <row r="262" ht="15.0" customHeight="1">
      <c r="B262" s="255"/>
      <c r="C262" s="195"/>
      <c r="D262" s="196"/>
      <c r="E262" s="195"/>
      <c r="F262" s="196"/>
      <c r="G262" s="195"/>
      <c r="H262" s="196"/>
      <c r="I262" s="195"/>
      <c r="J262" s="196"/>
      <c r="K262" s="195"/>
      <c r="M262" s="196"/>
      <c r="N262" s="195"/>
      <c r="O262" s="196"/>
    </row>
    <row r="263" ht="15.0" customHeight="1">
      <c r="B263" s="255"/>
      <c r="C263" s="195"/>
      <c r="D263" s="196"/>
      <c r="E263" s="195"/>
      <c r="F263" s="196"/>
      <c r="G263" s="195"/>
      <c r="H263" s="196"/>
      <c r="I263" s="195"/>
      <c r="J263" s="196"/>
      <c r="K263" s="195"/>
      <c r="M263" s="196"/>
      <c r="N263" s="195"/>
      <c r="O263" s="196"/>
    </row>
    <row r="264" ht="15.0" customHeight="1">
      <c r="B264" s="255"/>
      <c r="C264" s="195"/>
      <c r="D264" s="196"/>
      <c r="E264" s="195"/>
      <c r="F264" s="196"/>
      <c r="G264" s="195"/>
      <c r="H264" s="196"/>
      <c r="I264" s="195"/>
      <c r="J264" s="196"/>
      <c r="K264" s="195"/>
      <c r="M264" s="196"/>
      <c r="N264" s="195"/>
      <c r="O264" s="196"/>
    </row>
    <row r="265" ht="15.0" customHeight="1">
      <c r="B265" s="255"/>
      <c r="C265" s="195"/>
      <c r="D265" s="196"/>
      <c r="E265" s="195"/>
      <c r="F265" s="196"/>
      <c r="G265" s="195"/>
      <c r="H265" s="196"/>
      <c r="I265" s="195"/>
      <c r="J265" s="196"/>
      <c r="K265" s="195"/>
      <c r="M265" s="196"/>
      <c r="N265" s="195"/>
      <c r="O265" s="196"/>
    </row>
    <row r="266" ht="15.0" customHeight="1">
      <c r="B266" s="255"/>
      <c r="C266" s="195"/>
      <c r="D266" s="196"/>
      <c r="E266" s="195"/>
      <c r="F266" s="196"/>
      <c r="G266" s="195"/>
      <c r="H266" s="196"/>
      <c r="I266" s="195"/>
      <c r="J266" s="196"/>
      <c r="K266" s="195"/>
      <c r="M266" s="196"/>
      <c r="N266" s="195"/>
      <c r="O266" s="196"/>
    </row>
    <row r="267" ht="15.0" customHeight="1">
      <c r="B267" s="255"/>
      <c r="C267" s="195"/>
      <c r="D267" s="196"/>
      <c r="E267" s="195"/>
      <c r="F267" s="196"/>
      <c r="G267" s="195"/>
      <c r="H267" s="196"/>
      <c r="I267" s="195"/>
      <c r="J267" s="196"/>
      <c r="K267" s="195"/>
      <c r="M267" s="196"/>
      <c r="N267" s="195"/>
      <c r="O267" s="196"/>
    </row>
    <row r="268" ht="15.0" customHeight="1">
      <c r="B268" s="255"/>
      <c r="C268" s="195"/>
      <c r="D268" s="196"/>
      <c r="E268" s="195"/>
      <c r="F268" s="196"/>
      <c r="G268" s="195"/>
      <c r="H268" s="196"/>
      <c r="I268" s="195"/>
      <c r="J268" s="196"/>
      <c r="K268" s="195"/>
      <c r="M268" s="196"/>
      <c r="N268" s="195"/>
      <c r="O268" s="196"/>
    </row>
    <row r="269" ht="15.0" customHeight="1">
      <c r="B269" s="255"/>
      <c r="C269" s="195"/>
      <c r="D269" s="196"/>
      <c r="E269" s="195"/>
      <c r="F269" s="196"/>
      <c r="G269" s="195"/>
      <c r="H269" s="196"/>
      <c r="I269" s="195"/>
      <c r="J269" s="196"/>
      <c r="K269" s="195"/>
      <c r="M269" s="196"/>
      <c r="N269" s="195"/>
      <c r="O269" s="196"/>
    </row>
    <row r="270" ht="15.0" customHeight="1">
      <c r="B270" s="255"/>
      <c r="C270" s="195"/>
      <c r="D270" s="196"/>
      <c r="E270" s="195"/>
      <c r="F270" s="196"/>
      <c r="G270" s="195"/>
      <c r="H270" s="196"/>
      <c r="I270" s="195"/>
      <c r="J270" s="196"/>
      <c r="K270" s="195"/>
      <c r="M270" s="196"/>
      <c r="N270" s="195"/>
      <c r="O270" s="196"/>
    </row>
    <row r="271" ht="15.0" customHeight="1">
      <c r="B271" s="255"/>
      <c r="C271" s="195"/>
      <c r="D271" s="196"/>
      <c r="E271" s="195"/>
      <c r="F271" s="196"/>
      <c r="G271" s="195"/>
      <c r="H271" s="196"/>
      <c r="I271" s="195"/>
      <c r="J271" s="196"/>
      <c r="K271" s="195"/>
      <c r="M271" s="196"/>
      <c r="N271" s="195"/>
      <c r="O271" s="196"/>
    </row>
    <row r="272" ht="15.0" customHeight="1">
      <c r="B272" s="255"/>
      <c r="C272" s="195"/>
      <c r="D272" s="196"/>
      <c r="E272" s="195"/>
      <c r="F272" s="196"/>
      <c r="G272" s="195"/>
      <c r="H272" s="196"/>
      <c r="I272" s="195"/>
      <c r="J272" s="196"/>
      <c r="K272" s="195"/>
      <c r="M272" s="196"/>
      <c r="N272" s="195"/>
      <c r="O272" s="196"/>
    </row>
    <row r="273" ht="15.0" customHeight="1">
      <c r="B273" s="255"/>
      <c r="C273" s="195"/>
      <c r="D273" s="196"/>
      <c r="E273" s="195"/>
      <c r="F273" s="196"/>
      <c r="G273" s="195"/>
      <c r="H273" s="196"/>
      <c r="I273" s="195"/>
      <c r="J273" s="196"/>
      <c r="K273" s="195"/>
      <c r="M273" s="196"/>
      <c r="N273" s="195"/>
      <c r="O273" s="196"/>
    </row>
    <row r="274" ht="15.0" customHeight="1">
      <c r="B274" s="255"/>
      <c r="C274" s="195"/>
      <c r="D274" s="196"/>
      <c r="E274" s="195"/>
      <c r="F274" s="196"/>
      <c r="G274" s="195"/>
      <c r="H274" s="196"/>
      <c r="I274" s="195"/>
      <c r="J274" s="196"/>
      <c r="K274" s="195"/>
      <c r="M274" s="196"/>
      <c r="N274" s="195"/>
      <c r="O274" s="196"/>
    </row>
    <row r="275" ht="15.0" customHeight="1">
      <c r="B275" s="255"/>
      <c r="C275" s="195"/>
      <c r="D275" s="196"/>
      <c r="E275" s="195"/>
      <c r="F275" s="196"/>
      <c r="G275" s="195"/>
      <c r="H275" s="196"/>
      <c r="I275" s="195"/>
      <c r="J275" s="196"/>
      <c r="K275" s="195"/>
      <c r="M275" s="196"/>
      <c r="N275" s="195"/>
      <c r="O275" s="196"/>
    </row>
    <row r="276" ht="15.0" customHeight="1">
      <c r="B276" s="255"/>
      <c r="C276" s="197"/>
      <c r="D276" s="198"/>
      <c r="E276" s="197"/>
      <c r="F276" s="198"/>
      <c r="G276" s="197"/>
      <c r="H276" s="198"/>
      <c r="I276" s="197"/>
      <c r="J276" s="198"/>
      <c r="K276" s="197"/>
      <c r="L276" s="257"/>
      <c r="M276" s="198"/>
      <c r="N276" s="197"/>
      <c r="O276" s="198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8">
    <mergeCell ref="B2:N2"/>
    <mergeCell ref="B4:C4"/>
    <mergeCell ref="E4:N4"/>
    <mergeCell ref="P4:Y4"/>
    <mergeCell ref="B13:C13"/>
    <mergeCell ref="E23:J23"/>
    <mergeCell ref="P23:Y23"/>
    <mergeCell ref="B29:C29"/>
    <mergeCell ref="B36:C36"/>
    <mergeCell ref="B43:K43"/>
    <mergeCell ref="E45:F52"/>
    <mergeCell ref="B46:C46"/>
    <mergeCell ref="B51:C51"/>
    <mergeCell ref="E53:F53"/>
    <mergeCell ref="E58:F58"/>
    <mergeCell ref="B59:C59"/>
    <mergeCell ref="B63:C68"/>
    <mergeCell ref="B71:R71"/>
    <mergeCell ref="E73:J73"/>
    <mergeCell ref="I74:J74"/>
    <mergeCell ref="E75:E77"/>
    <mergeCell ref="H75:H77"/>
    <mergeCell ref="E85:E86"/>
    <mergeCell ref="E87:F87"/>
    <mergeCell ref="E90:O90"/>
    <mergeCell ref="F75:F77"/>
    <mergeCell ref="G75:G77"/>
    <mergeCell ref="E78:E84"/>
    <mergeCell ref="F78:F84"/>
    <mergeCell ref="G78:G84"/>
    <mergeCell ref="H78:H84"/>
    <mergeCell ref="H85:H86"/>
    <mergeCell ref="F85:F86"/>
    <mergeCell ref="G85:G86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5:F135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E184:P184"/>
    <mergeCell ref="G186:M186"/>
    <mergeCell ref="N186:P186"/>
    <mergeCell ref="R186:T186"/>
    <mergeCell ref="I191:I197"/>
    <mergeCell ref="J191:J197"/>
    <mergeCell ref="G198:G199"/>
    <mergeCell ref="H198:H199"/>
    <mergeCell ref="I198:I199"/>
    <mergeCell ref="J198:J199"/>
    <mergeCell ref="G188:G190"/>
    <mergeCell ref="H188:H190"/>
    <mergeCell ref="I188:I190"/>
    <mergeCell ref="J188:J190"/>
    <mergeCell ref="R190:S190"/>
    <mergeCell ref="G191:G197"/>
    <mergeCell ref="H191:H197"/>
    <mergeCell ref="N207:O207"/>
    <mergeCell ref="N208:O208"/>
    <mergeCell ref="B230:E230"/>
    <mergeCell ref="B231:E231"/>
    <mergeCell ref="B232:E232"/>
    <mergeCell ref="B233:E233"/>
    <mergeCell ref="B234:E234"/>
    <mergeCell ref="B235:E235"/>
    <mergeCell ref="B236:E236"/>
    <mergeCell ref="C251:D276"/>
    <mergeCell ref="E251:F276"/>
    <mergeCell ref="G251:H276"/>
    <mergeCell ref="I251:J276"/>
    <mergeCell ref="K251:M276"/>
    <mergeCell ref="N251:O276"/>
    <mergeCell ref="B237:E237"/>
    <mergeCell ref="B238:E238"/>
    <mergeCell ref="B239:E239"/>
    <mergeCell ref="B240:E240"/>
    <mergeCell ref="B241:E241"/>
    <mergeCell ref="B242:E242"/>
    <mergeCell ref="B243:E243"/>
    <mergeCell ref="N206:O206"/>
    <mergeCell ref="N209:O209"/>
    <mergeCell ref="B203:Q203"/>
    <mergeCell ref="B205:E205"/>
    <mergeCell ref="N205:O205"/>
    <mergeCell ref="B206:E206"/>
    <mergeCell ref="B207:E207"/>
    <mergeCell ref="B208:E208"/>
    <mergeCell ref="B209:E209"/>
    <mergeCell ref="B210:E210"/>
    <mergeCell ref="N210:O210"/>
    <mergeCell ref="B211:E211"/>
    <mergeCell ref="B212:E212"/>
    <mergeCell ref="B213:E213"/>
    <mergeCell ref="B214:E214"/>
    <mergeCell ref="B215:E215"/>
    <mergeCell ref="B216:E216"/>
    <mergeCell ref="B217:E217"/>
    <mergeCell ref="B218:E218"/>
    <mergeCell ref="B219:E219"/>
    <mergeCell ref="B220:E220"/>
    <mergeCell ref="B221:E221"/>
    <mergeCell ref="B222:E222"/>
    <mergeCell ref="B223:E223"/>
    <mergeCell ref="B224:E224"/>
    <mergeCell ref="B225:E225"/>
    <mergeCell ref="B226:E226"/>
    <mergeCell ref="B227:E227"/>
    <mergeCell ref="B228:E228"/>
    <mergeCell ref="B229:E229"/>
    <mergeCell ref="B244:E244"/>
    <mergeCell ref="B245:E245"/>
    <mergeCell ref="B246:E246"/>
    <mergeCell ref="B248:Q248"/>
    <mergeCell ref="C250:D250"/>
    <mergeCell ref="E250:F250"/>
    <mergeCell ref="G250:H250"/>
    <mergeCell ref="I250:J250"/>
    <mergeCell ref="K250:M250"/>
    <mergeCell ref="N250:O250"/>
  </mergeCells>
  <dataValidations>
    <dataValidation type="list" allowBlank="1" showErrorMessage="1" sqref="C8">
      <formula1>"Hombre,Mujer"</formula1>
    </dataValidation>
    <dataValidation type="list" allowBlank="1" showErrorMessage="1" sqref="C23">
      <formula1>$L$40:$L$44</formula1>
    </dataValidation>
    <dataValidation type="list" allowBlank="1" showErrorMessage="1" sqref="C60">
      <formula1>$L$59:$L$60</formula1>
    </dataValidation>
    <dataValidation type="list" allowBlank="1" showErrorMessage="1" sqref="C19">
      <formula1>$L$35:$L$38</formula1>
    </dataValidation>
    <dataValidation type="list" allowBlank="1" showErrorMessage="1" sqref="C26">
      <formula1>$L$46:$L$50</formula1>
    </dataValidation>
    <dataValidation type="list" allowBlank="1" showErrorMessage="1" sqref="C56">
      <formula1>Actividad_fisica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0.43"/>
    <col customWidth="1" min="3" max="3" width="10.71"/>
    <col customWidth="1" min="4" max="4" width="13.0"/>
    <col customWidth="1" min="5" max="5" width="21.14"/>
    <col customWidth="1" min="6" max="6" width="13.14"/>
    <col customWidth="1" min="7" max="7" width="13.71"/>
    <col customWidth="1" min="8" max="8" width="21.0"/>
    <col customWidth="1" min="9" max="9" width="12.29"/>
    <col customWidth="1" min="10" max="10" width="12.14"/>
    <col customWidth="1" min="11" max="11" width="14.71"/>
    <col customWidth="1" min="12" max="13" width="10.71"/>
    <col customWidth="1" min="14" max="14" width="12.0"/>
    <col customWidth="1" min="15" max="15" width="11.71"/>
    <col customWidth="1" min="16" max="17" width="12.71"/>
    <col customWidth="1" min="18" max="18" width="11.43"/>
    <col customWidth="1" min="19" max="35" width="10.71"/>
  </cols>
  <sheetData>
    <row r="2">
      <c r="B2" s="258" t="s">
        <v>450</v>
      </c>
      <c r="C2" s="60"/>
      <c r="D2" s="60"/>
      <c r="E2" s="60"/>
      <c r="F2" s="60"/>
      <c r="G2" s="60"/>
      <c r="H2" s="60"/>
      <c r="I2" s="60"/>
      <c r="J2" s="60"/>
      <c r="K2" s="58"/>
      <c r="L2" s="58"/>
      <c r="M2" s="58"/>
      <c r="N2" s="58"/>
      <c r="O2" s="58"/>
      <c r="P2" s="58"/>
      <c r="Q2" s="58"/>
      <c r="R2" s="58"/>
      <c r="S2" s="5"/>
      <c r="T2" s="5"/>
      <c r="U2" s="5"/>
      <c r="V2" s="5"/>
      <c r="W2" s="5"/>
      <c r="X2" s="5"/>
      <c r="Y2" s="5"/>
    </row>
    <row r="3"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B4" s="19" t="s">
        <v>451</v>
      </c>
      <c r="C4" s="20"/>
      <c r="D4" s="20"/>
      <c r="E4" s="20"/>
      <c r="F4" s="20"/>
      <c r="G4" s="20"/>
      <c r="H4" s="20"/>
      <c r="I4" s="2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B5" s="259"/>
      <c r="C5" s="260" t="s">
        <v>452</v>
      </c>
      <c r="D5" s="261" t="s">
        <v>453</v>
      </c>
      <c r="E5" s="262" t="s">
        <v>454</v>
      </c>
      <c r="F5" s="263" t="s">
        <v>455</v>
      </c>
      <c r="G5" s="262" t="s">
        <v>456</v>
      </c>
      <c r="H5" s="264" t="s">
        <v>455</v>
      </c>
      <c r="I5" s="265" t="s">
        <v>457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B6" s="266"/>
      <c r="C6" s="100"/>
      <c r="D6" s="100"/>
      <c r="E6" s="267" t="s">
        <v>458</v>
      </c>
      <c r="F6" s="268" t="s">
        <v>459</v>
      </c>
      <c r="G6" s="269" t="s">
        <v>460</v>
      </c>
      <c r="H6" s="270" t="s">
        <v>459</v>
      </c>
      <c r="I6" s="271" t="s">
        <v>461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B7" s="272" t="s">
        <v>462</v>
      </c>
      <c r="C7" s="273" t="s">
        <v>463</v>
      </c>
      <c r="D7" s="274" t="s">
        <v>464</v>
      </c>
      <c r="E7" s="275" t="s">
        <v>465</v>
      </c>
      <c r="F7" s="276" t="s">
        <v>466</v>
      </c>
      <c r="G7" s="275" t="s">
        <v>467</v>
      </c>
      <c r="H7" s="277" t="s">
        <v>468</v>
      </c>
      <c r="I7" s="274" t="s">
        <v>469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B8" s="272" t="s">
        <v>470</v>
      </c>
      <c r="C8" s="278" t="s">
        <v>471</v>
      </c>
      <c r="D8" s="274" t="s">
        <v>472</v>
      </c>
      <c r="E8" s="275" t="s">
        <v>473</v>
      </c>
      <c r="F8" s="276" t="s">
        <v>474</v>
      </c>
      <c r="G8" s="275" t="s">
        <v>475</v>
      </c>
      <c r="H8" s="277" t="s">
        <v>476</v>
      </c>
      <c r="I8" s="274" t="s">
        <v>477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B9" s="272" t="s">
        <v>346</v>
      </c>
      <c r="C9" s="278" t="s">
        <v>478</v>
      </c>
      <c r="D9" s="274" t="s">
        <v>479</v>
      </c>
      <c r="E9" s="275" t="s">
        <v>480</v>
      </c>
      <c r="F9" s="276" t="s">
        <v>481</v>
      </c>
      <c r="G9" s="275" t="s">
        <v>482</v>
      </c>
      <c r="H9" s="277" t="s">
        <v>483</v>
      </c>
      <c r="I9" s="274" t="s">
        <v>484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B10" s="279" t="s">
        <v>43</v>
      </c>
      <c r="C10" s="280" t="s">
        <v>485</v>
      </c>
      <c r="D10" s="281" t="s">
        <v>486</v>
      </c>
      <c r="E10" s="282" t="s">
        <v>427</v>
      </c>
      <c r="F10" s="283" t="s">
        <v>427</v>
      </c>
      <c r="G10" s="282" t="s">
        <v>487</v>
      </c>
      <c r="H10" s="284" t="s">
        <v>124</v>
      </c>
      <c r="I10" s="281" t="s">
        <v>484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B12" s="113" t="s">
        <v>13</v>
      </c>
      <c r="C12" s="109"/>
      <c r="E12" s="19" t="s">
        <v>488</v>
      </c>
      <c r="F12" s="21"/>
      <c r="H12" s="285" t="s">
        <v>489</v>
      </c>
      <c r="I12" s="193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B13" s="113" t="s">
        <v>17</v>
      </c>
      <c r="C13" s="109"/>
      <c r="E13" s="52" t="s">
        <v>490</v>
      </c>
      <c r="F13" s="53"/>
      <c r="H13" s="195"/>
      <c r="I13" s="196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B14" s="113" t="s">
        <v>274</v>
      </c>
      <c r="C14" s="109"/>
      <c r="E14" s="52" t="s">
        <v>20</v>
      </c>
      <c r="F14" s="53"/>
      <c r="H14" s="195"/>
      <c r="I14" s="196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B15" s="113" t="s">
        <v>491</v>
      </c>
      <c r="C15" s="53"/>
      <c r="E15" s="52" t="s">
        <v>492</v>
      </c>
      <c r="F15" s="55" t="str">
        <f>IF(F13&lt;14,((C20/13)*F13),(C20+((C21/27)*(F13-13))))</f>
        <v>#DIV/0!</v>
      </c>
      <c r="H15" s="195"/>
      <c r="I15" s="196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B16" s="113" t="s">
        <v>493</v>
      </c>
      <c r="C16" s="53"/>
      <c r="E16" s="52" t="s">
        <v>494</v>
      </c>
      <c r="F16" s="26">
        <f>F14-C15</f>
        <v>0</v>
      </c>
      <c r="H16" s="195"/>
      <c r="I16" s="196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B17" s="113" t="s">
        <v>38</v>
      </c>
      <c r="C17" s="286" t="str">
        <f>(C15/(C16*C16))</f>
        <v>#DIV/0!</v>
      </c>
      <c r="E17" s="52" t="s">
        <v>495</v>
      </c>
      <c r="F17" s="34" t="str">
        <f>(F14/(C16*C16))</f>
        <v>#DIV/0!</v>
      </c>
      <c r="H17" s="197"/>
      <c r="I17" s="19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B18" s="113" t="s">
        <v>496</v>
      </c>
      <c r="C18" s="106" t="str">
        <f>IF(C17&lt;20,"Bajo",IF(AND(C17&gt;=20,C17&lt;25),"Normal",IF(AND(C17&gt;=25,C17&lt;30),"Sobrepeso","obesidad")))</f>
        <v>#DIV/0!</v>
      </c>
      <c r="H18" s="43"/>
      <c r="I18" s="4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B19" s="19" t="s">
        <v>497</v>
      </c>
      <c r="C19" s="21"/>
      <c r="E19" s="19" t="s">
        <v>498</v>
      </c>
      <c r="F19" s="21"/>
      <c r="H19" s="19" t="s">
        <v>498</v>
      </c>
      <c r="I19" s="2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B20" s="113" t="s">
        <v>499</v>
      </c>
      <c r="C20" s="26" t="str">
        <f>IF(C17&lt;20,"2,5",IF(AND(C17&gt;=18.5,C17&lt;25),"1,5",IF(AND(C17&gt;=25,C17&lt;30),"0,9","0")))</f>
        <v>#DIV/0!</v>
      </c>
      <c r="E20" s="52" t="s">
        <v>500</v>
      </c>
      <c r="F20" s="64"/>
      <c r="H20" s="52" t="s">
        <v>500</v>
      </c>
      <c r="I20" s="52" t="str">
        <f>F20</f>
        <v/>
      </c>
      <c r="S20" s="5"/>
      <c r="T20" s="287"/>
      <c r="U20" s="287"/>
      <c r="V20" s="5"/>
      <c r="W20" s="5"/>
      <c r="X20" s="5"/>
      <c r="Y20" s="5"/>
    </row>
    <row r="21" ht="15.75" customHeight="1">
      <c r="B21" s="113" t="s">
        <v>501</v>
      </c>
      <c r="C21" s="26" t="str">
        <f>IF(C17&lt;20,"13,5",IF(AND(C17&gt;=18.5,C17&lt;25),"10,8",IF(AND(C17&gt;=25,C17&lt;30),"8,1","5,4")))</f>
        <v>#DIV/0!</v>
      </c>
      <c r="E21" s="19" t="s">
        <v>488</v>
      </c>
      <c r="F21" s="21"/>
      <c r="H21" s="19" t="s">
        <v>502</v>
      </c>
      <c r="I21" s="21"/>
      <c r="K21" s="19" t="s">
        <v>503</v>
      </c>
      <c r="L21" s="20"/>
      <c r="M21" s="20"/>
      <c r="N21" s="20"/>
      <c r="O21" s="20"/>
      <c r="P21" s="20"/>
      <c r="Q21" s="20"/>
      <c r="R21" s="21"/>
      <c r="S21" s="5"/>
      <c r="T21" s="288" t="str">
        <f>F13</f>
        <v/>
      </c>
      <c r="U21" s="288" t="str">
        <f>F17</f>
        <v>#DIV/0!</v>
      </c>
      <c r="V21" s="5"/>
      <c r="W21" s="5"/>
      <c r="X21" s="5"/>
      <c r="Y21" s="5"/>
    </row>
    <row r="22" ht="15.75" customHeight="1">
      <c r="B22" s="113" t="s">
        <v>504</v>
      </c>
      <c r="C22" s="26" t="str">
        <f>(C21+C20)</f>
        <v>#DIV/0!</v>
      </c>
      <c r="E22" s="52" t="s">
        <v>490</v>
      </c>
      <c r="F22" s="64"/>
      <c r="H22" s="52" t="s">
        <v>490</v>
      </c>
      <c r="I22" s="52" t="str">
        <f t="shared" ref="I22:I23" si="1">F22</f>
        <v/>
      </c>
      <c r="K22" s="289" t="s">
        <v>505</v>
      </c>
      <c r="L22" s="20"/>
      <c r="M22" s="20"/>
      <c r="N22" s="290" t="str">
        <f>F13</f>
        <v/>
      </c>
      <c r="O22" s="290" t="s">
        <v>506</v>
      </c>
      <c r="P22" s="290" t="str">
        <f>F22</f>
        <v/>
      </c>
      <c r="Q22" s="12" t="s">
        <v>507</v>
      </c>
      <c r="R22" s="68">
        <f t="shared" ref="R22:R23" si="2">F24</f>
        <v>0</v>
      </c>
      <c r="S22" s="5"/>
      <c r="T22" s="288" t="str">
        <f>F22</f>
        <v/>
      </c>
      <c r="U22" s="288" t="str">
        <f>F26</f>
        <v>#DIV/0!</v>
      </c>
      <c r="V22" s="5"/>
      <c r="W22" s="5"/>
      <c r="X22" s="5"/>
      <c r="Y22" s="5"/>
    </row>
    <row r="23" ht="15.75" customHeight="1">
      <c r="B23" s="19" t="s">
        <v>508</v>
      </c>
      <c r="C23" s="21"/>
      <c r="E23" s="52" t="s">
        <v>20</v>
      </c>
      <c r="F23" s="64"/>
      <c r="H23" s="52" t="s">
        <v>20</v>
      </c>
      <c r="I23" s="52" t="str">
        <f t="shared" si="1"/>
        <v/>
      </c>
      <c r="K23" s="289" t="s">
        <v>509</v>
      </c>
      <c r="L23" s="20"/>
      <c r="M23" s="20"/>
      <c r="N23" s="290" t="str">
        <f>N22</f>
        <v/>
      </c>
      <c r="O23" s="290" t="s">
        <v>506</v>
      </c>
      <c r="P23" s="291" t="str">
        <f>P22</f>
        <v/>
      </c>
      <c r="Q23" s="292" t="s">
        <v>507</v>
      </c>
      <c r="R23" s="64">
        <f t="shared" si="2"/>
        <v>0</v>
      </c>
      <c r="S23" s="5"/>
      <c r="T23" s="288" t="str">
        <f>F31</f>
        <v/>
      </c>
      <c r="U23" s="288" t="str">
        <f>F35</f>
        <v>#DIV/0!</v>
      </c>
      <c r="V23" s="5"/>
      <c r="W23" s="5"/>
      <c r="X23" s="5"/>
      <c r="Y23" s="5"/>
    </row>
    <row r="24" ht="15.75" customHeight="1">
      <c r="B24" s="113" t="s">
        <v>504</v>
      </c>
      <c r="C24" s="156" t="str">
        <f>IF(C17&lt;20,(C15 *0.3),IF(AND(C17&gt;=18.5,C17&lt;25),(C15*0.2),IF(AND(C17&gt;=25,C17&lt;30),(C27*0.15),(C27*0.15))))</f>
        <v>#DIV/0!</v>
      </c>
      <c r="E24" s="52" t="s">
        <v>492</v>
      </c>
      <c r="F24" s="85">
        <f>(F20/1000)*(F22-F13)</f>
        <v>0</v>
      </c>
      <c r="H24" s="52" t="s">
        <v>492</v>
      </c>
      <c r="I24" s="85" t="str">
        <f>IF(I22&lt;14,(C20/13)*I22,C20+((C21/27)*(I22-13)))</f>
        <v>#DIV/0!</v>
      </c>
      <c r="K24" s="289" t="s">
        <v>510</v>
      </c>
      <c r="L24" s="20"/>
      <c r="M24" s="20"/>
      <c r="N24" s="290" t="str">
        <f>P23</f>
        <v/>
      </c>
      <c r="O24" s="12" t="s">
        <v>507</v>
      </c>
      <c r="P24" s="293" t="str">
        <f t="shared" ref="P24:P25" si="3">I24</f>
        <v>#DIV/0!</v>
      </c>
      <c r="Q24" s="20"/>
      <c r="R24" s="21"/>
      <c r="S24" s="5"/>
      <c r="T24" s="288" t="str">
        <f>F40</f>
        <v/>
      </c>
      <c r="U24" s="288" t="str">
        <f>F44</f>
        <v>#DIV/0!</v>
      </c>
      <c r="V24" s="5"/>
      <c r="W24" s="5"/>
      <c r="X24" s="5"/>
      <c r="Y24" s="5"/>
    </row>
    <row r="25" ht="15.75" customHeight="1">
      <c r="B25" s="19" t="s">
        <v>511</v>
      </c>
      <c r="C25" s="21"/>
      <c r="E25" s="52" t="s">
        <v>494</v>
      </c>
      <c r="F25" s="52">
        <f>F23-F14</f>
        <v>0</v>
      </c>
      <c r="H25" s="52" t="s">
        <v>494</v>
      </c>
      <c r="I25" s="52">
        <f>F23-C15</f>
        <v>0</v>
      </c>
      <c r="K25" s="289" t="s">
        <v>512</v>
      </c>
      <c r="L25" s="20"/>
      <c r="M25" s="20"/>
      <c r="N25" s="290" t="str">
        <f>P23</f>
        <v/>
      </c>
      <c r="O25" s="12" t="s">
        <v>507</v>
      </c>
      <c r="P25" s="289">
        <f t="shared" si="3"/>
        <v>0</v>
      </c>
      <c r="Q25" s="20"/>
      <c r="R25" s="21"/>
      <c r="S25" s="5"/>
      <c r="T25" s="288"/>
      <c r="U25" s="288"/>
      <c r="V25" s="5"/>
      <c r="W25" s="5"/>
      <c r="X25" s="5"/>
      <c r="Y25" s="5"/>
    </row>
    <row r="26" ht="15.75" customHeight="1">
      <c r="B26" s="113" t="s">
        <v>285</v>
      </c>
      <c r="C26" s="120"/>
      <c r="E26" s="52" t="s">
        <v>495</v>
      </c>
      <c r="F26" s="294" t="str">
        <f>(F23/(C16*C16))</f>
        <v>#DIV/0!</v>
      </c>
      <c r="H26" s="52" t="s">
        <v>495</v>
      </c>
      <c r="I26" s="294" t="str">
        <f>(F23/(C16*C16))</f>
        <v>#DIV/0!</v>
      </c>
      <c r="S26" s="5"/>
      <c r="T26" s="5"/>
      <c r="U26" s="5"/>
      <c r="V26" s="5"/>
      <c r="W26" s="5"/>
      <c r="X26" s="5"/>
      <c r="Y26" s="5"/>
    </row>
    <row r="27" ht="15.75" customHeight="1">
      <c r="B27" s="113" t="s">
        <v>513</v>
      </c>
      <c r="C27" s="55">
        <f>(C26*(C16*C16))</f>
        <v>0</v>
      </c>
      <c r="H27" s="43"/>
      <c r="I27" s="43"/>
      <c r="S27" s="5"/>
      <c r="T27" s="5"/>
      <c r="U27" s="5"/>
      <c r="V27" s="5"/>
      <c r="W27" s="5"/>
      <c r="X27" s="5"/>
      <c r="Y27" s="5"/>
    </row>
    <row r="28" ht="15.75" customHeight="1">
      <c r="B28" s="295" t="s">
        <v>514</v>
      </c>
      <c r="C28" s="21"/>
      <c r="E28" s="19" t="s">
        <v>515</v>
      </c>
      <c r="F28" s="21"/>
      <c r="H28" s="19" t="s">
        <v>515</v>
      </c>
      <c r="I28" s="21"/>
      <c r="S28" s="5"/>
      <c r="T28" s="5"/>
      <c r="U28" s="5"/>
      <c r="V28" s="5"/>
      <c r="W28" s="5"/>
      <c r="X28" s="5"/>
      <c r="Y28" s="5"/>
    </row>
    <row r="29" ht="15.75" customHeight="1">
      <c r="B29" s="296" t="s">
        <v>516</v>
      </c>
      <c r="C29" s="109"/>
      <c r="E29" s="52" t="s">
        <v>500</v>
      </c>
      <c r="F29" s="64"/>
      <c r="H29" s="52" t="s">
        <v>500</v>
      </c>
      <c r="I29" s="52" t="str">
        <f>F29</f>
        <v/>
      </c>
      <c r="S29" s="5"/>
      <c r="T29" s="5"/>
      <c r="U29" s="5"/>
      <c r="V29" s="5"/>
      <c r="W29" s="5"/>
      <c r="X29" s="5"/>
      <c r="Y29" s="5"/>
    </row>
    <row r="30" ht="15.75" customHeight="1">
      <c r="B30" s="296" t="s">
        <v>517</v>
      </c>
      <c r="C30" s="109"/>
      <c r="E30" s="19" t="s">
        <v>488</v>
      </c>
      <c r="F30" s="21"/>
      <c r="H30" s="19" t="s">
        <v>502</v>
      </c>
      <c r="I30" s="21"/>
      <c r="K30" s="19" t="s">
        <v>518</v>
      </c>
      <c r="L30" s="20"/>
      <c r="M30" s="20"/>
      <c r="N30" s="20"/>
      <c r="O30" s="20"/>
      <c r="P30" s="20"/>
      <c r="Q30" s="20"/>
      <c r="R30" s="21"/>
      <c r="S30" s="5"/>
      <c r="T30" s="297" t="s">
        <v>53</v>
      </c>
      <c r="U30" s="288" t="s">
        <v>53</v>
      </c>
      <c r="V30" s="5"/>
      <c r="W30" s="5"/>
      <c r="X30" s="5"/>
      <c r="Y30" s="5"/>
    </row>
    <row r="31" ht="15.75" customHeight="1">
      <c r="B31" s="296" t="s">
        <v>519</v>
      </c>
      <c r="C31" s="109"/>
      <c r="E31" s="52" t="s">
        <v>490</v>
      </c>
      <c r="F31" s="64"/>
      <c r="H31" s="52" t="s">
        <v>490</v>
      </c>
      <c r="I31" s="52" t="str">
        <f t="shared" ref="I31:I32" si="4">F31</f>
        <v/>
      </c>
      <c r="K31" s="289" t="s">
        <v>505</v>
      </c>
      <c r="L31" s="20"/>
      <c r="M31" s="20"/>
      <c r="N31" s="290" t="str">
        <f>F22</f>
        <v/>
      </c>
      <c r="O31" s="290" t="s">
        <v>506</v>
      </c>
      <c r="P31" s="290" t="str">
        <f>F31</f>
        <v/>
      </c>
      <c r="Q31" s="12" t="s">
        <v>507</v>
      </c>
      <c r="R31" s="68">
        <f t="shared" ref="R31:R32" si="5">F33</f>
        <v>0</v>
      </c>
      <c r="S31" s="5"/>
      <c r="T31" s="288" t="s">
        <v>389</v>
      </c>
      <c r="U31" s="288" t="s">
        <v>389</v>
      </c>
      <c r="V31" s="5"/>
      <c r="W31" s="5"/>
      <c r="X31" s="5"/>
      <c r="Y31" s="5"/>
    </row>
    <row r="32" ht="15.75" customHeight="1">
      <c r="B32" s="296" t="s">
        <v>520</v>
      </c>
      <c r="C32" s="298">
        <f>C29-(3.14159*C30)</f>
        <v>0</v>
      </c>
      <c r="E32" s="52" t="s">
        <v>20</v>
      </c>
      <c r="F32" s="64"/>
      <c r="H32" s="52" t="s">
        <v>20</v>
      </c>
      <c r="I32" s="52" t="str">
        <f t="shared" si="4"/>
        <v/>
      </c>
      <c r="K32" s="289" t="s">
        <v>509</v>
      </c>
      <c r="L32" s="20"/>
      <c r="M32" s="20"/>
      <c r="N32" s="290" t="str">
        <f>N31</f>
        <v/>
      </c>
      <c r="O32" s="290" t="s">
        <v>506</v>
      </c>
      <c r="P32" s="291" t="str">
        <f>P31</f>
        <v/>
      </c>
      <c r="Q32" s="292" t="s">
        <v>507</v>
      </c>
      <c r="R32" s="64">
        <f t="shared" si="5"/>
        <v>0</v>
      </c>
      <c r="S32" s="5"/>
      <c r="T32" s="288" t="s">
        <v>390</v>
      </c>
      <c r="U32" s="288" t="s">
        <v>390</v>
      </c>
      <c r="V32" s="5"/>
      <c r="W32" s="5"/>
      <c r="X32" s="5"/>
      <c r="Y32" s="5"/>
    </row>
    <row r="33" ht="15.75" customHeight="1">
      <c r="B33" s="296" t="s">
        <v>521</v>
      </c>
      <c r="C33" s="298">
        <f>(C32^2)/(4*3.14159)</f>
        <v>0</v>
      </c>
      <c r="D33" s="43"/>
      <c r="E33" s="52" t="s">
        <v>492</v>
      </c>
      <c r="F33" s="85">
        <f>(F29/1000)*(F31-F22)</f>
        <v>0</v>
      </c>
      <c r="G33" s="43"/>
      <c r="H33" s="52" t="s">
        <v>492</v>
      </c>
      <c r="I33" s="85" t="str">
        <f>IF(I31&lt;14,(C20/13)*I31,C20+((C21/27)*(I31-13)))</f>
        <v>#DIV/0!</v>
      </c>
      <c r="K33" s="289" t="s">
        <v>510</v>
      </c>
      <c r="L33" s="20"/>
      <c r="M33" s="20"/>
      <c r="N33" s="290" t="str">
        <f>P32</f>
        <v/>
      </c>
      <c r="O33" s="12" t="s">
        <v>507</v>
      </c>
      <c r="P33" s="293" t="str">
        <f t="shared" ref="P33:P34" si="6">I33</f>
        <v>#DIV/0!</v>
      </c>
      <c r="Q33" s="20"/>
      <c r="R33" s="21"/>
      <c r="S33" s="5"/>
      <c r="T33" s="288" t="s">
        <v>391</v>
      </c>
      <c r="U33" s="299" t="s">
        <v>395</v>
      </c>
      <c r="V33" s="5"/>
      <c r="W33" s="5"/>
      <c r="X33" s="5"/>
      <c r="Y33" s="5"/>
    </row>
    <row r="34" ht="15.75" customHeight="1">
      <c r="B34" s="296" t="s">
        <v>362</v>
      </c>
      <c r="C34" s="109"/>
      <c r="D34" s="43"/>
      <c r="E34" s="52" t="s">
        <v>494</v>
      </c>
      <c r="F34" s="52">
        <f>F32-F23</f>
        <v>0</v>
      </c>
      <c r="G34" s="43"/>
      <c r="H34" s="52" t="s">
        <v>494</v>
      </c>
      <c r="I34" s="52">
        <f>F32-C15</f>
        <v>0</v>
      </c>
      <c r="K34" s="289" t="s">
        <v>512</v>
      </c>
      <c r="L34" s="20"/>
      <c r="M34" s="20"/>
      <c r="N34" s="290" t="str">
        <f>P32</f>
        <v/>
      </c>
      <c r="O34" s="12" t="s">
        <v>507</v>
      </c>
      <c r="P34" s="289">
        <f t="shared" si="6"/>
        <v>0</v>
      </c>
      <c r="Q34" s="20"/>
      <c r="R34" s="21"/>
      <c r="S34" s="5"/>
      <c r="T34" s="288"/>
      <c r="U34" s="288" t="s">
        <v>396</v>
      </c>
      <c r="V34" s="5"/>
      <c r="W34" s="5"/>
      <c r="X34" s="5"/>
      <c r="Y34" s="5"/>
    </row>
    <row r="35" ht="15.0" customHeight="1">
      <c r="B35" s="300" t="s">
        <v>363</v>
      </c>
      <c r="C35" s="301" t="str">
        <f>IF(C34=T30,"Franco agotamiento de la reserva muscular",IF(C34=T31,"Sugiere agotamiento de la reserva muscular",IF(C34=T32,"Adecuada reserva muscular",IF(C34=T33,"Buena reserva muscular","Introduzca percentil AMB"))))</f>
        <v>Introduzca percentil AMB</v>
      </c>
      <c r="D35" s="43"/>
      <c r="E35" s="52" t="s">
        <v>495</v>
      </c>
      <c r="F35" s="294" t="str">
        <f>(F32/(C16*C16))</f>
        <v>#DIV/0!</v>
      </c>
      <c r="G35" s="43"/>
      <c r="H35" s="52" t="s">
        <v>495</v>
      </c>
      <c r="I35" s="294" t="str">
        <f>(F32/(C16*C16))</f>
        <v>#DIV/0!</v>
      </c>
      <c r="S35" s="5"/>
      <c r="T35" s="5"/>
      <c r="U35" s="5"/>
      <c r="V35" s="5"/>
      <c r="W35" s="5"/>
      <c r="X35" s="5"/>
      <c r="Y35" s="5"/>
    </row>
    <row r="36" ht="53.25" customHeight="1">
      <c r="B36" s="100"/>
      <c r="C36" s="100"/>
      <c r="S36" s="5"/>
      <c r="T36" s="5"/>
      <c r="U36" s="5"/>
      <c r="V36" s="5"/>
      <c r="W36" s="5"/>
      <c r="X36" s="5"/>
      <c r="Y36" s="5"/>
    </row>
    <row r="37" ht="15.75" customHeight="1">
      <c r="B37" s="296" t="s">
        <v>522</v>
      </c>
      <c r="C37" s="298">
        <f>(3.14159/4)*((C29/3.14159)^2)</f>
        <v>0</v>
      </c>
      <c r="E37" s="19" t="s">
        <v>523</v>
      </c>
      <c r="F37" s="21"/>
      <c r="H37" s="19" t="s">
        <v>523</v>
      </c>
      <c r="I37" s="21"/>
      <c r="S37" s="5"/>
      <c r="T37" s="5"/>
      <c r="U37" s="5"/>
      <c r="V37" s="5"/>
      <c r="W37" s="5"/>
      <c r="X37" s="5"/>
      <c r="Y37" s="5"/>
    </row>
    <row r="38" ht="15.75" customHeight="1">
      <c r="B38" s="296" t="s">
        <v>524</v>
      </c>
      <c r="C38" s="298">
        <f>C37-C33</f>
        <v>0</v>
      </c>
      <c r="E38" s="52" t="s">
        <v>500</v>
      </c>
      <c r="F38" s="64"/>
      <c r="H38" s="52" t="s">
        <v>500</v>
      </c>
      <c r="I38" s="52" t="str">
        <f>F38</f>
        <v/>
      </c>
      <c r="S38" s="5"/>
      <c r="T38" s="5"/>
      <c r="U38" s="5"/>
      <c r="V38" s="5"/>
      <c r="W38" s="5"/>
      <c r="X38" s="5"/>
      <c r="Y38" s="5"/>
    </row>
    <row r="39" ht="15.75" customHeight="1">
      <c r="B39" s="296" t="s">
        <v>368</v>
      </c>
      <c r="C39" s="109"/>
      <c r="E39" s="19" t="s">
        <v>488</v>
      </c>
      <c r="F39" s="21"/>
      <c r="H39" s="19" t="s">
        <v>502</v>
      </c>
      <c r="I39" s="21"/>
      <c r="K39" s="19" t="s">
        <v>525</v>
      </c>
      <c r="L39" s="20"/>
      <c r="M39" s="20"/>
      <c r="N39" s="20"/>
      <c r="O39" s="20"/>
      <c r="P39" s="20"/>
      <c r="Q39" s="20"/>
      <c r="R39" s="21"/>
      <c r="S39" s="5"/>
      <c r="T39" s="5"/>
      <c r="U39" s="5"/>
      <c r="V39" s="5"/>
      <c r="W39" s="5"/>
      <c r="X39" s="5"/>
      <c r="Y39" s="5"/>
    </row>
    <row r="40" ht="20.25" customHeight="1">
      <c r="B40" s="300" t="s">
        <v>371</v>
      </c>
      <c r="C40" s="301" t="str">
        <f>IF(C39=U30,"Franco agotamiento de la reserva energetica",IF(C39=U31,"Sugiere agotamiento de la reserva energetica",IF(C39=U32,"Reserva energetica adecuada",IF(C39=U33,"Alta reserva energetica asociada a sobrepeso",IF(C39=U34,"Sugiere obesidad","Introduzca percentil AGB")))))</f>
        <v>Introduzca percentil AGB</v>
      </c>
      <c r="E40" s="52" t="s">
        <v>490</v>
      </c>
      <c r="F40" s="64"/>
      <c r="H40" s="52" t="s">
        <v>490</v>
      </c>
      <c r="I40" s="52" t="str">
        <f t="shared" ref="I40:I41" si="7">F40</f>
        <v/>
      </c>
      <c r="K40" s="289" t="s">
        <v>505</v>
      </c>
      <c r="L40" s="20"/>
      <c r="M40" s="20"/>
      <c r="N40" s="290" t="str">
        <f>F31</f>
        <v/>
      </c>
      <c r="O40" s="290" t="s">
        <v>506</v>
      </c>
      <c r="P40" s="290" t="str">
        <f>F40</f>
        <v/>
      </c>
      <c r="Q40" s="12" t="s">
        <v>507</v>
      </c>
      <c r="R40" s="68">
        <f t="shared" ref="R40:R41" si="8">F42</f>
        <v>0</v>
      </c>
      <c r="S40" s="5"/>
      <c r="T40" s="5"/>
      <c r="U40" s="5"/>
      <c r="V40" s="5"/>
      <c r="W40" s="5"/>
      <c r="X40" s="5"/>
      <c r="Y40" s="5"/>
    </row>
    <row r="41" ht="21.75" customHeight="1">
      <c r="B41" s="99"/>
      <c r="C41" s="99"/>
      <c r="E41" s="52" t="s">
        <v>20</v>
      </c>
      <c r="F41" s="64"/>
      <c r="H41" s="52" t="s">
        <v>20</v>
      </c>
      <c r="I41" s="52" t="str">
        <f t="shared" si="7"/>
        <v/>
      </c>
      <c r="K41" s="289" t="s">
        <v>509</v>
      </c>
      <c r="L41" s="20"/>
      <c r="M41" s="20"/>
      <c r="N41" s="290" t="str">
        <f>N40</f>
        <v/>
      </c>
      <c r="O41" s="290" t="s">
        <v>506</v>
      </c>
      <c r="P41" s="291" t="str">
        <f>P40</f>
        <v/>
      </c>
      <c r="Q41" s="292" t="s">
        <v>507</v>
      </c>
      <c r="R41" s="64">
        <f t="shared" si="8"/>
        <v>0</v>
      </c>
      <c r="S41" s="5"/>
      <c r="T41" s="5"/>
      <c r="U41" s="5"/>
      <c r="V41" s="5"/>
      <c r="W41" s="5"/>
      <c r="X41" s="5"/>
      <c r="Y41" s="5"/>
    </row>
    <row r="42" ht="21.75" customHeight="1">
      <c r="B42" s="100"/>
      <c r="C42" s="100"/>
      <c r="E42" s="52" t="s">
        <v>492</v>
      </c>
      <c r="F42" s="85">
        <f>(F38/1000)*(F40-F31)</f>
        <v>0</v>
      </c>
      <c r="G42" s="43"/>
      <c r="H42" s="52" t="s">
        <v>492</v>
      </c>
      <c r="I42" s="85" t="str">
        <f>IF(I40&lt;14,(C20/13)*I40,C20+((C21/27)*(I40-13)))</f>
        <v>#DIV/0!</v>
      </c>
      <c r="K42" s="289" t="s">
        <v>510</v>
      </c>
      <c r="L42" s="20"/>
      <c r="M42" s="20"/>
      <c r="N42" s="290" t="str">
        <f>P41</f>
        <v/>
      </c>
      <c r="O42" s="12" t="s">
        <v>507</v>
      </c>
      <c r="P42" s="293" t="str">
        <f t="shared" ref="P42:P43" si="9">I42</f>
        <v>#DIV/0!</v>
      </c>
      <c r="Q42" s="20"/>
      <c r="R42" s="21"/>
      <c r="S42" s="5"/>
      <c r="T42" s="5"/>
      <c r="U42" s="5"/>
      <c r="V42" s="5"/>
      <c r="W42" s="5"/>
      <c r="X42" s="5"/>
      <c r="Y42" s="5"/>
    </row>
    <row r="43" ht="15.75" customHeight="1">
      <c r="E43" s="52" t="s">
        <v>494</v>
      </c>
      <c r="F43" s="52">
        <f>F41-F32</f>
        <v>0</v>
      </c>
      <c r="G43" s="43"/>
      <c r="H43" s="52" t="s">
        <v>494</v>
      </c>
      <c r="I43" s="52">
        <f>F41-C15</f>
        <v>0</v>
      </c>
      <c r="K43" s="289" t="s">
        <v>512</v>
      </c>
      <c r="L43" s="20"/>
      <c r="M43" s="20"/>
      <c r="N43" s="290" t="str">
        <f>P41</f>
        <v/>
      </c>
      <c r="O43" s="12" t="s">
        <v>507</v>
      </c>
      <c r="P43" s="289">
        <f t="shared" si="9"/>
        <v>0</v>
      </c>
      <c r="Q43" s="20"/>
      <c r="R43" s="21"/>
      <c r="S43" s="5"/>
      <c r="T43" s="5"/>
      <c r="U43" s="5"/>
      <c r="V43" s="5"/>
      <c r="W43" s="5"/>
      <c r="X43" s="5"/>
      <c r="Y43" s="5"/>
    </row>
    <row r="44" ht="15.75" customHeight="1">
      <c r="E44" s="52" t="s">
        <v>495</v>
      </c>
      <c r="F44" s="294" t="str">
        <f>(F41/(C16*C16))</f>
        <v>#DIV/0!</v>
      </c>
      <c r="G44" s="43"/>
      <c r="H44" s="52" t="s">
        <v>495</v>
      </c>
      <c r="I44" s="294" t="str">
        <f>(F41/(C25*C25))</f>
        <v>#DIV/0!</v>
      </c>
      <c r="S44" s="5"/>
      <c r="T44" s="5"/>
      <c r="U44" s="5"/>
      <c r="V44" s="5"/>
      <c r="W44" s="5"/>
      <c r="X44" s="5"/>
      <c r="Y44" s="5"/>
    </row>
    <row r="45" ht="16.5" customHeight="1">
      <c r="S45" s="5"/>
      <c r="T45" s="5"/>
      <c r="U45" s="5"/>
      <c r="V45" s="5"/>
      <c r="W45" s="5"/>
      <c r="X45" s="5"/>
      <c r="Y45" s="5"/>
    </row>
    <row r="46" ht="16.5" customHeight="1">
      <c r="B46" s="302" t="s">
        <v>344</v>
      </c>
      <c r="C46" s="60"/>
      <c r="D46" s="60"/>
      <c r="E46" s="60"/>
      <c r="F46" s="60"/>
      <c r="G46" s="60"/>
      <c r="H46" s="60"/>
      <c r="I46" s="201"/>
      <c r="J46" s="201"/>
      <c r="K46" s="201"/>
      <c r="S46" s="5"/>
      <c r="T46" s="5"/>
      <c r="U46" s="5"/>
      <c r="V46" s="5"/>
      <c r="W46" s="5"/>
      <c r="X46" s="5"/>
      <c r="Y46" s="5"/>
    </row>
    <row r="47" ht="144.75" customHeight="1">
      <c r="S47" s="5"/>
      <c r="T47" s="5"/>
      <c r="U47" s="5"/>
      <c r="V47" s="5"/>
      <c r="W47" s="5"/>
      <c r="X47" s="5"/>
      <c r="Y47" s="5"/>
    </row>
    <row r="48" ht="15.75" customHeight="1">
      <c r="B48" s="258" t="s">
        <v>526</v>
      </c>
      <c r="C48" s="60"/>
      <c r="D48" s="60"/>
      <c r="E48" s="60"/>
      <c r="F48" s="60"/>
      <c r="G48" s="60"/>
      <c r="H48" s="60"/>
      <c r="I48" s="60"/>
      <c r="J48" s="60"/>
      <c r="K48" s="60"/>
      <c r="M48" s="258" t="s">
        <v>527</v>
      </c>
      <c r="N48" s="60"/>
      <c r="O48" s="60"/>
      <c r="P48" s="60"/>
      <c r="Q48" s="60"/>
      <c r="R48" s="60"/>
      <c r="S48" s="60"/>
      <c r="T48" s="60"/>
      <c r="U48" s="60"/>
      <c r="V48" s="60"/>
    </row>
    <row r="49" ht="15.75" customHeight="1"/>
    <row r="50" ht="15.75" customHeight="1">
      <c r="B50" s="19" t="s">
        <v>266</v>
      </c>
      <c r="C50" s="21"/>
      <c r="E50" s="111" t="s">
        <v>267</v>
      </c>
      <c r="F50" s="21"/>
      <c r="H50" s="111" t="s">
        <v>528</v>
      </c>
      <c r="I50" s="20"/>
      <c r="J50" s="21"/>
    </row>
    <row r="51" ht="15.75" customHeight="1">
      <c r="B51" s="113" t="s">
        <v>20</v>
      </c>
      <c r="C51" s="53"/>
      <c r="E51" s="113" t="s">
        <v>271</v>
      </c>
      <c r="F51" s="53"/>
      <c r="H51" s="113" t="s">
        <v>272</v>
      </c>
      <c r="I51" s="26">
        <v>1.53</v>
      </c>
      <c r="J51" s="26" t="s">
        <v>273</v>
      </c>
    </row>
    <row r="52" ht="15.75" customHeight="1">
      <c r="B52" s="113" t="s">
        <v>277</v>
      </c>
      <c r="C52" s="26" t="str">
        <f>C16</f>
        <v/>
      </c>
      <c r="E52" s="111" t="s">
        <v>293</v>
      </c>
      <c r="F52" s="21"/>
      <c r="H52" s="113" t="s">
        <v>279</v>
      </c>
      <c r="I52" s="26">
        <v>1.76</v>
      </c>
      <c r="J52" s="26" t="s">
        <v>280</v>
      </c>
    </row>
    <row r="53" ht="15.75" customHeight="1">
      <c r="B53" s="113" t="s">
        <v>38</v>
      </c>
      <c r="C53" s="55" t="str">
        <f>(C51/(C52*C52))</f>
        <v>#DIV/0!</v>
      </c>
      <c r="E53" s="113" t="s">
        <v>281</v>
      </c>
      <c r="F53" s="118">
        <f>((14.818*F51)+486.6)</f>
        <v>486.6</v>
      </c>
      <c r="H53" s="113" t="s">
        <v>282</v>
      </c>
      <c r="I53" s="26">
        <v>2.25</v>
      </c>
      <c r="J53" s="26" t="s">
        <v>283</v>
      </c>
    </row>
    <row r="54" ht="15.75" customHeight="1">
      <c r="B54" s="113" t="s">
        <v>285</v>
      </c>
      <c r="C54" s="120"/>
      <c r="E54" s="113" t="s">
        <v>529</v>
      </c>
      <c r="F54" s="118">
        <f>((8.126*F51)+845.6)</f>
        <v>845.6</v>
      </c>
    </row>
    <row r="55" ht="15.75" customHeight="1">
      <c r="B55" s="121" t="s">
        <v>530</v>
      </c>
      <c r="C55" s="21"/>
      <c r="H55" s="111" t="s">
        <v>290</v>
      </c>
      <c r="I55" s="21"/>
    </row>
    <row r="56" ht="15.75" customHeight="1">
      <c r="B56" s="113" t="s">
        <v>292</v>
      </c>
      <c r="C56" s="55">
        <f>(C54*(C52*C52))</f>
        <v>0</v>
      </c>
      <c r="H56" s="113" t="s">
        <v>294</v>
      </c>
      <c r="I56" s="53"/>
    </row>
    <row r="57" ht="15.75" customHeight="1">
      <c r="H57" s="113" t="s">
        <v>296</v>
      </c>
      <c r="I57" s="53"/>
    </row>
    <row r="58" ht="15.75" customHeight="1">
      <c r="H58" s="113" t="s">
        <v>298</v>
      </c>
      <c r="I58" s="118">
        <f>(I56*I57)</f>
        <v>0</v>
      </c>
    </row>
    <row r="59" ht="15.75" customHeight="1"/>
    <row r="60" ht="15.75" customHeight="1">
      <c r="B60" s="258" t="s">
        <v>531</v>
      </c>
      <c r="C60" s="60"/>
      <c r="D60" s="60"/>
      <c r="E60" s="60"/>
      <c r="F60" s="60"/>
      <c r="G60" s="60"/>
      <c r="H60" s="60"/>
      <c r="I60" s="60"/>
      <c r="J60" s="60"/>
      <c r="K60" s="60"/>
    </row>
    <row r="61" ht="15.75" customHeight="1"/>
    <row r="62" ht="15.75" customHeight="1">
      <c r="B62" s="303" t="s">
        <v>532</v>
      </c>
      <c r="C62" s="303" t="s">
        <v>454</v>
      </c>
      <c r="D62" s="303" t="s">
        <v>533</v>
      </c>
      <c r="E62" s="303" t="s">
        <v>534</v>
      </c>
      <c r="G62" s="19" t="s">
        <v>535</v>
      </c>
      <c r="H62" s="20"/>
      <c r="I62" s="21"/>
    </row>
    <row r="63" ht="15.75" customHeight="1">
      <c r="B63" s="303" t="s">
        <v>462</v>
      </c>
      <c r="C63" s="40" t="s">
        <v>536</v>
      </c>
      <c r="D63" s="40" t="s">
        <v>536</v>
      </c>
      <c r="E63" s="40" t="s">
        <v>536</v>
      </c>
      <c r="G63" s="51" t="s">
        <v>537</v>
      </c>
      <c r="H63" s="21"/>
      <c r="I63" s="64">
        <v>285.0</v>
      </c>
    </row>
    <row r="64" ht="15.75" customHeight="1">
      <c r="B64" s="303" t="s">
        <v>470</v>
      </c>
      <c r="C64" s="40" t="s">
        <v>538</v>
      </c>
      <c r="D64" s="40" t="s">
        <v>539</v>
      </c>
      <c r="E64" s="40" t="s">
        <v>540</v>
      </c>
      <c r="G64" s="51" t="s">
        <v>541</v>
      </c>
      <c r="H64" s="21"/>
      <c r="I64" s="84">
        <f>I58</f>
        <v>0</v>
      </c>
    </row>
    <row r="65" ht="15.75" customHeight="1">
      <c r="B65" s="303" t="s">
        <v>470</v>
      </c>
      <c r="C65" s="40" t="s">
        <v>427</v>
      </c>
      <c r="D65" s="40" t="s">
        <v>542</v>
      </c>
      <c r="E65" s="40" t="s">
        <v>540</v>
      </c>
      <c r="G65" s="51" t="s">
        <v>543</v>
      </c>
      <c r="H65" s="21"/>
      <c r="I65" s="84">
        <f>SUM(I63:I64)</f>
        <v>285</v>
      </c>
    </row>
    <row r="66" ht="15.75" customHeight="1">
      <c r="B66" s="303" t="s">
        <v>346</v>
      </c>
      <c r="C66" s="40" t="s">
        <v>427</v>
      </c>
      <c r="D66" s="40" t="s">
        <v>544</v>
      </c>
      <c r="E66" s="40" t="s">
        <v>544</v>
      </c>
    </row>
    <row r="67" ht="15.75" customHeight="1">
      <c r="B67" s="303" t="s">
        <v>43</v>
      </c>
      <c r="C67" s="40" t="s">
        <v>427</v>
      </c>
      <c r="D67" s="40" t="s">
        <v>545</v>
      </c>
      <c r="E67" s="40" t="s">
        <v>545</v>
      </c>
    </row>
    <row r="68" ht="15.75" customHeight="1"/>
    <row r="69" ht="15.75" customHeight="1">
      <c r="B69" s="258" t="s">
        <v>300</v>
      </c>
      <c r="C69" s="60"/>
      <c r="D69" s="60"/>
      <c r="E69" s="60"/>
      <c r="F69" s="60"/>
      <c r="G69" s="60"/>
      <c r="H69" s="60"/>
      <c r="I69" s="60"/>
      <c r="J69" s="60"/>
      <c r="K69" s="60"/>
    </row>
    <row r="70" ht="15.75" customHeight="1"/>
    <row r="71" ht="15.75" customHeight="1">
      <c r="B71" s="19" t="s">
        <v>300</v>
      </c>
      <c r="C71" s="20"/>
      <c r="D71" s="20"/>
      <c r="E71" s="20"/>
      <c r="F71" s="20"/>
      <c r="G71" s="21"/>
      <c r="I71" s="19" t="s">
        <v>216</v>
      </c>
      <c r="J71" s="20"/>
      <c r="K71" s="21"/>
    </row>
    <row r="72" ht="15.75" customHeight="1">
      <c r="B72" s="23" t="s">
        <v>217</v>
      </c>
      <c r="C72" s="23" t="s">
        <v>218</v>
      </c>
      <c r="D72" s="23" t="s">
        <v>546</v>
      </c>
      <c r="E72" s="23" t="s">
        <v>220</v>
      </c>
      <c r="F72" s="130" t="s">
        <v>221</v>
      </c>
      <c r="G72" s="21"/>
      <c r="I72" s="174" t="s">
        <v>224</v>
      </c>
      <c r="J72" s="21"/>
      <c r="K72" s="52" t="s">
        <v>301</v>
      </c>
    </row>
    <row r="73" ht="15.75" customHeight="1">
      <c r="B73" s="94" t="s">
        <v>224</v>
      </c>
      <c r="C73" s="95">
        <f>(G75*C86)</f>
        <v>0</v>
      </c>
      <c r="D73" s="96">
        <f>(C73*4)</f>
        <v>0</v>
      </c>
      <c r="E73" s="95">
        <f>((100/D85)*D73)</f>
        <v>0</v>
      </c>
      <c r="F73" s="113" t="s">
        <v>225</v>
      </c>
      <c r="G73" s="141">
        <f>((G74/100)*C73)</f>
        <v>0</v>
      </c>
      <c r="I73" s="174" t="s">
        <v>226</v>
      </c>
      <c r="J73" s="21"/>
      <c r="K73" s="304">
        <v>1.53</v>
      </c>
    </row>
    <row r="74" ht="15.75" customHeight="1">
      <c r="B74" s="99"/>
      <c r="C74" s="99"/>
      <c r="D74" s="99"/>
      <c r="E74" s="99"/>
      <c r="F74" s="113" t="s">
        <v>228</v>
      </c>
      <c r="G74" s="227"/>
      <c r="I74" s="174" t="s">
        <v>547</v>
      </c>
      <c r="J74" s="21"/>
      <c r="K74" s="304">
        <v>1.7</v>
      </c>
    </row>
    <row r="75" ht="15.75" customHeight="1">
      <c r="B75" s="100"/>
      <c r="C75" s="100"/>
      <c r="D75" s="100"/>
      <c r="E75" s="100"/>
      <c r="F75" s="113" t="s">
        <v>231</v>
      </c>
      <c r="G75" s="227"/>
      <c r="I75" s="174" t="s">
        <v>229</v>
      </c>
      <c r="J75" s="21"/>
      <c r="K75" s="52" t="s">
        <v>230</v>
      </c>
    </row>
    <row r="76" ht="15.75" customHeight="1">
      <c r="B76" s="94" t="s">
        <v>234</v>
      </c>
      <c r="C76" s="95">
        <f>(D76/9)</f>
        <v>0</v>
      </c>
      <c r="D76" s="96">
        <f>((D85/100)*E76)</f>
        <v>0</v>
      </c>
      <c r="E76" s="228"/>
      <c r="F76" s="113" t="s">
        <v>235</v>
      </c>
      <c r="G76" s="137">
        <f>(((D85/100)*G77)/9)</f>
        <v>0</v>
      </c>
      <c r="I76" s="174" t="s">
        <v>302</v>
      </c>
      <c r="J76" s="21"/>
      <c r="K76" s="52" t="s">
        <v>233</v>
      </c>
    </row>
    <row r="77" ht="15.75" customHeight="1">
      <c r="B77" s="99"/>
      <c r="C77" s="99"/>
      <c r="D77" s="99"/>
      <c r="E77" s="99"/>
      <c r="F77" s="113" t="s">
        <v>238</v>
      </c>
      <c r="G77" s="227"/>
      <c r="I77" s="97" t="s">
        <v>303</v>
      </c>
      <c r="J77" s="97"/>
      <c r="K77" s="52" t="s">
        <v>237</v>
      </c>
    </row>
    <row r="78" ht="15.75" customHeight="1">
      <c r="B78" s="99"/>
      <c r="C78" s="99"/>
      <c r="D78" s="99"/>
      <c r="E78" s="99"/>
      <c r="F78" s="113" t="s">
        <v>241</v>
      </c>
      <c r="G78" s="137">
        <f>(((D85/100)*G79)/9)</f>
        <v>0</v>
      </c>
      <c r="I78" s="97" t="s">
        <v>304</v>
      </c>
      <c r="J78" s="97"/>
      <c r="K78" s="52" t="s">
        <v>305</v>
      </c>
    </row>
    <row r="79" ht="15.75" customHeight="1">
      <c r="B79" s="99"/>
      <c r="C79" s="99"/>
      <c r="D79" s="99"/>
      <c r="E79" s="99"/>
      <c r="F79" s="113" t="s">
        <v>243</v>
      </c>
      <c r="G79" s="141">
        <f>(E76-G77)-G81</f>
        <v>0</v>
      </c>
      <c r="I79" s="174" t="s">
        <v>242</v>
      </c>
      <c r="J79" s="21"/>
      <c r="K79" s="52" t="s">
        <v>237</v>
      </c>
    </row>
    <row r="80" ht="15.75" customHeight="1">
      <c r="B80" s="99"/>
      <c r="C80" s="99"/>
      <c r="D80" s="99"/>
      <c r="E80" s="99"/>
      <c r="F80" s="113" t="s">
        <v>246</v>
      </c>
      <c r="G80" s="137">
        <f>(((D85/100)*G81)/9)</f>
        <v>0</v>
      </c>
      <c r="I80" s="174" t="s">
        <v>247</v>
      </c>
      <c r="J80" s="21"/>
      <c r="K80" s="52" t="s">
        <v>248</v>
      </c>
    </row>
    <row r="81" ht="15.75" customHeight="1">
      <c r="B81" s="99"/>
      <c r="C81" s="99"/>
      <c r="D81" s="99"/>
      <c r="E81" s="99"/>
      <c r="F81" s="113" t="s">
        <v>249</v>
      </c>
      <c r="G81" s="227"/>
      <c r="I81" s="174" t="s">
        <v>244</v>
      </c>
      <c r="J81" s="21"/>
      <c r="K81" s="52" t="s">
        <v>245</v>
      </c>
    </row>
    <row r="82" ht="15.75" customHeight="1">
      <c r="B82" s="100"/>
      <c r="C82" s="100"/>
      <c r="D82" s="100"/>
      <c r="E82" s="100"/>
      <c r="F82" s="113" t="s">
        <v>252</v>
      </c>
      <c r="G82" s="227"/>
      <c r="I82" s="174" t="s">
        <v>250</v>
      </c>
      <c r="J82" s="21"/>
      <c r="K82" s="52" t="s">
        <v>251</v>
      </c>
    </row>
    <row r="83" ht="15.75" customHeight="1">
      <c r="B83" s="94" t="s">
        <v>254</v>
      </c>
      <c r="C83" s="95">
        <f>(D83/4)</f>
        <v>71.25</v>
      </c>
      <c r="D83" s="96">
        <f>((D85/100)*E83)</f>
        <v>285</v>
      </c>
      <c r="E83" s="95">
        <f>(100-E86)</f>
        <v>100</v>
      </c>
      <c r="F83" s="113" t="s">
        <v>255</v>
      </c>
      <c r="G83" s="305">
        <f>(((D85/100)*G84)/4)</f>
        <v>0</v>
      </c>
      <c r="I83" s="174" t="s">
        <v>252</v>
      </c>
      <c r="J83" s="21"/>
      <c r="K83" s="52" t="s">
        <v>253</v>
      </c>
    </row>
    <row r="84" ht="15.75" customHeight="1">
      <c r="B84" s="100"/>
      <c r="C84" s="100"/>
      <c r="D84" s="100"/>
      <c r="E84" s="100"/>
      <c r="F84" s="113" t="s">
        <v>258</v>
      </c>
      <c r="G84" s="227"/>
      <c r="I84" s="97" t="s">
        <v>256</v>
      </c>
      <c r="J84" s="97"/>
      <c r="K84" s="52" t="s">
        <v>257</v>
      </c>
    </row>
    <row r="85" ht="15.75" customHeight="1">
      <c r="B85" s="104" t="s">
        <v>261</v>
      </c>
      <c r="C85" s="21"/>
      <c r="D85" s="118">
        <f>I65</f>
        <v>285</v>
      </c>
      <c r="E85" s="85">
        <f>SUM(E73:E84)</f>
        <v>100</v>
      </c>
      <c r="F85" s="113" t="s">
        <v>259</v>
      </c>
      <c r="G85" s="227"/>
      <c r="I85" s="174" t="s">
        <v>259</v>
      </c>
      <c r="J85" s="21"/>
      <c r="K85" s="52" t="s">
        <v>548</v>
      </c>
    </row>
    <row r="86" ht="15.75" customHeight="1">
      <c r="B86" s="108" t="s">
        <v>264</v>
      </c>
      <c r="C86" s="26" t="str">
        <f>F51</f>
        <v/>
      </c>
      <c r="D86" s="233">
        <f>SUM(D73:D84)</f>
        <v>285</v>
      </c>
      <c r="E86" s="234">
        <f>SUM(E73:E82)</f>
        <v>0</v>
      </c>
      <c r="F86" s="235"/>
      <c r="G86" s="236"/>
      <c r="I86" s="174" t="s">
        <v>262</v>
      </c>
      <c r="J86" s="21"/>
      <c r="K86" s="52" t="s">
        <v>263</v>
      </c>
    </row>
    <row r="87" ht="15.75" customHeight="1"/>
    <row r="88" ht="15.75" customHeight="1">
      <c r="B88" s="59" t="s">
        <v>309</v>
      </c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</row>
    <row r="89" ht="15.75" customHeight="1"/>
    <row r="90" ht="15.75" customHeight="1">
      <c r="B90" s="63" t="s">
        <v>97</v>
      </c>
      <c r="C90" s="63" t="s">
        <v>98</v>
      </c>
      <c r="D90" s="63" t="s">
        <v>99</v>
      </c>
      <c r="E90" s="63" t="s">
        <v>100</v>
      </c>
      <c r="F90" s="63" t="s">
        <v>101</v>
      </c>
      <c r="G90" s="63" t="s">
        <v>102</v>
      </c>
      <c r="H90" s="63" t="s">
        <v>103</v>
      </c>
      <c r="I90" s="63" t="s">
        <v>104</v>
      </c>
      <c r="J90" s="63" t="s">
        <v>259</v>
      </c>
    </row>
    <row r="91" ht="15.75" customHeight="1">
      <c r="B91" s="118">
        <f>D85</f>
        <v>285</v>
      </c>
      <c r="C91" s="55">
        <f>C73</f>
        <v>0</v>
      </c>
      <c r="D91" s="55">
        <f>C76</f>
        <v>0</v>
      </c>
      <c r="E91" s="156">
        <f>G76</f>
        <v>0</v>
      </c>
      <c r="F91" s="156">
        <f>G78</f>
        <v>0</v>
      </c>
      <c r="G91" s="156">
        <f>G80</f>
        <v>0</v>
      </c>
      <c r="H91" s="26" t="str">
        <f>G82</f>
        <v/>
      </c>
      <c r="I91" s="55">
        <f>C83</f>
        <v>71.25</v>
      </c>
      <c r="J91" s="55" t="str">
        <f>G85</f>
        <v/>
      </c>
    </row>
    <row r="92" ht="15.75" customHeight="1"/>
    <row r="93" ht="15.75" customHeight="1">
      <c r="B93" s="59" t="s">
        <v>310</v>
      </c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58"/>
      <c r="S93" s="61"/>
      <c r="T93" s="61"/>
      <c r="U93" s="61"/>
      <c r="V93" s="61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</row>
    <row r="94" ht="15.75" customHeight="1"/>
    <row r="95" ht="15.75" customHeight="1">
      <c r="B95" s="306" t="s">
        <v>95</v>
      </c>
      <c r="C95" s="20"/>
      <c r="D95" s="20"/>
      <c r="E95" s="20"/>
      <c r="F95" s="20"/>
      <c r="G95" s="21"/>
      <c r="H95" s="63" t="s">
        <v>96</v>
      </c>
      <c r="I95" s="63" t="s">
        <v>97</v>
      </c>
      <c r="J95" s="63" t="s">
        <v>98</v>
      </c>
      <c r="K95" s="63" t="s">
        <v>99</v>
      </c>
      <c r="L95" s="63" t="s">
        <v>100</v>
      </c>
      <c r="M95" s="63" t="s">
        <v>101</v>
      </c>
      <c r="N95" s="63" t="s">
        <v>102</v>
      </c>
      <c r="O95" s="63" t="s">
        <v>103</v>
      </c>
      <c r="P95" s="63" t="s">
        <v>104</v>
      </c>
      <c r="Q95" s="63" t="s">
        <v>105</v>
      </c>
      <c r="R95" s="157" t="s">
        <v>106</v>
      </c>
      <c r="S95" s="157" t="s">
        <v>107</v>
      </c>
      <c r="T95" s="157" t="s">
        <v>108</v>
      </c>
      <c r="U95" s="157" t="s">
        <v>109</v>
      </c>
      <c r="V95" s="157" t="s">
        <v>110</v>
      </c>
      <c r="W95" s="157" t="s">
        <v>111</v>
      </c>
      <c r="X95" s="157" t="s">
        <v>112</v>
      </c>
      <c r="Y95" s="157" t="s">
        <v>113</v>
      </c>
      <c r="Z95" s="157" t="s">
        <v>114</v>
      </c>
      <c r="AA95" s="157" t="s">
        <v>115</v>
      </c>
      <c r="AB95" s="157" t="s">
        <v>116</v>
      </c>
      <c r="AC95" s="157" t="s">
        <v>117</v>
      </c>
      <c r="AD95" s="157" t="s">
        <v>118</v>
      </c>
      <c r="AE95" s="157" t="s">
        <v>119</v>
      </c>
      <c r="AF95" s="157" t="s">
        <v>120</v>
      </c>
      <c r="AG95" s="157" t="s">
        <v>549</v>
      </c>
      <c r="AH95" s="157" t="s">
        <v>122</v>
      </c>
      <c r="AI95" s="157" t="s">
        <v>123</v>
      </c>
    </row>
    <row r="96" ht="15.75" customHeight="1">
      <c r="B96" s="158" t="s">
        <v>126</v>
      </c>
      <c r="C96" s="20"/>
      <c r="D96" s="20"/>
      <c r="E96" s="20"/>
      <c r="F96" s="20"/>
      <c r="G96" s="21"/>
      <c r="H96" s="66"/>
      <c r="I96" s="67">
        <f t="shared" ref="I96:I116" si="10">(J96*4)+(K96*9)+(P96*4)</f>
        <v>139.1</v>
      </c>
      <c r="J96" s="68">
        <v>6.7</v>
      </c>
      <c r="K96" s="68">
        <v>6.7</v>
      </c>
      <c r="L96" s="69">
        <v>4.4</v>
      </c>
      <c r="M96" s="69">
        <v>1.95</v>
      </c>
      <c r="N96" s="69">
        <v>0.49</v>
      </c>
      <c r="O96" s="67">
        <v>26.0</v>
      </c>
      <c r="P96" s="68">
        <v>13.0</v>
      </c>
      <c r="Q96" s="68">
        <v>0.0</v>
      </c>
      <c r="R96" s="67">
        <v>236.0</v>
      </c>
      <c r="S96" s="67">
        <v>173.0</v>
      </c>
      <c r="T96" s="68">
        <v>0.2</v>
      </c>
      <c r="U96" s="67">
        <v>96.0</v>
      </c>
      <c r="V96" s="67">
        <v>330.0</v>
      </c>
      <c r="W96" s="67">
        <v>25.0</v>
      </c>
      <c r="X96" s="69">
        <v>0.89</v>
      </c>
      <c r="Y96" s="69">
        <v>0.03</v>
      </c>
      <c r="Z96" s="69">
        <v>0.01</v>
      </c>
      <c r="AA96" s="67">
        <v>73.0</v>
      </c>
      <c r="AB96" s="69">
        <v>0.08</v>
      </c>
      <c r="AC96" s="69">
        <v>0.34</v>
      </c>
      <c r="AD96" s="68">
        <v>0.3</v>
      </c>
      <c r="AE96" s="69">
        <v>0.67</v>
      </c>
      <c r="AF96" s="69">
        <v>0.08</v>
      </c>
      <c r="AG96" s="67">
        <v>10.0</v>
      </c>
      <c r="AH96" s="69">
        <v>0.65</v>
      </c>
      <c r="AI96" s="67">
        <v>3.0</v>
      </c>
    </row>
    <row r="97" ht="15.75" customHeight="1">
      <c r="B97" s="158" t="s">
        <v>127</v>
      </c>
      <c r="C97" s="20"/>
      <c r="D97" s="20"/>
      <c r="E97" s="20"/>
      <c r="F97" s="20"/>
      <c r="G97" s="21"/>
      <c r="H97" s="66"/>
      <c r="I97" s="67">
        <f t="shared" si="10"/>
        <v>94.5</v>
      </c>
      <c r="J97" s="68">
        <v>5.4</v>
      </c>
      <c r="K97" s="68">
        <v>2.1</v>
      </c>
      <c r="L97" s="69">
        <v>0.87</v>
      </c>
      <c r="M97" s="69">
        <v>0.54</v>
      </c>
      <c r="N97" s="69">
        <v>0.35</v>
      </c>
      <c r="O97" s="67">
        <v>5.0</v>
      </c>
      <c r="P97" s="68">
        <v>13.5</v>
      </c>
      <c r="Q97" s="68">
        <v>0.8</v>
      </c>
      <c r="R97" s="67">
        <v>153.0</v>
      </c>
      <c r="S97" s="67">
        <v>143.0</v>
      </c>
      <c r="T97" s="68">
        <v>0.4</v>
      </c>
      <c r="U97" s="67">
        <v>72.0</v>
      </c>
      <c r="V97" s="67">
        <v>268.0</v>
      </c>
      <c r="W97" s="67">
        <v>25.0</v>
      </c>
      <c r="X97" s="69">
        <v>1.24</v>
      </c>
      <c r="Y97" s="69">
        <v>0.06</v>
      </c>
      <c r="Z97" s="69">
        <v>0.11</v>
      </c>
      <c r="AA97" s="67">
        <v>76.0</v>
      </c>
      <c r="AB97" s="69">
        <v>0.12</v>
      </c>
      <c r="AC97" s="69">
        <v>0.25</v>
      </c>
      <c r="AD97" s="68">
        <v>0.2</v>
      </c>
      <c r="AE97" s="69">
        <v>0.41</v>
      </c>
      <c r="AF97" s="69">
        <v>0.06</v>
      </c>
      <c r="AG97" s="67">
        <v>8.0</v>
      </c>
      <c r="AH97" s="69">
        <v>0.5</v>
      </c>
      <c r="AI97" s="67">
        <v>4.0</v>
      </c>
    </row>
    <row r="98" ht="15.75" customHeight="1">
      <c r="B98" s="158" t="s">
        <v>128</v>
      </c>
      <c r="C98" s="20"/>
      <c r="D98" s="20"/>
      <c r="E98" s="20"/>
      <c r="F98" s="20"/>
      <c r="G98" s="21"/>
      <c r="H98" s="66"/>
      <c r="I98" s="67">
        <f t="shared" si="10"/>
        <v>82.3</v>
      </c>
      <c r="J98" s="68">
        <v>9.0</v>
      </c>
      <c r="K98" s="68">
        <v>0.7</v>
      </c>
      <c r="L98" s="69">
        <v>0.45</v>
      </c>
      <c r="M98" s="69">
        <v>0.18</v>
      </c>
      <c r="N98" s="69">
        <v>0.03</v>
      </c>
      <c r="O98" s="67">
        <v>6.0</v>
      </c>
      <c r="P98" s="68">
        <v>10.0</v>
      </c>
      <c r="Q98" s="68">
        <v>0.0</v>
      </c>
      <c r="R98" s="67">
        <v>256.0</v>
      </c>
      <c r="S98" s="67">
        <v>214.0</v>
      </c>
      <c r="T98" s="68">
        <v>0.1</v>
      </c>
      <c r="U98" s="67">
        <v>101.0</v>
      </c>
      <c r="V98" s="67">
        <v>340.0</v>
      </c>
      <c r="W98" s="67">
        <v>24.0</v>
      </c>
      <c r="X98" s="69">
        <v>1.05</v>
      </c>
      <c r="Y98" s="69">
        <v>0.02</v>
      </c>
      <c r="Z98" s="69">
        <v>0.01</v>
      </c>
      <c r="AA98" s="67">
        <v>89.0</v>
      </c>
      <c r="AB98" s="69">
        <v>0.08</v>
      </c>
      <c r="AC98" s="69">
        <v>0.33</v>
      </c>
      <c r="AD98" s="68">
        <v>0.2</v>
      </c>
      <c r="AE98" s="69">
        <v>0.79</v>
      </c>
      <c r="AF98" s="69">
        <v>0.08</v>
      </c>
      <c r="AG98" s="67">
        <v>14.0</v>
      </c>
      <c r="AH98" s="69">
        <v>0.84</v>
      </c>
      <c r="AI98" s="67">
        <v>2.0</v>
      </c>
    </row>
    <row r="99" ht="15.75" customHeight="1">
      <c r="B99" s="158" t="s">
        <v>129</v>
      </c>
      <c r="C99" s="20"/>
      <c r="D99" s="20"/>
      <c r="E99" s="20"/>
      <c r="F99" s="20"/>
      <c r="G99" s="21"/>
      <c r="H99" s="66"/>
      <c r="I99" s="67">
        <f t="shared" si="10"/>
        <v>170.7</v>
      </c>
      <c r="J99" s="68">
        <v>6.4</v>
      </c>
      <c r="K99" s="68">
        <v>5.9</v>
      </c>
      <c r="L99" s="69">
        <v>3.8</v>
      </c>
      <c r="M99" s="69">
        <v>1.91</v>
      </c>
      <c r="N99" s="69">
        <v>0.63</v>
      </c>
      <c r="O99" s="67">
        <v>22.0</v>
      </c>
      <c r="P99" s="68">
        <v>23.0</v>
      </c>
      <c r="Q99" s="68">
        <v>0.4</v>
      </c>
      <c r="R99" s="67">
        <v>258.0</v>
      </c>
      <c r="S99" s="67">
        <v>169.0</v>
      </c>
      <c r="T99" s="68">
        <v>0.3</v>
      </c>
      <c r="U99" s="67">
        <v>115.0</v>
      </c>
      <c r="V99" s="67">
        <v>334.0</v>
      </c>
      <c r="W99" s="67">
        <v>27.0</v>
      </c>
      <c r="X99" s="69">
        <v>1.03</v>
      </c>
      <c r="Y99" s="69">
        <v>0.05</v>
      </c>
      <c r="Z99" s="69">
        <v>0.04</v>
      </c>
      <c r="AA99" s="67">
        <v>45.0</v>
      </c>
      <c r="AB99" s="69">
        <v>0.08</v>
      </c>
      <c r="AC99" s="69">
        <v>0.37</v>
      </c>
      <c r="AD99" s="68">
        <v>0.2</v>
      </c>
      <c r="AE99" s="69">
        <v>0.73</v>
      </c>
      <c r="AF99" s="69">
        <v>0.08</v>
      </c>
      <c r="AG99" s="67">
        <v>13.0</v>
      </c>
      <c r="AH99" s="69">
        <v>0.76</v>
      </c>
      <c r="AI99" s="67">
        <v>3.0</v>
      </c>
    </row>
    <row r="100" ht="15.75" customHeight="1">
      <c r="B100" s="160" t="s">
        <v>138</v>
      </c>
      <c r="C100" s="20"/>
      <c r="D100" s="20"/>
      <c r="E100" s="20"/>
      <c r="F100" s="20"/>
      <c r="G100" s="21"/>
      <c r="H100" s="66"/>
      <c r="I100" s="67">
        <f t="shared" si="10"/>
        <v>77.1</v>
      </c>
      <c r="J100" s="68">
        <v>5.8</v>
      </c>
      <c r="K100" s="68">
        <v>5.5</v>
      </c>
      <c r="L100" s="69">
        <v>2.91</v>
      </c>
      <c r="M100" s="69">
        <v>1.94</v>
      </c>
      <c r="N100" s="69">
        <v>0.41</v>
      </c>
      <c r="O100" s="67">
        <v>40.0</v>
      </c>
      <c r="P100" s="68">
        <v>1.1</v>
      </c>
      <c r="Q100" s="68">
        <v>0.0</v>
      </c>
      <c r="R100" s="67">
        <v>95.0</v>
      </c>
      <c r="S100" s="67">
        <v>85.0</v>
      </c>
      <c r="T100" s="68">
        <v>1.1</v>
      </c>
      <c r="U100" s="67">
        <v>211.0</v>
      </c>
      <c r="V100" s="67">
        <v>52.0</v>
      </c>
      <c r="W100" s="67">
        <v>6.0</v>
      </c>
      <c r="X100" s="69">
        <v>0.65</v>
      </c>
      <c r="Y100" s="69">
        <v>0.03</v>
      </c>
      <c r="Z100" s="69">
        <v>0.01</v>
      </c>
      <c r="AA100" s="67">
        <v>45.0</v>
      </c>
      <c r="AB100" s="69">
        <v>0.04</v>
      </c>
      <c r="AC100" s="69">
        <v>0.1</v>
      </c>
      <c r="AD100" s="68">
        <v>0.4</v>
      </c>
      <c r="AE100" s="69">
        <v>0.16</v>
      </c>
      <c r="AF100" s="69">
        <v>0.05</v>
      </c>
      <c r="AG100" s="67">
        <v>4.0</v>
      </c>
      <c r="AH100" s="69">
        <v>0.72</v>
      </c>
      <c r="AI100" s="67">
        <v>0.0</v>
      </c>
    </row>
    <row r="101" ht="15.75" customHeight="1">
      <c r="B101" s="160" t="s">
        <v>311</v>
      </c>
      <c r="C101" s="20"/>
      <c r="D101" s="20"/>
      <c r="E101" s="20"/>
      <c r="F101" s="20"/>
      <c r="G101" s="21"/>
      <c r="H101" s="66"/>
      <c r="I101" s="67">
        <f t="shared" si="10"/>
        <v>108.3</v>
      </c>
      <c r="J101" s="68">
        <v>19.1</v>
      </c>
      <c r="K101" s="68">
        <v>3.1</v>
      </c>
      <c r="L101" s="69">
        <v>0.92</v>
      </c>
      <c r="M101" s="69">
        <v>1.16</v>
      </c>
      <c r="N101" s="69">
        <v>0.53</v>
      </c>
      <c r="O101" s="67">
        <v>50.0</v>
      </c>
      <c r="P101" s="68">
        <v>1.0</v>
      </c>
      <c r="Q101" s="68">
        <v>0.3</v>
      </c>
      <c r="R101" s="67">
        <v>22.0</v>
      </c>
      <c r="S101" s="67">
        <v>191.0</v>
      </c>
      <c r="T101" s="68">
        <v>1.5</v>
      </c>
      <c r="U101" s="67">
        <v>72.0</v>
      </c>
      <c r="V101" s="67">
        <v>325.0</v>
      </c>
      <c r="W101" s="67">
        <v>28.0</v>
      </c>
      <c r="X101" s="69">
        <v>1.81</v>
      </c>
      <c r="Y101" s="69">
        <v>0.11</v>
      </c>
      <c r="Z101" s="69">
        <v>0.12</v>
      </c>
      <c r="AA101" s="67">
        <v>7.0</v>
      </c>
      <c r="AB101" s="69">
        <v>0.19</v>
      </c>
      <c r="AC101" s="69">
        <v>0.18</v>
      </c>
      <c r="AD101" s="68">
        <v>5.6</v>
      </c>
      <c r="AE101" s="69">
        <v>0.78</v>
      </c>
      <c r="AF101" s="69">
        <v>0.35</v>
      </c>
      <c r="AG101" s="67">
        <v>15.0</v>
      </c>
      <c r="AH101" s="69">
        <v>2.39</v>
      </c>
      <c r="AI101" s="67">
        <v>1.0</v>
      </c>
    </row>
    <row r="102" ht="15.75" customHeight="1">
      <c r="B102" s="160" t="s">
        <v>312</v>
      </c>
      <c r="C102" s="20"/>
      <c r="D102" s="20"/>
      <c r="E102" s="20"/>
      <c r="F102" s="20"/>
      <c r="G102" s="21"/>
      <c r="H102" s="66"/>
      <c r="I102" s="67">
        <f t="shared" si="10"/>
        <v>138.7</v>
      </c>
      <c r="J102" s="68">
        <v>15.6</v>
      </c>
      <c r="K102" s="68">
        <v>7.9</v>
      </c>
      <c r="L102" s="69">
        <v>2.51</v>
      </c>
      <c r="M102" s="69">
        <v>3.3</v>
      </c>
      <c r="N102" s="69">
        <v>1.25</v>
      </c>
      <c r="O102" s="67">
        <v>137.0</v>
      </c>
      <c r="P102" s="68">
        <v>1.3</v>
      </c>
      <c r="Q102" s="68">
        <v>0.0</v>
      </c>
      <c r="R102" s="67">
        <v>37.0</v>
      </c>
      <c r="S102" s="67">
        <v>186.0</v>
      </c>
      <c r="T102" s="68">
        <v>2.5</v>
      </c>
      <c r="U102" s="67">
        <v>101.0</v>
      </c>
      <c r="V102" s="67">
        <v>234.0</v>
      </c>
      <c r="W102" s="67">
        <v>20.0</v>
      </c>
      <c r="X102" s="69">
        <v>1.87</v>
      </c>
      <c r="Y102" s="69">
        <v>0.47</v>
      </c>
      <c r="Z102" s="69">
        <v>0.09</v>
      </c>
      <c r="AA102" s="67">
        <v>1515.0</v>
      </c>
      <c r="AB102" s="69">
        <v>0.07</v>
      </c>
      <c r="AC102" s="69">
        <v>0.53</v>
      </c>
      <c r="AD102" s="68">
        <v>4.4</v>
      </c>
      <c r="AE102" s="69">
        <v>1.67</v>
      </c>
      <c r="AF102" s="69">
        <v>0.27</v>
      </c>
      <c r="AG102" s="67">
        <v>87.0</v>
      </c>
      <c r="AH102" s="69">
        <v>10.58</v>
      </c>
      <c r="AI102" s="67">
        <v>6.0</v>
      </c>
    </row>
    <row r="103" ht="15.75" customHeight="1">
      <c r="B103" s="160" t="s">
        <v>153</v>
      </c>
      <c r="C103" s="20"/>
      <c r="D103" s="20"/>
      <c r="E103" s="20"/>
      <c r="F103" s="20"/>
      <c r="G103" s="21"/>
      <c r="H103" s="66"/>
      <c r="I103" s="67">
        <f t="shared" si="10"/>
        <v>158.1</v>
      </c>
      <c r="J103" s="68">
        <v>9.8</v>
      </c>
      <c r="K103" s="68">
        <v>1.7</v>
      </c>
      <c r="L103" s="69">
        <v>0.25</v>
      </c>
      <c r="M103" s="69">
        <v>0.32</v>
      </c>
      <c r="N103" s="69">
        <v>0.94</v>
      </c>
      <c r="O103" s="67">
        <v>0.0</v>
      </c>
      <c r="P103" s="68">
        <v>25.9</v>
      </c>
      <c r="Q103" s="68">
        <v>7.9</v>
      </c>
      <c r="R103" s="67">
        <v>50.0</v>
      </c>
      <c r="S103" s="67">
        <v>167.0</v>
      </c>
      <c r="T103" s="68">
        <v>3.1</v>
      </c>
      <c r="U103" s="67">
        <v>10.0</v>
      </c>
      <c r="V103" s="67">
        <v>534.0</v>
      </c>
      <c r="W103" s="67">
        <v>62.0</v>
      </c>
      <c r="X103" s="69">
        <v>1.22</v>
      </c>
      <c r="Y103" s="69">
        <v>0.28</v>
      </c>
      <c r="Z103" s="69">
        <v>0.6</v>
      </c>
      <c r="AA103" s="67">
        <v>10.0</v>
      </c>
      <c r="AB103" s="69">
        <v>0.2</v>
      </c>
      <c r="AC103" s="69">
        <v>0.09</v>
      </c>
      <c r="AD103" s="68">
        <v>0.9</v>
      </c>
      <c r="AE103" s="69">
        <v>0.42</v>
      </c>
      <c r="AF103" s="69">
        <v>0.16</v>
      </c>
      <c r="AG103" s="67">
        <v>142.0</v>
      </c>
      <c r="AH103" s="69">
        <v>0.0</v>
      </c>
      <c r="AI103" s="67">
        <v>4.0</v>
      </c>
    </row>
    <row r="104" ht="15.0" customHeight="1">
      <c r="B104" s="158" t="s">
        <v>159</v>
      </c>
      <c r="C104" s="20"/>
      <c r="D104" s="20"/>
      <c r="E104" s="20"/>
      <c r="F104" s="20"/>
      <c r="G104" s="21"/>
      <c r="H104" s="66"/>
      <c r="I104" s="67">
        <f t="shared" si="10"/>
        <v>93.8</v>
      </c>
      <c r="J104" s="68">
        <v>2.5</v>
      </c>
      <c r="K104" s="68">
        <v>1.0</v>
      </c>
      <c r="L104" s="69">
        <v>0.24</v>
      </c>
      <c r="M104" s="69">
        <v>0.32</v>
      </c>
      <c r="N104" s="69">
        <v>0.33</v>
      </c>
      <c r="O104" s="67">
        <v>1.0</v>
      </c>
      <c r="P104" s="68">
        <v>18.7</v>
      </c>
      <c r="Q104" s="68">
        <v>1.2</v>
      </c>
      <c r="R104" s="67">
        <v>19.0</v>
      </c>
      <c r="S104" s="67">
        <v>47.0</v>
      </c>
      <c r="T104" s="68">
        <v>0.9</v>
      </c>
      <c r="U104" s="67">
        <v>82.0</v>
      </c>
      <c r="V104" s="67">
        <v>53.0</v>
      </c>
      <c r="W104" s="67">
        <v>13.0</v>
      </c>
      <c r="X104" s="69">
        <v>0.42</v>
      </c>
      <c r="Y104" s="69">
        <v>0.05</v>
      </c>
      <c r="Z104" s="69">
        <v>0.24</v>
      </c>
      <c r="AA104" s="67">
        <v>22.0</v>
      </c>
      <c r="AB104" s="69">
        <v>0.11</v>
      </c>
      <c r="AC104" s="69">
        <v>0.09</v>
      </c>
      <c r="AD104" s="68">
        <v>1.1</v>
      </c>
      <c r="AE104" s="69">
        <v>0.15</v>
      </c>
      <c r="AF104" s="69">
        <v>0.08</v>
      </c>
      <c r="AG104" s="67">
        <v>38.0</v>
      </c>
      <c r="AH104" s="69">
        <v>0.0</v>
      </c>
      <c r="AI104" s="67">
        <v>2.0</v>
      </c>
    </row>
    <row r="105" ht="15.75" customHeight="1">
      <c r="B105" s="158" t="s">
        <v>167</v>
      </c>
      <c r="C105" s="20"/>
      <c r="D105" s="20"/>
      <c r="E105" s="20"/>
      <c r="F105" s="20"/>
      <c r="G105" s="21"/>
      <c r="H105" s="66"/>
      <c r="I105" s="67">
        <f t="shared" si="10"/>
        <v>95.7</v>
      </c>
      <c r="J105" s="68">
        <v>1.4</v>
      </c>
      <c r="K105" s="68">
        <v>0.1</v>
      </c>
      <c r="L105" s="69">
        <v>0.05</v>
      </c>
      <c r="M105" s="69">
        <v>0.01</v>
      </c>
      <c r="N105" s="69">
        <v>0.06</v>
      </c>
      <c r="O105" s="67">
        <v>0.0</v>
      </c>
      <c r="P105" s="68">
        <v>22.3</v>
      </c>
      <c r="Q105" s="68">
        <v>1.9</v>
      </c>
      <c r="R105" s="67">
        <v>11.0</v>
      </c>
      <c r="S105" s="67">
        <v>40.0</v>
      </c>
      <c r="T105" s="68">
        <v>0.5</v>
      </c>
      <c r="U105" s="67">
        <v>10.0</v>
      </c>
      <c r="V105" s="67">
        <v>376.0</v>
      </c>
      <c r="W105" s="67">
        <v>20.0</v>
      </c>
      <c r="X105" s="69">
        <v>0.23</v>
      </c>
      <c r="Y105" s="69">
        <v>0.13</v>
      </c>
      <c r="Z105" s="69">
        <v>0.25</v>
      </c>
      <c r="AA105" s="67">
        <v>156.0</v>
      </c>
      <c r="AB105" s="69">
        <v>0.05</v>
      </c>
      <c r="AC105" s="69">
        <v>0.04</v>
      </c>
      <c r="AD105" s="68">
        <v>0.9</v>
      </c>
      <c r="AE105" s="69">
        <v>0.29</v>
      </c>
      <c r="AF105" s="69">
        <v>0.21</v>
      </c>
      <c r="AG105" s="67">
        <v>13.0</v>
      </c>
      <c r="AH105" s="69">
        <v>0.0</v>
      </c>
      <c r="AI105" s="67">
        <v>28.0</v>
      </c>
    </row>
    <row r="106" ht="15.75" customHeight="1">
      <c r="B106" s="158" t="s">
        <v>313</v>
      </c>
      <c r="C106" s="20"/>
      <c r="D106" s="20"/>
      <c r="E106" s="20"/>
      <c r="F106" s="20"/>
      <c r="G106" s="21"/>
      <c r="H106" s="66"/>
      <c r="I106" s="67">
        <f t="shared" si="10"/>
        <v>95.4</v>
      </c>
      <c r="J106" s="68">
        <v>2.0</v>
      </c>
      <c r="K106" s="68">
        <v>0.6</v>
      </c>
      <c r="L106" s="69">
        <v>0.14</v>
      </c>
      <c r="M106" s="69">
        <v>0.16</v>
      </c>
      <c r="N106" s="69">
        <v>0.19</v>
      </c>
      <c r="O106" s="67">
        <v>0.0</v>
      </c>
      <c r="P106" s="68">
        <v>20.5</v>
      </c>
      <c r="Q106" s="68">
        <v>1.5</v>
      </c>
      <c r="R106" s="67">
        <v>15.0</v>
      </c>
      <c r="S106" s="67">
        <v>43.0</v>
      </c>
      <c r="T106" s="68">
        <v>0.7</v>
      </c>
      <c r="U106" s="67">
        <v>46.0</v>
      </c>
      <c r="V106" s="67">
        <v>214.0</v>
      </c>
      <c r="W106" s="67">
        <v>17.0</v>
      </c>
      <c r="X106" s="69">
        <v>0.33</v>
      </c>
      <c r="Y106" s="69">
        <v>0.09</v>
      </c>
      <c r="Z106" s="69">
        <v>0.24</v>
      </c>
      <c r="AA106" s="67">
        <v>89.0</v>
      </c>
      <c r="AB106" s="69">
        <v>0.08</v>
      </c>
      <c r="AC106" s="69">
        <v>0.07</v>
      </c>
      <c r="AD106" s="68">
        <v>1.0</v>
      </c>
      <c r="AE106" s="69">
        <v>0.22</v>
      </c>
      <c r="AF106" s="69">
        <v>0.15</v>
      </c>
      <c r="AG106" s="67">
        <v>26.0</v>
      </c>
      <c r="AH106" s="69">
        <v>0.0</v>
      </c>
      <c r="AI106" s="67">
        <v>15.0</v>
      </c>
    </row>
    <row r="107" ht="15.0" customHeight="1">
      <c r="B107" s="160" t="s">
        <v>176</v>
      </c>
      <c r="C107" s="20"/>
      <c r="D107" s="20"/>
      <c r="E107" s="20"/>
      <c r="F107" s="20"/>
      <c r="G107" s="21"/>
      <c r="H107" s="66"/>
      <c r="I107" s="67">
        <f t="shared" si="10"/>
        <v>29.5</v>
      </c>
      <c r="J107" s="68">
        <v>1.2</v>
      </c>
      <c r="K107" s="68">
        <v>0.3</v>
      </c>
      <c r="L107" s="69">
        <v>0.05</v>
      </c>
      <c r="M107" s="69">
        <v>0.03</v>
      </c>
      <c r="N107" s="69">
        <v>0.13</v>
      </c>
      <c r="O107" s="67">
        <v>0.0</v>
      </c>
      <c r="P107" s="68">
        <v>5.5</v>
      </c>
      <c r="Q107" s="68">
        <v>1.7</v>
      </c>
      <c r="R107" s="67">
        <v>15.0</v>
      </c>
      <c r="S107" s="67">
        <v>32.0</v>
      </c>
      <c r="T107" s="68">
        <v>0.7</v>
      </c>
      <c r="U107" s="67">
        <v>68.0</v>
      </c>
      <c r="V107" s="67">
        <v>187.0</v>
      </c>
      <c r="W107" s="67">
        <v>12.0</v>
      </c>
      <c r="X107" s="69">
        <v>0.29</v>
      </c>
      <c r="Y107" s="69">
        <v>0.1</v>
      </c>
      <c r="Z107" s="69">
        <v>0.16</v>
      </c>
      <c r="AA107" s="67">
        <v>136.0</v>
      </c>
      <c r="AB107" s="69">
        <v>0.05</v>
      </c>
      <c r="AC107" s="69">
        <v>0.06</v>
      </c>
      <c r="AD107" s="68">
        <v>0.8</v>
      </c>
      <c r="AE107" s="69">
        <v>0.37</v>
      </c>
      <c r="AF107" s="69">
        <v>0.09</v>
      </c>
      <c r="AG107" s="67">
        <v>23.0</v>
      </c>
      <c r="AH107" s="69">
        <v>0.0</v>
      </c>
      <c r="AI107" s="67">
        <v>19.0</v>
      </c>
    </row>
    <row r="108" ht="15.75" customHeight="1">
      <c r="B108" s="160" t="s">
        <v>179</v>
      </c>
      <c r="C108" s="20"/>
      <c r="D108" s="20"/>
      <c r="E108" s="20"/>
      <c r="F108" s="20"/>
      <c r="G108" s="21"/>
      <c r="H108" s="66"/>
      <c r="I108" s="67">
        <f t="shared" si="10"/>
        <v>59.9</v>
      </c>
      <c r="J108" s="68">
        <v>1.0</v>
      </c>
      <c r="K108" s="68">
        <v>0.3</v>
      </c>
      <c r="L108" s="69">
        <v>0.06</v>
      </c>
      <c r="M108" s="69">
        <v>0.09</v>
      </c>
      <c r="N108" s="69">
        <v>0.11</v>
      </c>
      <c r="O108" s="67">
        <v>0.0</v>
      </c>
      <c r="P108" s="68">
        <v>13.3</v>
      </c>
      <c r="Q108" s="68">
        <v>2.6</v>
      </c>
      <c r="R108" s="67">
        <v>21.0</v>
      </c>
      <c r="S108" s="67">
        <v>24.0</v>
      </c>
      <c r="T108" s="68">
        <v>0.5</v>
      </c>
      <c r="U108" s="67">
        <v>4.0</v>
      </c>
      <c r="V108" s="67">
        <v>244.0</v>
      </c>
      <c r="W108" s="67">
        <v>19.0</v>
      </c>
      <c r="X108" s="69">
        <v>0.14</v>
      </c>
      <c r="Y108" s="69">
        <v>0.07</v>
      </c>
      <c r="Z108" s="69">
        <v>0.17</v>
      </c>
      <c r="AA108" s="67">
        <v>74.0</v>
      </c>
      <c r="AB108" s="69">
        <v>0.06</v>
      </c>
      <c r="AC108" s="69">
        <v>0.06</v>
      </c>
      <c r="AD108" s="68">
        <v>0.9</v>
      </c>
      <c r="AE108" s="69">
        <v>0.27</v>
      </c>
      <c r="AF108" s="69">
        <v>0.1</v>
      </c>
      <c r="AG108" s="67">
        <v>20.0</v>
      </c>
      <c r="AH108" s="69">
        <v>0.0</v>
      </c>
      <c r="AI108" s="67">
        <v>52.0</v>
      </c>
    </row>
    <row r="109" ht="16.5" customHeight="1">
      <c r="B109" s="158" t="s">
        <v>184</v>
      </c>
      <c r="C109" s="20"/>
      <c r="D109" s="20"/>
      <c r="E109" s="20"/>
      <c r="F109" s="20"/>
      <c r="G109" s="21"/>
      <c r="H109" s="66"/>
      <c r="I109" s="67">
        <f t="shared" si="10"/>
        <v>56.4</v>
      </c>
      <c r="J109" s="68">
        <v>1.3</v>
      </c>
      <c r="K109" s="68">
        <v>4.8</v>
      </c>
      <c r="L109" s="69">
        <v>1.15</v>
      </c>
      <c r="M109" s="69">
        <v>2.44</v>
      </c>
      <c r="N109" s="69">
        <v>0.99</v>
      </c>
      <c r="O109" s="67">
        <v>0.0</v>
      </c>
      <c r="P109" s="68">
        <v>2.0</v>
      </c>
      <c r="Q109" s="68">
        <v>0.7</v>
      </c>
      <c r="R109" s="67">
        <v>8.0</v>
      </c>
      <c r="S109" s="67">
        <v>34.0</v>
      </c>
      <c r="T109" s="68">
        <v>0.3</v>
      </c>
      <c r="U109" s="67">
        <v>6.0</v>
      </c>
      <c r="V109" s="67">
        <v>55.0</v>
      </c>
      <c r="W109" s="67">
        <v>16.0</v>
      </c>
      <c r="X109" s="69">
        <v>0.28</v>
      </c>
      <c r="Y109" s="69">
        <v>0.1</v>
      </c>
      <c r="Z109" s="69">
        <v>0.18</v>
      </c>
      <c r="AA109" s="67">
        <v>1.0</v>
      </c>
      <c r="AB109" s="69">
        <v>0.03</v>
      </c>
      <c r="AC109" s="69">
        <v>0.02</v>
      </c>
      <c r="AD109" s="68">
        <v>0.2</v>
      </c>
      <c r="AE109" s="69">
        <v>0.08</v>
      </c>
      <c r="AF109" s="69">
        <v>0.02</v>
      </c>
      <c r="AG109" s="67">
        <v>5.0</v>
      </c>
      <c r="AH109" s="69">
        <v>0.0</v>
      </c>
      <c r="AI109" s="67">
        <v>0.0</v>
      </c>
    </row>
    <row r="110" ht="16.5" customHeight="1">
      <c r="B110" s="158" t="s">
        <v>186</v>
      </c>
      <c r="C110" s="20"/>
      <c r="D110" s="20"/>
      <c r="E110" s="20"/>
      <c r="F110" s="20"/>
      <c r="G110" s="21"/>
      <c r="H110" s="66"/>
      <c r="I110" s="67">
        <f t="shared" si="10"/>
        <v>58.5</v>
      </c>
      <c r="J110" s="68">
        <v>2.3</v>
      </c>
      <c r="K110" s="68">
        <v>4.1</v>
      </c>
      <c r="L110" s="69">
        <v>0.5</v>
      </c>
      <c r="M110" s="69">
        <v>0.91</v>
      </c>
      <c r="N110" s="69">
        <v>2.48</v>
      </c>
      <c r="O110" s="67">
        <v>0.0</v>
      </c>
      <c r="P110" s="68">
        <v>3.1</v>
      </c>
      <c r="Q110" s="68">
        <v>2.1</v>
      </c>
      <c r="R110" s="67">
        <v>50.0</v>
      </c>
      <c r="S110" s="67">
        <v>74.0</v>
      </c>
      <c r="T110" s="68">
        <v>0.9</v>
      </c>
      <c r="U110" s="67">
        <v>2.0</v>
      </c>
      <c r="V110" s="67">
        <v>78.0</v>
      </c>
      <c r="W110" s="67">
        <v>37.0</v>
      </c>
      <c r="X110" s="69">
        <v>0.58</v>
      </c>
      <c r="Y110" s="69">
        <v>0.15</v>
      </c>
      <c r="Z110" s="69">
        <v>0.35</v>
      </c>
      <c r="AA110" s="67">
        <v>1.0</v>
      </c>
      <c r="AB110" s="69">
        <v>0.07</v>
      </c>
      <c r="AC110" s="69">
        <v>0.02</v>
      </c>
      <c r="AD110" s="68">
        <v>0.3</v>
      </c>
      <c r="AE110" s="69">
        <v>0.15</v>
      </c>
      <c r="AF110" s="69">
        <v>0.06</v>
      </c>
      <c r="AG110" s="67">
        <v>18.0</v>
      </c>
      <c r="AH110" s="69">
        <v>0.0</v>
      </c>
      <c r="AI110" s="67">
        <v>0.0</v>
      </c>
    </row>
    <row r="111" ht="15.75" customHeight="1">
      <c r="B111" s="160" t="s">
        <v>189</v>
      </c>
      <c r="C111" s="20"/>
      <c r="D111" s="20"/>
      <c r="E111" s="20"/>
      <c r="F111" s="20"/>
      <c r="G111" s="21"/>
      <c r="H111" s="66"/>
      <c r="I111" s="67">
        <f t="shared" si="10"/>
        <v>89.9</v>
      </c>
      <c r="J111" s="68">
        <v>0.9</v>
      </c>
      <c r="K111" s="68">
        <v>1.1</v>
      </c>
      <c r="L111" s="69">
        <v>0.63</v>
      </c>
      <c r="M111" s="69">
        <v>0.33</v>
      </c>
      <c r="N111" s="69">
        <v>0.07</v>
      </c>
      <c r="O111" s="67">
        <v>2.0</v>
      </c>
      <c r="P111" s="68">
        <v>19.1</v>
      </c>
      <c r="Q111" s="68">
        <v>0.5</v>
      </c>
      <c r="R111" s="67">
        <v>20.0</v>
      </c>
      <c r="S111" s="67">
        <v>23.0</v>
      </c>
      <c r="T111" s="68">
        <v>0.3</v>
      </c>
      <c r="U111" s="67">
        <v>25.0</v>
      </c>
      <c r="V111" s="67">
        <v>67.0</v>
      </c>
      <c r="W111" s="67">
        <v>6.0</v>
      </c>
      <c r="X111" s="69">
        <v>0.16</v>
      </c>
      <c r="Y111" s="69">
        <v>0.05</v>
      </c>
      <c r="Z111" s="69">
        <v>0.16</v>
      </c>
      <c r="AA111" s="67">
        <v>10.0</v>
      </c>
      <c r="AB111" s="69">
        <v>0.04</v>
      </c>
      <c r="AC111" s="69">
        <v>0.07</v>
      </c>
      <c r="AD111" s="68">
        <v>0.2</v>
      </c>
      <c r="AE111" s="69">
        <v>0.08</v>
      </c>
      <c r="AF111" s="69">
        <v>0.02</v>
      </c>
      <c r="AG111" s="67">
        <v>5.0</v>
      </c>
      <c r="AH111" s="69">
        <v>0.04</v>
      </c>
      <c r="AI111" s="67">
        <v>2.0</v>
      </c>
    </row>
    <row r="112" ht="15.75" customHeight="1">
      <c r="B112" s="158" t="s">
        <v>195</v>
      </c>
      <c r="C112" s="20"/>
      <c r="D112" s="20"/>
      <c r="E112" s="20"/>
      <c r="F112" s="20"/>
      <c r="G112" s="21"/>
      <c r="H112" s="66"/>
      <c r="I112" s="67">
        <f t="shared" si="10"/>
        <v>41.7</v>
      </c>
      <c r="J112" s="68">
        <v>0.0</v>
      </c>
      <c r="K112" s="68">
        <v>4.5</v>
      </c>
      <c r="L112" s="69">
        <v>0.67</v>
      </c>
      <c r="M112" s="69">
        <v>1.39</v>
      </c>
      <c r="N112" s="69">
        <v>2.71</v>
      </c>
      <c r="O112" s="67">
        <v>1.0</v>
      </c>
      <c r="P112" s="68">
        <v>0.3</v>
      </c>
      <c r="Q112" s="68">
        <v>0.0</v>
      </c>
      <c r="R112" s="67">
        <v>1.0</v>
      </c>
      <c r="S112" s="67">
        <v>1.0</v>
      </c>
      <c r="T112" s="68">
        <v>0.0</v>
      </c>
      <c r="U112" s="67">
        <v>27.0</v>
      </c>
      <c r="V112" s="67">
        <v>2.0</v>
      </c>
      <c r="W112" s="67">
        <v>0.0</v>
      </c>
      <c r="X112" s="69">
        <v>0.01</v>
      </c>
      <c r="Y112" s="69">
        <v>0.0</v>
      </c>
      <c r="Z112" s="69">
        <v>0.0</v>
      </c>
      <c r="AA112" s="67">
        <v>2.0</v>
      </c>
      <c r="AB112" s="69">
        <v>0.0</v>
      </c>
      <c r="AC112" s="69">
        <v>0.0</v>
      </c>
      <c r="AD112" s="68">
        <v>0.0</v>
      </c>
      <c r="AE112" s="69">
        <v>0.01</v>
      </c>
      <c r="AF112" s="69">
        <v>0.01</v>
      </c>
      <c r="AG112" s="67">
        <v>0.0</v>
      </c>
      <c r="AH112" s="69">
        <v>0.01</v>
      </c>
      <c r="AI112" s="67">
        <v>0.0</v>
      </c>
    </row>
    <row r="113" ht="15.75" customHeight="1">
      <c r="B113" s="158" t="s">
        <v>196</v>
      </c>
      <c r="C113" s="20"/>
      <c r="D113" s="20"/>
      <c r="E113" s="20"/>
      <c r="F113" s="20"/>
      <c r="G113" s="21"/>
      <c r="H113" s="66"/>
      <c r="I113" s="67">
        <f t="shared" si="10"/>
        <v>47</v>
      </c>
      <c r="J113" s="68">
        <v>0.4</v>
      </c>
      <c r="K113" s="68">
        <v>4.6</v>
      </c>
      <c r="L113" s="69">
        <v>0.66</v>
      </c>
      <c r="M113" s="69">
        <v>2.7</v>
      </c>
      <c r="N113" s="69">
        <v>0.96</v>
      </c>
      <c r="O113" s="67">
        <v>0.0</v>
      </c>
      <c r="P113" s="68">
        <v>1.0</v>
      </c>
      <c r="Q113" s="68">
        <v>0.6</v>
      </c>
      <c r="R113" s="67">
        <v>7.0</v>
      </c>
      <c r="S113" s="67">
        <v>7.0</v>
      </c>
      <c r="T113" s="68">
        <v>0.2</v>
      </c>
      <c r="U113" s="67">
        <v>55.0</v>
      </c>
      <c r="V113" s="67">
        <v>49.0</v>
      </c>
      <c r="W113" s="67">
        <v>5.0</v>
      </c>
      <c r="X113" s="69">
        <v>0.07</v>
      </c>
      <c r="Y113" s="69">
        <v>0.03</v>
      </c>
      <c r="Z113" s="69">
        <v>0.02</v>
      </c>
      <c r="AA113" s="67">
        <v>12.0</v>
      </c>
      <c r="AB113" s="69">
        <v>0.01</v>
      </c>
      <c r="AC113" s="69">
        <v>0.01</v>
      </c>
      <c r="AD113" s="68">
        <v>0.3</v>
      </c>
      <c r="AE113" s="69">
        <v>0.08</v>
      </c>
      <c r="AF113" s="69">
        <v>0.03</v>
      </c>
      <c r="AG113" s="67">
        <v>5.0</v>
      </c>
      <c r="AH113" s="69">
        <v>0.0</v>
      </c>
      <c r="AI113" s="67">
        <v>1.0</v>
      </c>
    </row>
    <row r="114" ht="15.75" customHeight="1">
      <c r="B114" s="158" t="s">
        <v>197</v>
      </c>
      <c r="C114" s="20"/>
      <c r="D114" s="20"/>
      <c r="E114" s="20"/>
      <c r="F114" s="20"/>
      <c r="G114" s="21"/>
      <c r="H114" s="66"/>
      <c r="I114" s="67">
        <f t="shared" si="10"/>
        <v>45.6</v>
      </c>
      <c r="J114" s="68">
        <v>0.3</v>
      </c>
      <c r="K114" s="68">
        <v>4.8</v>
      </c>
      <c r="L114" s="69">
        <v>2.66</v>
      </c>
      <c r="M114" s="69">
        <v>1.57</v>
      </c>
      <c r="N114" s="69">
        <v>0.28</v>
      </c>
      <c r="O114" s="67">
        <v>10.0</v>
      </c>
      <c r="P114" s="68">
        <v>0.3</v>
      </c>
      <c r="Q114" s="68">
        <v>0.0</v>
      </c>
      <c r="R114" s="67">
        <v>8.0</v>
      </c>
      <c r="S114" s="67">
        <v>7.0</v>
      </c>
      <c r="T114" s="68">
        <v>0.0</v>
      </c>
      <c r="U114" s="67">
        <v>9.0</v>
      </c>
      <c r="V114" s="67">
        <v>10.0</v>
      </c>
      <c r="W114" s="67">
        <v>1.0</v>
      </c>
      <c r="X114" s="69">
        <v>0.03</v>
      </c>
      <c r="Y114" s="69">
        <v>0.0</v>
      </c>
      <c r="Z114" s="69">
        <v>0.0</v>
      </c>
      <c r="AA114" s="67">
        <v>31.0</v>
      </c>
      <c r="AB114" s="69">
        <v>0.0</v>
      </c>
      <c r="AC114" s="69">
        <v>0.01</v>
      </c>
      <c r="AD114" s="68">
        <v>0.0</v>
      </c>
      <c r="AE114" s="69">
        <v>0.03</v>
      </c>
      <c r="AF114" s="69">
        <v>0.0</v>
      </c>
      <c r="AG114" s="67">
        <v>1.0</v>
      </c>
      <c r="AH114" s="69">
        <v>0.03</v>
      </c>
      <c r="AI114" s="67">
        <v>0.0</v>
      </c>
    </row>
    <row r="115" ht="15.75" customHeight="1">
      <c r="B115" s="158" t="s">
        <v>198</v>
      </c>
      <c r="C115" s="20"/>
      <c r="D115" s="20"/>
      <c r="E115" s="20"/>
      <c r="F115" s="20"/>
      <c r="G115" s="21"/>
      <c r="H115" s="66"/>
      <c r="I115" s="67">
        <f t="shared" si="10"/>
        <v>44.6</v>
      </c>
      <c r="J115" s="68">
        <v>0.3</v>
      </c>
      <c r="K115" s="68">
        <v>4.6</v>
      </c>
      <c r="L115" s="69">
        <v>1.33</v>
      </c>
      <c r="M115" s="69">
        <v>1.88</v>
      </c>
      <c r="N115" s="69">
        <v>1.32</v>
      </c>
      <c r="O115" s="67">
        <v>4.0</v>
      </c>
      <c r="P115" s="68">
        <v>0.5</v>
      </c>
      <c r="Q115" s="68">
        <v>0.2</v>
      </c>
      <c r="R115" s="67">
        <v>5.0</v>
      </c>
      <c r="S115" s="67">
        <v>5.0</v>
      </c>
      <c r="T115" s="68">
        <v>0.1</v>
      </c>
      <c r="U115" s="67">
        <v>30.0</v>
      </c>
      <c r="V115" s="67">
        <v>20.0</v>
      </c>
      <c r="W115" s="67">
        <v>2.0</v>
      </c>
      <c r="X115" s="69">
        <v>0.04</v>
      </c>
      <c r="Y115" s="69">
        <v>0.01</v>
      </c>
      <c r="Z115" s="69">
        <v>0.01</v>
      </c>
      <c r="AA115" s="67">
        <v>15.0</v>
      </c>
      <c r="AB115" s="69">
        <v>0.0</v>
      </c>
      <c r="AC115" s="69">
        <v>0.01</v>
      </c>
      <c r="AD115" s="68">
        <v>0.1</v>
      </c>
      <c r="AE115" s="69">
        <v>0.04</v>
      </c>
      <c r="AF115" s="69">
        <v>0.01</v>
      </c>
      <c r="AG115" s="67">
        <v>2.0</v>
      </c>
      <c r="AH115" s="69">
        <v>0.01</v>
      </c>
      <c r="AI115" s="67">
        <v>0.0</v>
      </c>
    </row>
    <row r="116" ht="15.75" customHeight="1">
      <c r="B116" s="158" t="s">
        <v>200</v>
      </c>
      <c r="C116" s="20"/>
      <c r="D116" s="20"/>
      <c r="E116" s="20"/>
      <c r="F116" s="20"/>
      <c r="G116" s="21"/>
      <c r="H116" s="66"/>
      <c r="I116" s="67">
        <f t="shared" si="10"/>
        <v>39.3</v>
      </c>
      <c r="J116" s="68">
        <v>1.3</v>
      </c>
      <c r="K116" s="68">
        <v>3.3</v>
      </c>
      <c r="L116" s="69">
        <v>1.16</v>
      </c>
      <c r="M116" s="69">
        <v>0.98</v>
      </c>
      <c r="N116" s="69">
        <v>0.89</v>
      </c>
      <c r="O116" s="67">
        <v>6.0</v>
      </c>
      <c r="P116" s="68">
        <v>1.1</v>
      </c>
      <c r="Q116" s="68">
        <v>0.0</v>
      </c>
      <c r="R116" s="67">
        <v>16.0</v>
      </c>
      <c r="S116" s="67">
        <v>37.0</v>
      </c>
      <c r="T116" s="68">
        <v>0.0</v>
      </c>
      <c r="U116" s="67">
        <v>125.0</v>
      </c>
      <c r="V116" s="67">
        <v>19.0</v>
      </c>
      <c r="W116" s="67">
        <v>2.0</v>
      </c>
      <c r="X116" s="69">
        <v>0.12</v>
      </c>
      <c r="Y116" s="69">
        <v>0.0</v>
      </c>
      <c r="Z116" s="69">
        <v>0.0</v>
      </c>
      <c r="AA116" s="67">
        <v>41.0</v>
      </c>
      <c r="AB116" s="69">
        <v>0.0</v>
      </c>
      <c r="AC116" s="69">
        <v>0.02</v>
      </c>
      <c r="AD116" s="68">
        <v>0.0</v>
      </c>
      <c r="AE116" s="69">
        <v>0.04</v>
      </c>
      <c r="AF116" s="69">
        <v>0.03</v>
      </c>
      <c r="AG116" s="67">
        <v>3.0</v>
      </c>
      <c r="AH116" s="69">
        <v>0.06</v>
      </c>
      <c r="AI116" s="67">
        <v>0.0</v>
      </c>
    </row>
    <row r="117" ht="15.75" customHeight="1">
      <c r="B117" s="72"/>
      <c r="C117" s="72"/>
      <c r="D117" s="72"/>
      <c r="E117" s="72"/>
      <c r="F117" s="72"/>
      <c r="G117" s="72"/>
      <c r="AI117" s="73"/>
    </row>
    <row r="118" ht="15.75" customHeight="1">
      <c r="B118" s="72"/>
      <c r="C118" s="72"/>
      <c r="D118" s="72"/>
      <c r="E118" s="72"/>
      <c r="F118" s="72"/>
      <c r="G118" s="72"/>
    </row>
    <row r="119" ht="15.75" customHeight="1">
      <c r="B119" s="306" t="s">
        <v>95</v>
      </c>
      <c r="C119" s="20"/>
      <c r="D119" s="20"/>
      <c r="E119" s="20"/>
      <c r="F119" s="20"/>
      <c r="G119" s="21"/>
      <c r="H119" s="63" t="s">
        <v>96</v>
      </c>
      <c r="I119" s="63" t="s">
        <v>97</v>
      </c>
      <c r="J119" s="63" t="s">
        <v>98</v>
      </c>
      <c r="K119" s="63" t="s">
        <v>99</v>
      </c>
      <c r="L119" s="63" t="s">
        <v>100</v>
      </c>
      <c r="M119" s="63" t="s">
        <v>101</v>
      </c>
      <c r="N119" s="63" t="s">
        <v>102</v>
      </c>
      <c r="O119" s="63" t="s">
        <v>103</v>
      </c>
      <c r="P119" s="63" t="s">
        <v>104</v>
      </c>
      <c r="Q119" s="63" t="s">
        <v>105</v>
      </c>
      <c r="R119" s="157" t="s">
        <v>106</v>
      </c>
      <c r="S119" s="157" t="s">
        <v>107</v>
      </c>
      <c r="T119" s="157" t="s">
        <v>108</v>
      </c>
      <c r="U119" s="157" t="s">
        <v>109</v>
      </c>
      <c r="V119" s="157" t="s">
        <v>110</v>
      </c>
      <c r="W119" s="157" t="s">
        <v>111</v>
      </c>
      <c r="X119" s="157" t="s">
        <v>112</v>
      </c>
      <c r="Y119" s="157" t="s">
        <v>113</v>
      </c>
      <c r="Z119" s="157" t="s">
        <v>114</v>
      </c>
      <c r="AA119" s="157" t="s">
        <v>115</v>
      </c>
      <c r="AB119" s="157" t="s">
        <v>116</v>
      </c>
      <c r="AC119" s="157" t="s">
        <v>117</v>
      </c>
      <c r="AD119" s="157" t="s">
        <v>118</v>
      </c>
      <c r="AE119" s="157" t="s">
        <v>119</v>
      </c>
      <c r="AF119" s="157" t="s">
        <v>120</v>
      </c>
      <c r="AG119" s="157" t="s">
        <v>549</v>
      </c>
      <c r="AH119" s="157" t="s">
        <v>122</v>
      </c>
      <c r="AI119" s="157" t="s">
        <v>123</v>
      </c>
    </row>
    <row r="120" ht="15.75" customHeight="1">
      <c r="B120" s="158" t="s">
        <v>126</v>
      </c>
      <c r="C120" s="20"/>
      <c r="D120" s="20"/>
      <c r="E120" s="20"/>
      <c r="F120" s="20"/>
      <c r="G120" s="21"/>
      <c r="H120" s="161" t="str">
        <f t="shared" ref="H120:H140" si="11">H96</f>
        <v/>
      </c>
      <c r="I120" s="67">
        <f t="shared" ref="I120:I140" si="12">(I96*H96)</f>
        <v>0</v>
      </c>
      <c r="J120" s="68">
        <f t="shared" ref="J120:J140" si="13">(J96*H96)</f>
        <v>0</v>
      </c>
      <c r="K120" s="68">
        <f t="shared" ref="K120:K140" si="14">(K96*H96)</f>
        <v>0</v>
      </c>
      <c r="L120" s="69">
        <f t="shared" ref="L120:L140" si="15">(L96*H96)</f>
        <v>0</v>
      </c>
      <c r="M120" s="69">
        <f t="shared" ref="M120:M140" si="16">(M96*H96)</f>
        <v>0</v>
      </c>
      <c r="N120" s="69">
        <f t="shared" ref="N120:N140" si="17">(N96*H96)</f>
        <v>0</v>
      </c>
      <c r="O120" s="67">
        <f t="shared" ref="O120:O140" si="18">(O96*H96)</f>
        <v>0</v>
      </c>
      <c r="P120" s="68">
        <f t="shared" ref="P120:P140" si="19">(P96*H96)</f>
        <v>0</v>
      </c>
      <c r="Q120" s="68">
        <f t="shared" ref="Q120:Q140" si="20">(Q96*H96)</f>
        <v>0</v>
      </c>
      <c r="R120" s="67">
        <f t="shared" ref="R120:R140" si="21">(R96*H96)</f>
        <v>0</v>
      </c>
      <c r="S120" s="67">
        <f t="shared" ref="S120:S140" si="22">(S96*H96)</f>
        <v>0</v>
      </c>
      <c r="T120" s="68">
        <f t="shared" ref="T120:T140" si="23">(T96*H96)</f>
        <v>0</v>
      </c>
      <c r="U120" s="67">
        <f t="shared" ref="U120:U140" si="24">(U96*H96)</f>
        <v>0</v>
      </c>
      <c r="V120" s="67">
        <f t="shared" ref="V120:V140" si="25">(V96*H96)</f>
        <v>0</v>
      </c>
      <c r="W120" s="67">
        <f t="shared" ref="W120:W140" si="26">(W96*H96)</f>
        <v>0</v>
      </c>
      <c r="X120" s="69">
        <f t="shared" ref="X120:X140" si="27">(X96*H96)</f>
        <v>0</v>
      </c>
      <c r="Y120" s="69">
        <f t="shared" ref="Y120:Y140" si="28">(Y96*H96)</f>
        <v>0</v>
      </c>
      <c r="Z120" s="69">
        <f t="shared" ref="Z120:Z140" si="29">(Z96*H96)</f>
        <v>0</v>
      </c>
      <c r="AA120" s="67">
        <f t="shared" ref="AA120:AA140" si="30">(AA96*H96)</f>
        <v>0</v>
      </c>
      <c r="AB120" s="69">
        <f t="shared" ref="AB120:AB140" si="31">(AB96*H96)</f>
        <v>0</v>
      </c>
      <c r="AC120" s="69">
        <f t="shared" ref="AC120:AC140" si="32">(AC96*H96)</f>
        <v>0</v>
      </c>
      <c r="AD120" s="68">
        <f t="shared" ref="AD120:AD140" si="33">(AD96*H96)</f>
        <v>0</v>
      </c>
      <c r="AE120" s="69">
        <f t="shared" ref="AE120:AE140" si="34">(AE96*H96)</f>
        <v>0</v>
      </c>
      <c r="AF120" s="69">
        <f t="shared" ref="AF120:AF140" si="35">(AF96*H96)</f>
        <v>0</v>
      </c>
      <c r="AG120" s="67">
        <f t="shared" ref="AG120:AG140" si="36">(AG96*H96)</f>
        <v>0</v>
      </c>
      <c r="AH120" s="69">
        <f t="shared" ref="AH120:AH140" si="37">(AH96*H96)</f>
        <v>0</v>
      </c>
      <c r="AI120" s="67">
        <f t="shared" ref="AI120:AI140" si="38">(AI96*H96)</f>
        <v>0</v>
      </c>
    </row>
    <row r="121" ht="15.75" customHeight="1">
      <c r="B121" s="158" t="s">
        <v>127</v>
      </c>
      <c r="C121" s="20"/>
      <c r="D121" s="20"/>
      <c r="E121" s="20"/>
      <c r="F121" s="20"/>
      <c r="G121" s="21"/>
      <c r="H121" s="161" t="str">
        <f t="shared" si="11"/>
        <v/>
      </c>
      <c r="I121" s="67">
        <f t="shared" si="12"/>
        <v>0</v>
      </c>
      <c r="J121" s="68">
        <f t="shared" si="13"/>
        <v>0</v>
      </c>
      <c r="K121" s="68">
        <f t="shared" si="14"/>
        <v>0</v>
      </c>
      <c r="L121" s="69">
        <f t="shared" si="15"/>
        <v>0</v>
      </c>
      <c r="M121" s="69">
        <f t="shared" si="16"/>
        <v>0</v>
      </c>
      <c r="N121" s="69">
        <f t="shared" si="17"/>
        <v>0</v>
      </c>
      <c r="O121" s="67">
        <f t="shared" si="18"/>
        <v>0</v>
      </c>
      <c r="P121" s="68">
        <f t="shared" si="19"/>
        <v>0</v>
      </c>
      <c r="Q121" s="68">
        <f t="shared" si="20"/>
        <v>0</v>
      </c>
      <c r="R121" s="67">
        <f t="shared" si="21"/>
        <v>0</v>
      </c>
      <c r="S121" s="67">
        <f t="shared" si="22"/>
        <v>0</v>
      </c>
      <c r="T121" s="68">
        <f t="shared" si="23"/>
        <v>0</v>
      </c>
      <c r="U121" s="67">
        <f t="shared" si="24"/>
        <v>0</v>
      </c>
      <c r="V121" s="67">
        <f t="shared" si="25"/>
        <v>0</v>
      </c>
      <c r="W121" s="67">
        <f t="shared" si="26"/>
        <v>0</v>
      </c>
      <c r="X121" s="69">
        <f t="shared" si="27"/>
        <v>0</v>
      </c>
      <c r="Y121" s="69">
        <f t="shared" si="28"/>
        <v>0</v>
      </c>
      <c r="Z121" s="69">
        <f t="shared" si="29"/>
        <v>0</v>
      </c>
      <c r="AA121" s="67">
        <f t="shared" si="30"/>
        <v>0</v>
      </c>
      <c r="AB121" s="69">
        <f t="shared" si="31"/>
        <v>0</v>
      </c>
      <c r="AC121" s="69">
        <f t="shared" si="32"/>
        <v>0</v>
      </c>
      <c r="AD121" s="68">
        <f t="shared" si="33"/>
        <v>0</v>
      </c>
      <c r="AE121" s="69">
        <f t="shared" si="34"/>
        <v>0</v>
      </c>
      <c r="AF121" s="69">
        <f t="shared" si="35"/>
        <v>0</v>
      </c>
      <c r="AG121" s="67">
        <f t="shared" si="36"/>
        <v>0</v>
      </c>
      <c r="AH121" s="69">
        <f t="shared" si="37"/>
        <v>0</v>
      </c>
      <c r="AI121" s="67">
        <f t="shared" si="38"/>
        <v>0</v>
      </c>
    </row>
    <row r="122" ht="15.75" customHeight="1">
      <c r="B122" s="158" t="s">
        <v>128</v>
      </c>
      <c r="C122" s="20"/>
      <c r="D122" s="20"/>
      <c r="E122" s="20"/>
      <c r="F122" s="20"/>
      <c r="G122" s="21"/>
      <c r="H122" s="161" t="str">
        <f t="shared" si="11"/>
        <v/>
      </c>
      <c r="I122" s="67">
        <f t="shared" si="12"/>
        <v>0</v>
      </c>
      <c r="J122" s="68">
        <f t="shared" si="13"/>
        <v>0</v>
      </c>
      <c r="K122" s="68">
        <f t="shared" si="14"/>
        <v>0</v>
      </c>
      <c r="L122" s="69">
        <f t="shared" si="15"/>
        <v>0</v>
      </c>
      <c r="M122" s="69">
        <f t="shared" si="16"/>
        <v>0</v>
      </c>
      <c r="N122" s="69">
        <f t="shared" si="17"/>
        <v>0</v>
      </c>
      <c r="O122" s="67">
        <f t="shared" si="18"/>
        <v>0</v>
      </c>
      <c r="P122" s="68">
        <f t="shared" si="19"/>
        <v>0</v>
      </c>
      <c r="Q122" s="68">
        <f t="shared" si="20"/>
        <v>0</v>
      </c>
      <c r="R122" s="67">
        <f t="shared" si="21"/>
        <v>0</v>
      </c>
      <c r="S122" s="67">
        <f t="shared" si="22"/>
        <v>0</v>
      </c>
      <c r="T122" s="68">
        <f t="shared" si="23"/>
        <v>0</v>
      </c>
      <c r="U122" s="67">
        <f t="shared" si="24"/>
        <v>0</v>
      </c>
      <c r="V122" s="67">
        <f t="shared" si="25"/>
        <v>0</v>
      </c>
      <c r="W122" s="67">
        <f t="shared" si="26"/>
        <v>0</v>
      </c>
      <c r="X122" s="69">
        <f t="shared" si="27"/>
        <v>0</v>
      </c>
      <c r="Y122" s="69">
        <f t="shared" si="28"/>
        <v>0</v>
      </c>
      <c r="Z122" s="69">
        <f t="shared" si="29"/>
        <v>0</v>
      </c>
      <c r="AA122" s="67">
        <f t="shared" si="30"/>
        <v>0</v>
      </c>
      <c r="AB122" s="69">
        <f t="shared" si="31"/>
        <v>0</v>
      </c>
      <c r="AC122" s="69">
        <f t="shared" si="32"/>
        <v>0</v>
      </c>
      <c r="AD122" s="68">
        <f t="shared" si="33"/>
        <v>0</v>
      </c>
      <c r="AE122" s="69">
        <f t="shared" si="34"/>
        <v>0</v>
      </c>
      <c r="AF122" s="69">
        <f t="shared" si="35"/>
        <v>0</v>
      </c>
      <c r="AG122" s="67">
        <f t="shared" si="36"/>
        <v>0</v>
      </c>
      <c r="AH122" s="69">
        <f t="shared" si="37"/>
        <v>0</v>
      </c>
      <c r="AI122" s="67">
        <f t="shared" si="38"/>
        <v>0</v>
      </c>
    </row>
    <row r="123" ht="15.75" customHeight="1">
      <c r="B123" s="158" t="s">
        <v>129</v>
      </c>
      <c r="C123" s="20"/>
      <c r="D123" s="20"/>
      <c r="E123" s="20"/>
      <c r="F123" s="20"/>
      <c r="G123" s="21"/>
      <c r="H123" s="161" t="str">
        <f t="shared" si="11"/>
        <v/>
      </c>
      <c r="I123" s="67">
        <f t="shared" si="12"/>
        <v>0</v>
      </c>
      <c r="J123" s="68">
        <f t="shared" si="13"/>
        <v>0</v>
      </c>
      <c r="K123" s="68">
        <f t="shared" si="14"/>
        <v>0</v>
      </c>
      <c r="L123" s="69">
        <f t="shared" si="15"/>
        <v>0</v>
      </c>
      <c r="M123" s="69">
        <f t="shared" si="16"/>
        <v>0</v>
      </c>
      <c r="N123" s="69">
        <f t="shared" si="17"/>
        <v>0</v>
      </c>
      <c r="O123" s="67">
        <f t="shared" si="18"/>
        <v>0</v>
      </c>
      <c r="P123" s="68">
        <f t="shared" si="19"/>
        <v>0</v>
      </c>
      <c r="Q123" s="68">
        <f t="shared" si="20"/>
        <v>0</v>
      </c>
      <c r="R123" s="67">
        <f t="shared" si="21"/>
        <v>0</v>
      </c>
      <c r="S123" s="67">
        <f t="shared" si="22"/>
        <v>0</v>
      </c>
      <c r="T123" s="68">
        <f t="shared" si="23"/>
        <v>0</v>
      </c>
      <c r="U123" s="67">
        <f t="shared" si="24"/>
        <v>0</v>
      </c>
      <c r="V123" s="67">
        <f t="shared" si="25"/>
        <v>0</v>
      </c>
      <c r="W123" s="67">
        <f t="shared" si="26"/>
        <v>0</v>
      </c>
      <c r="X123" s="69">
        <f t="shared" si="27"/>
        <v>0</v>
      </c>
      <c r="Y123" s="69">
        <f t="shared" si="28"/>
        <v>0</v>
      </c>
      <c r="Z123" s="69">
        <f t="shared" si="29"/>
        <v>0</v>
      </c>
      <c r="AA123" s="67">
        <f t="shared" si="30"/>
        <v>0</v>
      </c>
      <c r="AB123" s="69">
        <f t="shared" si="31"/>
        <v>0</v>
      </c>
      <c r="AC123" s="69">
        <f t="shared" si="32"/>
        <v>0</v>
      </c>
      <c r="AD123" s="68">
        <f t="shared" si="33"/>
        <v>0</v>
      </c>
      <c r="AE123" s="69">
        <f t="shared" si="34"/>
        <v>0</v>
      </c>
      <c r="AF123" s="69">
        <f t="shared" si="35"/>
        <v>0</v>
      </c>
      <c r="AG123" s="67">
        <f t="shared" si="36"/>
        <v>0</v>
      </c>
      <c r="AH123" s="69">
        <f t="shared" si="37"/>
        <v>0</v>
      </c>
      <c r="AI123" s="67">
        <f t="shared" si="38"/>
        <v>0</v>
      </c>
    </row>
    <row r="124" ht="15.75" customHeight="1">
      <c r="B124" s="160" t="s">
        <v>138</v>
      </c>
      <c r="C124" s="20"/>
      <c r="D124" s="20"/>
      <c r="E124" s="20"/>
      <c r="F124" s="20"/>
      <c r="G124" s="21"/>
      <c r="H124" s="161" t="str">
        <f t="shared" si="11"/>
        <v/>
      </c>
      <c r="I124" s="67">
        <f t="shared" si="12"/>
        <v>0</v>
      </c>
      <c r="J124" s="68">
        <f t="shared" si="13"/>
        <v>0</v>
      </c>
      <c r="K124" s="68">
        <f t="shared" si="14"/>
        <v>0</v>
      </c>
      <c r="L124" s="69">
        <f t="shared" si="15"/>
        <v>0</v>
      </c>
      <c r="M124" s="69">
        <f t="shared" si="16"/>
        <v>0</v>
      </c>
      <c r="N124" s="69">
        <f t="shared" si="17"/>
        <v>0</v>
      </c>
      <c r="O124" s="67">
        <f t="shared" si="18"/>
        <v>0</v>
      </c>
      <c r="P124" s="68">
        <f t="shared" si="19"/>
        <v>0</v>
      </c>
      <c r="Q124" s="68">
        <f t="shared" si="20"/>
        <v>0</v>
      </c>
      <c r="R124" s="67">
        <f t="shared" si="21"/>
        <v>0</v>
      </c>
      <c r="S124" s="67">
        <f t="shared" si="22"/>
        <v>0</v>
      </c>
      <c r="T124" s="68">
        <f t="shared" si="23"/>
        <v>0</v>
      </c>
      <c r="U124" s="67">
        <f t="shared" si="24"/>
        <v>0</v>
      </c>
      <c r="V124" s="67">
        <f t="shared" si="25"/>
        <v>0</v>
      </c>
      <c r="W124" s="67">
        <f t="shared" si="26"/>
        <v>0</v>
      </c>
      <c r="X124" s="69">
        <f t="shared" si="27"/>
        <v>0</v>
      </c>
      <c r="Y124" s="69">
        <f t="shared" si="28"/>
        <v>0</v>
      </c>
      <c r="Z124" s="69">
        <f t="shared" si="29"/>
        <v>0</v>
      </c>
      <c r="AA124" s="67">
        <f t="shared" si="30"/>
        <v>0</v>
      </c>
      <c r="AB124" s="69">
        <f t="shared" si="31"/>
        <v>0</v>
      </c>
      <c r="AC124" s="69">
        <f t="shared" si="32"/>
        <v>0</v>
      </c>
      <c r="AD124" s="68">
        <f t="shared" si="33"/>
        <v>0</v>
      </c>
      <c r="AE124" s="69">
        <f t="shared" si="34"/>
        <v>0</v>
      </c>
      <c r="AF124" s="69">
        <f t="shared" si="35"/>
        <v>0</v>
      </c>
      <c r="AG124" s="67">
        <f t="shared" si="36"/>
        <v>0</v>
      </c>
      <c r="AH124" s="69">
        <f t="shared" si="37"/>
        <v>0</v>
      </c>
      <c r="AI124" s="67">
        <f t="shared" si="38"/>
        <v>0</v>
      </c>
    </row>
    <row r="125" ht="15.75" customHeight="1">
      <c r="B125" s="160" t="s">
        <v>311</v>
      </c>
      <c r="C125" s="20"/>
      <c r="D125" s="20"/>
      <c r="E125" s="20"/>
      <c r="F125" s="20"/>
      <c r="G125" s="21"/>
      <c r="H125" s="161" t="str">
        <f t="shared" si="11"/>
        <v/>
      </c>
      <c r="I125" s="67">
        <f t="shared" si="12"/>
        <v>0</v>
      </c>
      <c r="J125" s="68">
        <f t="shared" si="13"/>
        <v>0</v>
      </c>
      <c r="K125" s="68">
        <f t="shared" si="14"/>
        <v>0</v>
      </c>
      <c r="L125" s="69">
        <f t="shared" si="15"/>
        <v>0</v>
      </c>
      <c r="M125" s="69">
        <f t="shared" si="16"/>
        <v>0</v>
      </c>
      <c r="N125" s="69">
        <f t="shared" si="17"/>
        <v>0</v>
      </c>
      <c r="O125" s="67">
        <f t="shared" si="18"/>
        <v>0</v>
      </c>
      <c r="P125" s="68">
        <f t="shared" si="19"/>
        <v>0</v>
      </c>
      <c r="Q125" s="68">
        <f t="shared" si="20"/>
        <v>0</v>
      </c>
      <c r="R125" s="67">
        <f t="shared" si="21"/>
        <v>0</v>
      </c>
      <c r="S125" s="67">
        <f t="shared" si="22"/>
        <v>0</v>
      </c>
      <c r="T125" s="68">
        <f t="shared" si="23"/>
        <v>0</v>
      </c>
      <c r="U125" s="67">
        <f t="shared" si="24"/>
        <v>0</v>
      </c>
      <c r="V125" s="67">
        <f t="shared" si="25"/>
        <v>0</v>
      </c>
      <c r="W125" s="67">
        <f t="shared" si="26"/>
        <v>0</v>
      </c>
      <c r="X125" s="69">
        <f t="shared" si="27"/>
        <v>0</v>
      </c>
      <c r="Y125" s="69">
        <f t="shared" si="28"/>
        <v>0</v>
      </c>
      <c r="Z125" s="69">
        <f t="shared" si="29"/>
        <v>0</v>
      </c>
      <c r="AA125" s="67">
        <f t="shared" si="30"/>
        <v>0</v>
      </c>
      <c r="AB125" s="69">
        <f t="shared" si="31"/>
        <v>0</v>
      </c>
      <c r="AC125" s="69">
        <f t="shared" si="32"/>
        <v>0</v>
      </c>
      <c r="AD125" s="68">
        <f t="shared" si="33"/>
        <v>0</v>
      </c>
      <c r="AE125" s="69">
        <f t="shared" si="34"/>
        <v>0</v>
      </c>
      <c r="AF125" s="69">
        <f t="shared" si="35"/>
        <v>0</v>
      </c>
      <c r="AG125" s="67">
        <f t="shared" si="36"/>
        <v>0</v>
      </c>
      <c r="AH125" s="69">
        <f t="shared" si="37"/>
        <v>0</v>
      </c>
      <c r="AI125" s="67">
        <f t="shared" si="38"/>
        <v>0</v>
      </c>
    </row>
    <row r="126" ht="15.75" customHeight="1">
      <c r="B126" s="160" t="s">
        <v>312</v>
      </c>
      <c r="C126" s="20"/>
      <c r="D126" s="20"/>
      <c r="E126" s="20"/>
      <c r="F126" s="20"/>
      <c r="G126" s="21"/>
      <c r="H126" s="161" t="str">
        <f t="shared" si="11"/>
        <v/>
      </c>
      <c r="I126" s="67">
        <f t="shared" si="12"/>
        <v>0</v>
      </c>
      <c r="J126" s="68">
        <f t="shared" si="13"/>
        <v>0</v>
      </c>
      <c r="K126" s="68">
        <f t="shared" si="14"/>
        <v>0</v>
      </c>
      <c r="L126" s="69">
        <f t="shared" si="15"/>
        <v>0</v>
      </c>
      <c r="M126" s="69">
        <f t="shared" si="16"/>
        <v>0</v>
      </c>
      <c r="N126" s="69">
        <f t="shared" si="17"/>
        <v>0</v>
      </c>
      <c r="O126" s="67">
        <f t="shared" si="18"/>
        <v>0</v>
      </c>
      <c r="P126" s="68">
        <f t="shared" si="19"/>
        <v>0</v>
      </c>
      <c r="Q126" s="68">
        <f t="shared" si="20"/>
        <v>0</v>
      </c>
      <c r="R126" s="67">
        <f t="shared" si="21"/>
        <v>0</v>
      </c>
      <c r="S126" s="67">
        <f t="shared" si="22"/>
        <v>0</v>
      </c>
      <c r="T126" s="68">
        <f t="shared" si="23"/>
        <v>0</v>
      </c>
      <c r="U126" s="67">
        <f t="shared" si="24"/>
        <v>0</v>
      </c>
      <c r="V126" s="67">
        <f t="shared" si="25"/>
        <v>0</v>
      </c>
      <c r="W126" s="67">
        <f t="shared" si="26"/>
        <v>0</v>
      </c>
      <c r="X126" s="69">
        <f t="shared" si="27"/>
        <v>0</v>
      </c>
      <c r="Y126" s="69">
        <f t="shared" si="28"/>
        <v>0</v>
      </c>
      <c r="Z126" s="69">
        <f t="shared" si="29"/>
        <v>0</v>
      </c>
      <c r="AA126" s="67">
        <f t="shared" si="30"/>
        <v>0</v>
      </c>
      <c r="AB126" s="69">
        <f t="shared" si="31"/>
        <v>0</v>
      </c>
      <c r="AC126" s="69">
        <f t="shared" si="32"/>
        <v>0</v>
      </c>
      <c r="AD126" s="68">
        <f t="shared" si="33"/>
        <v>0</v>
      </c>
      <c r="AE126" s="69">
        <f t="shared" si="34"/>
        <v>0</v>
      </c>
      <c r="AF126" s="69">
        <f t="shared" si="35"/>
        <v>0</v>
      </c>
      <c r="AG126" s="67">
        <f t="shared" si="36"/>
        <v>0</v>
      </c>
      <c r="AH126" s="69">
        <f t="shared" si="37"/>
        <v>0</v>
      </c>
      <c r="AI126" s="67">
        <f t="shared" si="38"/>
        <v>0</v>
      </c>
    </row>
    <row r="127" ht="15.75" customHeight="1">
      <c r="B127" s="160" t="s">
        <v>153</v>
      </c>
      <c r="C127" s="20"/>
      <c r="D127" s="20"/>
      <c r="E127" s="20"/>
      <c r="F127" s="20"/>
      <c r="G127" s="21"/>
      <c r="H127" s="161" t="str">
        <f t="shared" si="11"/>
        <v/>
      </c>
      <c r="I127" s="67">
        <f t="shared" si="12"/>
        <v>0</v>
      </c>
      <c r="J127" s="68">
        <f t="shared" si="13"/>
        <v>0</v>
      </c>
      <c r="K127" s="68">
        <f t="shared" si="14"/>
        <v>0</v>
      </c>
      <c r="L127" s="69">
        <f t="shared" si="15"/>
        <v>0</v>
      </c>
      <c r="M127" s="69">
        <f t="shared" si="16"/>
        <v>0</v>
      </c>
      <c r="N127" s="69">
        <f t="shared" si="17"/>
        <v>0</v>
      </c>
      <c r="O127" s="67">
        <f t="shared" si="18"/>
        <v>0</v>
      </c>
      <c r="P127" s="68">
        <f t="shared" si="19"/>
        <v>0</v>
      </c>
      <c r="Q127" s="68">
        <f t="shared" si="20"/>
        <v>0</v>
      </c>
      <c r="R127" s="67">
        <f t="shared" si="21"/>
        <v>0</v>
      </c>
      <c r="S127" s="67">
        <f t="shared" si="22"/>
        <v>0</v>
      </c>
      <c r="T127" s="68">
        <f t="shared" si="23"/>
        <v>0</v>
      </c>
      <c r="U127" s="67">
        <f t="shared" si="24"/>
        <v>0</v>
      </c>
      <c r="V127" s="67">
        <f t="shared" si="25"/>
        <v>0</v>
      </c>
      <c r="W127" s="67">
        <f t="shared" si="26"/>
        <v>0</v>
      </c>
      <c r="X127" s="69">
        <f t="shared" si="27"/>
        <v>0</v>
      </c>
      <c r="Y127" s="69">
        <f t="shared" si="28"/>
        <v>0</v>
      </c>
      <c r="Z127" s="69">
        <f t="shared" si="29"/>
        <v>0</v>
      </c>
      <c r="AA127" s="67">
        <f t="shared" si="30"/>
        <v>0</v>
      </c>
      <c r="AB127" s="69">
        <f t="shared" si="31"/>
        <v>0</v>
      </c>
      <c r="AC127" s="69">
        <f t="shared" si="32"/>
        <v>0</v>
      </c>
      <c r="AD127" s="68">
        <f t="shared" si="33"/>
        <v>0</v>
      </c>
      <c r="AE127" s="69">
        <f t="shared" si="34"/>
        <v>0</v>
      </c>
      <c r="AF127" s="69">
        <f t="shared" si="35"/>
        <v>0</v>
      </c>
      <c r="AG127" s="67">
        <f t="shared" si="36"/>
        <v>0</v>
      </c>
      <c r="AH127" s="69">
        <f t="shared" si="37"/>
        <v>0</v>
      </c>
      <c r="AI127" s="67">
        <f t="shared" si="38"/>
        <v>0</v>
      </c>
    </row>
    <row r="128" ht="15.75" customHeight="1">
      <c r="B128" s="158" t="s">
        <v>159</v>
      </c>
      <c r="C128" s="20"/>
      <c r="D128" s="20"/>
      <c r="E128" s="20"/>
      <c r="F128" s="20"/>
      <c r="G128" s="21"/>
      <c r="H128" s="161" t="str">
        <f t="shared" si="11"/>
        <v/>
      </c>
      <c r="I128" s="67">
        <f t="shared" si="12"/>
        <v>0</v>
      </c>
      <c r="J128" s="68">
        <f t="shared" si="13"/>
        <v>0</v>
      </c>
      <c r="K128" s="68">
        <f t="shared" si="14"/>
        <v>0</v>
      </c>
      <c r="L128" s="69">
        <f t="shared" si="15"/>
        <v>0</v>
      </c>
      <c r="M128" s="69">
        <f t="shared" si="16"/>
        <v>0</v>
      </c>
      <c r="N128" s="69">
        <f t="shared" si="17"/>
        <v>0</v>
      </c>
      <c r="O128" s="67">
        <f t="shared" si="18"/>
        <v>0</v>
      </c>
      <c r="P128" s="68">
        <f t="shared" si="19"/>
        <v>0</v>
      </c>
      <c r="Q128" s="68">
        <f t="shared" si="20"/>
        <v>0</v>
      </c>
      <c r="R128" s="67">
        <f t="shared" si="21"/>
        <v>0</v>
      </c>
      <c r="S128" s="67">
        <f t="shared" si="22"/>
        <v>0</v>
      </c>
      <c r="T128" s="68">
        <f t="shared" si="23"/>
        <v>0</v>
      </c>
      <c r="U128" s="67">
        <f t="shared" si="24"/>
        <v>0</v>
      </c>
      <c r="V128" s="67">
        <f t="shared" si="25"/>
        <v>0</v>
      </c>
      <c r="W128" s="67">
        <f t="shared" si="26"/>
        <v>0</v>
      </c>
      <c r="X128" s="69">
        <f t="shared" si="27"/>
        <v>0</v>
      </c>
      <c r="Y128" s="69">
        <f t="shared" si="28"/>
        <v>0</v>
      </c>
      <c r="Z128" s="69">
        <f t="shared" si="29"/>
        <v>0</v>
      </c>
      <c r="AA128" s="67">
        <f t="shared" si="30"/>
        <v>0</v>
      </c>
      <c r="AB128" s="69">
        <f t="shared" si="31"/>
        <v>0</v>
      </c>
      <c r="AC128" s="69">
        <f t="shared" si="32"/>
        <v>0</v>
      </c>
      <c r="AD128" s="68">
        <f t="shared" si="33"/>
        <v>0</v>
      </c>
      <c r="AE128" s="69">
        <f t="shared" si="34"/>
        <v>0</v>
      </c>
      <c r="AF128" s="69">
        <f t="shared" si="35"/>
        <v>0</v>
      </c>
      <c r="AG128" s="67">
        <f t="shared" si="36"/>
        <v>0</v>
      </c>
      <c r="AH128" s="69">
        <f t="shared" si="37"/>
        <v>0</v>
      </c>
      <c r="AI128" s="67">
        <f t="shared" si="38"/>
        <v>0</v>
      </c>
    </row>
    <row r="129" ht="15.0" customHeight="1">
      <c r="B129" s="158" t="s">
        <v>167</v>
      </c>
      <c r="C129" s="20"/>
      <c r="D129" s="20"/>
      <c r="E129" s="20"/>
      <c r="F129" s="20"/>
      <c r="G129" s="21"/>
      <c r="H129" s="161" t="str">
        <f t="shared" si="11"/>
        <v/>
      </c>
      <c r="I129" s="67">
        <f t="shared" si="12"/>
        <v>0</v>
      </c>
      <c r="J129" s="68">
        <f t="shared" si="13"/>
        <v>0</v>
      </c>
      <c r="K129" s="68">
        <f t="shared" si="14"/>
        <v>0</v>
      </c>
      <c r="L129" s="69">
        <f t="shared" si="15"/>
        <v>0</v>
      </c>
      <c r="M129" s="69">
        <f t="shared" si="16"/>
        <v>0</v>
      </c>
      <c r="N129" s="69">
        <f t="shared" si="17"/>
        <v>0</v>
      </c>
      <c r="O129" s="67">
        <f t="shared" si="18"/>
        <v>0</v>
      </c>
      <c r="P129" s="68">
        <f t="shared" si="19"/>
        <v>0</v>
      </c>
      <c r="Q129" s="68">
        <f t="shared" si="20"/>
        <v>0</v>
      </c>
      <c r="R129" s="67">
        <f t="shared" si="21"/>
        <v>0</v>
      </c>
      <c r="S129" s="67">
        <f t="shared" si="22"/>
        <v>0</v>
      </c>
      <c r="T129" s="68">
        <f t="shared" si="23"/>
        <v>0</v>
      </c>
      <c r="U129" s="67">
        <f t="shared" si="24"/>
        <v>0</v>
      </c>
      <c r="V129" s="67">
        <f t="shared" si="25"/>
        <v>0</v>
      </c>
      <c r="W129" s="67">
        <f t="shared" si="26"/>
        <v>0</v>
      </c>
      <c r="X129" s="69">
        <f t="shared" si="27"/>
        <v>0</v>
      </c>
      <c r="Y129" s="69">
        <f t="shared" si="28"/>
        <v>0</v>
      </c>
      <c r="Z129" s="69">
        <f t="shared" si="29"/>
        <v>0</v>
      </c>
      <c r="AA129" s="67">
        <f t="shared" si="30"/>
        <v>0</v>
      </c>
      <c r="AB129" s="69">
        <f t="shared" si="31"/>
        <v>0</v>
      </c>
      <c r="AC129" s="69">
        <f t="shared" si="32"/>
        <v>0</v>
      </c>
      <c r="AD129" s="68">
        <f t="shared" si="33"/>
        <v>0</v>
      </c>
      <c r="AE129" s="69">
        <f t="shared" si="34"/>
        <v>0</v>
      </c>
      <c r="AF129" s="69">
        <f t="shared" si="35"/>
        <v>0</v>
      </c>
      <c r="AG129" s="67">
        <f t="shared" si="36"/>
        <v>0</v>
      </c>
      <c r="AH129" s="69">
        <f t="shared" si="37"/>
        <v>0</v>
      </c>
      <c r="AI129" s="67">
        <f t="shared" si="38"/>
        <v>0</v>
      </c>
    </row>
    <row r="130" ht="15.75" customHeight="1">
      <c r="B130" s="158" t="s">
        <v>313</v>
      </c>
      <c r="C130" s="20"/>
      <c r="D130" s="20"/>
      <c r="E130" s="20"/>
      <c r="F130" s="20"/>
      <c r="G130" s="21"/>
      <c r="H130" s="161" t="str">
        <f t="shared" si="11"/>
        <v/>
      </c>
      <c r="I130" s="67">
        <f t="shared" si="12"/>
        <v>0</v>
      </c>
      <c r="J130" s="68">
        <f t="shared" si="13"/>
        <v>0</v>
      </c>
      <c r="K130" s="68">
        <f t="shared" si="14"/>
        <v>0</v>
      </c>
      <c r="L130" s="69">
        <f t="shared" si="15"/>
        <v>0</v>
      </c>
      <c r="M130" s="69">
        <f t="shared" si="16"/>
        <v>0</v>
      </c>
      <c r="N130" s="69">
        <f t="shared" si="17"/>
        <v>0</v>
      </c>
      <c r="O130" s="67">
        <f t="shared" si="18"/>
        <v>0</v>
      </c>
      <c r="P130" s="68">
        <f t="shared" si="19"/>
        <v>0</v>
      </c>
      <c r="Q130" s="68">
        <f t="shared" si="20"/>
        <v>0</v>
      </c>
      <c r="R130" s="67">
        <f t="shared" si="21"/>
        <v>0</v>
      </c>
      <c r="S130" s="67">
        <f t="shared" si="22"/>
        <v>0</v>
      </c>
      <c r="T130" s="68">
        <f t="shared" si="23"/>
        <v>0</v>
      </c>
      <c r="U130" s="67">
        <f t="shared" si="24"/>
        <v>0</v>
      </c>
      <c r="V130" s="67">
        <f t="shared" si="25"/>
        <v>0</v>
      </c>
      <c r="W130" s="67">
        <f t="shared" si="26"/>
        <v>0</v>
      </c>
      <c r="X130" s="69">
        <f t="shared" si="27"/>
        <v>0</v>
      </c>
      <c r="Y130" s="69">
        <f t="shared" si="28"/>
        <v>0</v>
      </c>
      <c r="Z130" s="69">
        <f t="shared" si="29"/>
        <v>0</v>
      </c>
      <c r="AA130" s="67">
        <f t="shared" si="30"/>
        <v>0</v>
      </c>
      <c r="AB130" s="69">
        <f t="shared" si="31"/>
        <v>0</v>
      </c>
      <c r="AC130" s="69">
        <f t="shared" si="32"/>
        <v>0</v>
      </c>
      <c r="AD130" s="68">
        <f t="shared" si="33"/>
        <v>0</v>
      </c>
      <c r="AE130" s="69">
        <f t="shared" si="34"/>
        <v>0</v>
      </c>
      <c r="AF130" s="69">
        <f t="shared" si="35"/>
        <v>0</v>
      </c>
      <c r="AG130" s="67">
        <f t="shared" si="36"/>
        <v>0</v>
      </c>
      <c r="AH130" s="69">
        <f t="shared" si="37"/>
        <v>0</v>
      </c>
      <c r="AI130" s="67">
        <f t="shared" si="38"/>
        <v>0</v>
      </c>
    </row>
    <row r="131" ht="15.0" customHeight="1">
      <c r="B131" s="160" t="s">
        <v>176</v>
      </c>
      <c r="C131" s="20"/>
      <c r="D131" s="20"/>
      <c r="E131" s="20"/>
      <c r="F131" s="20"/>
      <c r="G131" s="21"/>
      <c r="H131" s="161" t="str">
        <f t="shared" si="11"/>
        <v/>
      </c>
      <c r="I131" s="67">
        <f t="shared" si="12"/>
        <v>0</v>
      </c>
      <c r="J131" s="68">
        <f t="shared" si="13"/>
        <v>0</v>
      </c>
      <c r="K131" s="68">
        <f t="shared" si="14"/>
        <v>0</v>
      </c>
      <c r="L131" s="69">
        <f t="shared" si="15"/>
        <v>0</v>
      </c>
      <c r="M131" s="69">
        <f t="shared" si="16"/>
        <v>0</v>
      </c>
      <c r="N131" s="69">
        <f t="shared" si="17"/>
        <v>0</v>
      </c>
      <c r="O131" s="67">
        <f t="shared" si="18"/>
        <v>0</v>
      </c>
      <c r="P131" s="68">
        <f t="shared" si="19"/>
        <v>0</v>
      </c>
      <c r="Q131" s="68">
        <f t="shared" si="20"/>
        <v>0</v>
      </c>
      <c r="R131" s="67">
        <f t="shared" si="21"/>
        <v>0</v>
      </c>
      <c r="S131" s="67">
        <f t="shared" si="22"/>
        <v>0</v>
      </c>
      <c r="T131" s="68">
        <f t="shared" si="23"/>
        <v>0</v>
      </c>
      <c r="U131" s="67">
        <f t="shared" si="24"/>
        <v>0</v>
      </c>
      <c r="V131" s="67">
        <f t="shared" si="25"/>
        <v>0</v>
      </c>
      <c r="W131" s="67">
        <f t="shared" si="26"/>
        <v>0</v>
      </c>
      <c r="X131" s="69">
        <f t="shared" si="27"/>
        <v>0</v>
      </c>
      <c r="Y131" s="69">
        <f t="shared" si="28"/>
        <v>0</v>
      </c>
      <c r="Z131" s="69">
        <f t="shared" si="29"/>
        <v>0</v>
      </c>
      <c r="AA131" s="67">
        <f t="shared" si="30"/>
        <v>0</v>
      </c>
      <c r="AB131" s="69">
        <f t="shared" si="31"/>
        <v>0</v>
      </c>
      <c r="AC131" s="69">
        <f t="shared" si="32"/>
        <v>0</v>
      </c>
      <c r="AD131" s="68">
        <f t="shared" si="33"/>
        <v>0</v>
      </c>
      <c r="AE131" s="69">
        <f t="shared" si="34"/>
        <v>0</v>
      </c>
      <c r="AF131" s="69">
        <f t="shared" si="35"/>
        <v>0</v>
      </c>
      <c r="AG131" s="67">
        <f t="shared" si="36"/>
        <v>0</v>
      </c>
      <c r="AH131" s="69">
        <f t="shared" si="37"/>
        <v>0</v>
      </c>
      <c r="AI131" s="67">
        <f t="shared" si="38"/>
        <v>0</v>
      </c>
    </row>
    <row r="132" ht="15.75" customHeight="1">
      <c r="B132" s="160" t="s">
        <v>179</v>
      </c>
      <c r="C132" s="20"/>
      <c r="D132" s="20"/>
      <c r="E132" s="20"/>
      <c r="F132" s="20"/>
      <c r="G132" s="21"/>
      <c r="H132" s="161" t="str">
        <f t="shared" si="11"/>
        <v/>
      </c>
      <c r="I132" s="67">
        <f t="shared" si="12"/>
        <v>0</v>
      </c>
      <c r="J132" s="68">
        <f t="shared" si="13"/>
        <v>0</v>
      </c>
      <c r="K132" s="68">
        <f t="shared" si="14"/>
        <v>0</v>
      </c>
      <c r="L132" s="69">
        <f t="shared" si="15"/>
        <v>0</v>
      </c>
      <c r="M132" s="69">
        <f t="shared" si="16"/>
        <v>0</v>
      </c>
      <c r="N132" s="69">
        <f t="shared" si="17"/>
        <v>0</v>
      </c>
      <c r="O132" s="67">
        <f t="shared" si="18"/>
        <v>0</v>
      </c>
      <c r="P132" s="68">
        <f t="shared" si="19"/>
        <v>0</v>
      </c>
      <c r="Q132" s="68">
        <f t="shared" si="20"/>
        <v>0</v>
      </c>
      <c r="R132" s="67">
        <f t="shared" si="21"/>
        <v>0</v>
      </c>
      <c r="S132" s="67">
        <f t="shared" si="22"/>
        <v>0</v>
      </c>
      <c r="T132" s="68">
        <f t="shared" si="23"/>
        <v>0</v>
      </c>
      <c r="U132" s="67">
        <f t="shared" si="24"/>
        <v>0</v>
      </c>
      <c r="V132" s="67">
        <f t="shared" si="25"/>
        <v>0</v>
      </c>
      <c r="W132" s="67">
        <f t="shared" si="26"/>
        <v>0</v>
      </c>
      <c r="X132" s="69">
        <f t="shared" si="27"/>
        <v>0</v>
      </c>
      <c r="Y132" s="69">
        <f t="shared" si="28"/>
        <v>0</v>
      </c>
      <c r="Z132" s="69">
        <f t="shared" si="29"/>
        <v>0</v>
      </c>
      <c r="AA132" s="67">
        <f t="shared" si="30"/>
        <v>0</v>
      </c>
      <c r="AB132" s="69">
        <f t="shared" si="31"/>
        <v>0</v>
      </c>
      <c r="AC132" s="69">
        <f t="shared" si="32"/>
        <v>0</v>
      </c>
      <c r="AD132" s="68">
        <f t="shared" si="33"/>
        <v>0</v>
      </c>
      <c r="AE132" s="69">
        <f t="shared" si="34"/>
        <v>0</v>
      </c>
      <c r="AF132" s="69">
        <f t="shared" si="35"/>
        <v>0</v>
      </c>
      <c r="AG132" s="67">
        <f t="shared" si="36"/>
        <v>0</v>
      </c>
      <c r="AH132" s="69">
        <f t="shared" si="37"/>
        <v>0</v>
      </c>
      <c r="AI132" s="67">
        <f t="shared" si="38"/>
        <v>0</v>
      </c>
    </row>
    <row r="133" ht="15.75" customHeight="1">
      <c r="B133" s="158" t="s">
        <v>184</v>
      </c>
      <c r="C133" s="20"/>
      <c r="D133" s="20"/>
      <c r="E133" s="20"/>
      <c r="F133" s="20"/>
      <c r="G133" s="21"/>
      <c r="H133" s="161" t="str">
        <f t="shared" si="11"/>
        <v/>
      </c>
      <c r="I133" s="67">
        <f t="shared" si="12"/>
        <v>0</v>
      </c>
      <c r="J133" s="68">
        <f t="shared" si="13"/>
        <v>0</v>
      </c>
      <c r="K133" s="68">
        <f t="shared" si="14"/>
        <v>0</v>
      </c>
      <c r="L133" s="69">
        <f t="shared" si="15"/>
        <v>0</v>
      </c>
      <c r="M133" s="69">
        <f t="shared" si="16"/>
        <v>0</v>
      </c>
      <c r="N133" s="69">
        <f t="shared" si="17"/>
        <v>0</v>
      </c>
      <c r="O133" s="67">
        <f t="shared" si="18"/>
        <v>0</v>
      </c>
      <c r="P133" s="68">
        <f t="shared" si="19"/>
        <v>0</v>
      </c>
      <c r="Q133" s="68">
        <f t="shared" si="20"/>
        <v>0</v>
      </c>
      <c r="R133" s="67">
        <f t="shared" si="21"/>
        <v>0</v>
      </c>
      <c r="S133" s="67">
        <f t="shared" si="22"/>
        <v>0</v>
      </c>
      <c r="T133" s="68">
        <f t="shared" si="23"/>
        <v>0</v>
      </c>
      <c r="U133" s="67">
        <f t="shared" si="24"/>
        <v>0</v>
      </c>
      <c r="V133" s="67">
        <f t="shared" si="25"/>
        <v>0</v>
      </c>
      <c r="W133" s="67">
        <f t="shared" si="26"/>
        <v>0</v>
      </c>
      <c r="X133" s="69">
        <f t="shared" si="27"/>
        <v>0</v>
      </c>
      <c r="Y133" s="69">
        <f t="shared" si="28"/>
        <v>0</v>
      </c>
      <c r="Z133" s="69">
        <f t="shared" si="29"/>
        <v>0</v>
      </c>
      <c r="AA133" s="67">
        <f t="shared" si="30"/>
        <v>0</v>
      </c>
      <c r="AB133" s="69">
        <f t="shared" si="31"/>
        <v>0</v>
      </c>
      <c r="AC133" s="69">
        <f t="shared" si="32"/>
        <v>0</v>
      </c>
      <c r="AD133" s="68">
        <f t="shared" si="33"/>
        <v>0</v>
      </c>
      <c r="AE133" s="69">
        <f t="shared" si="34"/>
        <v>0</v>
      </c>
      <c r="AF133" s="69">
        <f t="shared" si="35"/>
        <v>0</v>
      </c>
      <c r="AG133" s="67">
        <f t="shared" si="36"/>
        <v>0</v>
      </c>
      <c r="AH133" s="69">
        <f t="shared" si="37"/>
        <v>0</v>
      </c>
      <c r="AI133" s="67">
        <f t="shared" si="38"/>
        <v>0</v>
      </c>
    </row>
    <row r="134" ht="15.75" customHeight="1">
      <c r="B134" s="158" t="s">
        <v>186</v>
      </c>
      <c r="C134" s="20"/>
      <c r="D134" s="20"/>
      <c r="E134" s="20"/>
      <c r="F134" s="20"/>
      <c r="G134" s="21"/>
      <c r="H134" s="161" t="str">
        <f t="shared" si="11"/>
        <v/>
      </c>
      <c r="I134" s="67">
        <f t="shared" si="12"/>
        <v>0</v>
      </c>
      <c r="J134" s="68">
        <f t="shared" si="13"/>
        <v>0</v>
      </c>
      <c r="K134" s="68">
        <f t="shared" si="14"/>
        <v>0</v>
      </c>
      <c r="L134" s="69">
        <f t="shared" si="15"/>
        <v>0</v>
      </c>
      <c r="M134" s="69">
        <f t="shared" si="16"/>
        <v>0</v>
      </c>
      <c r="N134" s="69">
        <f t="shared" si="17"/>
        <v>0</v>
      </c>
      <c r="O134" s="67">
        <f t="shared" si="18"/>
        <v>0</v>
      </c>
      <c r="P134" s="68">
        <f t="shared" si="19"/>
        <v>0</v>
      </c>
      <c r="Q134" s="68">
        <f t="shared" si="20"/>
        <v>0</v>
      </c>
      <c r="R134" s="67">
        <f t="shared" si="21"/>
        <v>0</v>
      </c>
      <c r="S134" s="67">
        <f t="shared" si="22"/>
        <v>0</v>
      </c>
      <c r="T134" s="68">
        <f t="shared" si="23"/>
        <v>0</v>
      </c>
      <c r="U134" s="67">
        <f t="shared" si="24"/>
        <v>0</v>
      </c>
      <c r="V134" s="67">
        <f t="shared" si="25"/>
        <v>0</v>
      </c>
      <c r="W134" s="67">
        <f t="shared" si="26"/>
        <v>0</v>
      </c>
      <c r="X134" s="69">
        <f t="shared" si="27"/>
        <v>0</v>
      </c>
      <c r="Y134" s="69">
        <f t="shared" si="28"/>
        <v>0</v>
      </c>
      <c r="Z134" s="69">
        <f t="shared" si="29"/>
        <v>0</v>
      </c>
      <c r="AA134" s="67">
        <f t="shared" si="30"/>
        <v>0</v>
      </c>
      <c r="AB134" s="69">
        <f t="shared" si="31"/>
        <v>0</v>
      </c>
      <c r="AC134" s="69">
        <f t="shared" si="32"/>
        <v>0</v>
      </c>
      <c r="AD134" s="68">
        <f t="shared" si="33"/>
        <v>0</v>
      </c>
      <c r="AE134" s="69">
        <f t="shared" si="34"/>
        <v>0</v>
      </c>
      <c r="AF134" s="69">
        <f t="shared" si="35"/>
        <v>0</v>
      </c>
      <c r="AG134" s="67">
        <f t="shared" si="36"/>
        <v>0</v>
      </c>
      <c r="AH134" s="69">
        <f t="shared" si="37"/>
        <v>0</v>
      </c>
      <c r="AI134" s="67">
        <f t="shared" si="38"/>
        <v>0</v>
      </c>
    </row>
    <row r="135" ht="15.75" customHeight="1">
      <c r="B135" s="160" t="s">
        <v>189</v>
      </c>
      <c r="C135" s="20"/>
      <c r="D135" s="20"/>
      <c r="E135" s="20"/>
      <c r="F135" s="20"/>
      <c r="G135" s="21"/>
      <c r="H135" s="161" t="str">
        <f t="shared" si="11"/>
        <v/>
      </c>
      <c r="I135" s="67">
        <f t="shared" si="12"/>
        <v>0</v>
      </c>
      <c r="J135" s="68">
        <f t="shared" si="13"/>
        <v>0</v>
      </c>
      <c r="K135" s="68">
        <f t="shared" si="14"/>
        <v>0</v>
      </c>
      <c r="L135" s="69">
        <f t="shared" si="15"/>
        <v>0</v>
      </c>
      <c r="M135" s="69">
        <f t="shared" si="16"/>
        <v>0</v>
      </c>
      <c r="N135" s="69">
        <f t="shared" si="17"/>
        <v>0</v>
      </c>
      <c r="O135" s="67">
        <f t="shared" si="18"/>
        <v>0</v>
      </c>
      <c r="P135" s="68">
        <f t="shared" si="19"/>
        <v>0</v>
      </c>
      <c r="Q135" s="68">
        <f t="shared" si="20"/>
        <v>0</v>
      </c>
      <c r="R135" s="67">
        <f t="shared" si="21"/>
        <v>0</v>
      </c>
      <c r="S135" s="67">
        <f t="shared" si="22"/>
        <v>0</v>
      </c>
      <c r="T135" s="68">
        <f t="shared" si="23"/>
        <v>0</v>
      </c>
      <c r="U135" s="67">
        <f t="shared" si="24"/>
        <v>0</v>
      </c>
      <c r="V135" s="67">
        <f t="shared" si="25"/>
        <v>0</v>
      </c>
      <c r="W135" s="67">
        <f t="shared" si="26"/>
        <v>0</v>
      </c>
      <c r="X135" s="69">
        <f t="shared" si="27"/>
        <v>0</v>
      </c>
      <c r="Y135" s="69">
        <f t="shared" si="28"/>
        <v>0</v>
      </c>
      <c r="Z135" s="69">
        <f t="shared" si="29"/>
        <v>0</v>
      </c>
      <c r="AA135" s="67">
        <f t="shared" si="30"/>
        <v>0</v>
      </c>
      <c r="AB135" s="69">
        <f t="shared" si="31"/>
        <v>0</v>
      </c>
      <c r="AC135" s="69">
        <f t="shared" si="32"/>
        <v>0</v>
      </c>
      <c r="AD135" s="68">
        <f t="shared" si="33"/>
        <v>0</v>
      </c>
      <c r="AE135" s="69">
        <f t="shared" si="34"/>
        <v>0</v>
      </c>
      <c r="AF135" s="69">
        <f t="shared" si="35"/>
        <v>0</v>
      </c>
      <c r="AG135" s="67">
        <f t="shared" si="36"/>
        <v>0</v>
      </c>
      <c r="AH135" s="69">
        <f t="shared" si="37"/>
        <v>0</v>
      </c>
      <c r="AI135" s="67">
        <f t="shared" si="38"/>
        <v>0</v>
      </c>
    </row>
    <row r="136" ht="15.75" customHeight="1">
      <c r="B136" s="158" t="s">
        <v>195</v>
      </c>
      <c r="C136" s="20"/>
      <c r="D136" s="20"/>
      <c r="E136" s="20"/>
      <c r="F136" s="20"/>
      <c r="G136" s="21"/>
      <c r="H136" s="161" t="str">
        <f t="shared" si="11"/>
        <v/>
      </c>
      <c r="I136" s="67">
        <f t="shared" si="12"/>
        <v>0</v>
      </c>
      <c r="J136" s="68">
        <f t="shared" si="13"/>
        <v>0</v>
      </c>
      <c r="K136" s="68">
        <f t="shared" si="14"/>
        <v>0</v>
      </c>
      <c r="L136" s="69">
        <f t="shared" si="15"/>
        <v>0</v>
      </c>
      <c r="M136" s="69">
        <f t="shared" si="16"/>
        <v>0</v>
      </c>
      <c r="N136" s="69">
        <f t="shared" si="17"/>
        <v>0</v>
      </c>
      <c r="O136" s="67">
        <f t="shared" si="18"/>
        <v>0</v>
      </c>
      <c r="P136" s="68">
        <f t="shared" si="19"/>
        <v>0</v>
      </c>
      <c r="Q136" s="68">
        <f t="shared" si="20"/>
        <v>0</v>
      </c>
      <c r="R136" s="67">
        <f t="shared" si="21"/>
        <v>0</v>
      </c>
      <c r="S136" s="67">
        <f t="shared" si="22"/>
        <v>0</v>
      </c>
      <c r="T136" s="68">
        <f t="shared" si="23"/>
        <v>0</v>
      </c>
      <c r="U136" s="67">
        <f t="shared" si="24"/>
        <v>0</v>
      </c>
      <c r="V136" s="67">
        <f t="shared" si="25"/>
        <v>0</v>
      </c>
      <c r="W136" s="67">
        <f t="shared" si="26"/>
        <v>0</v>
      </c>
      <c r="X136" s="69">
        <f t="shared" si="27"/>
        <v>0</v>
      </c>
      <c r="Y136" s="69">
        <f t="shared" si="28"/>
        <v>0</v>
      </c>
      <c r="Z136" s="69">
        <f t="shared" si="29"/>
        <v>0</v>
      </c>
      <c r="AA136" s="67">
        <f t="shared" si="30"/>
        <v>0</v>
      </c>
      <c r="AB136" s="69">
        <f t="shared" si="31"/>
        <v>0</v>
      </c>
      <c r="AC136" s="69">
        <f t="shared" si="32"/>
        <v>0</v>
      </c>
      <c r="AD136" s="68">
        <f t="shared" si="33"/>
        <v>0</v>
      </c>
      <c r="AE136" s="69">
        <f t="shared" si="34"/>
        <v>0</v>
      </c>
      <c r="AF136" s="69">
        <f t="shared" si="35"/>
        <v>0</v>
      </c>
      <c r="AG136" s="67">
        <f t="shared" si="36"/>
        <v>0</v>
      </c>
      <c r="AH136" s="69">
        <f t="shared" si="37"/>
        <v>0</v>
      </c>
      <c r="AI136" s="67">
        <f t="shared" si="38"/>
        <v>0</v>
      </c>
    </row>
    <row r="137" ht="15.75" customHeight="1">
      <c r="B137" s="158" t="s">
        <v>196</v>
      </c>
      <c r="C137" s="20"/>
      <c r="D137" s="20"/>
      <c r="E137" s="20"/>
      <c r="F137" s="20"/>
      <c r="G137" s="21"/>
      <c r="H137" s="161" t="str">
        <f t="shared" si="11"/>
        <v/>
      </c>
      <c r="I137" s="67">
        <f t="shared" si="12"/>
        <v>0</v>
      </c>
      <c r="J137" s="68">
        <f t="shared" si="13"/>
        <v>0</v>
      </c>
      <c r="K137" s="68">
        <f t="shared" si="14"/>
        <v>0</v>
      </c>
      <c r="L137" s="69">
        <f t="shared" si="15"/>
        <v>0</v>
      </c>
      <c r="M137" s="69">
        <f t="shared" si="16"/>
        <v>0</v>
      </c>
      <c r="N137" s="69">
        <f t="shared" si="17"/>
        <v>0</v>
      </c>
      <c r="O137" s="67">
        <f t="shared" si="18"/>
        <v>0</v>
      </c>
      <c r="P137" s="68">
        <f t="shared" si="19"/>
        <v>0</v>
      </c>
      <c r="Q137" s="68">
        <f t="shared" si="20"/>
        <v>0</v>
      </c>
      <c r="R137" s="67">
        <f t="shared" si="21"/>
        <v>0</v>
      </c>
      <c r="S137" s="67">
        <f t="shared" si="22"/>
        <v>0</v>
      </c>
      <c r="T137" s="68">
        <f t="shared" si="23"/>
        <v>0</v>
      </c>
      <c r="U137" s="67">
        <f t="shared" si="24"/>
        <v>0</v>
      </c>
      <c r="V137" s="67">
        <f t="shared" si="25"/>
        <v>0</v>
      </c>
      <c r="W137" s="67">
        <f t="shared" si="26"/>
        <v>0</v>
      </c>
      <c r="X137" s="69">
        <f t="shared" si="27"/>
        <v>0</v>
      </c>
      <c r="Y137" s="69">
        <f t="shared" si="28"/>
        <v>0</v>
      </c>
      <c r="Z137" s="69">
        <f t="shared" si="29"/>
        <v>0</v>
      </c>
      <c r="AA137" s="67">
        <f t="shared" si="30"/>
        <v>0</v>
      </c>
      <c r="AB137" s="69">
        <f t="shared" si="31"/>
        <v>0</v>
      </c>
      <c r="AC137" s="69">
        <f t="shared" si="32"/>
        <v>0</v>
      </c>
      <c r="AD137" s="68">
        <f t="shared" si="33"/>
        <v>0</v>
      </c>
      <c r="AE137" s="69">
        <f t="shared" si="34"/>
        <v>0</v>
      </c>
      <c r="AF137" s="69">
        <f t="shared" si="35"/>
        <v>0</v>
      </c>
      <c r="AG137" s="67">
        <f t="shared" si="36"/>
        <v>0</v>
      </c>
      <c r="AH137" s="69">
        <f t="shared" si="37"/>
        <v>0</v>
      </c>
      <c r="AI137" s="67">
        <f t="shared" si="38"/>
        <v>0</v>
      </c>
    </row>
    <row r="138" ht="15.0" customHeight="1">
      <c r="B138" s="158" t="s">
        <v>197</v>
      </c>
      <c r="C138" s="20"/>
      <c r="D138" s="20"/>
      <c r="E138" s="20"/>
      <c r="F138" s="20"/>
      <c r="G138" s="21"/>
      <c r="H138" s="161" t="str">
        <f t="shared" si="11"/>
        <v/>
      </c>
      <c r="I138" s="67">
        <f t="shared" si="12"/>
        <v>0</v>
      </c>
      <c r="J138" s="68">
        <f t="shared" si="13"/>
        <v>0</v>
      </c>
      <c r="K138" s="68">
        <f t="shared" si="14"/>
        <v>0</v>
      </c>
      <c r="L138" s="69">
        <f t="shared" si="15"/>
        <v>0</v>
      </c>
      <c r="M138" s="69">
        <f t="shared" si="16"/>
        <v>0</v>
      </c>
      <c r="N138" s="69">
        <f t="shared" si="17"/>
        <v>0</v>
      </c>
      <c r="O138" s="67">
        <f t="shared" si="18"/>
        <v>0</v>
      </c>
      <c r="P138" s="68">
        <f t="shared" si="19"/>
        <v>0</v>
      </c>
      <c r="Q138" s="68">
        <f t="shared" si="20"/>
        <v>0</v>
      </c>
      <c r="R138" s="67">
        <f t="shared" si="21"/>
        <v>0</v>
      </c>
      <c r="S138" s="67">
        <f t="shared" si="22"/>
        <v>0</v>
      </c>
      <c r="T138" s="68">
        <f t="shared" si="23"/>
        <v>0</v>
      </c>
      <c r="U138" s="67">
        <f t="shared" si="24"/>
        <v>0</v>
      </c>
      <c r="V138" s="67">
        <f t="shared" si="25"/>
        <v>0</v>
      </c>
      <c r="W138" s="67">
        <f t="shared" si="26"/>
        <v>0</v>
      </c>
      <c r="X138" s="69">
        <f t="shared" si="27"/>
        <v>0</v>
      </c>
      <c r="Y138" s="69">
        <f t="shared" si="28"/>
        <v>0</v>
      </c>
      <c r="Z138" s="69">
        <f t="shared" si="29"/>
        <v>0</v>
      </c>
      <c r="AA138" s="67">
        <f t="shared" si="30"/>
        <v>0</v>
      </c>
      <c r="AB138" s="69">
        <f t="shared" si="31"/>
        <v>0</v>
      </c>
      <c r="AC138" s="69">
        <f t="shared" si="32"/>
        <v>0</v>
      </c>
      <c r="AD138" s="68">
        <f t="shared" si="33"/>
        <v>0</v>
      </c>
      <c r="AE138" s="69">
        <f t="shared" si="34"/>
        <v>0</v>
      </c>
      <c r="AF138" s="69">
        <f t="shared" si="35"/>
        <v>0</v>
      </c>
      <c r="AG138" s="67">
        <f t="shared" si="36"/>
        <v>0</v>
      </c>
      <c r="AH138" s="69">
        <f t="shared" si="37"/>
        <v>0</v>
      </c>
      <c r="AI138" s="67">
        <f t="shared" si="38"/>
        <v>0</v>
      </c>
    </row>
    <row r="139" ht="15.75" customHeight="1">
      <c r="B139" s="158" t="s">
        <v>198</v>
      </c>
      <c r="C139" s="20"/>
      <c r="D139" s="20"/>
      <c r="E139" s="20"/>
      <c r="F139" s="20"/>
      <c r="G139" s="21"/>
      <c r="H139" s="161" t="str">
        <f t="shared" si="11"/>
        <v/>
      </c>
      <c r="I139" s="67">
        <f t="shared" si="12"/>
        <v>0</v>
      </c>
      <c r="J139" s="68">
        <f t="shared" si="13"/>
        <v>0</v>
      </c>
      <c r="K139" s="68">
        <f t="shared" si="14"/>
        <v>0</v>
      </c>
      <c r="L139" s="69">
        <f t="shared" si="15"/>
        <v>0</v>
      </c>
      <c r="M139" s="69">
        <f t="shared" si="16"/>
        <v>0</v>
      </c>
      <c r="N139" s="69">
        <f t="shared" si="17"/>
        <v>0</v>
      </c>
      <c r="O139" s="67">
        <f t="shared" si="18"/>
        <v>0</v>
      </c>
      <c r="P139" s="68">
        <f t="shared" si="19"/>
        <v>0</v>
      </c>
      <c r="Q139" s="68">
        <f t="shared" si="20"/>
        <v>0</v>
      </c>
      <c r="R139" s="67">
        <f t="shared" si="21"/>
        <v>0</v>
      </c>
      <c r="S139" s="67">
        <f t="shared" si="22"/>
        <v>0</v>
      </c>
      <c r="T139" s="68">
        <f t="shared" si="23"/>
        <v>0</v>
      </c>
      <c r="U139" s="67">
        <f t="shared" si="24"/>
        <v>0</v>
      </c>
      <c r="V139" s="67">
        <f t="shared" si="25"/>
        <v>0</v>
      </c>
      <c r="W139" s="67">
        <f t="shared" si="26"/>
        <v>0</v>
      </c>
      <c r="X139" s="69">
        <f t="shared" si="27"/>
        <v>0</v>
      </c>
      <c r="Y139" s="69">
        <f t="shared" si="28"/>
        <v>0</v>
      </c>
      <c r="Z139" s="69">
        <f t="shared" si="29"/>
        <v>0</v>
      </c>
      <c r="AA139" s="67">
        <f t="shared" si="30"/>
        <v>0</v>
      </c>
      <c r="AB139" s="69">
        <f t="shared" si="31"/>
        <v>0</v>
      </c>
      <c r="AC139" s="69">
        <f t="shared" si="32"/>
        <v>0</v>
      </c>
      <c r="AD139" s="68">
        <f t="shared" si="33"/>
        <v>0</v>
      </c>
      <c r="AE139" s="69">
        <f t="shared" si="34"/>
        <v>0</v>
      </c>
      <c r="AF139" s="69">
        <f t="shared" si="35"/>
        <v>0</v>
      </c>
      <c r="AG139" s="67">
        <f t="shared" si="36"/>
        <v>0</v>
      </c>
      <c r="AH139" s="69">
        <f t="shared" si="37"/>
        <v>0</v>
      </c>
      <c r="AI139" s="67">
        <f t="shared" si="38"/>
        <v>0</v>
      </c>
    </row>
    <row r="140" ht="15.75" customHeight="1">
      <c r="B140" s="158" t="s">
        <v>200</v>
      </c>
      <c r="C140" s="20"/>
      <c r="D140" s="20"/>
      <c r="E140" s="20"/>
      <c r="F140" s="20"/>
      <c r="G140" s="21"/>
      <c r="H140" s="161" t="str">
        <f t="shared" si="11"/>
        <v/>
      </c>
      <c r="I140" s="67">
        <f t="shared" si="12"/>
        <v>0</v>
      </c>
      <c r="J140" s="68">
        <f t="shared" si="13"/>
        <v>0</v>
      </c>
      <c r="K140" s="68">
        <f t="shared" si="14"/>
        <v>0</v>
      </c>
      <c r="L140" s="69">
        <f t="shared" si="15"/>
        <v>0</v>
      </c>
      <c r="M140" s="69">
        <f t="shared" si="16"/>
        <v>0</v>
      </c>
      <c r="N140" s="69">
        <f t="shared" si="17"/>
        <v>0</v>
      </c>
      <c r="O140" s="67">
        <f t="shared" si="18"/>
        <v>0</v>
      </c>
      <c r="P140" s="68">
        <f t="shared" si="19"/>
        <v>0</v>
      </c>
      <c r="Q140" s="68">
        <f t="shared" si="20"/>
        <v>0</v>
      </c>
      <c r="R140" s="67">
        <f t="shared" si="21"/>
        <v>0</v>
      </c>
      <c r="S140" s="67">
        <f t="shared" si="22"/>
        <v>0</v>
      </c>
      <c r="T140" s="68">
        <f t="shared" si="23"/>
        <v>0</v>
      </c>
      <c r="U140" s="67">
        <f t="shared" si="24"/>
        <v>0</v>
      </c>
      <c r="V140" s="67">
        <f t="shared" si="25"/>
        <v>0</v>
      </c>
      <c r="W140" s="67">
        <f t="shared" si="26"/>
        <v>0</v>
      </c>
      <c r="X140" s="69">
        <f t="shared" si="27"/>
        <v>0</v>
      </c>
      <c r="Y140" s="69">
        <f t="shared" si="28"/>
        <v>0</v>
      </c>
      <c r="Z140" s="69">
        <f t="shared" si="29"/>
        <v>0</v>
      </c>
      <c r="AA140" s="67">
        <f t="shared" si="30"/>
        <v>0</v>
      </c>
      <c r="AB140" s="69">
        <f t="shared" si="31"/>
        <v>0</v>
      </c>
      <c r="AC140" s="69">
        <f t="shared" si="32"/>
        <v>0</v>
      </c>
      <c r="AD140" s="68">
        <f t="shared" si="33"/>
        <v>0</v>
      </c>
      <c r="AE140" s="69">
        <f t="shared" si="34"/>
        <v>0</v>
      </c>
      <c r="AF140" s="69">
        <f t="shared" si="35"/>
        <v>0</v>
      </c>
      <c r="AG140" s="67">
        <f t="shared" si="36"/>
        <v>0</v>
      </c>
      <c r="AH140" s="69">
        <f t="shared" si="37"/>
        <v>0</v>
      </c>
      <c r="AI140" s="67">
        <f t="shared" si="38"/>
        <v>0</v>
      </c>
    </row>
    <row r="141" ht="15.75" customHeight="1">
      <c r="H141" s="162" t="s">
        <v>212</v>
      </c>
      <c r="I141" s="163">
        <f t="shared" ref="I141:AI141" si="39">SUM(I120:I140)</f>
        <v>0</v>
      </c>
      <c r="J141" s="164">
        <f t="shared" si="39"/>
        <v>0</v>
      </c>
      <c r="K141" s="164">
        <f t="shared" si="39"/>
        <v>0</v>
      </c>
      <c r="L141" s="165">
        <f t="shared" si="39"/>
        <v>0</v>
      </c>
      <c r="M141" s="165">
        <f t="shared" si="39"/>
        <v>0</v>
      </c>
      <c r="N141" s="165">
        <f t="shared" si="39"/>
        <v>0</v>
      </c>
      <c r="O141" s="163">
        <f t="shared" si="39"/>
        <v>0</v>
      </c>
      <c r="P141" s="164">
        <f t="shared" si="39"/>
        <v>0</v>
      </c>
      <c r="Q141" s="164">
        <f t="shared" si="39"/>
        <v>0</v>
      </c>
      <c r="R141" s="163">
        <f t="shared" si="39"/>
        <v>0</v>
      </c>
      <c r="S141" s="163">
        <f t="shared" si="39"/>
        <v>0</v>
      </c>
      <c r="T141" s="164">
        <f t="shared" si="39"/>
        <v>0</v>
      </c>
      <c r="U141" s="163">
        <f t="shared" si="39"/>
        <v>0</v>
      </c>
      <c r="V141" s="163">
        <f t="shared" si="39"/>
        <v>0</v>
      </c>
      <c r="W141" s="163">
        <f t="shared" si="39"/>
        <v>0</v>
      </c>
      <c r="X141" s="165">
        <f t="shared" si="39"/>
        <v>0</v>
      </c>
      <c r="Y141" s="165">
        <f t="shared" si="39"/>
        <v>0</v>
      </c>
      <c r="Z141" s="165">
        <f t="shared" si="39"/>
        <v>0</v>
      </c>
      <c r="AA141" s="163">
        <f t="shared" si="39"/>
        <v>0</v>
      </c>
      <c r="AB141" s="165">
        <f t="shared" si="39"/>
        <v>0</v>
      </c>
      <c r="AC141" s="165">
        <f t="shared" si="39"/>
        <v>0</v>
      </c>
      <c r="AD141" s="164">
        <f t="shared" si="39"/>
        <v>0</v>
      </c>
      <c r="AE141" s="165">
        <f t="shared" si="39"/>
        <v>0</v>
      </c>
      <c r="AF141" s="165">
        <f t="shared" si="39"/>
        <v>0</v>
      </c>
      <c r="AG141" s="163">
        <f t="shared" si="39"/>
        <v>0</v>
      </c>
      <c r="AH141" s="165">
        <f t="shared" si="39"/>
        <v>0</v>
      </c>
      <c r="AI141" s="163">
        <f t="shared" si="39"/>
        <v>0</v>
      </c>
    </row>
    <row r="142" ht="15.75" customHeight="1">
      <c r="H142" s="162" t="s">
        <v>213</v>
      </c>
      <c r="I142" s="84">
        <f t="shared" ref="I142:Q142" si="40">B91</f>
        <v>285</v>
      </c>
      <c r="J142" s="85">
        <f t="shared" si="40"/>
        <v>0</v>
      </c>
      <c r="K142" s="85">
        <f t="shared" si="40"/>
        <v>0</v>
      </c>
      <c r="L142" s="86">
        <f t="shared" si="40"/>
        <v>0</v>
      </c>
      <c r="M142" s="86">
        <f t="shared" si="40"/>
        <v>0</v>
      </c>
      <c r="N142" s="86">
        <f t="shared" si="40"/>
        <v>0</v>
      </c>
      <c r="O142" s="52" t="str">
        <f t="shared" si="40"/>
        <v/>
      </c>
      <c r="P142" s="85">
        <f t="shared" si="40"/>
        <v>71.25</v>
      </c>
      <c r="Q142" s="85" t="str">
        <f t="shared" si="40"/>
        <v/>
      </c>
      <c r="R142" s="52">
        <v>1000.0</v>
      </c>
      <c r="S142" s="52">
        <v>700.0</v>
      </c>
      <c r="T142" s="52">
        <v>40.0</v>
      </c>
      <c r="U142" s="52">
        <v>1500.0</v>
      </c>
      <c r="V142" s="52">
        <v>4700.0</v>
      </c>
      <c r="W142" s="52">
        <v>360.0</v>
      </c>
      <c r="X142" s="52">
        <v>11.0</v>
      </c>
      <c r="Y142" s="52">
        <v>1000.0</v>
      </c>
      <c r="Z142" s="52"/>
      <c r="AA142" s="52">
        <v>770.0</v>
      </c>
      <c r="AB142" s="52">
        <v>1.4</v>
      </c>
      <c r="AC142" s="52">
        <v>1.4</v>
      </c>
      <c r="AD142" s="52">
        <v>18.0</v>
      </c>
      <c r="AE142" s="52">
        <v>6.0</v>
      </c>
      <c r="AF142" s="52">
        <v>1.9</v>
      </c>
      <c r="AG142" s="52">
        <v>600.0</v>
      </c>
      <c r="AH142" s="52">
        <v>2.6</v>
      </c>
      <c r="AI142" s="52">
        <v>85.0</v>
      </c>
    </row>
    <row r="143" ht="15.75" customHeight="1">
      <c r="H143" s="162" t="s">
        <v>214</v>
      </c>
      <c r="I143" s="166">
        <f t="shared" ref="I143:AI143" si="41">((100/I142)*I141)</f>
        <v>0</v>
      </c>
      <c r="J143" s="166" t="str">
        <f t="shared" si="41"/>
        <v>#DIV/0!</v>
      </c>
      <c r="K143" s="166" t="str">
        <f t="shared" si="41"/>
        <v>#DIV/0!</v>
      </c>
      <c r="L143" s="166" t="str">
        <f t="shared" si="41"/>
        <v>#DIV/0!</v>
      </c>
      <c r="M143" s="166" t="str">
        <f t="shared" si="41"/>
        <v>#DIV/0!</v>
      </c>
      <c r="N143" s="166" t="str">
        <f t="shared" si="41"/>
        <v>#DIV/0!</v>
      </c>
      <c r="O143" s="166" t="str">
        <f t="shared" si="41"/>
        <v>#DIV/0!</v>
      </c>
      <c r="P143" s="166">
        <f t="shared" si="41"/>
        <v>0</v>
      </c>
      <c r="Q143" s="166" t="str">
        <f t="shared" si="41"/>
        <v>#DIV/0!</v>
      </c>
      <c r="R143" s="166">
        <f t="shared" si="41"/>
        <v>0</v>
      </c>
      <c r="S143" s="166">
        <f t="shared" si="41"/>
        <v>0</v>
      </c>
      <c r="T143" s="166">
        <f t="shared" si="41"/>
        <v>0</v>
      </c>
      <c r="U143" s="166">
        <f t="shared" si="41"/>
        <v>0</v>
      </c>
      <c r="V143" s="166">
        <f t="shared" si="41"/>
        <v>0</v>
      </c>
      <c r="W143" s="166">
        <f t="shared" si="41"/>
        <v>0</v>
      </c>
      <c r="X143" s="166">
        <f t="shared" si="41"/>
        <v>0</v>
      </c>
      <c r="Y143" s="166">
        <f t="shared" si="41"/>
        <v>0</v>
      </c>
      <c r="Z143" s="166" t="str">
        <f t="shared" si="41"/>
        <v>#DIV/0!</v>
      </c>
      <c r="AA143" s="166">
        <f t="shared" si="41"/>
        <v>0</v>
      </c>
      <c r="AB143" s="166">
        <f t="shared" si="41"/>
        <v>0</v>
      </c>
      <c r="AC143" s="166">
        <f t="shared" si="41"/>
        <v>0</v>
      </c>
      <c r="AD143" s="166">
        <f t="shared" si="41"/>
        <v>0</v>
      </c>
      <c r="AE143" s="166">
        <f t="shared" si="41"/>
        <v>0</v>
      </c>
      <c r="AF143" s="166">
        <f t="shared" si="41"/>
        <v>0</v>
      </c>
      <c r="AG143" s="166">
        <f t="shared" si="41"/>
        <v>0</v>
      </c>
      <c r="AH143" s="166">
        <f t="shared" si="41"/>
        <v>0</v>
      </c>
      <c r="AI143" s="307">
        <f t="shared" si="41"/>
        <v>0</v>
      </c>
    </row>
    <row r="144" ht="43.5" customHeight="1">
      <c r="I144" s="63" t="s">
        <v>97</v>
      </c>
      <c r="J144" s="63" t="s">
        <v>98</v>
      </c>
      <c r="K144" s="63" t="s">
        <v>99</v>
      </c>
      <c r="L144" s="63" t="s">
        <v>100</v>
      </c>
      <c r="M144" s="63" t="s">
        <v>101</v>
      </c>
      <c r="N144" s="63" t="s">
        <v>102</v>
      </c>
      <c r="O144" s="63" t="s">
        <v>103</v>
      </c>
      <c r="P144" s="63" t="s">
        <v>104</v>
      </c>
      <c r="Q144" s="63" t="s">
        <v>105</v>
      </c>
      <c r="R144" s="157" t="s">
        <v>106</v>
      </c>
      <c r="S144" s="157" t="s">
        <v>107</v>
      </c>
      <c r="T144" s="157" t="s">
        <v>108</v>
      </c>
      <c r="U144" s="157" t="s">
        <v>109</v>
      </c>
      <c r="V144" s="157" t="s">
        <v>110</v>
      </c>
      <c r="W144" s="157" t="s">
        <v>111</v>
      </c>
      <c r="X144" s="157" t="s">
        <v>112</v>
      </c>
      <c r="Y144" s="157" t="s">
        <v>113</v>
      </c>
      <c r="Z144" s="157" t="s">
        <v>114</v>
      </c>
      <c r="AA144" s="157" t="s">
        <v>115</v>
      </c>
      <c r="AB144" s="157" t="s">
        <v>116</v>
      </c>
      <c r="AC144" s="157" t="s">
        <v>117</v>
      </c>
      <c r="AD144" s="157" t="s">
        <v>118</v>
      </c>
      <c r="AE144" s="157" t="s">
        <v>119</v>
      </c>
      <c r="AF144" s="157" t="s">
        <v>120</v>
      </c>
      <c r="AG144" s="157" t="s">
        <v>549</v>
      </c>
      <c r="AH144" s="157" t="s">
        <v>122</v>
      </c>
      <c r="AI144" s="157" t="s">
        <v>123</v>
      </c>
    </row>
    <row r="145" ht="15.75" customHeight="1"/>
    <row r="146" ht="15.75" customHeight="1">
      <c r="B146" s="90" t="s">
        <v>314</v>
      </c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1"/>
      <c r="T146" s="61"/>
      <c r="U146" s="61"/>
      <c r="V146" s="61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</row>
    <row r="147" ht="15.75" customHeight="1"/>
    <row r="148" ht="15.75" customHeight="1">
      <c r="I148" s="19" t="s">
        <v>314</v>
      </c>
      <c r="J148" s="20"/>
      <c r="K148" s="20"/>
      <c r="L148" s="20"/>
      <c r="M148" s="20"/>
      <c r="N148" s="21"/>
      <c r="O148" s="19" t="s">
        <v>216</v>
      </c>
      <c r="P148" s="20"/>
      <c r="Q148" s="21"/>
      <c r="S148" s="19" t="s">
        <v>315</v>
      </c>
      <c r="T148" s="20"/>
      <c r="U148" s="21"/>
    </row>
    <row r="149" ht="15.75" customHeight="1">
      <c r="I149" s="23" t="s">
        <v>217</v>
      </c>
      <c r="J149" s="23" t="s">
        <v>218</v>
      </c>
      <c r="K149" s="23" t="s">
        <v>219</v>
      </c>
      <c r="L149" s="23" t="s">
        <v>220</v>
      </c>
      <c r="M149" s="91" t="s">
        <v>221</v>
      </c>
      <c r="N149" s="22"/>
      <c r="O149" s="174" t="s">
        <v>224</v>
      </c>
      <c r="P149" s="21"/>
      <c r="Q149" s="52" t="s">
        <v>301</v>
      </c>
      <c r="S149" s="174" t="s">
        <v>316</v>
      </c>
      <c r="T149" s="21"/>
      <c r="U149" s="52">
        <f>J150/6.25</f>
        <v>0</v>
      </c>
    </row>
    <row r="150" ht="15.75" customHeight="1">
      <c r="I150" s="94" t="s">
        <v>224</v>
      </c>
      <c r="J150" s="95">
        <f>(J141)</f>
        <v>0</v>
      </c>
      <c r="K150" s="96">
        <f>(J150*4)</f>
        <v>0</v>
      </c>
      <c r="L150" s="95" t="str">
        <f>((100/K162)*K150)</f>
        <v>#DIV/0!</v>
      </c>
      <c r="M150" s="113" t="s">
        <v>225</v>
      </c>
      <c r="N150" s="98">
        <f>SUM(J120:J126)</f>
        <v>0</v>
      </c>
      <c r="O150" s="174" t="s">
        <v>226</v>
      </c>
      <c r="P150" s="21"/>
      <c r="Q150" s="304">
        <v>1.53</v>
      </c>
      <c r="S150" s="113" t="s">
        <v>317</v>
      </c>
      <c r="T150" s="113"/>
      <c r="U150" s="84">
        <f>K153+K160</f>
        <v>0</v>
      </c>
    </row>
    <row r="151" ht="15.75" customHeight="1">
      <c r="I151" s="99"/>
      <c r="J151" s="99"/>
      <c r="K151" s="99"/>
      <c r="L151" s="99"/>
      <c r="M151" s="113" t="s">
        <v>228</v>
      </c>
      <c r="N151" s="98" t="str">
        <f>((100/J150)*N150)</f>
        <v>#DIV/0!</v>
      </c>
      <c r="O151" s="174" t="s">
        <v>547</v>
      </c>
      <c r="P151" s="21"/>
      <c r="Q151" s="304">
        <v>1.7</v>
      </c>
      <c r="S151" s="113" t="s">
        <v>318</v>
      </c>
      <c r="T151" s="113"/>
      <c r="U151" s="84" t="str">
        <f>U150/U149</f>
        <v>#DIV/0!</v>
      </c>
    </row>
    <row r="152" ht="15.75" customHeight="1">
      <c r="I152" s="100"/>
      <c r="J152" s="100"/>
      <c r="K152" s="100"/>
      <c r="L152" s="100"/>
      <c r="M152" s="113" t="s">
        <v>231</v>
      </c>
      <c r="N152" s="101" t="str">
        <f>(J150/J163)</f>
        <v>#DIV/0!</v>
      </c>
      <c r="O152" s="174" t="s">
        <v>229</v>
      </c>
      <c r="P152" s="21"/>
      <c r="Q152" s="52" t="s">
        <v>230</v>
      </c>
      <c r="S152" s="113" t="s">
        <v>54</v>
      </c>
      <c r="T152" s="113"/>
      <c r="U152" s="52" t="str">
        <f>IF(U151&gt;180,"Adecuado","Inadecuado")</f>
        <v>#DIV/0!</v>
      </c>
    </row>
    <row r="153" ht="15.75" customHeight="1">
      <c r="I153" s="94" t="s">
        <v>234</v>
      </c>
      <c r="J153" s="95">
        <f>(K141)</f>
        <v>0</v>
      </c>
      <c r="K153" s="96">
        <f>(J153*9)</f>
        <v>0</v>
      </c>
      <c r="L153" s="95" t="str">
        <f>((100/K162)*K153)</f>
        <v>#DIV/0!</v>
      </c>
      <c r="M153" s="113" t="s">
        <v>235</v>
      </c>
      <c r="N153" s="101">
        <f>(L141)</f>
        <v>0</v>
      </c>
      <c r="O153" s="174" t="s">
        <v>302</v>
      </c>
      <c r="P153" s="21"/>
      <c r="Q153" s="52" t="s">
        <v>233</v>
      </c>
    </row>
    <row r="154" ht="15.75" customHeight="1">
      <c r="I154" s="99"/>
      <c r="J154" s="99"/>
      <c r="K154" s="99"/>
      <c r="L154" s="99"/>
      <c r="M154" s="113" t="s">
        <v>238</v>
      </c>
      <c r="N154" s="101" t="str">
        <f>((100/K162)*(N153*9))</f>
        <v>#DIV/0!</v>
      </c>
      <c r="O154" s="97" t="s">
        <v>303</v>
      </c>
      <c r="P154" s="97"/>
      <c r="Q154" s="52" t="s">
        <v>237</v>
      </c>
    </row>
    <row r="155" ht="15.75" customHeight="1">
      <c r="I155" s="99"/>
      <c r="J155" s="99"/>
      <c r="K155" s="99"/>
      <c r="L155" s="99"/>
      <c r="M155" s="113" t="s">
        <v>241</v>
      </c>
      <c r="N155" s="101">
        <f>(M141)</f>
        <v>0</v>
      </c>
      <c r="O155" s="97" t="s">
        <v>304</v>
      </c>
      <c r="P155" s="97"/>
      <c r="Q155" s="52" t="s">
        <v>305</v>
      </c>
    </row>
    <row r="156" ht="15.75" customHeight="1">
      <c r="I156" s="99"/>
      <c r="J156" s="99"/>
      <c r="K156" s="99"/>
      <c r="L156" s="99"/>
      <c r="M156" s="113" t="s">
        <v>243</v>
      </c>
      <c r="N156" s="101" t="str">
        <f>((100/K162)*(N155*9))</f>
        <v>#DIV/0!</v>
      </c>
      <c r="O156" s="174" t="s">
        <v>242</v>
      </c>
      <c r="P156" s="21"/>
      <c r="Q156" s="52" t="s">
        <v>237</v>
      </c>
    </row>
    <row r="157" ht="15.75" customHeight="1">
      <c r="I157" s="99"/>
      <c r="J157" s="99"/>
      <c r="K157" s="99"/>
      <c r="L157" s="99"/>
      <c r="M157" s="113" t="s">
        <v>246</v>
      </c>
      <c r="N157" s="101">
        <f>(N141)</f>
        <v>0</v>
      </c>
      <c r="O157" s="174" t="s">
        <v>247</v>
      </c>
      <c r="P157" s="21"/>
      <c r="Q157" s="52" t="s">
        <v>248</v>
      </c>
    </row>
    <row r="158" ht="15.75" customHeight="1">
      <c r="I158" s="99"/>
      <c r="J158" s="99"/>
      <c r="K158" s="99"/>
      <c r="L158" s="99"/>
      <c r="M158" s="113" t="s">
        <v>249</v>
      </c>
      <c r="N158" s="101" t="str">
        <f>((100/K162)*(N157*9))</f>
        <v>#DIV/0!</v>
      </c>
      <c r="O158" s="174" t="s">
        <v>244</v>
      </c>
      <c r="P158" s="21"/>
      <c r="Q158" s="52" t="s">
        <v>245</v>
      </c>
    </row>
    <row r="159" ht="15.75" customHeight="1">
      <c r="I159" s="100"/>
      <c r="J159" s="100"/>
      <c r="K159" s="100"/>
      <c r="L159" s="100"/>
      <c r="M159" s="113" t="s">
        <v>252</v>
      </c>
      <c r="N159" s="102">
        <f>(O141)</f>
        <v>0</v>
      </c>
      <c r="O159" s="174" t="s">
        <v>250</v>
      </c>
      <c r="P159" s="21"/>
      <c r="Q159" s="52" t="s">
        <v>251</v>
      </c>
    </row>
    <row r="160" ht="15.75" customHeight="1">
      <c r="I160" s="94" t="s">
        <v>254</v>
      </c>
      <c r="J160" s="95">
        <f>(P141)</f>
        <v>0</v>
      </c>
      <c r="K160" s="103">
        <f>(J160*4)</f>
        <v>0</v>
      </c>
      <c r="L160" s="95" t="str">
        <f>((100/K162)*K160)</f>
        <v>#DIV/0!</v>
      </c>
      <c r="M160" s="113" t="s">
        <v>255</v>
      </c>
      <c r="N160" s="98">
        <f>SUM(P135)</f>
        <v>0</v>
      </c>
      <c r="O160" s="174" t="s">
        <v>252</v>
      </c>
      <c r="P160" s="21"/>
      <c r="Q160" s="52" t="s">
        <v>253</v>
      </c>
    </row>
    <row r="161" ht="15.75" customHeight="1">
      <c r="I161" s="100"/>
      <c r="J161" s="100"/>
      <c r="K161" s="100"/>
      <c r="L161" s="100"/>
      <c r="M161" s="113" t="s">
        <v>258</v>
      </c>
      <c r="N161" s="98" t="str">
        <f>((100/K162)*(N160*4))</f>
        <v>#DIV/0!</v>
      </c>
      <c r="O161" s="97" t="s">
        <v>256</v>
      </c>
      <c r="P161" s="97"/>
      <c r="Q161" s="52" t="s">
        <v>257</v>
      </c>
    </row>
    <row r="162" ht="15.75" customHeight="1">
      <c r="I162" s="249" t="s">
        <v>261</v>
      </c>
      <c r="J162" s="250"/>
      <c r="K162" s="105">
        <f t="shared" ref="K162:L162" si="42">SUM(K150:K161)</f>
        <v>0</v>
      </c>
      <c r="L162" s="106" t="str">
        <f t="shared" si="42"/>
        <v>#DIV/0!</v>
      </c>
      <c r="M162" s="113" t="s">
        <v>259</v>
      </c>
      <c r="N162" s="107">
        <f>Q141</f>
        <v>0</v>
      </c>
      <c r="O162" s="174" t="s">
        <v>259</v>
      </c>
      <c r="P162" s="21"/>
      <c r="Q162" s="52" t="s">
        <v>548</v>
      </c>
    </row>
    <row r="163" ht="15.75" customHeight="1">
      <c r="I163" s="251" t="s">
        <v>264</v>
      </c>
      <c r="J163" s="106" t="str">
        <f>C86</f>
        <v/>
      </c>
      <c r="K163" s="252"/>
      <c r="L163" s="253"/>
      <c r="M163" s="253"/>
      <c r="N163" s="29"/>
      <c r="O163" s="174" t="s">
        <v>262</v>
      </c>
      <c r="P163" s="21"/>
      <c r="Q163" s="52" t="s">
        <v>263</v>
      </c>
    </row>
    <row r="164" ht="15.75" customHeight="1"/>
    <row r="165" ht="15.0" customHeight="1">
      <c r="B165" s="90" t="s">
        <v>319</v>
      </c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</row>
    <row r="166" ht="15.75" customHeight="1"/>
    <row r="167" ht="15.0" customHeight="1">
      <c r="B167" s="62" t="s">
        <v>95</v>
      </c>
      <c r="C167" s="20"/>
      <c r="D167" s="20"/>
      <c r="E167" s="20"/>
      <c r="F167" s="20"/>
      <c r="G167" s="21"/>
      <c r="H167" s="63" t="s">
        <v>96</v>
      </c>
      <c r="I167" s="63" t="s">
        <v>320</v>
      </c>
      <c r="J167" s="63" t="s">
        <v>321</v>
      </c>
      <c r="K167" s="63" t="s">
        <v>322</v>
      </c>
      <c r="L167" s="63" t="s">
        <v>323</v>
      </c>
      <c r="M167" s="63" t="s">
        <v>324</v>
      </c>
      <c r="N167" s="63" t="s">
        <v>325</v>
      </c>
      <c r="P167" s="190" t="s">
        <v>550</v>
      </c>
      <c r="Q167" s="60"/>
    </row>
    <row r="168" ht="15.0" customHeight="1">
      <c r="B168" s="158" t="s">
        <v>126</v>
      </c>
      <c r="C168" s="20"/>
      <c r="D168" s="20"/>
      <c r="E168" s="20"/>
      <c r="F168" s="20"/>
      <c r="G168" s="21"/>
      <c r="H168" s="161" t="str">
        <f t="shared" ref="H168:H188" si="43">H120</f>
        <v/>
      </c>
      <c r="I168" s="66"/>
      <c r="J168" s="66"/>
      <c r="K168" s="66"/>
      <c r="L168" s="66"/>
      <c r="M168" s="66"/>
      <c r="N168" s="66"/>
      <c r="P168" s="191" t="s">
        <v>551</v>
      </c>
      <c r="Q168" s="60"/>
    </row>
    <row r="169" ht="15.0" customHeight="1">
      <c r="B169" s="158" t="s">
        <v>127</v>
      </c>
      <c r="C169" s="20"/>
      <c r="D169" s="20"/>
      <c r="E169" s="20"/>
      <c r="F169" s="20"/>
      <c r="G169" s="21"/>
      <c r="H169" s="161" t="str">
        <f t="shared" si="43"/>
        <v/>
      </c>
      <c r="I169" s="66"/>
      <c r="J169" s="66"/>
      <c r="K169" s="66"/>
      <c r="L169" s="66"/>
      <c r="M169" s="66"/>
      <c r="N169" s="66"/>
      <c r="P169" s="191" t="s">
        <v>552</v>
      </c>
      <c r="Q169" s="60"/>
    </row>
    <row r="170" ht="15.0" customHeight="1">
      <c r="B170" s="158" t="s">
        <v>128</v>
      </c>
      <c r="C170" s="20"/>
      <c r="D170" s="20"/>
      <c r="E170" s="20"/>
      <c r="F170" s="20"/>
      <c r="G170" s="21"/>
      <c r="H170" s="161" t="str">
        <f t="shared" si="43"/>
        <v/>
      </c>
      <c r="I170" s="66"/>
      <c r="J170" s="66"/>
      <c r="K170" s="66"/>
      <c r="L170" s="66"/>
      <c r="M170" s="66"/>
      <c r="N170" s="66"/>
      <c r="P170" s="191" t="s">
        <v>553</v>
      </c>
      <c r="Q170" s="60"/>
    </row>
    <row r="171" ht="15.0" customHeight="1">
      <c r="B171" s="158" t="s">
        <v>129</v>
      </c>
      <c r="C171" s="20"/>
      <c r="D171" s="20"/>
      <c r="E171" s="20"/>
      <c r="F171" s="20"/>
      <c r="G171" s="21"/>
      <c r="H171" s="161" t="str">
        <f t="shared" si="43"/>
        <v/>
      </c>
      <c r="I171" s="66"/>
      <c r="J171" s="66"/>
      <c r="K171" s="66"/>
      <c r="L171" s="66"/>
      <c r="M171" s="66"/>
      <c r="N171" s="66"/>
      <c r="P171" s="191" t="s">
        <v>554</v>
      </c>
      <c r="Q171" s="60"/>
    </row>
    <row r="172" ht="15.0" customHeight="1">
      <c r="B172" s="160" t="s">
        <v>138</v>
      </c>
      <c r="C172" s="20"/>
      <c r="D172" s="20"/>
      <c r="E172" s="20"/>
      <c r="F172" s="20"/>
      <c r="G172" s="21"/>
      <c r="H172" s="161" t="str">
        <f t="shared" si="43"/>
        <v/>
      </c>
      <c r="I172" s="66"/>
      <c r="J172" s="66"/>
      <c r="K172" s="66"/>
      <c r="L172" s="66"/>
      <c r="M172" s="66"/>
      <c r="N172" s="66"/>
      <c r="P172" s="191" t="s">
        <v>555</v>
      </c>
      <c r="Q172" s="60"/>
    </row>
    <row r="173" ht="15.0" customHeight="1">
      <c r="B173" s="160" t="s">
        <v>311</v>
      </c>
      <c r="C173" s="20"/>
      <c r="D173" s="20"/>
      <c r="E173" s="20"/>
      <c r="F173" s="20"/>
      <c r="G173" s="21"/>
      <c r="H173" s="161" t="str">
        <f t="shared" si="43"/>
        <v/>
      </c>
      <c r="I173" s="66"/>
      <c r="J173" s="66"/>
      <c r="K173" s="66"/>
      <c r="L173" s="66"/>
      <c r="M173" s="66"/>
      <c r="N173" s="66"/>
    </row>
    <row r="174" ht="15.0" customHeight="1">
      <c r="B174" s="160" t="s">
        <v>312</v>
      </c>
      <c r="C174" s="20"/>
      <c r="D174" s="20"/>
      <c r="E174" s="20"/>
      <c r="F174" s="20"/>
      <c r="G174" s="21"/>
      <c r="H174" s="161" t="str">
        <f t="shared" si="43"/>
        <v/>
      </c>
      <c r="I174" s="66"/>
      <c r="J174" s="66"/>
      <c r="K174" s="66"/>
      <c r="L174" s="66"/>
      <c r="M174" s="66"/>
      <c r="N174" s="66"/>
    </row>
    <row r="175" ht="15.0" customHeight="1">
      <c r="B175" s="160" t="s">
        <v>153</v>
      </c>
      <c r="C175" s="20"/>
      <c r="D175" s="20"/>
      <c r="E175" s="20"/>
      <c r="F175" s="20"/>
      <c r="G175" s="21"/>
      <c r="H175" s="161" t="str">
        <f t="shared" si="43"/>
        <v/>
      </c>
      <c r="I175" s="66"/>
      <c r="J175" s="66"/>
      <c r="K175" s="66"/>
      <c r="L175" s="66"/>
      <c r="M175" s="66"/>
      <c r="N175" s="66"/>
    </row>
    <row r="176" ht="15.0" customHeight="1">
      <c r="B176" s="158" t="s">
        <v>159</v>
      </c>
      <c r="C176" s="20"/>
      <c r="D176" s="20"/>
      <c r="E176" s="20"/>
      <c r="F176" s="20"/>
      <c r="G176" s="21"/>
      <c r="H176" s="161" t="str">
        <f t="shared" si="43"/>
        <v/>
      </c>
      <c r="I176" s="66"/>
      <c r="J176" s="66"/>
      <c r="K176" s="66"/>
      <c r="L176" s="66"/>
      <c r="M176" s="66"/>
      <c r="N176" s="66"/>
    </row>
    <row r="177" ht="15.0" customHeight="1">
      <c r="B177" s="158" t="s">
        <v>167</v>
      </c>
      <c r="C177" s="20"/>
      <c r="D177" s="20"/>
      <c r="E177" s="20"/>
      <c r="F177" s="20"/>
      <c r="G177" s="21"/>
      <c r="H177" s="161" t="str">
        <f t="shared" si="43"/>
        <v/>
      </c>
      <c r="I177" s="66"/>
      <c r="J177" s="66"/>
      <c r="K177" s="66"/>
      <c r="L177" s="66"/>
      <c r="M177" s="66"/>
      <c r="N177" s="66"/>
    </row>
    <row r="178" ht="15.0" customHeight="1">
      <c r="B178" s="158" t="s">
        <v>313</v>
      </c>
      <c r="C178" s="20"/>
      <c r="D178" s="20"/>
      <c r="E178" s="20"/>
      <c r="F178" s="20"/>
      <c r="G178" s="21"/>
      <c r="H178" s="161" t="str">
        <f t="shared" si="43"/>
        <v/>
      </c>
      <c r="I178" s="66"/>
      <c r="J178" s="66"/>
      <c r="K178" s="66"/>
      <c r="L178" s="66"/>
      <c r="M178" s="66"/>
      <c r="N178" s="66"/>
    </row>
    <row r="179" ht="15.0" customHeight="1">
      <c r="B179" s="160" t="s">
        <v>176</v>
      </c>
      <c r="C179" s="20"/>
      <c r="D179" s="20"/>
      <c r="E179" s="20"/>
      <c r="F179" s="20"/>
      <c r="G179" s="21"/>
      <c r="H179" s="161" t="str">
        <f t="shared" si="43"/>
        <v/>
      </c>
      <c r="I179" s="66"/>
      <c r="J179" s="66"/>
      <c r="K179" s="66"/>
      <c r="L179" s="66"/>
      <c r="M179" s="66"/>
      <c r="N179" s="66"/>
    </row>
    <row r="180" ht="15.0" customHeight="1">
      <c r="B180" s="160" t="s">
        <v>179</v>
      </c>
      <c r="C180" s="20"/>
      <c r="D180" s="20"/>
      <c r="E180" s="20"/>
      <c r="F180" s="20"/>
      <c r="G180" s="21"/>
      <c r="H180" s="161" t="str">
        <f t="shared" si="43"/>
        <v/>
      </c>
      <c r="I180" s="66"/>
      <c r="J180" s="66"/>
      <c r="K180" s="66"/>
      <c r="L180" s="66"/>
      <c r="M180" s="66"/>
      <c r="N180" s="66"/>
    </row>
    <row r="181" ht="15.0" customHeight="1">
      <c r="B181" s="158" t="s">
        <v>184</v>
      </c>
      <c r="C181" s="20"/>
      <c r="D181" s="20"/>
      <c r="E181" s="20"/>
      <c r="F181" s="20"/>
      <c r="G181" s="21"/>
      <c r="H181" s="161" t="str">
        <f t="shared" si="43"/>
        <v/>
      </c>
      <c r="I181" s="66"/>
      <c r="J181" s="66"/>
      <c r="K181" s="66"/>
      <c r="L181" s="66"/>
      <c r="M181" s="66"/>
      <c r="N181" s="66"/>
    </row>
    <row r="182" ht="15.0" customHeight="1">
      <c r="B182" s="158" t="s">
        <v>186</v>
      </c>
      <c r="C182" s="20"/>
      <c r="D182" s="20"/>
      <c r="E182" s="20"/>
      <c r="F182" s="20"/>
      <c r="G182" s="21"/>
      <c r="H182" s="161" t="str">
        <f t="shared" si="43"/>
        <v/>
      </c>
      <c r="I182" s="66"/>
      <c r="J182" s="66"/>
      <c r="K182" s="66"/>
      <c r="L182" s="66"/>
      <c r="M182" s="66"/>
      <c r="N182" s="66"/>
    </row>
    <row r="183" ht="15.0" customHeight="1">
      <c r="B183" s="160" t="s">
        <v>189</v>
      </c>
      <c r="C183" s="20"/>
      <c r="D183" s="20"/>
      <c r="E183" s="20"/>
      <c r="F183" s="20"/>
      <c r="G183" s="21"/>
      <c r="H183" s="161" t="str">
        <f t="shared" si="43"/>
        <v/>
      </c>
      <c r="I183" s="66"/>
      <c r="J183" s="66"/>
      <c r="K183" s="66"/>
      <c r="L183" s="66"/>
      <c r="M183" s="66"/>
      <c r="N183" s="66"/>
    </row>
    <row r="184" ht="15.0" customHeight="1">
      <c r="B184" s="158" t="s">
        <v>195</v>
      </c>
      <c r="C184" s="20"/>
      <c r="D184" s="20"/>
      <c r="E184" s="20"/>
      <c r="F184" s="20"/>
      <c r="G184" s="21"/>
      <c r="H184" s="161" t="str">
        <f t="shared" si="43"/>
        <v/>
      </c>
      <c r="I184" s="66"/>
      <c r="J184" s="66"/>
      <c r="K184" s="66"/>
      <c r="L184" s="66"/>
      <c r="M184" s="66"/>
      <c r="N184" s="66"/>
    </row>
    <row r="185" ht="15.0" customHeight="1">
      <c r="B185" s="158" t="s">
        <v>196</v>
      </c>
      <c r="C185" s="20"/>
      <c r="D185" s="20"/>
      <c r="E185" s="20"/>
      <c r="F185" s="20"/>
      <c r="G185" s="21"/>
      <c r="H185" s="161" t="str">
        <f t="shared" si="43"/>
        <v/>
      </c>
      <c r="I185" s="66"/>
      <c r="J185" s="66"/>
      <c r="K185" s="66"/>
      <c r="L185" s="66"/>
      <c r="M185" s="66"/>
      <c r="N185" s="66"/>
    </row>
    <row r="186" ht="15.0" customHeight="1">
      <c r="B186" s="158" t="s">
        <v>197</v>
      </c>
      <c r="C186" s="20"/>
      <c r="D186" s="20"/>
      <c r="E186" s="20"/>
      <c r="F186" s="20"/>
      <c r="G186" s="21"/>
      <c r="H186" s="161" t="str">
        <f t="shared" si="43"/>
        <v/>
      </c>
      <c r="I186" s="66"/>
      <c r="J186" s="66"/>
      <c r="K186" s="66"/>
      <c r="L186" s="66"/>
      <c r="M186" s="66"/>
      <c r="N186" s="66"/>
    </row>
    <row r="187" ht="15.0" customHeight="1">
      <c r="B187" s="158" t="s">
        <v>198</v>
      </c>
      <c r="C187" s="20"/>
      <c r="D187" s="20"/>
      <c r="E187" s="20"/>
      <c r="F187" s="20"/>
      <c r="G187" s="21"/>
      <c r="H187" s="161" t="str">
        <f t="shared" si="43"/>
        <v/>
      </c>
      <c r="I187" s="66"/>
      <c r="J187" s="66"/>
      <c r="K187" s="66"/>
      <c r="L187" s="66"/>
      <c r="M187" s="66"/>
      <c r="N187" s="66"/>
    </row>
    <row r="188" ht="15.0" customHeight="1">
      <c r="B188" s="158" t="s">
        <v>200</v>
      </c>
      <c r="C188" s="20"/>
      <c r="D188" s="20"/>
      <c r="E188" s="20"/>
      <c r="F188" s="20"/>
      <c r="G188" s="21"/>
      <c r="H188" s="161" t="str">
        <f t="shared" si="43"/>
        <v/>
      </c>
      <c r="I188" s="66"/>
      <c r="J188" s="66"/>
      <c r="K188" s="66"/>
      <c r="L188" s="66"/>
      <c r="M188" s="66"/>
      <c r="N188" s="66"/>
    </row>
    <row r="189" ht="15.75" customHeight="1"/>
    <row r="190" ht="15.0" customHeight="1">
      <c r="B190" s="90" t="s">
        <v>335</v>
      </c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</row>
    <row r="191" ht="15.75" customHeight="1"/>
    <row r="192" ht="15.0" customHeight="1">
      <c r="B192" s="62" t="s">
        <v>336</v>
      </c>
      <c r="C192" s="21"/>
      <c r="D192" s="62" t="s">
        <v>337</v>
      </c>
      <c r="E192" s="21"/>
      <c r="F192" s="62" t="s">
        <v>338</v>
      </c>
      <c r="G192" s="21"/>
      <c r="H192" s="62" t="s">
        <v>339</v>
      </c>
      <c r="I192" s="21"/>
      <c r="J192" s="62" t="s">
        <v>340</v>
      </c>
      <c r="K192" s="21"/>
      <c r="L192" s="62" t="s">
        <v>341</v>
      </c>
      <c r="M192" s="21"/>
    </row>
    <row r="193" ht="15.0" customHeight="1">
      <c r="B193" s="192"/>
      <c r="C193" s="193"/>
      <c r="D193" s="192"/>
      <c r="E193" s="193"/>
      <c r="F193" s="192"/>
      <c r="G193" s="193"/>
      <c r="H193" s="192"/>
      <c r="I193" s="193"/>
      <c r="J193" s="192"/>
      <c r="K193" s="193"/>
      <c r="L193" s="192"/>
      <c r="M193" s="193"/>
      <c r="O193" s="194"/>
    </row>
    <row r="194" ht="15.0" customHeight="1">
      <c r="B194" s="195"/>
      <c r="C194" s="196"/>
      <c r="D194" s="195"/>
      <c r="E194" s="196"/>
      <c r="F194" s="195"/>
      <c r="G194" s="196"/>
      <c r="H194" s="195"/>
      <c r="I194" s="196"/>
      <c r="J194" s="195"/>
      <c r="K194" s="196"/>
      <c r="L194" s="195"/>
      <c r="M194" s="196"/>
      <c r="O194" s="72"/>
    </row>
    <row r="195" ht="15.0" customHeight="1">
      <c r="B195" s="195"/>
      <c r="C195" s="196"/>
      <c r="D195" s="195"/>
      <c r="E195" s="196"/>
      <c r="F195" s="195"/>
      <c r="G195" s="196"/>
      <c r="H195" s="195"/>
      <c r="I195" s="196"/>
      <c r="J195" s="195"/>
      <c r="K195" s="196"/>
      <c r="L195" s="195"/>
      <c r="M195" s="196"/>
      <c r="O195" s="72"/>
    </row>
    <row r="196" ht="15.0" customHeight="1">
      <c r="B196" s="195"/>
      <c r="C196" s="196"/>
      <c r="D196" s="195"/>
      <c r="E196" s="196"/>
      <c r="F196" s="195"/>
      <c r="G196" s="196"/>
      <c r="H196" s="195"/>
      <c r="I196" s="196"/>
      <c r="J196" s="195"/>
      <c r="K196" s="196"/>
      <c r="L196" s="195"/>
      <c r="M196" s="196"/>
      <c r="O196" s="72"/>
    </row>
    <row r="197" ht="15.0" customHeight="1">
      <c r="B197" s="195"/>
      <c r="C197" s="196"/>
      <c r="D197" s="195"/>
      <c r="E197" s="196"/>
      <c r="F197" s="195"/>
      <c r="G197" s="196"/>
      <c r="H197" s="195"/>
      <c r="I197" s="196"/>
      <c r="J197" s="195"/>
      <c r="K197" s="196"/>
      <c r="L197" s="195"/>
      <c r="M197" s="196"/>
      <c r="O197" s="72"/>
    </row>
    <row r="198" ht="15.0" customHeight="1">
      <c r="B198" s="195"/>
      <c r="C198" s="196"/>
      <c r="D198" s="195"/>
      <c r="E198" s="196"/>
      <c r="F198" s="195"/>
      <c r="G198" s="196"/>
      <c r="H198" s="195"/>
      <c r="I198" s="196"/>
      <c r="J198" s="195"/>
      <c r="K198" s="196"/>
      <c r="L198" s="195"/>
      <c r="M198" s="196"/>
      <c r="O198" s="72"/>
    </row>
    <row r="199" ht="15.0" customHeight="1">
      <c r="B199" s="195"/>
      <c r="C199" s="196"/>
      <c r="D199" s="195"/>
      <c r="E199" s="196"/>
      <c r="F199" s="195"/>
      <c r="G199" s="196"/>
      <c r="H199" s="195"/>
      <c r="I199" s="196"/>
      <c r="J199" s="195"/>
      <c r="K199" s="196"/>
      <c r="L199" s="195"/>
      <c r="M199" s="196"/>
    </row>
    <row r="200" ht="15.0" customHeight="1">
      <c r="B200" s="195"/>
      <c r="C200" s="196"/>
      <c r="D200" s="195"/>
      <c r="E200" s="196"/>
      <c r="F200" s="195"/>
      <c r="G200" s="196"/>
      <c r="H200" s="195"/>
      <c r="I200" s="196"/>
      <c r="J200" s="195"/>
      <c r="K200" s="196"/>
      <c r="L200" s="195"/>
      <c r="M200" s="196"/>
    </row>
    <row r="201" ht="15.0" customHeight="1">
      <c r="B201" s="195"/>
      <c r="C201" s="196"/>
      <c r="D201" s="195"/>
      <c r="E201" s="196"/>
      <c r="F201" s="195"/>
      <c r="G201" s="196"/>
      <c r="H201" s="195"/>
      <c r="I201" s="196"/>
      <c r="J201" s="195"/>
      <c r="K201" s="196"/>
      <c r="L201" s="195"/>
      <c r="M201" s="196"/>
    </row>
    <row r="202" ht="15.0" customHeight="1">
      <c r="B202" s="195"/>
      <c r="C202" s="196"/>
      <c r="D202" s="195"/>
      <c r="E202" s="196"/>
      <c r="F202" s="195"/>
      <c r="G202" s="196"/>
      <c r="H202" s="195"/>
      <c r="I202" s="196"/>
      <c r="J202" s="195"/>
      <c r="K202" s="196"/>
      <c r="L202" s="195"/>
      <c r="M202" s="196"/>
    </row>
    <row r="203" ht="15.0" customHeight="1">
      <c r="B203" s="195"/>
      <c r="C203" s="196"/>
      <c r="D203" s="195"/>
      <c r="E203" s="196"/>
      <c r="F203" s="195"/>
      <c r="G203" s="196"/>
      <c r="H203" s="195"/>
      <c r="I203" s="196"/>
      <c r="J203" s="195"/>
      <c r="K203" s="196"/>
      <c r="L203" s="195"/>
      <c r="M203" s="196"/>
    </row>
    <row r="204" ht="15.0" customHeight="1">
      <c r="B204" s="195"/>
      <c r="C204" s="196"/>
      <c r="D204" s="195"/>
      <c r="E204" s="196"/>
      <c r="F204" s="195"/>
      <c r="G204" s="196"/>
      <c r="H204" s="195"/>
      <c r="I204" s="196"/>
      <c r="J204" s="195"/>
      <c r="K204" s="196"/>
      <c r="L204" s="195"/>
      <c r="M204" s="196"/>
    </row>
    <row r="205" ht="15.0" customHeight="1">
      <c r="B205" s="195"/>
      <c r="C205" s="196"/>
      <c r="D205" s="195"/>
      <c r="E205" s="196"/>
      <c r="F205" s="195"/>
      <c r="G205" s="196"/>
      <c r="H205" s="195"/>
      <c r="I205" s="196"/>
      <c r="J205" s="195"/>
      <c r="K205" s="196"/>
      <c r="L205" s="195"/>
      <c r="M205" s="196"/>
    </row>
    <row r="206" ht="15.0" customHeight="1">
      <c r="B206" s="195"/>
      <c r="C206" s="196"/>
      <c r="D206" s="195"/>
      <c r="E206" s="196"/>
      <c r="F206" s="195"/>
      <c r="G206" s="196"/>
      <c r="H206" s="195"/>
      <c r="I206" s="196"/>
      <c r="J206" s="195"/>
      <c r="K206" s="196"/>
      <c r="L206" s="195"/>
      <c r="M206" s="196"/>
    </row>
    <row r="207" ht="15.0" customHeight="1">
      <c r="B207" s="195"/>
      <c r="C207" s="196"/>
      <c r="D207" s="195"/>
      <c r="E207" s="196"/>
      <c r="F207" s="195"/>
      <c r="G207" s="196"/>
      <c r="H207" s="195"/>
      <c r="I207" s="196"/>
      <c r="J207" s="195"/>
      <c r="K207" s="196"/>
      <c r="L207" s="195"/>
      <c r="M207" s="196"/>
    </row>
    <row r="208" ht="15.0" customHeight="1">
      <c r="B208" s="195"/>
      <c r="C208" s="196"/>
      <c r="D208" s="195"/>
      <c r="E208" s="196"/>
      <c r="F208" s="195"/>
      <c r="G208" s="196"/>
      <c r="H208" s="195"/>
      <c r="I208" s="196"/>
      <c r="J208" s="195"/>
      <c r="K208" s="196"/>
      <c r="L208" s="195"/>
      <c r="M208" s="196"/>
    </row>
    <row r="209" ht="15.0" customHeight="1">
      <c r="B209" s="195"/>
      <c r="C209" s="196"/>
      <c r="D209" s="195"/>
      <c r="E209" s="196"/>
      <c r="F209" s="195"/>
      <c r="G209" s="196"/>
      <c r="H209" s="195"/>
      <c r="I209" s="196"/>
      <c r="J209" s="195"/>
      <c r="K209" s="196"/>
      <c r="L209" s="195"/>
      <c r="M209" s="196"/>
    </row>
    <row r="210" ht="15.0" customHeight="1">
      <c r="B210" s="195"/>
      <c r="C210" s="196"/>
      <c r="D210" s="195"/>
      <c r="E210" s="196"/>
      <c r="F210" s="195"/>
      <c r="G210" s="196"/>
      <c r="H210" s="195"/>
      <c r="I210" s="196"/>
      <c r="J210" s="195"/>
      <c r="K210" s="196"/>
      <c r="L210" s="195"/>
      <c r="M210" s="196"/>
    </row>
    <row r="211" ht="15.0" customHeight="1">
      <c r="B211" s="195"/>
      <c r="C211" s="196"/>
      <c r="D211" s="195"/>
      <c r="E211" s="196"/>
      <c r="F211" s="195"/>
      <c r="G211" s="196"/>
      <c r="H211" s="195"/>
      <c r="I211" s="196"/>
      <c r="J211" s="195"/>
      <c r="K211" s="196"/>
      <c r="L211" s="195"/>
      <c r="M211" s="196"/>
    </row>
    <row r="212" ht="15.0" customHeight="1">
      <c r="B212" s="195"/>
      <c r="C212" s="196"/>
      <c r="D212" s="195"/>
      <c r="E212" s="196"/>
      <c r="F212" s="195"/>
      <c r="G212" s="196"/>
      <c r="H212" s="195"/>
      <c r="I212" s="196"/>
      <c r="J212" s="195"/>
      <c r="K212" s="196"/>
      <c r="L212" s="195"/>
      <c r="M212" s="196"/>
    </row>
    <row r="213" ht="15.0" customHeight="1">
      <c r="B213" s="195"/>
      <c r="C213" s="196"/>
      <c r="D213" s="195"/>
      <c r="E213" s="196"/>
      <c r="F213" s="195"/>
      <c r="G213" s="196"/>
      <c r="H213" s="195"/>
      <c r="I213" s="196"/>
      <c r="J213" s="195"/>
      <c r="K213" s="196"/>
      <c r="L213" s="195"/>
      <c r="M213" s="196"/>
    </row>
    <row r="214" ht="15.0" customHeight="1">
      <c r="B214" s="195"/>
      <c r="C214" s="196"/>
      <c r="D214" s="195"/>
      <c r="E214" s="196"/>
      <c r="F214" s="195"/>
      <c r="G214" s="196"/>
      <c r="H214" s="195"/>
      <c r="I214" s="196"/>
      <c r="J214" s="195"/>
      <c r="K214" s="196"/>
      <c r="L214" s="195"/>
      <c r="M214" s="196"/>
    </row>
    <row r="215" ht="15.0" customHeight="1">
      <c r="B215" s="195"/>
      <c r="C215" s="196"/>
      <c r="D215" s="195"/>
      <c r="E215" s="196"/>
      <c r="F215" s="195"/>
      <c r="G215" s="196"/>
      <c r="H215" s="195"/>
      <c r="I215" s="196"/>
      <c r="J215" s="195"/>
      <c r="K215" s="196"/>
      <c r="L215" s="195"/>
      <c r="M215" s="196"/>
    </row>
    <row r="216" ht="15.0" customHeight="1">
      <c r="B216" s="195"/>
      <c r="C216" s="196"/>
      <c r="D216" s="195"/>
      <c r="E216" s="196"/>
      <c r="F216" s="195"/>
      <c r="G216" s="196"/>
      <c r="H216" s="195"/>
      <c r="I216" s="196"/>
      <c r="J216" s="195"/>
      <c r="K216" s="196"/>
      <c r="L216" s="195"/>
      <c r="M216" s="196"/>
    </row>
    <row r="217" ht="15.0" customHeight="1">
      <c r="B217" s="195"/>
      <c r="C217" s="196"/>
      <c r="D217" s="195"/>
      <c r="E217" s="196"/>
      <c r="F217" s="195"/>
      <c r="G217" s="196"/>
      <c r="H217" s="195"/>
      <c r="I217" s="196"/>
      <c r="J217" s="195"/>
      <c r="K217" s="196"/>
      <c r="L217" s="195"/>
      <c r="M217" s="196"/>
    </row>
    <row r="218" ht="15.0" customHeight="1">
      <c r="B218" s="197"/>
      <c r="C218" s="198"/>
      <c r="D218" s="197"/>
      <c r="E218" s="198"/>
      <c r="F218" s="197"/>
      <c r="G218" s="198"/>
      <c r="H218" s="197"/>
      <c r="I218" s="198"/>
      <c r="J218" s="197"/>
      <c r="K218" s="198"/>
      <c r="L218" s="197"/>
      <c r="M218" s="19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3">
    <mergeCell ref="B2:J2"/>
    <mergeCell ref="B4:I4"/>
    <mergeCell ref="C5:C6"/>
    <mergeCell ref="D5:D6"/>
    <mergeCell ref="E12:F12"/>
    <mergeCell ref="H12:I17"/>
    <mergeCell ref="B19:C19"/>
    <mergeCell ref="K22:M22"/>
    <mergeCell ref="K25:M25"/>
    <mergeCell ref="B25:C25"/>
    <mergeCell ref="B28:C28"/>
    <mergeCell ref="E28:F28"/>
    <mergeCell ref="H28:I28"/>
    <mergeCell ref="E30:F30"/>
    <mergeCell ref="H30:I30"/>
    <mergeCell ref="E19:F19"/>
    <mergeCell ref="H19:I19"/>
    <mergeCell ref="E21:F21"/>
    <mergeCell ref="H21:I21"/>
    <mergeCell ref="K21:R21"/>
    <mergeCell ref="B23:C23"/>
    <mergeCell ref="P25:R25"/>
    <mergeCell ref="K23:M23"/>
    <mergeCell ref="K24:M24"/>
    <mergeCell ref="P24:R24"/>
    <mergeCell ref="K30:R30"/>
    <mergeCell ref="K31:M31"/>
    <mergeCell ref="K32:M32"/>
    <mergeCell ref="P33:R33"/>
    <mergeCell ref="P34:R34"/>
    <mergeCell ref="K33:M33"/>
    <mergeCell ref="K34:M34"/>
    <mergeCell ref="B35:B36"/>
    <mergeCell ref="C35:C36"/>
    <mergeCell ref="E37:F37"/>
    <mergeCell ref="H37:I37"/>
    <mergeCell ref="E39:F39"/>
    <mergeCell ref="P43:R43"/>
    <mergeCell ref="M48:V48"/>
    <mergeCell ref="C83:C84"/>
    <mergeCell ref="D83:D84"/>
    <mergeCell ref="B50:C50"/>
    <mergeCell ref="B55:C55"/>
    <mergeCell ref="B76:B82"/>
    <mergeCell ref="C76:C82"/>
    <mergeCell ref="D76:D82"/>
    <mergeCell ref="E76:E82"/>
    <mergeCell ref="E83:E84"/>
    <mergeCell ref="B83:B84"/>
    <mergeCell ref="B85:C85"/>
    <mergeCell ref="I83:J83"/>
    <mergeCell ref="I85:J85"/>
    <mergeCell ref="I86:J86"/>
    <mergeCell ref="B88:Q88"/>
    <mergeCell ref="B93:Q93"/>
    <mergeCell ref="B95:G95"/>
    <mergeCell ref="B96:G96"/>
    <mergeCell ref="H39:I39"/>
    <mergeCell ref="K39:R39"/>
    <mergeCell ref="K40:M40"/>
    <mergeCell ref="K41:M41"/>
    <mergeCell ref="K42:M42"/>
    <mergeCell ref="P42:R42"/>
    <mergeCell ref="K43:M43"/>
    <mergeCell ref="B40:B42"/>
    <mergeCell ref="C40:C42"/>
    <mergeCell ref="B46:H46"/>
    <mergeCell ref="B48:K48"/>
    <mergeCell ref="E50:F50"/>
    <mergeCell ref="H50:J50"/>
    <mergeCell ref="E52:F52"/>
    <mergeCell ref="H55:I55"/>
    <mergeCell ref="B60:K60"/>
    <mergeCell ref="G62:I62"/>
    <mergeCell ref="G63:H63"/>
    <mergeCell ref="G64:H64"/>
    <mergeCell ref="G65:H65"/>
    <mergeCell ref="B69:K69"/>
    <mergeCell ref="I72:J72"/>
    <mergeCell ref="I73:J73"/>
    <mergeCell ref="B71:G71"/>
    <mergeCell ref="I71:K71"/>
    <mergeCell ref="F72:G72"/>
    <mergeCell ref="B73:B75"/>
    <mergeCell ref="C73:C75"/>
    <mergeCell ref="D73:D75"/>
    <mergeCell ref="E73:E75"/>
    <mergeCell ref="I74:J74"/>
    <mergeCell ref="I75:J75"/>
    <mergeCell ref="I76:J76"/>
    <mergeCell ref="I79:J79"/>
    <mergeCell ref="I80:J80"/>
    <mergeCell ref="I81:J81"/>
    <mergeCell ref="I82:J82"/>
    <mergeCell ref="B97:G97"/>
    <mergeCell ref="B98:G98"/>
    <mergeCell ref="B99:G99"/>
    <mergeCell ref="B100:G100"/>
    <mergeCell ref="B101:G101"/>
    <mergeCell ref="B102:G102"/>
    <mergeCell ref="B103:G103"/>
    <mergeCell ref="J150:J152"/>
    <mergeCell ref="K150:K152"/>
    <mergeCell ref="B146:R146"/>
    <mergeCell ref="I148:N148"/>
    <mergeCell ref="O148:Q148"/>
    <mergeCell ref="S148:U148"/>
    <mergeCell ref="S149:T149"/>
    <mergeCell ref="I150:I152"/>
    <mergeCell ref="L150:L152"/>
    <mergeCell ref="B104:G104"/>
    <mergeCell ref="B105:G105"/>
    <mergeCell ref="B106:G106"/>
    <mergeCell ref="B107:G107"/>
    <mergeCell ref="B108:G108"/>
    <mergeCell ref="B109:G109"/>
    <mergeCell ref="B110:G110"/>
    <mergeCell ref="B111:G111"/>
    <mergeCell ref="B112:G112"/>
    <mergeCell ref="B113:G113"/>
    <mergeCell ref="B114:G114"/>
    <mergeCell ref="B115:G115"/>
    <mergeCell ref="B116:G116"/>
    <mergeCell ref="B119:G119"/>
    <mergeCell ref="B120:G120"/>
    <mergeCell ref="B121:G121"/>
    <mergeCell ref="B122:G122"/>
    <mergeCell ref="B123:G123"/>
    <mergeCell ref="B124:G124"/>
    <mergeCell ref="B125:G125"/>
    <mergeCell ref="B126:G126"/>
    <mergeCell ref="B127:G127"/>
    <mergeCell ref="B128:G128"/>
    <mergeCell ref="B129:G129"/>
    <mergeCell ref="B130:G130"/>
    <mergeCell ref="B131:G131"/>
    <mergeCell ref="B132:G132"/>
    <mergeCell ref="B133:G133"/>
    <mergeCell ref="B134:G134"/>
    <mergeCell ref="B135:G135"/>
    <mergeCell ref="B136:G136"/>
    <mergeCell ref="B137:G137"/>
    <mergeCell ref="B138:G138"/>
    <mergeCell ref="B139:G139"/>
    <mergeCell ref="B140:G140"/>
    <mergeCell ref="O149:P149"/>
    <mergeCell ref="O150:P150"/>
    <mergeCell ref="O156:P156"/>
    <mergeCell ref="O157:P157"/>
    <mergeCell ref="H192:I192"/>
    <mergeCell ref="J192:K192"/>
    <mergeCell ref="B193:C218"/>
    <mergeCell ref="D193:E218"/>
    <mergeCell ref="F193:G218"/>
    <mergeCell ref="H193:I218"/>
    <mergeCell ref="J193:K218"/>
    <mergeCell ref="L193:M218"/>
    <mergeCell ref="L192:M192"/>
    <mergeCell ref="O193:P193"/>
    <mergeCell ref="O194:P194"/>
    <mergeCell ref="O195:P195"/>
    <mergeCell ref="O196:P196"/>
    <mergeCell ref="O197:P197"/>
    <mergeCell ref="O198:P198"/>
    <mergeCell ref="B186:G186"/>
    <mergeCell ref="B187:G187"/>
    <mergeCell ref="B188:G188"/>
    <mergeCell ref="B190:Q190"/>
    <mergeCell ref="B192:C192"/>
    <mergeCell ref="D192:E192"/>
    <mergeCell ref="F192:G192"/>
    <mergeCell ref="O158:P158"/>
    <mergeCell ref="O159:P159"/>
    <mergeCell ref="O160:P160"/>
    <mergeCell ref="O162:P162"/>
    <mergeCell ref="O163:P163"/>
    <mergeCell ref="O151:P151"/>
    <mergeCell ref="O152:P152"/>
    <mergeCell ref="I153:I159"/>
    <mergeCell ref="J153:J159"/>
    <mergeCell ref="K153:K159"/>
    <mergeCell ref="L153:L159"/>
    <mergeCell ref="O153:P153"/>
    <mergeCell ref="P167:Q167"/>
    <mergeCell ref="P168:Q168"/>
    <mergeCell ref="I160:I161"/>
    <mergeCell ref="J160:J161"/>
    <mergeCell ref="K160:K161"/>
    <mergeCell ref="L160:L161"/>
    <mergeCell ref="B165:Q165"/>
    <mergeCell ref="B167:G167"/>
    <mergeCell ref="B168:G168"/>
    <mergeCell ref="B169:G169"/>
    <mergeCell ref="P169:Q169"/>
    <mergeCell ref="B170:G170"/>
    <mergeCell ref="P170:Q170"/>
    <mergeCell ref="B171:G171"/>
    <mergeCell ref="P171:Q171"/>
    <mergeCell ref="P172:Q172"/>
    <mergeCell ref="B172:G172"/>
    <mergeCell ref="B173:G173"/>
    <mergeCell ref="B174:G174"/>
    <mergeCell ref="B175:G175"/>
    <mergeCell ref="B176:G176"/>
    <mergeCell ref="B177:G177"/>
    <mergeCell ref="B178:G178"/>
    <mergeCell ref="B179:G179"/>
    <mergeCell ref="B180:G180"/>
    <mergeCell ref="B181:G181"/>
    <mergeCell ref="B182:G182"/>
    <mergeCell ref="B183:G183"/>
    <mergeCell ref="B184:G184"/>
    <mergeCell ref="B185:G185"/>
  </mergeCells>
  <dataValidations>
    <dataValidation type="list" allowBlank="1" showErrorMessage="1" sqref="C39">
      <formula1>$U$30:$U$34</formula1>
    </dataValidation>
    <dataValidation type="list" allowBlank="1" showErrorMessage="1" sqref="C34">
      <formula1>$T$30:$T$33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14.29"/>
    <col customWidth="1" min="3" max="3" width="14.0"/>
    <col customWidth="1" min="4" max="4" width="13.86"/>
    <col customWidth="1" min="5" max="5" width="18.43"/>
    <col customWidth="1" min="6" max="6" width="16.86"/>
    <col customWidth="1" min="7" max="7" width="13.43"/>
    <col customWidth="1" min="8" max="8" width="18.43"/>
    <col customWidth="1" min="9" max="9" width="11.71"/>
    <col customWidth="1" min="10" max="10" width="10.71"/>
    <col customWidth="1" min="11" max="11" width="13.86"/>
    <col customWidth="1" min="12" max="54" width="10.71"/>
  </cols>
  <sheetData>
    <row r="2">
      <c r="B2" s="258" t="s">
        <v>556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</row>
    <row r="4">
      <c r="B4" s="19" t="s">
        <v>557</v>
      </c>
      <c r="C4" s="20"/>
      <c r="D4" s="20"/>
      <c r="E4" s="20"/>
      <c r="F4" s="20"/>
      <c r="G4" s="21"/>
    </row>
    <row r="5">
      <c r="B5" s="308"/>
      <c r="C5" s="309" t="s">
        <v>461</v>
      </c>
      <c r="D5" s="310" t="s">
        <v>454</v>
      </c>
      <c r="E5" s="311" t="s">
        <v>455</v>
      </c>
      <c r="F5" s="310" t="s">
        <v>456</v>
      </c>
      <c r="G5" s="312" t="s">
        <v>558</v>
      </c>
    </row>
    <row r="6">
      <c r="B6" s="313"/>
      <c r="C6" s="100"/>
      <c r="D6" s="314" t="s">
        <v>458</v>
      </c>
      <c r="E6" s="315" t="s">
        <v>459</v>
      </c>
      <c r="F6" s="316" t="s">
        <v>460</v>
      </c>
      <c r="G6" s="317" t="s">
        <v>461</v>
      </c>
    </row>
    <row r="7">
      <c r="B7" s="318" t="s">
        <v>462</v>
      </c>
      <c r="C7" s="319" t="s">
        <v>559</v>
      </c>
      <c r="D7" s="320" t="s">
        <v>560</v>
      </c>
      <c r="E7" s="321" t="s">
        <v>561</v>
      </c>
      <c r="F7" s="322" t="s">
        <v>562</v>
      </c>
      <c r="G7" s="319" t="s">
        <v>563</v>
      </c>
    </row>
    <row r="8">
      <c r="B8" s="323" t="s">
        <v>470</v>
      </c>
      <c r="C8" s="319" t="s">
        <v>564</v>
      </c>
      <c r="D8" s="320" t="s">
        <v>565</v>
      </c>
      <c r="E8" s="321" t="s">
        <v>141</v>
      </c>
      <c r="F8" s="322" t="s">
        <v>562</v>
      </c>
      <c r="G8" s="319" t="s">
        <v>469</v>
      </c>
      <c r="I8" s="5"/>
    </row>
    <row r="9">
      <c r="B9" s="323" t="s">
        <v>346</v>
      </c>
      <c r="C9" s="319" t="s">
        <v>566</v>
      </c>
      <c r="D9" s="320" t="s">
        <v>480</v>
      </c>
      <c r="E9" s="321" t="s">
        <v>567</v>
      </c>
      <c r="F9" s="322" t="s">
        <v>568</v>
      </c>
      <c r="G9" s="319" t="s">
        <v>477</v>
      </c>
    </row>
    <row r="10">
      <c r="B10" s="324" t="s">
        <v>43</v>
      </c>
      <c r="C10" s="325" t="s">
        <v>569</v>
      </c>
      <c r="D10" s="326" t="s">
        <v>570</v>
      </c>
      <c r="E10" s="327" t="s">
        <v>571</v>
      </c>
      <c r="F10" s="328" t="s">
        <v>572</v>
      </c>
      <c r="G10" s="325" t="s">
        <v>477</v>
      </c>
    </row>
    <row r="12">
      <c r="B12" s="113" t="s">
        <v>13</v>
      </c>
      <c r="C12" s="109"/>
      <c r="D12" s="43"/>
      <c r="E12" s="43"/>
      <c r="F12" s="43"/>
      <c r="G12" s="43"/>
      <c r="H12" s="43"/>
      <c r="I12" s="43"/>
    </row>
    <row r="13">
      <c r="B13" s="113" t="s">
        <v>17</v>
      </c>
      <c r="C13" s="109"/>
      <c r="E13" s="19" t="s">
        <v>573</v>
      </c>
      <c r="F13" s="21"/>
      <c r="H13" s="285" t="s">
        <v>489</v>
      </c>
      <c r="I13" s="193"/>
    </row>
    <row r="14">
      <c r="B14" s="113" t="s">
        <v>274</v>
      </c>
      <c r="C14" s="109"/>
      <c r="E14" s="113" t="s">
        <v>490</v>
      </c>
      <c r="F14" s="53"/>
      <c r="H14" s="195"/>
      <c r="I14" s="196"/>
    </row>
    <row r="15">
      <c r="B15" s="113" t="s">
        <v>491</v>
      </c>
      <c r="C15" s="109"/>
      <c r="E15" s="113" t="s">
        <v>20</v>
      </c>
      <c r="F15" s="53"/>
      <c r="H15" s="195"/>
      <c r="I15" s="196"/>
    </row>
    <row r="16">
      <c r="B16" s="113" t="s">
        <v>493</v>
      </c>
      <c r="C16" s="109"/>
      <c r="E16" s="113" t="s">
        <v>492</v>
      </c>
      <c r="F16" s="55">
        <f>IF(F14&lt;14,((C21/13)*F14),(C21+((C22/27)*(F14-13))))</f>
        <v>0</v>
      </c>
      <c r="H16" s="195"/>
      <c r="I16" s="196"/>
    </row>
    <row r="17">
      <c r="B17" s="113" t="s">
        <v>38</v>
      </c>
      <c r="C17" s="286" t="str">
        <f>(C15/(C16*C16))</f>
        <v>#DIV/0!</v>
      </c>
      <c r="E17" s="113" t="s">
        <v>494</v>
      </c>
      <c r="F17" s="26">
        <f>F15-C15</f>
        <v>0</v>
      </c>
      <c r="H17" s="195"/>
      <c r="I17" s="196"/>
    </row>
    <row r="18">
      <c r="B18" s="329" t="s">
        <v>574</v>
      </c>
      <c r="C18" s="64"/>
      <c r="E18" s="113" t="s">
        <v>495</v>
      </c>
      <c r="F18" s="34" t="str">
        <f>(F15/(C16*C16))</f>
        <v>#DIV/0!</v>
      </c>
      <c r="H18" s="197"/>
      <c r="I18" s="198"/>
    </row>
    <row r="19">
      <c r="B19" s="113" t="s">
        <v>575</v>
      </c>
      <c r="C19" s="106" t="str">
        <f>IF(C18&lt;-2,"Delgadez",IF(AND(C18&gt;=-2,C18&lt;-1),"Riesgo delgadez",IF(AND(C18&gt;=-1,C18&lt;=1),"Adecuado",IF(AND(C18&gt;1,C18&lt;=2),"Sobrepeso","obesidad"))))</f>
        <v>Adecuado</v>
      </c>
      <c r="H19" s="43"/>
      <c r="I19" s="43"/>
    </row>
    <row r="20">
      <c r="B20" s="19" t="s">
        <v>576</v>
      </c>
      <c r="C20" s="21"/>
      <c r="E20" s="19" t="s">
        <v>498</v>
      </c>
      <c r="F20" s="21"/>
      <c r="H20" s="19" t="s">
        <v>498</v>
      </c>
      <c r="I20" s="21"/>
    </row>
    <row r="21" ht="15.75" customHeight="1">
      <c r="B21" s="113" t="s">
        <v>499</v>
      </c>
      <c r="C21" s="26" t="str">
        <f>IF(C18&lt;-1,"2,25",IF(AND(C18&gt;=-1,C18&lt;=1),"1,3",IF(AND(C18&gt;1,C18&lt;=2),"0,9","0,675")))</f>
        <v>1,3</v>
      </c>
      <c r="E21" s="113" t="s">
        <v>500</v>
      </c>
      <c r="F21" s="64"/>
      <c r="H21" s="113" t="s">
        <v>500</v>
      </c>
      <c r="I21" s="52" t="str">
        <f>F21</f>
        <v/>
      </c>
    </row>
    <row r="22" ht="15.75" customHeight="1">
      <c r="B22" s="113" t="s">
        <v>501</v>
      </c>
      <c r="C22" s="26" t="str">
        <f>IF(C18&lt;-1,"12,15",IF(AND(C18&gt;=-1,C18&lt;=1),"12,15",IF(AND(C18&gt;1,C18&lt;=2),"8","6")))</f>
        <v>12,15</v>
      </c>
      <c r="E22" s="19" t="s">
        <v>573</v>
      </c>
      <c r="F22" s="21"/>
      <c r="H22" s="19" t="s">
        <v>502</v>
      </c>
      <c r="I22" s="21"/>
      <c r="K22" s="19" t="s">
        <v>503</v>
      </c>
      <c r="L22" s="20"/>
      <c r="M22" s="20"/>
      <c r="N22" s="20"/>
      <c r="O22" s="20"/>
      <c r="P22" s="20"/>
      <c r="Q22" s="20"/>
      <c r="R22" s="21"/>
    </row>
    <row r="23" ht="15.75" customHeight="1">
      <c r="B23" s="113" t="s">
        <v>504</v>
      </c>
      <c r="C23" s="26">
        <f>(C22+C21)</f>
        <v>13.45</v>
      </c>
      <c r="E23" s="113" t="s">
        <v>490</v>
      </c>
      <c r="F23" s="64"/>
      <c r="H23" s="113" t="s">
        <v>490</v>
      </c>
      <c r="I23" s="52" t="str">
        <f t="shared" ref="I23:I24" si="1">F23</f>
        <v/>
      </c>
      <c r="K23" s="289" t="s">
        <v>505</v>
      </c>
      <c r="L23" s="20"/>
      <c r="M23" s="20"/>
      <c r="N23" s="290" t="str">
        <f>F14</f>
        <v/>
      </c>
      <c r="O23" s="290" t="s">
        <v>506</v>
      </c>
      <c r="P23" s="290" t="str">
        <f>F23</f>
        <v/>
      </c>
      <c r="Q23" s="12" t="s">
        <v>507</v>
      </c>
      <c r="R23" s="68">
        <f t="shared" ref="R23:R24" si="2">F25</f>
        <v>0</v>
      </c>
    </row>
    <row r="24" ht="15.75" customHeight="1">
      <c r="B24" s="19" t="s">
        <v>577</v>
      </c>
      <c r="C24" s="21"/>
      <c r="E24" s="113" t="s">
        <v>20</v>
      </c>
      <c r="F24" s="64"/>
      <c r="H24" s="113" t="s">
        <v>20</v>
      </c>
      <c r="I24" s="52" t="str">
        <f t="shared" si="1"/>
        <v/>
      </c>
      <c r="K24" s="289" t="s">
        <v>509</v>
      </c>
      <c r="L24" s="20"/>
      <c r="M24" s="20"/>
      <c r="N24" s="290" t="str">
        <f>N23</f>
        <v/>
      </c>
      <c r="O24" s="290" t="s">
        <v>506</v>
      </c>
      <c r="P24" s="291" t="str">
        <f>P23</f>
        <v/>
      </c>
      <c r="Q24" s="292" t="s">
        <v>507</v>
      </c>
      <c r="R24" s="64">
        <f t="shared" si="2"/>
        <v>0</v>
      </c>
    </row>
    <row r="25" ht="15.75" customHeight="1">
      <c r="B25" s="113" t="s">
        <v>504</v>
      </c>
      <c r="C25" s="26">
        <f>IF(C18&lt;-1,(C15 *0.35),IF(AND(C18&gt;=-1,C18&lt;=1),(C15*0.3),IF(AND(C18&gt;1,C18&lt;=2),(C28*0.2),(C28*0.2))))</f>
        <v>0</v>
      </c>
      <c r="E25" s="113" t="s">
        <v>492</v>
      </c>
      <c r="F25" s="85">
        <f>(F21/1000)*(F23-F14)</f>
        <v>0</v>
      </c>
      <c r="H25" s="113" t="s">
        <v>492</v>
      </c>
      <c r="I25" s="85">
        <f>IF(I23&lt;14,(C21/13)*I23,C21+((C22/27)*(I23-13)))</f>
        <v>0</v>
      </c>
      <c r="K25" s="289" t="s">
        <v>510</v>
      </c>
      <c r="L25" s="20"/>
      <c r="M25" s="20"/>
      <c r="N25" s="290" t="str">
        <f>P24</f>
        <v/>
      </c>
      <c r="O25" s="12" t="s">
        <v>507</v>
      </c>
      <c r="P25" s="293">
        <f t="shared" ref="P25:P26" si="3">I25</f>
        <v>0</v>
      </c>
      <c r="Q25" s="20"/>
      <c r="R25" s="21"/>
    </row>
    <row r="26" ht="15.75" customHeight="1">
      <c r="B26" s="19" t="s">
        <v>511</v>
      </c>
      <c r="C26" s="21"/>
      <c r="E26" s="113" t="s">
        <v>494</v>
      </c>
      <c r="F26" s="52">
        <f>F24-F15</f>
        <v>0</v>
      </c>
      <c r="H26" s="113" t="s">
        <v>494</v>
      </c>
      <c r="I26" s="52">
        <f>F24-C15</f>
        <v>0</v>
      </c>
      <c r="K26" s="289" t="s">
        <v>512</v>
      </c>
      <c r="L26" s="20"/>
      <c r="M26" s="20"/>
      <c r="N26" s="290" t="str">
        <f>P24</f>
        <v/>
      </c>
      <c r="O26" s="12" t="s">
        <v>507</v>
      </c>
      <c r="P26" s="289">
        <f t="shared" si="3"/>
        <v>0</v>
      </c>
      <c r="Q26" s="20"/>
      <c r="R26" s="21"/>
    </row>
    <row r="27" ht="15.75" customHeight="1">
      <c r="B27" s="113" t="s">
        <v>285</v>
      </c>
      <c r="C27" s="120">
        <v>24.0</v>
      </c>
      <c r="E27" s="113" t="s">
        <v>495</v>
      </c>
      <c r="F27" s="294" t="str">
        <f>(F24/(C16*C16))</f>
        <v>#DIV/0!</v>
      </c>
      <c r="H27" s="113" t="s">
        <v>495</v>
      </c>
      <c r="I27" s="294" t="str">
        <f>(F24/(C16*C16))</f>
        <v>#DIV/0!</v>
      </c>
    </row>
    <row r="28" ht="15.75" customHeight="1">
      <c r="B28" s="113" t="s">
        <v>513</v>
      </c>
      <c r="C28" s="55">
        <f>(C27*(C16*C16))</f>
        <v>0</v>
      </c>
      <c r="H28" s="43"/>
      <c r="I28" s="43"/>
    </row>
    <row r="29" ht="15.75" customHeight="1">
      <c r="E29" s="19" t="s">
        <v>515</v>
      </c>
      <c r="F29" s="21"/>
      <c r="H29" s="19" t="s">
        <v>515</v>
      </c>
      <c r="I29" s="21"/>
    </row>
    <row r="30" ht="15.75" customHeight="1">
      <c r="E30" s="113" t="s">
        <v>500</v>
      </c>
      <c r="F30" s="64"/>
      <c r="H30" s="113" t="s">
        <v>500</v>
      </c>
      <c r="I30" s="52" t="str">
        <f>F30</f>
        <v/>
      </c>
    </row>
    <row r="31" ht="15.75" customHeight="1">
      <c r="E31" s="19" t="s">
        <v>573</v>
      </c>
      <c r="F31" s="21"/>
      <c r="H31" s="19" t="s">
        <v>502</v>
      </c>
      <c r="I31" s="21"/>
      <c r="K31" s="19" t="s">
        <v>518</v>
      </c>
      <c r="L31" s="20"/>
      <c r="M31" s="20"/>
      <c r="N31" s="20"/>
      <c r="O31" s="20"/>
      <c r="P31" s="20"/>
      <c r="Q31" s="20"/>
      <c r="R31" s="21"/>
    </row>
    <row r="32" ht="15.75" customHeight="1">
      <c r="E32" s="113" t="s">
        <v>490</v>
      </c>
      <c r="F32" s="64"/>
      <c r="H32" s="113" t="s">
        <v>490</v>
      </c>
      <c r="I32" s="52" t="str">
        <f t="shared" ref="I32:I33" si="4">F32</f>
        <v/>
      </c>
      <c r="K32" s="289" t="s">
        <v>505</v>
      </c>
      <c r="L32" s="20"/>
      <c r="M32" s="20"/>
      <c r="N32" s="290" t="str">
        <f>F23</f>
        <v/>
      </c>
      <c r="O32" s="290" t="s">
        <v>506</v>
      </c>
      <c r="P32" s="290" t="str">
        <f>F32</f>
        <v/>
      </c>
      <c r="Q32" s="12" t="s">
        <v>507</v>
      </c>
      <c r="R32" s="68">
        <f t="shared" ref="R32:R33" si="5">F34</f>
        <v>0</v>
      </c>
    </row>
    <row r="33" ht="15.75" customHeight="1">
      <c r="E33" s="113" t="s">
        <v>20</v>
      </c>
      <c r="F33" s="64"/>
      <c r="H33" s="113" t="s">
        <v>20</v>
      </c>
      <c r="I33" s="52" t="str">
        <f t="shared" si="4"/>
        <v/>
      </c>
      <c r="K33" s="289" t="s">
        <v>509</v>
      </c>
      <c r="L33" s="20"/>
      <c r="M33" s="20"/>
      <c r="N33" s="290" t="str">
        <f>N32</f>
        <v/>
      </c>
      <c r="O33" s="290" t="s">
        <v>506</v>
      </c>
      <c r="P33" s="291" t="str">
        <f>P32</f>
        <v/>
      </c>
      <c r="Q33" s="292" t="s">
        <v>507</v>
      </c>
      <c r="R33" s="64">
        <f t="shared" si="5"/>
        <v>0</v>
      </c>
    </row>
    <row r="34" ht="15.75" customHeight="1">
      <c r="B34" s="43"/>
      <c r="C34" s="43"/>
      <c r="D34" s="43"/>
      <c r="E34" s="113" t="s">
        <v>492</v>
      </c>
      <c r="F34" s="85">
        <f>(F30/1000)*(F32-F23)</f>
        <v>0</v>
      </c>
      <c r="G34" s="43"/>
      <c r="H34" s="113" t="s">
        <v>492</v>
      </c>
      <c r="I34" s="85">
        <f>IF(I32&lt;14,(C21/13)*I32,C21+((C22/27)*(I32-13)))</f>
        <v>0</v>
      </c>
      <c r="K34" s="289" t="s">
        <v>510</v>
      </c>
      <c r="L34" s="20"/>
      <c r="M34" s="20"/>
      <c r="N34" s="290" t="str">
        <f>P33</f>
        <v/>
      </c>
      <c r="O34" s="12" t="s">
        <v>507</v>
      </c>
      <c r="P34" s="293">
        <f t="shared" ref="P34:P35" si="6">I34</f>
        <v>0</v>
      </c>
      <c r="Q34" s="20"/>
      <c r="R34" s="21"/>
    </row>
    <row r="35" ht="15.75" customHeight="1">
      <c r="B35" s="43"/>
      <c r="C35" s="43"/>
      <c r="D35" s="330"/>
      <c r="E35" s="113" t="s">
        <v>494</v>
      </c>
      <c r="F35" s="52">
        <f>F33-F24</f>
        <v>0</v>
      </c>
      <c r="G35" s="43"/>
      <c r="H35" s="113" t="s">
        <v>494</v>
      </c>
      <c r="I35" s="52">
        <f>F33-C15</f>
        <v>0</v>
      </c>
      <c r="K35" s="289" t="s">
        <v>512</v>
      </c>
      <c r="L35" s="20"/>
      <c r="M35" s="20"/>
      <c r="N35" s="290" t="str">
        <f>P33</f>
        <v/>
      </c>
      <c r="O35" s="12" t="s">
        <v>507</v>
      </c>
      <c r="P35" s="289">
        <f t="shared" si="6"/>
        <v>0</v>
      </c>
      <c r="Q35" s="20"/>
      <c r="R35" s="21"/>
    </row>
    <row r="36" ht="15.75" customHeight="1">
      <c r="B36" s="43"/>
      <c r="C36" s="43"/>
      <c r="D36" s="43"/>
      <c r="E36" s="113" t="s">
        <v>495</v>
      </c>
      <c r="F36" s="294" t="str">
        <f>(F33/(C16*C16))</f>
        <v>#DIV/0!</v>
      </c>
      <c r="G36" s="43"/>
      <c r="H36" s="113" t="s">
        <v>495</v>
      </c>
      <c r="I36" s="294" t="str">
        <f>(F33/(C16*C16))</f>
        <v>#DIV/0!</v>
      </c>
    </row>
    <row r="37" ht="15.75" customHeight="1"/>
    <row r="38" ht="15.75" customHeight="1">
      <c r="E38" s="19" t="s">
        <v>523</v>
      </c>
      <c r="F38" s="21"/>
      <c r="H38" s="19" t="s">
        <v>523</v>
      </c>
      <c r="I38" s="21"/>
    </row>
    <row r="39" ht="15.75" customHeight="1">
      <c r="E39" s="113" t="s">
        <v>500</v>
      </c>
      <c r="F39" s="64"/>
      <c r="H39" s="113" t="s">
        <v>500</v>
      </c>
      <c r="I39" s="52" t="str">
        <f>F39</f>
        <v/>
      </c>
    </row>
    <row r="40" ht="15.75" customHeight="1">
      <c r="E40" s="19" t="s">
        <v>573</v>
      </c>
      <c r="F40" s="21"/>
      <c r="H40" s="19" t="s">
        <v>502</v>
      </c>
      <c r="I40" s="21"/>
      <c r="K40" s="19" t="s">
        <v>525</v>
      </c>
      <c r="L40" s="20"/>
      <c r="M40" s="20"/>
      <c r="N40" s="20"/>
      <c r="O40" s="20"/>
      <c r="P40" s="20"/>
      <c r="Q40" s="20"/>
      <c r="R40" s="21"/>
    </row>
    <row r="41" ht="15.75" customHeight="1">
      <c r="E41" s="113" t="s">
        <v>490</v>
      </c>
      <c r="F41" s="64"/>
      <c r="H41" s="113" t="s">
        <v>490</v>
      </c>
      <c r="I41" s="52" t="str">
        <f t="shared" ref="I41:I42" si="7">F41</f>
        <v/>
      </c>
      <c r="K41" s="289" t="s">
        <v>505</v>
      </c>
      <c r="L41" s="20"/>
      <c r="M41" s="20"/>
      <c r="N41" s="290" t="str">
        <f>F32</f>
        <v/>
      </c>
      <c r="O41" s="290" t="s">
        <v>506</v>
      </c>
      <c r="P41" s="290" t="str">
        <f>F41</f>
        <v/>
      </c>
      <c r="Q41" s="12" t="s">
        <v>507</v>
      </c>
      <c r="R41" s="68">
        <f t="shared" ref="R41:R42" si="8">F43</f>
        <v>0</v>
      </c>
    </row>
    <row r="42" ht="15.75" customHeight="1">
      <c r="E42" s="113" t="s">
        <v>20</v>
      </c>
      <c r="F42" s="64"/>
      <c r="H42" s="113" t="s">
        <v>20</v>
      </c>
      <c r="I42" s="52" t="str">
        <f t="shared" si="7"/>
        <v/>
      </c>
      <c r="K42" s="289" t="s">
        <v>509</v>
      </c>
      <c r="L42" s="20"/>
      <c r="M42" s="20"/>
      <c r="N42" s="290" t="str">
        <f>N41</f>
        <v/>
      </c>
      <c r="O42" s="290" t="s">
        <v>506</v>
      </c>
      <c r="P42" s="291" t="str">
        <f>P41</f>
        <v/>
      </c>
      <c r="Q42" s="292" t="s">
        <v>507</v>
      </c>
      <c r="R42" s="64">
        <f t="shared" si="8"/>
        <v>0</v>
      </c>
    </row>
    <row r="43" ht="15.75" customHeight="1">
      <c r="E43" s="113" t="s">
        <v>492</v>
      </c>
      <c r="F43" s="85">
        <f>(F39/1000)*(F41-F32)</f>
        <v>0</v>
      </c>
      <c r="G43" s="43"/>
      <c r="H43" s="113" t="s">
        <v>492</v>
      </c>
      <c r="I43" s="85">
        <f>IF(I41&lt;14,(C21/13)*I41,C21+((C22/27)*(I41-13)))</f>
        <v>0</v>
      </c>
      <c r="K43" s="289" t="s">
        <v>510</v>
      </c>
      <c r="L43" s="20"/>
      <c r="M43" s="20"/>
      <c r="N43" s="290" t="str">
        <f>P42</f>
        <v/>
      </c>
      <c r="O43" s="12" t="s">
        <v>507</v>
      </c>
      <c r="P43" s="293">
        <f t="shared" ref="P43:P44" si="9">I43</f>
        <v>0</v>
      </c>
      <c r="Q43" s="20"/>
      <c r="R43" s="21"/>
    </row>
    <row r="44" ht="15.75" customHeight="1">
      <c r="E44" s="113" t="s">
        <v>494</v>
      </c>
      <c r="F44" s="52">
        <f>F42-F33</f>
        <v>0</v>
      </c>
      <c r="G44" s="43"/>
      <c r="H44" s="113" t="s">
        <v>494</v>
      </c>
      <c r="I44" s="52">
        <f>F42-C24</f>
        <v>0</v>
      </c>
      <c r="K44" s="289" t="s">
        <v>512</v>
      </c>
      <c r="L44" s="20"/>
      <c r="M44" s="20"/>
      <c r="N44" s="290" t="str">
        <f>P42</f>
        <v/>
      </c>
      <c r="O44" s="12" t="s">
        <v>507</v>
      </c>
      <c r="P44" s="289">
        <f t="shared" si="9"/>
        <v>0</v>
      </c>
      <c r="Q44" s="20"/>
      <c r="R44" s="21"/>
    </row>
    <row r="45" ht="15.75" customHeight="1">
      <c r="E45" s="113" t="s">
        <v>495</v>
      </c>
      <c r="F45" s="294" t="str">
        <f>(F42/(C25*C25))</f>
        <v>#DIV/0!</v>
      </c>
      <c r="G45" s="43"/>
      <c r="H45" s="113" t="s">
        <v>495</v>
      </c>
      <c r="I45" s="294" t="str">
        <f>(F42/(C25*C25))</f>
        <v>#DIV/0!</v>
      </c>
    </row>
    <row r="46" ht="15.75" customHeight="1"/>
    <row r="47" ht="15.75" customHeight="1">
      <c r="B47" s="258" t="s">
        <v>578</v>
      </c>
      <c r="C47" s="60"/>
      <c r="D47" s="60"/>
      <c r="E47" s="60"/>
      <c r="F47" s="60"/>
      <c r="G47" s="60"/>
      <c r="H47" s="60"/>
      <c r="I47" s="60"/>
      <c r="J47" s="60"/>
      <c r="K47" s="60"/>
      <c r="L47" s="58"/>
      <c r="M47" s="58"/>
      <c r="N47" s="58"/>
      <c r="O47" s="58"/>
      <c r="P47" s="58"/>
      <c r="Q47" s="58"/>
      <c r="R47" s="58"/>
    </row>
    <row r="48" ht="15.75" customHeight="1"/>
    <row r="49" ht="15.75" customHeight="1">
      <c r="B49" s="303" t="s">
        <v>579</v>
      </c>
      <c r="C49" s="289"/>
      <c r="D49" s="21"/>
      <c r="F49" s="19" t="s">
        <v>580</v>
      </c>
      <c r="G49" s="20"/>
      <c r="H49" s="20"/>
      <c r="I49" s="21"/>
      <c r="K49" s="45" t="s">
        <v>581</v>
      </c>
      <c r="L49" s="21"/>
    </row>
    <row r="50" ht="15.75" customHeight="1">
      <c r="B50" s="303" t="s">
        <v>582</v>
      </c>
      <c r="C50" s="331">
        <f>263.4+(65.3*C49)-(0.454*(C49*C49))</f>
        <v>263.4</v>
      </c>
      <c r="D50" s="21"/>
      <c r="F50" s="303" t="s">
        <v>532</v>
      </c>
      <c r="G50" s="332" t="s">
        <v>583</v>
      </c>
      <c r="H50" s="332" t="s">
        <v>584</v>
      </c>
      <c r="I50" s="332" t="s">
        <v>534</v>
      </c>
      <c r="K50" s="251" t="s">
        <v>274</v>
      </c>
      <c r="L50" s="251" t="s">
        <v>218</v>
      </c>
      <c r="T50" s="287"/>
      <c r="U50" s="287"/>
      <c r="V50" s="287"/>
    </row>
    <row r="51" ht="15.75" customHeight="1">
      <c r="B51" s="303" t="s">
        <v>585</v>
      </c>
      <c r="C51" s="289"/>
      <c r="D51" s="21"/>
      <c r="F51" s="303" t="s">
        <v>462</v>
      </c>
      <c r="G51" s="40" t="s">
        <v>536</v>
      </c>
      <c r="H51" s="40" t="s">
        <v>536</v>
      </c>
      <c r="I51" s="40" t="s">
        <v>536</v>
      </c>
      <c r="K51" s="333" t="s">
        <v>586</v>
      </c>
      <c r="L51" s="334" t="s">
        <v>587</v>
      </c>
      <c r="T51" s="287"/>
      <c r="U51" s="335" t="s">
        <v>279</v>
      </c>
      <c r="V51" s="287"/>
    </row>
    <row r="52" ht="15.75" customHeight="1">
      <c r="B52" s="303" t="s">
        <v>588</v>
      </c>
      <c r="C52" s="289"/>
      <c r="D52" s="21"/>
      <c r="F52" s="303" t="s">
        <v>470</v>
      </c>
      <c r="G52" s="40" t="s">
        <v>538</v>
      </c>
      <c r="H52" s="40" t="s">
        <v>539</v>
      </c>
      <c r="I52" s="40" t="s">
        <v>540</v>
      </c>
      <c r="K52" s="333" t="s">
        <v>589</v>
      </c>
      <c r="L52" s="334" t="s">
        <v>587</v>
      </c>
      <c r="T52" s="287"/>
      <c r="U52" s="335" t="s">
        <v>272</v>
      </c>
      <c r="V52" s="287"/>
    </row>
    <row r="53" ht="15.75" customHeight="1">
      <c r="B53" s="303" t="s">
        <v>413</v>
      </c>
      <c r="C53" s="331">
        <f>U54</f>
        <v>302.91</v>
      </c>
      <c r="D53" s="21"/>
      <c r="F53" s="303" t="s">
        <v>346</v>
      </c>
      <c r="G53" s="40" t="s">
        <v>427</v>
      </c>
      <c r="H53" s="40" t="s">
        <v>590</v>
      </c>
      <c r="I53" s="40" t="s">
        <v>590</v>
      </c>
      <c r="K53" s="333" t="s">
        <v>591</v>
      </c>
      <c r="L53" s="334" t="s">
        <v>592</v>
      </c>
      <c r="T53" s="287"/>
      <c r="U53" s="335" t="s">
        <v>288</v>
      </c>
      <c r="V53" s="287"/>
    </row>
    <row r="54" ht="15.75" customHeight="1">
      <c r="B54" s="336" t="s">
        <v>537</v>
      </c>
      <c r="C54" s="336"/>
      <c r="D54" s="53"/>
      <c r="F54" s="303" t="s">
        <v>43</v>
      </c>
      <c r="G54" s="40" t="s">
        <v>427</v>
      </c>
      <c r="H54" s="40" t="s">
        <v>593</v>
      </c>
      <c r="I54" s="40" t="s">
        <v>593</v>
      </c>
      <c r="K54" s="333" t="s">
        <v>594</v>
      </c>
      <c r="L54" s="334" t="s">
        <v>595</v>
      </c>
      <c r="T54" s="287"/>
      <c r="U54" s="335">
        <f>IF(C52="Moderado",C50+(C51*2),IF(C52="Sedentario",(C50+(C51*2))*0.85,(C50+(C51*2))*1.15))</f>
        <v>302.91</v>
      </c>
      <c r="V54" s="287"/>
    </row>
    <row r="55" ht="15.75" customHeight="1">
      <c r="B55" s="337" t="s">
        <v>543</v>
      </c>
      <c r="C55" s="21"/>
      <c r="D55" s="55">
        <f>SUM(D54,C53)</f>
        <v>302.91</v>
      </c>
      <c r="K55" s="333" t="s">
        <v>596</v>
      </c>
      <c r="L55" s="334" t="s">
        <v>597</v>
      </c>
      <c r="T55" s="287"/>
      <c r="U55" s="287"/>
      <c r="V55" s="287"/>
    </row>
    <row r="56" ht="15.75" customHeight="1">
      <c r="K56" s="333" t="s">
        <v>598</v>
      </c>
      <c r="L56" s="334" t="s">
        <v>599</v>
      </c>
    </row>
    <row r="57" ht="15.75" customHeight="1">
      <c r="K57" s="333" t="s">
        <v>600</v>
      </c>
      <c r="L57" s="334" t="s">
        <v>601</v>
      </c>
    </row>
    <row r="58" ht="15.75" customHeight="1">
      <c r="K58" s="333" t="s">
        <v>602</v>
      </c>
      <c r="L58" s="334" t="s">
        <v>603</v>
      </c>
    </row>
    <row r="59" ht="15.75" customHeight="1"/>
    <row r="60" ht="15.75" customHeight="1">
      <c r="B60" s="258" t="s">
        <v>300</v>
      </c>
      <c r="C60" s="60"/>
      <c r="D60" s="60"/>
      <c r="E60" s="60"/>
      <c r="F60" s="60"/>
      <c r="G60" s="60"/>
      <c r="H60" s="60"/>
      <c r="I60" s="60"/>
      <c r="J60" s="60"/>
      <c r="K60" s="60"/>
      <c r="L60" s="58"/>
      <c r="M60" s="58"/>
      <c r="N60" s="58"/>
      <c r="O60" s="58"/>
      <c r="P60" s="58"/>
      <c r="Q60" s="58"/>
      <c r="R60" s="58"/>
    </row>
    <row r="61" ht="15.75" customHeight="1"/>
    <row r="62" ht="15.75" customHeight="1">
      <c r="B62" s="19" t="s">
        <v>300</v>
      </c>
      <c r="C62" s="20"/>
      <c r="D62" s="20"/>
      <c r="E62" s="20"/>
      <c r="F62" s="20"/>
      <c r="G62" s="21"/>
      <c r="I62" s="19" t="s">
        <v>216</v>
      </c>
      <c r="J62" s="20"/>
      <c r="K62" s="21"/>
    </row>
    <row r="63" ht="15.75" customHeight="1">
      <c r="B63" s="23" t="s">
        <v>217</v>
      </c>
      <c r="C63" s="23" t="s">
        <v>218</v>
      </c>
      <c r="D63" s="23" t="s">
        <v>219</v>
      </c>
      <c r="E63" s="23" t="s">
        <v>220</v>
      </c>
      <c r="F63" s="130" t="s">
        <v>221</v>
      </c>
      <c r="G63" s="21"/>
      <c r="I63" s="174" t="s">
        <v>224</v>
      </c>
      <c r="J63" s="21"/>
      <c r="K63" s="52" t="s">
        <v>301</v>
      </c>
    </row>
    <row r="64" ht="15.75" customHeight="1">
      <c r="B64" s="94" t="s">
        <v>224</v>
      </c>
      <c r="C64" s="95">
        <f>(G66*C77)</f>
        <v>0</v>
      </c>
      <c r="D64" s="96">
        <f>(C64*4)</f>
        <v>0</v>
      </c>
      <c r="E64" s="95">
        <f>((100/D76)*D64)</f>
        <v>0</v>
      </c>
      <c r="F64" s="113" t="s">
        <v>225</v>
      </c>
      <c r="G64" s="141">
        <f>((G65/100)*C64)</f>
        <v>0</v>
      </c>
      <c r="I64" s="174" t="s">
        <v>226</v>
      </c>
      <c r="J64" s="21"/>
      <c r="K64" s="304">
        <v>1.53</v>
      </c>
    </row>
    <row r="65" ht="15.75" customHeight="1">
      <c r="B65" s="99"/>
      <c r="C65" s="99"/>
      <c r="D65" s="99"/>
      <c r="E65" s="99"/>
      <c r="F65" s="113" t="s">
        <v>228</v>
      </c>
      <c r="G65" s="227"/>
      <c r="I65" s="174" t="s">
        <v>547</v>
      </c>
      <c r="J65" s="21"/>
      <c r="K65" s="304">
        <v>1.7</v>
      </c>
    </row>
    <row r="66" ht="15.75" customHeight="1">
      <c r="B66" s="100"/>
      <c r="C66" s="100"/>
      <c r="D66" s="100"/>
      <c r="E66" s="100"/>
      <c r="F66" s="113" t="s">
        <v>231</v>
      </c>
      <c r="G66" s="227"/>
      <c r="I66" s="174" t="s">
        <v>229</v>
      </c>
      <c r="J66" s="21"/>
      <c r="K66" s="52" t="s">
        <v>230</v>
      </c>
    </row>
    <row r="67" ht="15.75" customHeight="1">
      <c r="B67" s="94" t="s">
        <v>234</v>
      </c>
      <c r="C67" s="95">
        <f>(D67/9)</f>
        <v>0</v>
      </c>
      <c r="D67" s="96">
        <f>((D76/100)*E67)</f>
        <v>0</v>
      </c>
      <c r="E67" s="228"/>
      <c r="F67" s="113" t="s">
        <v>235</v>
      </c>
      <c r="G67" s="137">
        <f>(((D76/100)*G68)/9)</f>
        <v>0</v>
      </c>
      <c r="I67" s="174" t="s">
        <v>302</v>
      </c>
      <c r="J67" s="21"/>
      <c r="K67" s="52" t="s">
        <v>233</v>
      </c>
    </row>
    <row r="68" ht="15.75" customHeight="1">
      <c r="B68" s="99"/>
      <c r="C68" s="99"/>
      <c r="D68" s="99"/>
      <c r="E68" s="99"/>
      <c r="F68" s="113" t="s">
        <v>238</v>
      </c>
      <c r="G68" s="227"/>
      <c r="I68" s="97" t="s">
        <v>303</v>
      </c>
      <c r="J68" s="97"/>
      <c r="K68" s="52" t="s">
        <v>237</v>
      </c>
    </row>
    <row r="69" ht="15.75" customHeight="1">
      <c r="B69" s="99"/>
      <c r="C69" s="99"/>
      <c r="D69" s="99"/>
      <c r="E69" s="99"/>
      <c r="F69" s="113" t="s">
        <v>241</v>
      </c>
      <c r="G69" s="137">
        <f>(((D76/100)*G70)/9)</f>
        <v>0</v>
      </c>
      <c r="I69" s="97" t="s">
        <v>304</v>
      </c>
      <c r="J69" s="97"/>
      <c r="K69" s="52" t="s">
        <v>305</v>
      </c>
    </row>
    <row r="70" ht="15.75" customHeight="1">
      <c r="B70" s="99"/>
      <c r="C70" s="99"/>
      <c r="D70" s="99"/>
      <c r="E70" s="99"/>
      <c r="F70" s="113" t="s">
        <v>243</v>
      </c>
      <c r="G70" s="141">
        <f>(E67-G68)-G72</f>
        <v>0</v>
      </c>
      <c r="I70" s="174" t="s">
        <v>242</v>
      </c>
      <c r="J70" s="21"/>
      <c r="K70" s="52" t="s">
        <v>237</v>
      </c>
    </row>
    <row r="71" ht="15.75" customHeight="1">
      <c r="B71" s="99"/>
      <c r="C71" s="99"/>
      <c r="D71" s="99"/>
      <c r="E71" s="99"/>
      <c r="F71" s="113" t="s">
        <v>246</v>
      </c>
      <c r="G71" s="137">
        <f>(((D76/100)*G72)/9)</f>
        <v>0</v>
      </c>
      <c r="I71" s="174" t="s">
        <v>247</v>
      </c>
      <c r="J71" s="21"/>
      <c r="K71" s="52" t="s">
        <v>248</v>
      </c>
    </row>
    <row r="72" ht="15.75" customHeight="1">
      <c r="B72" s="99"/>
      <c r="C72" s="99"/>
      <c r="D72" s="99"/>
      <c r="E72" s="99"/>
      <c r="F72" s="113" t="s">
        <v>249</v>
      </c>
      <c r="G72" s="227"/>
      <c r="I72" s="174" t="s">
        <v>244</v>
      </c>
      <c r="J72" s="21"/>
      <c r="K72" s="52" t="s">
        <v>245</v>
      </c>
    </row>
    <row r="73" ht="15.75" customHeight="1">
      <c r="B73" s="100"/>
      <c r="C73" s="100"/>
      <c r="D73" s="100"/>
      <c r="E73" s="100"/>
      <c r="F73" s="113" t="s">
        <v>252</v>
      </c>
      <c r="G73" s="227"/>
      <c r="I73" s="174" t="s">
        <v>250</v>
      </c>
      <c r="J73" s="21"/>
      <c r="K73" s="52" t="s">
        <v>251</v>
      </c>
    </row>
    <row r="74" ht="15.75" customHeight="1">
      <c r="B74" s="94" t="s">
        <v>254</v>
      </c>
      <c r="C74" s="95">
        <f>(D74/4)</f>
        <v>75.7275</v>
      </c>
      <c r="D74" s="96">
        <f>((D76/100)*E74)</f>
        <v>302.91</v>
      </c>
      <c r="E74" s="95">
        <f>(100-E77)</f>
        <v>100</v>
      </c>
      <c r="F74" s="113" t="s">
        <v>255</v>
      </c>
      <c r="G74" s="141">
        <f>(((D76/100)*G75)/4)</f>
        <v>0</v>
      </c>
      <c r="I74" s="174" t="s">
        <v>252</v>
      </c>
      <c r="J74" s="21"/>
      <c r="K74" s="52" t="s">
        <v>253</v>
      </c>
    </row>
    <row r="75" ht="15.75" customHeight="1">
      <c r="B75" s="100"/>
      <c r="C75" s="100"/>
      <c r="D75" s="100"/>
      <c r="E75" s="100"/>
      <c r="F75" s="113" t="s">
        <v>258</v>
      </c>
      <c r="G75" s="227"/>
      <c r="I75" s="97" t="s">
        <v>256</v>
      </c>
      <c r="J75" s="97"/>
      <c r="K75" s="52" t="s">
        <v>257</v>
      </c>
    </row>
    <row r="76" ht="15.75" customHeight="1">
      <c r="B76" s="104" t="s">
        <v>261</v>
      </c>
      <c r="C76" s="21"/>
      <c r="D76" s="84">
        <f>D55</f>
        <v>302.91</v>
      </c>
      <c r="E76" s="85">
        <f>SUM(E64:E75)</f>
        <v>100</v>
      </c>
      <c r="F76" s="113" t="s">
        <v>259</v>
      </c>
      <c r="G76" s="227"/>
      <c r="I76" s="174" t="s">
        <v>259</v>
      </c>
      <c r="J76" s="21"/>
      <c r="K76" s="52" t="s">
        <v>548</v>
      </c>
    </row>
    <row r="77" ht="15.75" customHeight="1">
      <c r="B77" s="108" t="s">
        <v>264</v>
      </c>
      <c r="C77" s="52" t="str">
        <f>C49</f>
        <v/>
      </c>
      <c r="D77" s="152">
        <f>SUM(D64:D75)</f>
        <v>302.91</v>
      </c>
      <c r="E77" s="153">
        <f>SUM(E64:E73)</f>
        <v>0</v>
      </c>
      <c r="F77" s="338"/>
      <c r="G77" s="339"/>
      <c r="I77" s="174" t="s">
        <v>262</v>
      </c>
      <c r="J77" s="21"/>
      <c r="K77" s="52" t="s">
        <v>263</v>
      </c>
    </row>
    <row r="78" ht="15.75" customHeight="1"/>
    <row r="79" ht="15.75" customHeight="1">
      <c r="B79" s="59" t="s">
        <v>309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</row>
    <row r="80" ht="15.75" customHeight="1"/>
    <row r="81" ht="15.75" customHeight="1">
      <c r="B81" s="157" t="s">
        <v>97</v>
      </c>
      <c r="C81" s="157" t="s">
        <v>98</v>
      </c>
      <c r="D81" s="157" t="s">
        <v>99</v>
      </c>
      <c r="E81" s="157" t="s">
        <v>100</v>
      </c>
      <c r="F81" s="157" t="s">
        <v>101</v>
      </c>
      <c r="G81" s="157" t="s">
        <v>102</v>
      </c>
      <c r="H81" s="157" t="s">
        <v>103</v>
      </c>
      <c r="I81" s="157" t="s">
        <v>104</v>
      </c>
      <c r="J81" s="157" t="s">
        <v>259</v>
      </c>
    </row>
    <row r="82" ht="15.75" customHeight="1">
      <c r="B82" s="118">
        <f>D76</f>
        <v>302.91</v>
      </c>
      <c r="C82" s="55">
        <f>C64</f>
        <v>0</v>
      </c>
      <c r="D82" s="55">
        <f>C67</f>
        <v>0</v>
      </c>
      <c r="E82" s="156">
        <f>G67</f>
        <v>0</v>
      </c>
      <c r="F82" s="156">
        <f>G69</f>
        <v>0</v>
      </c>
      <c r="G82" s="156">
        <f>G71</f>
        <v>0</v>
      </c>
      <c r="H82" s="26" t="str">
        <f>G73</f>
        <v/>
      </c>
      <c r="I82" s="55">
        <f>C74</f>
        <v>75.7275</v>
      </c>
      <c r="J82" s="55" t="str">
        <f>G76</f>
        <v/>
      </c>
    </row>
    <row r="83" ht="15.75" customHeight="1"/>
    <row r="84" ht="15.75" customHeight="1">
      <c r="B84" s="59" t="s">
        <v>310</v>
      </c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58"/>
      <c r="S84" s="61"/>
      <c r="T84" s="61"/>
      <c r="U84" s="61"/>
      <c r="V84" s="61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</row>
    <row r="85" ht="15.75" customHeight="1"/>
    <row r="86" ht="15.75" customHeight="1">
      <c r="B86" s="306" t="s">
        <v>95</v>
      </c>
      <c r="C86" s="20"/>
      <c r="D86" s="20"/>
      <c r="E86" s="20"/>
      <c r="F86" s="20"/>
      <c r="G86" s="21"/>
      <c r="H86" s="63" t="s">
        <v>96</v>
      </c>
      <c r="I86" s="63" t="s">
        <v>97</v>
      </c>
      <c r="J86" s="63" t="s">
        <v>98</v>
      </c>
      <c r="K86" s="63" t="s">
        <v>99</v>
      </c>
      <c r="L86" s="63" t="s">
        <v>100</v>
      </c>
      <c r="M86" s="63" t="s">
        <v>101</v>
      </c>
      <c r="N86" s="63" t="s">
        <v>102</v>
      </c>
      <c r="O86" s="63" t="s">
        <v>103</v>
      </c>
      <c r="P86" s="63" t="s">
        <v>104</v>
      </c>
      <c r="Q86" s="63" t="s">
        <v>105</v>
      </c>
      <c r="R86" s="157" t="s">
        <v>106</v>
      </c>
      <c r="S86" s="157" t="s">
        <v>107</v>
      </c>
      <c r="T86" s="157" t="s">
        <v>108</v>
      </c>
      <c r="U86" s="157" t="s">
        <v>109</v>
      </c>
      <c r="V86" s="157" t="s">
        <v>110</v>
      </c>
      <c r="W86" s="157" t="s">
        <v>111</v>
      </c>
      <c r="X86" s="157" t="s">
        <v>112</v>
      </c>
      <c r="Y86" s="157" t="s">
        <v>113</v>
      </c>
      <c r="Z86" s="157" t="s">
        <v>114</v>
      </c>
      <c r="AA86" s="157" t="s">
        <v>115</v>
      </c>
      <c r="AB86" s="157" t="s">
        <v>116</v>
      </c>
      <c r="AC86" s="157" t="s">
        <v>117</v>
      </c>
      <c r="AD86" s="157" t="s">
        <v>118</v>
      </c>
      <c r="AE86" s="157" t="s">
        <v>119</v>
      </c>
      <c r="AF86" s="157" t="s">
        <v>120</v>
      </c>
      <c r="AG86" s="157" t="s">
        <v>121</v>
      </c>
      <c r="AH86" s="157" t="s">
        <v>122</v>
      </c>
      <c r="AI86" s="157" t="s">
        <v>123</v>
      </c>
    </row>
    <row r="87" ht="15.75" customHeight="1">
      <c r="B87" s="158" t="s">
        <v>126</v>
      </c>
      <c r="C87" s="20"/>
      <c r="D87" s="20"/>
      <c r="E87" s="20"/>
      <c r="F87" s="20"/>
      <c r="G87" s="21"/>
      <c r="H87" s="66"/>
      <c r="I87" s="67">
        <f t="shared" ref="I87:I107" si="10">(J87*4)+(K87*9)+(P87*4)</f>
        <v>139.1</v>
      </c>
      <c r="J87" s="68">
        <v>6.7</v>
      </c>
      <c r="K87" s="68">
        <v>6.7</v>
      </c>
      <c r="L87" s="69">
        <v>4.4</v>
      </c>
      <c r="M87" s="69">
        <v>1.95</v>
      </c>
      <c r="N87" s="69">
        <v>0.49</v>
      </c>
      <c r="O87" s="67">
        <v>26.0</v>
      </c>
      <c r="P87" s="68">
        <v>13.0</v>
      </c>
      <c r="Q87" s="68">
        <v>0.0</v>
      </c>
      <c r="R87" s="67">
        <v>236.0</v>
      </c>
      <c r="S87" s="67">
        <v>173.0</v>
      </c>
      <c r="T87" s="68">
        <v>0.2</v>
      </c>
      <c r="U87" s="67">
        <v>96.0</v>
      </c>
      <c r="V87" s="67">
        <v>330.0</v>
      </c>
      <c r="W87" s="67">
        <v>25.0</v>
      </c>
      <c r="X87" s="69">
        <v>0.89</v>
      </c>
      <c r="Y87" s="69">
        <v>0.03</v>
      </c>
      <c r="Z87" s="69">
        <v>0.01</v>
      </c>
      <c r="AA87" s="67">
        <v>73.0</v>
      </c>
      <c r="AB87" s="69">
        <v>0.08</v>
      </c>
      <c r="AC87" s="69">
        <v>0.34</v>
      </c>
      <c r="AD87" s="68">
        <v>0.3</v>
      </c>
      <c r="AE87" s="69">
        <v>0.67</v>
      </c>
      <c r="AF87" s="69">
        <v>0.08</v>
      </c>
      <c r="AG87" s="67">
        <v>10.0</v>
      </c>
      <c r="AH87" s="69">
        <v>0.65</v>
      </c>
      <c r="AI87" s="67">
        <v>3.0</v>
      </c>
    </row>
    <row r="88" ht="15.75" customHeight="1">
      <c r="B88" s="158" t="s">
        <v>127</v>
      </c>
      <c r="C88" s="20"/>
      <c r="D88" s="20"/>
      <c r="E88" s="20"/>
      <c r="F88" s="20"/>
      <c r="G88" s="21"/>
      <c r="H88" s="66"/>
      <c r="I88" s="67">
        <f t="shared" si="10"/>
        <v>94.5</v>
      </c>
      <c r="J88" s="68">
        <v>5.4</v>
      </c>
      <c r="K88" s="68">
        <v>2.1</v>
      </c>
      <c r="L88" s="69">
        <v>0.87</v>
      </c>
      <c r="M88" s="69">
        <v>0.54</v>
      </c>
      <c r="N88" s="69">
        <v>0.35</v>
      </c>
      <c r="O88" s="67">
        <v>5.0</v>
      </c>
      <c r="P88" s="68">
        <v>13.5</v>
      </c>
      <c r="Q88" s="68">
        <v>0.8</v>
      </c>
      <c r="R88" s="67">
        <v>153.0</v>
      </c>
      <c r="S88" s="67">
        <v>143.0</v>
      </c>
      <c r="T88" s="68">
        <v>0.4</v>
      </c>
      <c r="U88" s="67">
        <v>72.0</v>
      </c>
      <c r="V88" s="67">
        <v>268.0</v>
      </c>
      <c r="W88" s="67">
        <v>25.0</v>
      </c>
      <c r="X88" s="69">
        <v>1.24</v>
      </c>
      <c r="Y88" s="69">
        <v>0.06</v>
      </c>
      <c r="Z88" s="69">
        <v>0.11</v>
      </c>
      <c r="AA88" s="67">
        <v>76.0</v>
      </c>
      <c r="AB88" s="69">
        <v>0.12</v>
      </c>
      <c r="AC88" s="69">
        <v>0.25</v>
      </c>
      <c r="AD88" s="68">
        <v>0.2</v>
      </c>
      <c r="AE88" s="69">
        <v>0.41</v>
      </c>
      <c r="AF88" s="69">
        <v>0.06</v>
      </c>
      <c r="AG88" s="67">
        <v>8.0</v>
      </c>
      <c r="AH88" s="69">
        <v>0.5</v>
      </c>
      <c r="AI88" s="67">
        <v>4.0</v>
      </c>
    </row>
    <row r="89" ht="15.75" customHeight="1">
      <c r="B89" s="158" t="s">
        <v>128</v>
      </c>
      <c r="C89" s="20"/>
      <c r="D89" s="20"/>
      <c r="E89" s="20"/>
      <c r="F89" s="20"/>
      <c r="G89" s="21"/>
      <c r="H89" s="66"/>
      <c r="I89" s="67">
        <f t="shared" si="10"/>
        <v>82.3</v>
      </c>
      <c r="J89" s="68">
        <v>9.0</v>
      </c>
      <c r="K89" s="68">
        <v>0.7</v>
      </c>
      <c r="L89" s="69">
        <v>0.45</v>
      </c>
      <c r="M89" s="69">
        <v>0.18</v>
      </c>
      <c r="N89" s="69">
        <v>0.03</v>
      </c>
      <c r="O89" s="67">
        <v>6.0</v>
      </c>
      <c r="P89" s="68">
        <v>10.0</v>
      </c>
      <c r="Q89" s="68">
        <v>0.0</v>
      </c>
      <c r="R89" s="67">
        <v>256.0</v>
      </c>
      <c r="S89" s="67">
        <v>214.0</v>
      </c>
      <c r="T89" s="68">
        <v>0.1</v>
      </c>
      <c r="U89" s="67">
        <v>101.0</v>
      </c>
      <c r="V89" s="67">
        <v>340.0</v>
      </c>
      <c r="W89" s="67">
        <v>24.0</v>
      </c>
      <c r="X89" s="69">
        <v>1.05</v>
      </c>
      <c r="Y89" s="69">
        <v>0.02</v>
      </c>
      <c r="Z89" s="69">
        <v>0.01</v>
      </c>
      <c r="AA89" s="67">
        <v>89.0</v>
      </c>
      <c r="AB89" s="69">
        <v>0.08</v>
      </c>
      <c r="AC89" s="69">
        <v>0.33</v>
      </c>
      <c r="AD89" s="68">
        <v>0.2</v>
      </c>
      <c r="AE89" s="69">
        <v>0.79</v>
      </c>
      <c r="AF89" s="69">
        <v>0.08</v>
      </c>
      <c r="AG89" s="67">
        <v>14.0</v>
      </c>
      <c r="AH89" s="69">
        <v>0.84</v>
      </c>
      <c r="AI89" s="67">
        <v>2.0</v>
      </c>
    </row>
    <row r="90" ht="15.75" customHeight="1">
      <c r="B90" s="158" t="s">
        <v>129</v>
      </c>
      <c r="C90" s="20"/>
      <c r="D90" s="20"/>
      <c r="E90" s="20"/>
      <c r="F90" s="20"/>
      <c r="G90" s="21"/>
      <c r="H90" s="66"/>
      <c r="I90" s="67">
        <f t="shared" si="10"/>
        <v>170.7</v>
      </c>
      <c r="J90" s="68">
        <v>6.4</v>
      </c>
      <c r="K90" s="68">
        <v>5.9</v>
      </c>
      <c r="L90" s="69">
        <v>3.8</v>
      </c>
      <c r="M90" s="69">
        <v>1.91</v>
      </c>
      <c r="N90" s="69">
        <v>0.63</v>
      </c>
      <c r="O90" s="67">
        <v>22.0</v>
      </c>
      <c r="P90" s="68">
        <v>23.0</v>
      </c>
      <c r="Q90" s="68">
        <v>0.4</v>
      </c>
      <c r="R90" s="67">
        <v>258.0</v>
      </c>
      <c r="S90" s="67">
        <v>169.0</v>
      </c>
      <c r="T90" s="68">
        <v>0.3</v>
      </c>
      <c r="U90" s="67">
        <v>115.0</v>
      </c>
      <c r="V90" s="67">
        <v>334.0</v>
      </c>
      <c r="W90" s="67">
        <v>27.0</v>
      </c>
      <c r="X90" s="69">
        <v>1.03</v>
      </c>
      <c r="Y90" s="69">
        <v>0.05</v>
      </c>
      <c r="Z90" s="69">
        <v>0.04</v>
      </c>
      <c r="AA90" s="67">
        <v>45.0</v>
      </c>
      <c r="AB90" s="69">
        <v>0.08</v>
      </c>
      <c r="AC90" s="69">
        <v>0.37</v>
      </c>
      <c r="AD90" s="68">
        <v>0.2</v>
      </c>
      <c r="AE90" s="69">
        <v>0.73</v>
      </c>
      <c r="AF90" s="69">
        <v>0.08</v>
      </c>
      <c r="AG90" s="67">
        <v>13.0</v>
      </c>
      <c r="AH90" s="69">
        <v>0.76</v>
      </c>
      <c r="AI90" s="67">
        <v>3.0</v>
      </c>
    </row>
    <row r="91" ht="15.75" customHeight="1">
      <c r="B91" s="160" t="s">
        <v>138</v>
      </c>
      <c r="C91" s="20"/>
      <c r="D91" s="20"/>
      <c r="E91" s="20"/>
      <c r="F91" s="20"/>
      <c r="G91" s="21"/>
      <c r="H91" s="66"/>
      <c r="I91" s="67">
        <f t="shared" si="10"/>
        <v>77.1</v>
      </c>
      <c r="J91" s="68">
        <v>5.8</v>
      </c>
      <c r="K91" s="68">
        <v>5.5</v>
      </c>
      <c r="L91" s="69">
        <v>2.91</v>
      </c>
      <c r="M91" s="69">
        <v>1.94</v>
      </c>
      <c r="N91" s="69">
        <v>0.41</v>
      </c>
      <c r="O91" s="67">
        <v>40.0</v>
      </c>
      <c r="P91" s="68">
        <v>1.1</v>
      </c>
      <c r="Q91" s="68">
        <v>0.0</v>
      </c>
      <c r="R91" s="67">
        <v>95.0</v>
      </c>
      <c r="S91" s="67">
        <v>85.0</v>
      </c>
      <c r="T91" s="68">
        <v>1.1</v>
      </c>
      <c r="U91" s="67">
        <v>211.0</v>
      </c>
      <c r="V91" s="67">
        <v>52.0</v>
      </c>
      <c r="W91" s="67">
        <v>6.0</v>
      </c>
      <c r="X91" s="69">
        <v>0.65</v>
      </c>
      <c r="Y91" s="69">
        <v>0.03</v>
      </c>
      <c r="Z91" s="69">
        <v>0.01</v>
      </c>
      <c r="AA91" s="67">
        <v>45.0</v>
      </c>
      <c r="AB91" s="69">
        <v>0.04</v>
      </c>
      <c r="AC91" s="69">
        <v>0.1</v>
      </c>
      <c r="AD91" s="68">
        <v>0.4</v>
      </c>
      <c r="AE91" s="69">
        <v>0.16</v>
      </c>
      <c r="AF91" s="69">
        <v>0.05</v>
      </c>
      <c r="AG91" s="67">
        <v>4.0</v>
      </c>
      <c r="AH91" s="69">
        <v>0.72</v>
      </c>
      <c r="AI91" s="67">
        <v>0.0</v>
      </c>
    </row>
    <row r="92" ht="15.75" customHeight="1">
      <c r="B92" s="160" t="s">
        <v>311</v>
      </c>
      <c r="C92" s="20"/>
      <c r="D92" s="20"/>
      <c r="E92" s="20"/>
      <c r="F92" s="20"/>
      <c r="G92" s="21"/>
      <c r="H92" s="66"/>
      <c r="I92" s="67">
        <f t="shared" si="10"/>
        <v>108.3</v>
      </c>
      <c r="J92" s="68">
        <v>19.1</v>
      </c>
      <c r="K92" s="68">
        <v>3.1</v>
      </c>
      <c r="L92" s="69">
        <v>0.92</v>
      </c>
      <c r="M92" s="69">
        <v>1.16</v>
      </c>
      <c r="N92" s="69">
        <v>0.53</v>
      </c>
      <c r="O92" s="67">
        <v>50.0</v>
      </c>
      <c r="P92" s="68">
        <v>1.0</v>
      </c>
      <c r="Q92" s="68">
        <v>0.3</v>
      </c>
      <c r="R92" s="67">
        <v>22.0</v>
      </c>
      <c r="S92" s="67">
        <v>191.0</v>
      </c>
      <c r="T92" s="68">
        <v>1.5</v>
      </c>
      <c r="U92" s="67">
        <v>72.0</v>
      </c>
      <c r="V92" s="67">
        <v>325.0</v>
      </c>
      <c r="W92" s="67">
        <v>28.0</v>
      </c>
      <c r="X92" s="69">
        <v>1.81</v>
      </c>
      <c r="Y92" s="69">
        <v>0.11</v>
      </c>
      <c r="Z92" s="69">
        <v>0.12</v>
      </c>
      <c r="AA92" s="67">
        <v>7.0</v>
      </c>
      <c r="AB92" s="69">
        <v>0.19</v>
      </c>
      <c r="AC92" s="69">
        <v>0.18</v>
      </c>
      <c r="AD92" s="68">
        <v>5.6</v>
      </c>
      <c r="AE92" s="69">
        <v>0.78</v>
      </c>
      <c r="AF92" s="69">
        <v>0.35</v>
      </c>
      <c r="AG92" s="67">
        <v>15.0</v>
      </c>
      <c r="AH92" s="69">
        <v>2.39</v>
      </c>
      <c r="AI92" s="67">
        <v>1.0</v>
      </c>
    </row>
    <row r="93" ht="15.75" customHeight="1">
      <c r="B93" s="160" t="s">
        <v>312</v>
      </c>
      <c r="C93" s="20"/>
      <c r="D93" s="20"/>
      <c r="E93" s="20"/>
      <c r="F93" s="20"/>
      <c r="G93" s="21"/>
      <c r="H93" s="66"/>
      <c r="I93" s="67">
        <f t="shared" si="10"/>
        <v>138.7</v>
      </c>
      <c r="J93" s="68">
        <v>15.6</v>
      </c>
      <c r="K93" s="68">
        <v>7.9</v>
      </c>
      <c r="L93" s="69">
        <v>2.51</v>
      </c>
      <c r="M93" s="69">
        <v>3.3</v>
      </c>
      <c r="N93" s="69">
        <v>1.25</v>
      </c>
      <c r="O93" s="67">
        <v>137.0</v>
      </c>
      <c r="P93" s="68">
        <v>1.3</v>
      </c>
      <c r="Q93" s="68">
        <v>0.0</v>
      </c>
      <c r="R93" s="67">
        <v>37.0</v>
      </c>
      <c r="S93" s="67">
        <v>186.0</v>
      </c>
      <c r="T93" s="68">
        <v>2.5</v>
      </c>
      <c r="U93" s="67">
        <v>101.0</v>
      </c>
      <c r="V93" s="67">
        <v>234.0</v>
      </c>
      <c r="W93" s="67">
        <v>20.0</v>
      </c>
      <c r="X93" s="69">
        <v>1.87</v>
      </c>
      <c r="Y93" s="69">
        <v>0.47</v>
      </c>
      <c r="Z93" s="69">
        <v>0.09</v>
      </c>
      <c r="AA93" s="67">
        <v>1515.0</v>
      </c>
      <c r="AB93" s="69">
        <v>0.07</v>
      </c>
      <c r="AC93" s="69">
        <v>0.53</v>
      </c>
      <c r="AD93" s="68">
        <v>4.4</v>
      </c>
      <c r="AE93" s="69">
        <v>1.67</v>
      </c>
      <c r="AF93" s="69">
        <v>0.27</v>
      </c>
      <c r="AG93" s="67">
        <v>87.0</v>
      </c>
      <c r="AH93" s="69">
        <v>10.58</v>
      </c>
      <c r="AI93" s="67">
        <v>6.0</v>
      </c>
    </row>
    <row r="94" ht="15.75" customHeight="1">
      <c r="B94" s="160" t="s">
        <v>153</v>
      </c>
      <c r="C94" s="20"/>
      <c r="D94" s="20"/>
      <c r="E94" s="20"/>
      <c r="F94" s="20"/>
      <c r="G94" s="21"/>
      <c r="H94" s="66"/>
      <c r="I94" s="67">
        <f t="shared" si="10"/>
        <v>158.1</v>
      </c>
      <c r="J94" s="68">
        <v>9.8</v>
      </c>
      <c r="K94" s="68">
        <v>1.7</v>
      </c>
      <c r="L94" s="69">
        <v>0.25</v>
      </c>
      <c r="M94" s="69">
        <v>0.32</v>
      </c>
      <c r="N94" s="69">
        <v>0.94</v>
      </c>
      <c r="O94" s="67">
        <v>0.0</v>
      </c>
      <c r="P94" s="68">
        <v>25.9</v>
      </c>
      <c r="Q94" s="68">
        <v>7.9</v>
      </c>
      <c r="R94" s="67">
        <v>50.0</v>
      </c>
      <c r="S94" s="67">
        <v>167.0</v>
      </c>
      <c r="T94" s="68">
        <v>3.1</v>
      </c>
      <c r="U94" s="67">
        <v>10.0</v>
      </c>
      <c r="V94" s="67">
        <v>534.0</v>
      </c>
      <c r="W94" s="67">
        <v>62.0</v>
      </c>
      <c r="X94" s="69">
        <v>1.22</v>
      </c>
      <c r="Y94" s="69">
        <v>0.28</v>
      </c>
      <c r="Z94" s="69">
        <v>0.6</v>
      </c>
      <c r="AA94" s="67">
        <v>10.0</v>
      </c>
      <c r="AB94" s="69">
        <v>0.2</v>
      </c>
      <c r="AC94" s="69">
        <v>0.09</v>
      </c>
      <c r="AD94" s="68">
        <v>0.9</v>
      </c>
      <c r="AE94" s="69">
        <v>0.42</v>
      </c>
      <c r="AF94" s="69">
        <v>0.16</v>
      </c>
      <c r="AG94" s="67">
        <v>142.0</v>
      </c>
      <c r="AH94" s="69">
        <v>0.0</v>
      </c>
      <c r="AI94" s="67">
        <v>4.0</v>
      </c>
    </row>
    <row r="95" ht="15.0" customHeight="1">
      <c r="B95" s="158" t="s">
        <v>159</v>
      </c>
      <c r="C95" s="20"/>
      <c r="D95" s="20"/>
      <c r="E95" s="20"/>
      <c r="F95" s="20"/>
      <c r="G95" s="21"/>
      <c r="H95" s="66"/>
      <c r="I95" s="67">
        <f t="shared" si="10"/>
        <v>93.8</v>
      </c>
      <c r="J95" s="68">
        <v>2.5</v>
      </c>
      <c r="K95" s="68">
        <v>1.0</v>
      </c>
      <c r="L95" s="69">
        <v>0.24</v>
      </c>
      <c r="M95" s="69">
        <v>0.32</v>
      </c>
      <c r="N95" s="69">
        <v>0.33</v>
      </c>
      <c r="O95" s="67">
        <v>1.0</v>
      </c>
      <c r="P95" s="68">
        <v>18.7</v>
      </c>
      <c r="Q95" s="68">
        <v>1.2</v>
      </c>
      <c r="R95" s="67">
        <v>19.0</v>
      </c>
      <c r="S95" s="67">
        <v>47.0</v>
      </c>
      <c r="T95" s="68">
        <v>0.9</v>
      </c>
      <c r="U95" s="67">
        <v>82.0</v>
      </c>
      <c r="V95" s="67">
        <v>53.0</v>
      </c>
      <c r="W95" s="67">
        <v>13.0</v>
      </c>
      <c r="X95" s="69">
        <v>0.42</v>
      </c>
      <c r="Y95" s="69">
        <v>0.05</v>
      </c>
      <c r="Z95" s="69">
        <v>0.24</v>
      </c>
      <c r="AA95" s="67">
        <v>22.0</v>
      </c>
      <c r="AB95" s="69">
        <v>0.11</v>
      </c>
      <c r="AC95" s="69">
        <v>0.09</v>
      </c>
      <c r="AD95" s="68">
        <v>1.1</v>
      </c>
      <c r="AE95" s="69">
        <v>0.15</v>
      </c>
      <c r="AF95" s="69">
        <v>0.08</v>
      </c>
      <c r="AG95" s="67">
        <v>38.0</v>
      </c>
      <c r="AH95" s="69">
        <v>0.0</v>
      </c>
      <c r="AI95" s="67">
        <v>2.0</v>
      </c>
    </row>
    <row r="96" ht="15.75" customHeight="1">
      <c r="B96" s="158" t="s">
        <v>167</v>
      </c>
      <c r="C96" s="20"/>
      <c r="D96" s="20"/>
      <c r="E96" s="20"/>
      <c r="F96" s="20"/>
      <c r="G96" s="21"/>
      <c r="H96" s="66"/>
      <c r="I96" s="67">
        <f t="shared" si="10"/>
        <v>95.7</v>
      </c>
      <c r="J96" s="68">
        <v>1.4</v>
      </c>
      <c r="K96" s="68">
        <v>0.1</v>
      </c>
      <c r="L96" s="69">
        <v>0.05</v>
      </c>
      <c r="M96" s="69">
        <v>0.01</v>
      </c>
      <c r="N96" s="69">
        <v>0.06</v>
      </c>
      <c r="O96" s="67">
        <v>0.0</v>
      </c>
      <c r="P96" s="68">
        <v>22.3</v>
      </c>
      <c r="Q96" s="68">
        <v>1.9</v>
      </c>
      <c r="R96" s="67">
        <v>11.0</v>
      </c>
      <c r="S96" s="67">
        <v>40.0</v>
      </c>
      <c r="T96" s="68">
        <v>0.5</v>
      </c>
      <c r="U96" s="67">
        <v>10.0</v>
      </c>
      <c r="V96" s="67">
        <v>376.0</v>
      </c>
      <c r="W96" s="67">
        <v>20.0</v>
      </c>
      <c r="X96" s="69">
        <v>0.23</v>
      </c>
      <c r="Y96" s="69">
        <v>0.13</v>
      </c>
      <c r="Z96" s="69">
        <v>0.25</v>
      </c>
      <c r="AA96" s="67">
        <v>156.0</v>
      </c>
      <c r="AB96" s="69">
        <v>0.05</v>
      </c>
      <c r="AC96" s="69">
        <v>0.04</v>
      </c>
      <c r="AD96" s="68">
        <v>0.9</v>
      </c>
      <c r="AE96" s="69">
        <v>0.29</v>
      </c>
      <c r="AF96" s="69">
        <v>0.21</v>
      </c>
      <c r="AG96" s="67">
        <v>13.0</v>
      </c>
      <c r="AH96" s="69">
        <v>0.0</v>
      </c>
      <c r="AI96" s="67">
        <v>28.0</v>
      </c>
    </row>
    <row r="97" ht="15.0" customHeight="1">
      <c r="B97" s="158" t="s">
        <v>313</v>
      </c>
      <c r="C97" s="20"/>
      <c r="D97" s="20"/>
      <c r="E97" s="20"/>
      <c r="F97" s="20"/>
      <c r="G97" s="21"/>
      <c r="H97" s="66"/>
      <c r="I97" s="67">
        <f t="shared" si="10"/>
        <v>95.4</v>
      </c>
      <c r="J97" s="68">
        <v>2.0</v>
      </c>
      <c r="K97" s="68">
        <v>0.6</v>
      </c>
      <c r="L97" s="69">
        <v>0.14</v>
      </c>
      <c r="M97" s="69">
        <v>0.16</v>
      </c>
      <c r="N97" s="69">
        <v>0.19</v>
      </c>
      <c r="O97" s="67">
        <v>0.0</v>
      </c>
      <c r="P97" s="68">
        <v>20.5</v>
      </c>
      <c r="Q97" s="68">
        <v>1.5</v>
      </c>
      <c r="R97" s="67">
        <v>15.0</v>
      </c>
      <c r="S97" s="67">
        <v>43.0</v>
      </c>
      <c r="T97" s="68">
        <v>0.7</v>
      </c>
      <c r="U97" s="67">
        <v>46.0</v>
      </c>
      <c r="V97" s="67">
        <v>214.0</v>
      </c>
      <c r="W97" s="67">
        <v>17.0</v>
      </c>
      <c r="X97" s="69">
        <v>0.33</v>
      </c>
      <c r="Y97" s="69">
        <v>0.09</v>
      </c>
      <c r="Z97" s="69">
        <v>0.24</v>
      </c>
      <c r="AA97" s="67">
        <v>89.0</v>
      </c>
      <c r="AB97" s="69">
        <v>0.08</v>
      </c>
      <c r="AC97" s="69">
        <v>0.07</v>
      </c>
      <c r="AD97" s="68">
        <v>1.0</v>
      </c>
      <c r="AE97" s="69">
        <v>0.22</v>
      </c>
      <c r="AF97" s="69">
        <v>0.15</v>
      </c>
      <c r="AG97" s="67">
        <v>26.0</v>
      </c>
      <c r="AH97" s="69">
        <v>0.0</v>
      </c>
      <c r="AI97" s="67">
        <v>15.0</v>
      </c>
    </row>
    <row r="98" ht="15.75" customHeight="1">
      <c r="B98" s="160" t="s">
        <v>176</v>
      </c>
      <c r="C98" s="20"/>
      <c r="D98" s="20"/>
      <c r="E98" s="20"/>
      <c r="F98" s="20"/>
      <c r="G98" s="21"/>
      <c r="H98" s="66"/>
      <c r="I98" s="67">
        <f t="shared" si="10"/>
        <v>29.5</v>
      </c>
      <c r="J98" s="68">
        <v>1.2</v>
      </c>
      <c r="K98" s="68">
        <v>0.3</v>
      </c>
      <c r="L98" s="69">
        <v>0.05</v>
      </c>
      <c r="M98" s="69">
        <v>0.03</v>
      </c>
      <c r="N98" s="69">
        <v>0.13</v>
      </c>
      <c r="O98" s="67">
        <v>0.0</v>
      </c>
      <c r="P98" s="68">
        <v>5.5</v>
      </c>
      <c r="Q98" s="68">
        <v>1.7</v>
      </c>
      <c r="R98" s="67">
        <v>15.0</v>
      </c>
      <c r="S98" s="67">
        <v>32.0</v>
      </c>
      <c r="T98" s="68">
        <v>0.7</v>
      </c>
      <c r="U98" s="67">
        <v>68.0</v>
      </c>
      <c r="V98" s="67">
        <v>187.0</v>
      </c>
      <c r="W98" s="67">
        <v>12.0</v>
      </c>
      <c r="X98" s="69">
        <v>0.29</v>
      </c>
      <c r="Y98" s="69">
        <v>0.1</v>
      </c>
      <c r="Z98" s="69">
        <v>0.16</v>
      </c>
      <c r="AA98" s="67">
        <v>136.0</v>
      </c>
      <c r="AB98" s="69">
        <v>0.05</v>
      </c>
      <c r="AC98" s="69">
        <v>0.06</v>
      </c>
      <c r="AD98" s="68">
        <v>0.8</v>
      </c>
      <c r="AE98" s="69">
        <v>0.37</v>
      </c>
      <c r="AF98" s="69">
        <v>0.09</v>
      </c>
      <c r="AG98" s="67">
        <v>23.0</v>
      </c>
      <c r="AH98" s="69">
        <v>0.0</v>
      </c>
      <c r="AI98" s="67">
        <v>19.0</v>
      </c>
    </row>
    <row r="99" ht="15.0" customHeight="1">
      <c r="B99" s="160" t="s">
        <v>179</v>
      </c>
      <c r="C99" s="20"/>
      <c r="D99" s="20"/>
      <c r="E99" s="20"/>
      <c r="F99" s="20"/>
      <c r="G99" s="21"/>
      <c r="H99" s="66"/>
      <c r="I99" s="67">
        <f t="shared" si="10"/>
        <v>59.9</v>
      </c>
      <c r="J99" s="68">
        <v>1.0</v>
      </c>
      <c r="K99" s="68">
        <v>0.3</v>
      </c>
      <c r="L99" s="69">
        <v>0.06</v>
      </c>
      <c r="M99" s="69">
        <v>0.09</v>
      </c>
      <c r="N99" s="69">
        <v>0.11</v>
      </c>
      <c r="O99" s="67">
        <v>0.0</v>
      </c>
      <c r="P99" s="68">
        <v>13.3</v>
      </c>
      <c r="Q99" s="68">
        <v>2.6</v>
      </c>
      <c r="R99" s="67">
        <v>21.0</v>
      </c>
      <c r="S99" s="67">
        <v>24.0</v>
      </c>
      <c r="T99" s="68">
        <v>0.5</v>
      </c>
      <c r="U99" s="67">
        <v>4.0</v>
      </c>
      <c r="V99" s="67">
        <v>244.0</v>
      </c>
      <c r="W99" s="67">
        <v>19.0</v>
      </c>
      <c r="X99" s="69">
        <v>0.14</v>
      </c>
      <c r="Y99" s="69">
        <v>0.07</v>
      </c>
      <c r="Z99" s="69">
        <v>0.17</v>
      </c>
      <c r="AA99" s="67">
        <v>74.0</v>
      </c>
      <c r="AB99" s="69">
        <v>0.06</v>
      </c>
      <c r="AC99" s="69">
        <v>0.06</v>
      </c>
      <c r="AD99" s="68">
        <v>0.9</v>
      </c>
      <c r="AE99" s="69">
        <v>0.27</v>
      </c>
      <c r="AF99" s="69">
        <v>0.1</v>
      </c>
      <c r="AG99" s="67">
        <v>20.0</v>
      </c>
      <c r="AH99" s="69">
        <v>0.0</v>
      </c>
      <c r="AI99" s="67">
        <v>52.0</v>
      </c>
    </row>
    <row r="100" ht="15.75" customHeight="1">
      <c r="B100" s="158" t="s">
        <v>184</v>
      </c>
      <c r="C100" s="20"/>
      <c r="D100" s="20"/>
      <c r="E100" s="20"/>
      <c r="F100" s="20"/>
      <c r="G100" s="21"/>
      <c r="H100" s="66"/>
      <c r="I100" s="67">
        <f t="shared" si="10"/>
        <v>56.4</v>
      </c>
      <c r="J100" s="68">
        <v>1.3</v>
      </c>
      <c r="K100" s="68">
        <v>4.8</v>
      </c>
      <c r="L100" s="69">
        <v>1.15</v>
      </c>
      <c r="M100" s="69">
        <v>2.44</v>
      </c>
      <c r="N100" s="69">
        <v>0.99</v>
      </c>
      <c r="O100" s="67">
        <v>0.0</v>
      </c>
      <c r="P100" s="68">
        <v>2.0</v>
      </c>
      <c r="Q100" s="68">
        <v>0.7</v>
      </c>
      <c r="R100" s="67">
        <v>8.0</v>
      </c>
      <c r="S100" s="67">
        <v>34.0</v>
      </c>
      <c r="T100" s="68">
        <v>0.3</v>
      </c>
      <c r="U100" s="67">
        <v>6.0</v>
      </c>
      <c r="V100" s="67">
        <v>55.0</v>
      </c>
      <c r="W100" s="67">
        <v>16.0</v>
      </c>
      <c r="X100" s="69">
        <v>0.28</v>
      </c>
      <c r="Y100" s="69">
        <v>0.1</v>
      </c>
      <c r="Z100" s="69">
        <v>0.18</v>
      </c>
      <c r="AA100" s="67">
        <v>1.0</v>
      </c>
      <c r="AB100" s="69">
        <v>0.03</v>
      </c>
      <c r="AC100" s="69">
        <v>0.02</v>
      </c>
      <c r="AD100" s="68">
        <v>0.2</v>
      </c>
      <c r="AE100" s="69">
        <v>0.08</v>
      </c>
      <c r="AF100" s="69">
        <v>0.02</v>
      </c>
      <c r="AG100" s="67">
        <v>5.0</v>
      </c>
      <c r="AH100" s="69">
        <v>0.0</v>
      </c>
      <c r="AI100" s="67">
        <v>0.0</v>
      </c>
    </row>
    <row r="101" ht="15.75" customHeight="1">
      <c r="B101" s="158" t="s">
        <v>186</v>
      </c>
      <c r="C101" s="20"/>
      <c r="D101" s="20"/>
      <c r="E101" s="20"/>
      <c r="F101" s="20"/>
      <c r="G101" s="21"/>
      <c r="H101" s="66"/>
      <c r="I101" s="67">
        <f t="shared" si="10"/>
        <v>58.5</v>
      </c>
      <c r="J101" s="68">
        <v>2.3</v>
      </c>
      <c r="K101" s="68">
        <v>4.1</v>
      </c>
      <c r="L101" s="69">
        <v>0.5</v>
      </c>
      <c r="M101" s="69">
        <v>0.91</v>
      </c>
      <c r="N101" s="69">
        <v>2.48</v>
      </c>
      <c r="O101" s="67">
        <v>0.0</v>
      </c>
      <c r="P101" s="68">
        <v>3.1</v>
      </c>
      <c r="Q101" s="68">
        <v>2.1</v>
      </c>
      <c r="R101" s="67">
        <v>50.0</v>
      </c>
      <c r="S101" s="67">
        <v>74.0</v>
      </c>
      <c r="T101" s="68">
        <v>0.9</v>
      </c>
      <c r="U101" s="67">
        <v>2.0</v>
      </c>
      <c r="V101" s="67">
        <v>78.0</v>
      </c>
      <c r="W101" s="67">
        <v>37.0</v>
      </c>
      <c r="X101" s="69">
        <v>0.58</v>
      </c>
      <c r="Y101" s="69">
        <v>0.15</v>
      </c>
      <c r="Z101" s="69">
        <v>0.35</v>
      </c>
      <c r="AA101" s="67">
        <v>1.0</v>
      </c>
      <c r="AB101" s="69">
        <v>0.07</v>
      </c>
      <c r="AC101" s="69">
        <v>0.02</v>
      </c>
      <c r="AD101" s="68">
        <v>0.3</v>
      </c>
      <c r="AE101" s="69">
        <v>0.15</v>
      </c>
      <c r="AF101" s="69">
        <v>0.06</v>
      </c>
      <c r="AG101" s="67">
        <v>18.0</v>
      </c>
      <c r="AH101" s="69">
        <v>0.0</v>
      </c>
      <c r="AI101" s="67">
        <v>0.0</v>
      </c>
    </row>
    <row r="102" ht="15.75" customHeight="1">
      <c r="B102" s="160" t="s">
        <v>189</v>
      </c>
      <c r="C102" s="20"/>
      <c r="D102" s="20"/>
      <c r="E102" s="20"/>
      <c r="F102" s="20"/>
      <c r="G102" s="21"/>
      <c r="H102" s="66"/>
      <c r="I102" s="67">
        <f t="shared" si="10"/>
        <v>89.9</v>
      </c>
      <c r="J102" s="68">
        <v>0.9</v>
      </c>
      <c r="K102" s="68">
        <v>1.1</v>
      </c>
      <c r="L102" s="69">
        <v>0.63</v>
      </c>
      <c r="M102" s="69">
        <v>0.33</v>
      </c>
      <c r="N102" s="69">
        <v>0.07</v>
      </c>
      <c r="O102" s="67">
        <v>2.0</v>
      </c>
      <c r="P102" s="68">
        <v>19.1</v>
      </c>
      <c r="Q102" s="68">
        <v>0.5</v>
      </c>
      <c r="R102" s="67">
        <v>20.0</v>
      </c>
      <c r="S102" s="67">
        <v>23.0</v>
      </c>
      <c r="T102" s="68">
        <v>0.3</v>
      </c>
      <c r="U102" s="67">
        <v>25.0</v>
      </c>
      <c r="V102" s="67">
        <v>67.0</v>
      </c>
      <c r="W102" s="67">
        <v>6.0</v>
      </c>
      <c r="X102" s="69">
        <v>0.16</v>
      </c>
      <c r="Y102" s="69">
        <v>0.05</v>
      </c>
      <c r="Z102" s="69">
        <v>0.16</v>
      </c>
      <c r="AA102" s="67">
        <v>10.0</v>
      </c>
      <c r="AB102" s="69">
        <v>0.04</v>
      </c>
      <c r="AC102" s="69">
        <v>0.07</v>
      </c>
      <c r="AD102" s="68">
        <v>0.2</v>
      </c>
      <c r="AE102" s="69">
        <v>0.08</v>
      </c>
      <c r="AF102" s="69">
        <v>0.02</v>
      </c>
      <c r="AG102" s="67">
        <v>5.0</v>
      </c>
      <c r="AH102" s="69">
        <v>0.04</v>
      </c>
      <c r="AI102" s="67">
        <v>2.0</v>
      </c>
    </row>
    <row r="103" ht="15.75" customHeight="1">
      <c r="B103" s="158" t="s">
        <v>195</v>
      </c>
      <c r="C103" s="20"/>
      <c r="D103" s="20"/>
      <c r="E103" s="20"/>
      <c r="F103" s="20"/>
      <c r="G103" s="21"/>
      <c r="H103" s="66"/>
      <c r="I103" s="67">
        <f t="shared" si="10"/>
        <v>41.7</v>
      </c>
      <c r="J103" s="68">
        <v>0.0</v>
      </c>
      <c r="K103" s="68">
        <v>4.5</v>
      </c>
      <c r="L103" s="69">
        <v>0.67</v>
      </c>
      <c r="M103" s="69">
        <v>1.39</v>
      </c>
      <c r="N103" s="69">
        <v>2.71</v>
      </c>
      <c r="O103" s="67">
        <v>1.0</v>
      </c>
      <c r="P103" s="68">
        <v>0.3</v>
      </c>
      <c r="Q103" s="68">
        <v>0.0</v>
      </c>
      <c r="R103" s="67">
        <v>1.0</v>
      </c>
      <c r="S103" s="67">
        <v>1.0</v>
      </c>
      <c r="T103" s="68">
        <v>0.0</v>
      </c>
      <c r="U103" s="67">
        <v>27.0</v>
      </c>
      <c r="V103" s="67">
        <v>2.0</v>
      </c>
      <c r="W103" s="67">
        <v>0.0</v>
      </c>
      <c r="X103" s="69">
        <v>0.01</v>
      </c>
      <c r="Y103" s="69">
        <v>0.0</v>
      </c>
      <c r="Z103" s="69">
        <v>0.0</v>
      </c>
      <c r="AA103" s="67">
        <v>2.0</v>
      </c>
      <c r="AB103" s="69">
        <v>0.0</v>
      </c>
      <c r="AC103" s="69">
        <v>0.0</v>
      </c>
      <c r="AD103" s="68">
        <v>0.0</v>
      </c>
      <c r="AE103" s="69">
        <v>0.01</v>
      </c>
      <c r="AF103" s="69">
        <v>0.01</v>
      </c>
      <c r="AG103" s="67">
        <v>0.0</v>
      </c>
      <c r="AH103" s="69">
        <v>0.01</v>
      </c>
      <c r="AI103" s="67">
        <v>0.0</v>
      </c>
    </row>
    <row r="104" ht="15.75" customHeight="1">
      <c r="B104" s="158" t="s">
        <v>196</v>
      </c>
      <c r="C104" s="20"/>
      <c r="D104" s="20"/>
      <c r="E104" s="20"/>
      <c r="F104" s="20"/>
      <c r="G104" s="21"/>
      <c r="H104" s="66"/>
      <c r="I104" s="67">
        <f t="shared" si="10"/>
        <v>47</v>
      </c>
      <c r="J104" s="68">
        <v>0.4</v>
      </c>
      <c r="K104" s="68">
        <v>4.6</v>
      </c>
      <c r="L104" s="69">
        <v>0.66</v>
      </c>
      <c r="M104" s="69">
        <v>2.7</v>
      </c>
      <c r="N104" s="69">
        <v>0.96</v>
      </c>
      <c r="O104" s="67">
        <v>0.0</v>
      </c>
      <c r="P104" s="68">
        <v>1.0</v>
      </c>
      <c r="Q104" s="68">
        <v>0.6</v>
      </c>
      <c r="R104" s="67">
        <v>7.0</v>
      </c>
      <c r="S104" s="67">
        <v>7.0</v>
      </c>
      <c r="T104" s="68">
        <v>0.2</v>
      </c>
      <c r="U104" s="67">
        <v>55.0</v>
      </c>
      <c r="V104" s="67">
        <v>49.0</v>
      </c>
      <c r="W104" s="67">
        <v>5.0</v>
      </c>
      <c r="X104" s="69">
        <v>0.07</v>
      </c>
      <c r="Y104" s="69">
        <v>0.03</v>
      </c>
      <c r="Z104" s="69">
        <v>0.02</v>
      </c>
      <c r="AA104" s="67">
        <v>12.0</v>
      </c>
      <c r="AB104" s="69">
        <v>0.01</v>
      </c>
      <c r="AC104" s="69">
        <v>0.01</v>
      </c>
      <c r="AD104" s="68">
        <v>0.3</v>
      </c>
      <c r="AE104" s="69">
        <v>0.08</v>
      </c>
      <c r="AF104" s="69">
        <v>0.03</v>
      </c>
      <c r="AG104" s="67">
        <v>5.0</v>
      </c>
      <c r="AH104" s="69">
        <v>0.0</v>
      </c>
      <c r="AI104" s="67">
        <v>1.0</v>
      </c>
    </row>
    <row r="105" ht="15.0" customHeight="1">
      <c r="B105" s="158" t="s">
        <v>197</v>
      </c>
      <c r="C105" s="20"/>
      <c r="D105" s="20"/>
      <c r="E105" s="20"/>
      <c r="F105" s="20"/>
      <c r="G105" s="21"/>
      <c r="H105" s="66"/>
      <c r="I105" s="67">
        <f t="shared" si="10"/>
        <v>45.6</v>
      </c>
      <c r="J105" s="68">
        <v>0.3</v>
      </c>
      <c r="K105" s="68">
        <v>4.8</v>
      </c>
      <c r="L105" s="69">
        <v>2.66</v>
      </c>
      <c r="M105" s="69">
        <v>1.57</v>
      </c>
      <c r="N105" s="69">
        <v>0.28</v>
      </c>
      <c r="O105" s="67">
        <v>10.0</v>
      </c>
      <c r="P105" s="68">
        <v>0.3</v>
      </c>
      <c r="Q105" s="68">
        <v>0.0</v>
      </c>
      <c r="R105" s="67">
        <v>8.0</v>
      </c>
      <c r="S105" s="67">
        <v>7.0</v>
      </c>
      <c r="T105" s="68">
        <v>0.0</v>
      </c>
      <c r="U105" s="67">
        <v>9.0</v>
      </c>
      <c r="V105" s="67">
        <v>10.0</v>
      </c>
      <c r="W105" s="67">
        <v>1.0</v>
      </c>
      <c r="X105" s="69">
        <v>0.03</v>
      </c>
      <c r="Y105" s="69">
        <v>0.0</v>
      </c>
      <c r="Z105" s="69">
        <v>0.0</v>
      </c>
      <c r="AA105" s="67">
        <v>31.0</v>
      </c>
      <c r="AB105" s="69">
        <v>0.0</v>
      </c>
      <c r="AC105" s="69">
        <v>0.01</v>
      </c>
      <c r="AD105" s="68">
        <v>0.0</v>
      </c>
      <c r="AE105" s="69">
        <v>0.03</v>
      </c>
      <c r="AF105" s="69">
        <v>0.0</v>
      </c>
      <c r="AG105" s="67">
        <v>1.0</v>
      </c>
      <c r="AH105" s="69">
        <v>0.03</v>
      </c>
      <c r="AI105" s="67">
        <v>0.0</v>
      </c>
    </row>
    <row r="106" ht="15.75" customHeight="1">
      <c r="B106" s="158" t="s">
        <v>198</v>
      </c>
      <c r="C106" s="20"/>
      <c r="D106" s="20"/>
      <c r="E106" s="20"/>
      <c r="F106" s="20"/>
      <c r="G106" s="21"/>
      <c r="H106" s="66"/>
      <c r="I106" s="67">
        <f t="shared" si="10"/>
        <v>44.6</v>
      </c>
      <c r="J106" s="68">
        <v>0.3</v>
      </c>
      <c r="K106" s="68">
        <v>4.6</v>
      </c>
      <c r="L106" s="69">
        <v>1.33</v>
      </c>
      <c r="M106" s="69">
        <v>1.88</v>
      </c>
      <c r="N106" s="69">
        <v>1.32</v>
      </c>
      <c r="O106" s="67">
        <v>4.0</v>
      </c>
      <c r="P106" s="68">
        <v>0.5</v>
      </c>
      <c r="Q106" s="68">
        <v>0.2</v>
      </c>
      <c r="R106" s="67">
        <v>5.0</v>
      </c>
      <c r="S106" s="67">
        <v>5.0</v>
      </c>
      <c r="T106" s="68">
        <v>0.1</v>
      </c>
      <c r="U106" s="67">
        <v>30.0</v>
      </c>
      <c r="V106" s="67">
        <v>20.0</v>
      </c>
      <c r="W106" s="67">
        <v>2.0</v>
      </c>
      <c r="X106" s="69">
        <v>0.04</v>
      </c>
      <c r="Y106" s="69">
        <v>0.01</v>
      </c>
      <c r="Z106" s="69">
        <v>0.01</v>
      </c>
      <c r="AA106" s="67">
        <v>15.0</v>
      </c>
      <c r="AB106" s="69">
        <v>0.0</v>
      </c>
      <c r="AC106" s="69">
        <v>0.01</v>
      </c>
      <c r="AD106" s="68">
        <v>0.1</v>
      </c>
      <c r="AE106" s="69">
        <v>0.04</v>
      </c>
      <c r="AF106" s="69">
        <v>0.01</v>
      </c>
      <c r="AG106" s="67">
        <v>2.0</v>
      </c>
      <c r="AH106" s="69">
        <v>0.01</v>
      </c>
      <c r="AI106" s="67">
        <v>0.0</v>
      </c>
    </row>
    <row r="107" ht="15.75" customHeight="1">
      <c r="B107" s="158" t="s">
        <v>200</v>
      </c>
      <c r="C107" s="20"/>
      <c r="D107" s="20"/>
      <c r="E107" s="20"/>
      <c r="F107" s="20"/>
      <c r="G107" s="21"/>
      <c r="H107" s="66"/>
      <c r="I107" s="67">
        <f t="shared" si="10"/>
        <v>39.3</v>
      </c>
      <c r="J107" s="68">
        <v>1.3</v>
      </c>
      <c r="K107" s="68">
        <v>3.3</v>
      </c>
      <c r="L107" s="69">
        <v>1.16</v>
      </c>
      <c r="M107" s="69">
        <v>0.98</v>
      </c>
      <c r="N107" s="69">
        <v>0.89</v>
      </c>
      <c r="O107" s="67">
        <v>6.0</v>
      </c>
      <c r="P107" s="68">
        <v>1.1</v>
      </c>
      <c r="Q107" s="68">
        <v>0.0</v>
      </c>
      <c r="R107" s="67">
        <v>16.0</v>
      </c>
      <c r="S107" s="67">
        <v>37.0</v>
      </c>
      <c r="T107" s="68">
        <v>0.0</v>
      </c>
      <c r="U107" s="67">
        <v>125.0</v>
      </c>
      <c r="V107" s="67">
        <v>19.0</v>
      </c>
      <c r="W107" s="67">
        <v>2.0</v>
      </c>
      <c r="X107" s="69">
        <v>0.12</v>
      </c>
      <c r="Y107" s="69">
        <v>0.0</v>
      </c>
      <c r="Z107" s="69">
        <v>0.0</v>
      </c>
      <c r="AA107" s="67">
        <v>41.0</v>
      </c>
      <c r="AB107" s="69">
        <v>0.0</v>
      </c>
      <c r="AC107" s="69">
        <v>0.02</v>
      </c>
      <c r="AD107" s="68">
        <v>0.0</v>
      </c>
      <c r="AE107" s="69">
        <v>0.04</v>
      </c>
      <c r="AF107" s="69">
        <v>0.03</v>
      </c>
      <c r="AG107" s="67">
        <v>3.0</v>
      </c>
      <c r="AH107" s="69">
        <v>0.06</v>
      </c>
      <c r="AI107" s="67">
        <v>0.0</v>
      </c>
    </row>
    <row r="108" ht="15.75" hidden="1" customHeight="1">
      <c r="B108" s="71" t="s">
        <v>604</v>
      </c>
      <c r="C108" s="20"/>
      <c r="D108" s="20"/>
      <c r="E108" s="20"/>
      <c r="F108" s="20"/>
      <c r="G108" s="21"/>
      <c r="H108" s="66"/>
      <c r="I108" s="67">
        <f t="shared" ref="I108:I109" si="11">((J108*4)+(K108*9)+(P108*4))</f>
        <v>45.6</v>
      </c>
      <c r="J108" s="68">
        <v>0.3</v>
      </c>
      <c r="K108" s="68">
        <v>4.8</v>
      </c>
      <c r="L108" s="69">
        <v>2.66</v>
      </c>
      <c r="M108" s="69">
        <v>1.57</v>
      </c>
      <c r="N108" s="69">
        <v>0.28</v>
      </c>
      <c r="O108" s="67">
        <v>10.0</v>
      </c>
      <c r="P108" s="68">
        <v>0.3</v>
      </c>
      <c r="Q108" s="68">
        <v>0.0</v>
      </c>
      <c r="R108" s="67">
        <v>8.0</v>
      </c>
      <c r="S108" s="67">
        <v>7.0</v>
      </c>
      <c r="T108" s="68">
        <v>0.0</v>
      </c>
      <c r="U108" s="67">
        <v>9.0</v>
      </c>
      <c r="V108" s="67">
        <v>10.0</v>
      </c>
      <c r="W108" s="67">
        <v>1.0</v>
      </c>
      <c r="X108" s="69">
        <v>0.03</v>
      </c>
      <c r="Y108" s="69">
        <v>0.0</v>
      </c>
      <c r="Z108" s="69">
        <v>0.0</v>
      </c>
      <c r="AA108" s="67">
        <v>31.0</v>
      </c>
      <c r="AB108" s="69">
        <v>0.0</v>
      </c>
      <c r="AC108" s="69">
        <v>0.01</v>
      </c>
      <c r="AD108" s="68">
        <v>0.0</v>
      </c>
      <c r="AE108" s="69">
        <v>0.03</v>
      </c>
      <c r="AF108" s="69">
        <v>0.0</v>
      </c>
      <c r="AG108" s="67">
        <v>1.0</v>
      </c>
      <c r="AH108" s="69">
        <v>0.03</v>
      </c>
      <c r="AI108" s="67">
        <v>0.0</v>
      </c>
    </row>
    <row r="109" ht="15.75" hidden="1" customHeight="1">
      <c r="B109" s="71" t="s">
        <v>605</v>
      </c>
      <c r="C109" s="20"/>
      <c r="D109" s="20"/>
      <c r="E109" s="20"/>
      <c r="F109" s="20"/>
      <c r="G109" s="21"/>
      <c r="H109" s="66"/>
      <c r="I109" s="67">
        <f t="shared" si="11"/>
        <v>45.1</v>
      </c>
      <c r="J109" s="68">
        <v>0.9</v>
      </c>
      <c r="K109" s="68">
        <v>4.3</v>
      </c>
      <c r="L109" s="69">
        <v>1.88</v>
      </c>
      <c r="M109" s="69">
        <v>0.99</v>
      </c>
      <c r="N109" s="69">
        <v>1.73</v>
      </c>
      <c r="O109" s="67">
        <v>22.0</v>
      </c>
      <c r="P109" s="68">
        <v>0.7</v>
      </c>
      <c r="Q109" s="68">
        <v>0.0</v>
      </c>
      <c r="R109" s="67">
        <v>22.0</v>
      </c>
      <c r="S109" s="67">
        <v>37.0</v>
      </c>
      <c r="T109" s="68">
        <v>0.0</v>
      </c>
      <c r="U109" s="67">
        <v>99.0</v>
      </c>
      <c r="V109" s="67">
        <v>17.0</v>
      </c>
      <c r="W109" s="67">
        <v>2.0</v>
      </c>
      <c r="X109" s="69">
        <v>0.07</v>
      </c>
      <c r="Y109" s="69">
        <v>0.0</v>
      </c>
      <c r="Z109" s="69">
        <v>0.0</v>
      </c>
      <c r="AA109" s="67">
        <v>144.0</v>
      </c>
      <c r="AB109" s="69">
        <v>0.0</v>
      </c>
      <c r="AC109" s="69">
        <v>0.02</v>
      </c>
      <c r="AD109" s="68">
        <v>0.0</v>
      </c>
      <c r="AE109" s="69">
        <v>0.04</v>
      </c>
      <c r="AF109" s="69">
        <v>0.0</v>
      </c>
      <c r="AG109" s="67">
        <v>3.0</v>
      </c>
      <c r="AH109" s="69">
        <v>0.06</v>
      </c>
      <c r="AI109" s="67">
        <v>0.0</v>
      </c>
    </row>
    <row r="110" ht="15.75" customHeight="1">
      <c r="B110" s="72"/>
      <c r="C110" s="72"/>
      <c r="D110" s="72"/>
      <c r="E110" s="72"/>
      <c r="F110" s="72"/>
      <c r="G110" s="72"/>
      <c r="AI110" s="73"/>
    </row>
    <row r="111" ht="15.75" customHeight="1">
      <c r="B111" s="72"/>
      <c r="C111" s="72"/>
      <c r="D111" s="72"/>
      <c r="E111" s="72"/>
      <c r="F111" s="72"/>
      <c r="G111" s="72"/>
      <c r="AI111" s="73"/>
      <c r="BB111" s="9"/>
    </row>
    <row r="112" ht="15.75" customHeight="1">
      <c r="B112" s="306" t="s">
        <v>95</v>
      </c>
      <c r="C112" s="20"/>
      <c r="D112" s="20"/>
      <c r="E112" s="20"/>
      <c r="F112" s="20"/>
      <c r="G112" s="21"/>
      <c r="H112" s="63" t="s">
        <v>96</v>
      </c>
      <c r="I112" s="63" t="s">
        <v>97</v>
      </c>
      <c r="J112" s="63" t="s">
        <v>98</v>
      </c>
      <c r="K112" s="63" t="s">
        <v>99</v>
      </c>
      <c r="L112" s="63" t="s">
        <v>100</v>
      </c>
      <c r="M112" s="63" t="s">
        <v>101</v>
      </c>
      <c r="N112" s="63" t="s">
        <v>102</v>
      </c>
      <c r="O112" s="63" t="s">
        <v>103</v>
      </c>
      <c r="P112" s="63" t="s">
        <v>104</v>
      </c>
      <c r="Q112" s="63" t="s">
        <v>105</v>
      </c>
      <c r="R112" s="157" t="s">
        <v>106</v>
      </c>
      <c r="S112" s="157" t="s">
        <v>107</v>
      </c>
      <c r="T112" s="157" t="s">
        <v>108</v>
      </c>
      <c r="U112" s="157" t="s">
        <v>109</v>
      </c>
      <c r="V112" s="157" t="s">
        <v>110</v>
      </c>
      <c r="W112" s="157" t="s">
        <v>111</v>
      </c>
      <c r="X112" s="157" t="s">
        <v>112</v>
      </c>
      <c r="Y112" s="157" t="s">
        <v>113</v>
      </c>
      <c r="Z112" s="157" t="s">
        <v>114</v>
      </c>
      <c r="AA112" s="157" t="s">
        <v>115</v>
      </c>
      <c r="AB112" s="157" t="s">
        <v>116</v>
      </c>
      <c r="AC112" s="157" t="s">
        <v>117</v>
      </c>
      <c r="AD112" s="157" t="s">
        <v>118</v>
      </c>
      <c r="AE112" s="157" t="s">
        <v>119</v>
      </c>
      <c r="AF112" s="157" t="s">
        <v>120</v>
      </c>
      <c r="AG112" s="157" t="s">
        <v>121</v>
      </c>
      <c r="AH112" s="157" t="s">
        <v>122</v>
      </c>
      <c r="AI112" s="340" t="s">
        <v>123</v>
      </c>
    </row>
    <row r="113" ht="15.75" customHeight="1">
      <c r="B113" s="158" t="s">
        <v>126</v>
      </c>
      <c r="C113" s="20"/>
      <c r="D113" s="20"/>
      <c r="E113" s="20"/>
      <c r="F113" s="20"/>
      <c r="G113" s="21"/>
      <c r="H113" s="161" t="str">
        <f t="shared" ref="H113:H133" si="12">H87</f>
        <v/>
      </c>
      <c r="I113" s="67">
        <f t="shared" ref="I113:I133" si="13">(I87*H87)</f>
        <v>0</v>
      </c>
      <c r="J113" s="68">
        <f t="shared" ref="J113:J133" si="14">(J87*H87)</f>
        <v>0</v>
      </c>
      <c r="K113" s="68">
        <f t="shared" ref="K113:K133" si="15">(K87*H87)</f>
        <v>0</v>
      </c>
      <c r="L113" s="69">
        <f t="shared" ref="L113:L133" si="16">(L87*H87)</f>
        <v>0</v>
      </c>
      <c r="M113" s="69">
        <f t="shared" ref="M113:M133" si="17">(M87*H87)</f>
        <v>0</v>
      </c>
      <c r="N113" s="69">
        <f t="shared" ref="N113:N133" si="18">(N87*H87)</f>
        <v>0</v>
      </c>
      <c r="O113" s="67">
        <f t="shared" ref="O113:O133" si="19">(O87*H87)</f>
        <v>0</v>
      </c>
      <c r="P113" s="68">
        <f t="shared" ref="P113:P133" si="20">(P87*H87)</f>
        <v>0</v>
      </c>
      <c r="Q113" s="68">
        <f t="shared" ref="Q113:Q133" si="21">(Q87*H87)</f>
        <v>0</v>
      </c>
      <c r="R113" s="67">
        <f t="shared" ref="R113:R133" si="22">(R87*H87)</f>
        <v>0</v>
      </c>
      <c r="S113" s="67">
        <f t="shared" ref="S113:S133" si="23">(S87*H87)</f>
        <v>0</v>
      </c>
      <c r="T113" s="68">
        <f t="shared" ref="T113:T133" si="24">(T87*H87)</f>
        <v>0</v>
      </c>
      <c r="U113" s="67">
        <f t="shared" ref="U113:U133" si="25">(U87*H87)</f>
        <v>0</v>
      </c>
      <c r="V113" s="67">
        <f t="shared" ref="V113:V133" si="26">(V87*H87)</f>
        <v>0</v>
      </c>
      <c r="W113" s="67">
        <f t="shared" ref="W113:W133" si="27">(W87*H87)</f>
        <v>0</v>
      </c>
      <c r="X113" s="69">
        <f t="shared" ref="X113:X133" si="28">(X87*H87)</f>
        <v>0</v>
      </c>
      <c r="Y113" s="69">
        <f t="shared" ref="Y113:Y133" si="29">(Y87*H87)</f>
        <v>0</v>
      </c>
      <c r="Z113" s="69">
        <f t="shared" ref="Z113:Z133" si="30">(Z87*H87)</f>
        <v>0</v>
      </c>
      <c r="AA113" s="67">
        <f t="shared" ref="AA113:AA133" si="31">(AA87*H87)</f>
        <v>0</v>
      </c>
      <c r="AB113" s="69">
        <f t="shared" ref="AB113:AB133" si="32">(AB87*H87)</f>
        <v>0</v>
      </c>
      <c r="AC113" s="69">
        <f t="shared" ref="AC113:AC133" si="33">(AC87*H87)</f>
        <v>0</v>
      </c>
      <c r="AD113" s="68">
        <f t="shared" ref="AD113:AD133" si="34">(AD87*H87)</f>
        <v>0</v>
      </c>
      <c r="AE113" s="69">
        <f t="shared" ref="AE113:AE133" si="35">(AE87*H87)</f>
        <v>0</v>
      </c>
      <c r="AF113" s="69">
        <f t="shared" ref="AF113:AF133" si="36">(AF87*H87)</f>
        <v>0</v>
      </c>
      <c r="AG113" s="67">
        <f t="shared" ref="AG113:AG133" si="37">(AG87*H87)</f>
        <v>0</v>
      </c>
      <c r="AH113" s="69">
        <f t="shared" ref="AH113:AH133" si="38">(AH87*H87)</f>
        <v>0</v>
      </c>
      <c r="AI113" s="67">
        <f t="shared" ref="AI113:AI133" si="39">(AI87*H87)</f>
        <v>0</v>
      </c>
    </row>
    <row r="114" ht="15.75" customHeight="1">
      <c r="B114" s="158" t="s">
        <v>127</v>
      </c>
      <c r="C114" s="20"/>
      <c r="D114" s="20"/>
      <c r="E114" s="20"/>
      <c r="F114" s="20"/>
      <c r="G114" s="21"/>
      <c r="H114" s="161" t="str">
        <f t="shared" si="12"/>
        <v/>
      </c>
      <c r="I114" s="67">
        <f t="shared" si="13"/>
        <v>0</v>
      </c>
      <c r="J114" s="68">
        <f t="shared" si="14"/>
        <v>0</v>
      </c>
      <c r="K114" s="68">
        <f t="shared" si="15"/>
        <v>0</v>
      </c>
      <c r="L114" s="69">
        <f t="shared" si="16"/>
        <v>0</v>
      </c>
      <c r="M114" s="69">
        <f t="shared" si="17"/>
        <v>0</v>
      </c>
      <c r="N114" s="69">
        <f t="shared" si="18"/>
        <v>0</v>
      </c>
      <c r="O114" s="67">
        <f t="shared" si="19"/>
        <v>0</v>
      </c>
      <c r="P114" s="68">
        <f t="shared" si="20"/>
        <v>0</v>
      </c>
      <c r="Q114" s="68">
        <f t="shared" si="21"/>
        <v>0</v>
      </c>
      <c r="R114" s="67">
        <f t="shared" si="22"/>
        <v>0</v>
      </c>
      <c r="S114" s="67">
        <f t="shared" si="23"/>
        <v>0</v>
      </c>
      <c r="T114" s="68">
        <f t="shared" si="24"/>
        <v>0</v>
      </c>
      <c r="U114" s="67">
        <f t="shared" si="25"/>
        <v>0</v>
      </c>
      <c r="V114" s="67">
        <f t="shared" si="26"/>
        <v>0</v>
      </c>
      <c r="W114" s="67">
        <f t="shared" si="27"/>
        <v>0</v>
      </c>
      <c r="X114" s="69">
        <f t="shared" si="28"/>
        <v>0</v>
      </c>
      <c r="Y114" s="69">
        <f t="shared" si="29"/>
        <v>0</v>
      </c>
      <c r="Z114" s="69">
        <f t="shared" si="30"/>
        <v>0</v>
      </c>
      <c r="AA114" s="67">
        <f t="shared" si="31"/>
        <v>0</v>
      </c>
      <c r="AB114" s="69">
        <f t="shared" si="32"/>
        <v>0</v>
      </c>
      <c r="AC114" s="69">
        <f t="shared" si="33"/>
        <v>0</v>
      </c>
      <c r="AD114" s="68">
        <f t="shared" si="34"/>
        <v>0</v>
      </c>
      <c r="AE114" s="69">
        <f t="shared" si="35"/>
        <v>0</v>
      </c>
      <c r="AF114" s="69">
        <f t="shared" si="36"/>
        <v>0</v>
      </c>
      <c r="AG114" s="67">
        <f t="shared" si="37"/>
        <v>0</v>
      </c>
      <c r="AH114" s="69">
        <f t="shared" si="38"/>
        <v>0</v>
      </c>
      <c r="AI114" s="67">
        <f t="shared" si="39"/>
        <v>0</v>
      </c>
    </row>
    <row r="115" ht="15.75" customHeight="1">
      <c r="B115" s="158" t="s">
        <v>128</v>
      </c>
      <c r="C115" s="20"/>
      <c r="D115" s="20"/>
      <c r="E115" s="20"/>
      <c r="F115" s="20"/>
      <c r="G115" s="21"/>
      <c r="H115" s="161" t="str">
        <f t="shared" si="12"/>
        <v/>
      </c>
      <c r="I115" s="67">
        <f t="shared" si="13"/>
        <v>0</v>
      </c>
      <c r="J115" s="68">
        <f t="shared" si="14"/>
        <v>0</v>
      </c>
      <c r="K115" s="68">
        <f t="shared" si="15"/>
        <v>0</v>
      </c>
      <c r="L115" s="69">
        <f t="shared" si="16"/>
        <v>0</v>
      </c>
      <c r="M115" s="69">
        <f t="shared" si="17"/>
        <v>0</v>
      </c>
      <c r="N115" s="69">
        <f t="shared" si="18"/>
        <v>0</v>
      </c>
      <c r="O115" s="67">
        <f t="shared" si="19"/>
        <v>0</v>
      </c>
      <c r="P115" s="68">
        <f t="shared" si="20"/>
        <v>0</v>
      </c>
      <c r="Q115" s="68">
        <f t="shared" si="21"/>
        <v>0</v>
      </c>
      <c r="R115" s="67">
        <f t="shared" si="22"/>
        <v>0</v>
      </c>
      <c r="S115" s="67">
        <f t="shared" si="23"/>
        <v>0</v>
      </c>
      <c r="T115" s="68">
        <f t="shared" si="24"/>
        <v>0</v>
      </c>
      <c r="U115" s="67">
        <f t="shared" si="25"/>
        <v>0</v>
      </c>
      <c r="V115" s="67">
        <f t="shared" si="26"/>
        <v>0</v>
      </c>
      <c r="W115" s="67">
        <f t="shared" si="27"/>
        <v>0</v>
      </c>
      <c r="X115" s="69">
        <f t="shared" si="28"/>
        <v>0</v>
      </c>
      <c r="Y115" s="69">
        <f t="shared" si="29"/>
        <v>0</v>
      </c>
      <c r="Z115" s="69">
        <f t="shared" si="30"/>
        <v>0</v>
      </c>
      <c r="AA115" s="67">
        <f t="shared" si="31"/>
        <v>0</v>
      </c>
      <c r="AB115" s="69">
        <f t="shared" si="32"/>
        <v>0</v>
      </c>
      <c r="AC115" s="69">
        <f t="shared" si="33"/>
        <v>0</v>
      </c>
      <c r="AD115" s="68">
        <f t="shared" si="34"/>
        <v>0</v>
      </c>
      <c r="AE115" s="69">
        <f t="shared" si="35"/>
        <v>0</v>
      </c>
      <c r="AF115" s="69">
        <f t="shared" si="36"/>
        <v>0</v>
      </c>
      <c r="AG115" s="67">
        <f t="shared" si="37"/>
        <v>0</v>
      </c>
      <c r="AH115" s="69">
        <f t="shared" si="38"/>
        <v>0</v>
      </c>
      <c r="AI115" s="67">
        <f t="shared" si="39"/>
        <v>0</v>
      </c>
    </row>
    <row r="116" ht="15.75" customHeight="1">
      <c r="B116" s="158" t="s">
        <v>129</v>
      </c>
      <c r="C116" s="20"/>
      <c r="D116" s="20"/>
      <c r="E116" s="20"/>
      <c r="F116" s="20"/>
      <c r="G116" s="21"/>
      <c r="H116" s="161" t="str">
        <f t="shared" si="12"/>
        <v/>
      </c>
      <c r="I116" s="67">
        <f t="shared" si="13"/>
        <v>0</v>
      </c>
      <c r="J116" s="68">
        <f t="shared" si="14"/>
        <v>0</v>
      </c>
      <c r="K116" s="68">
        <f t="shared" si="15"/>
        <v>0</v>
      </c>
      <c r="L116" s="69">
        <f t="shared" si="16"/>
        <v>0</v>
      </c>
      <c r="M116" s="69">
        <f t="shared" si="17"/>
        <v>0</v>
      </c>
      <c r="N116" s="69">
        <f t="shared" si="18"/>
        <v>0</v>
      </c>
      <c r="O116" s="67">
        <f t="shared" si="19"/>
        <v>0</v>
      </c>
      <c r="P116" s="68">
        <f t="shared" si="20"/>
        <v>0</v>
      </c>
      <c r="Q116" s="68">
        <f t="shared" si="21"/>
        <v>0</v>
      </c>
      <c r="R116" s="67">
        <f t="shared" si="22"/>
        <v>0</v>
      </c>
      <c r="S116" s="67">
        <f t="shared" si="23"/>
        <v>0</v>
      </c>
      <c r="T116" s="68">
        <f t="shared" si="24"/>
        <v>0</v>
      </c>
      <c r="U116" s="67">
        <f t="shared" si="25"/>
        <v>0</v>
      </c>
      <c r="V116" s="67">
        <f t="shared" si="26"/>
        <v>0</v>
      </c>
      <c r="W116" s="67">
        <f t="shared" si="27"/>
        <v>0</v>
      </c>
      <c r="X116" s="69">
        <f t="shared" si="28"/>
        <v>0</v>
      </c>
      <c r="Y116" s="69">
        <f t="shared" si="29"/>
        <v>0</v>
      </c>
      <c r="Z116" s="69">
        <f t="shared" si="30"/>
        <v>0</v>
      </c>
      <c r="AA116" s="67">
        <f t="shared" si="31"/>
        <v>0</v>
      </c>
      <c r="AB116" s="69">
        <f t="shared" si="32"/>
        <v>0</v>
      </c>
      <c r="AC116" s="69">
        <f t="shared" si="33"/>
        <v>0</v>
      </c>
      <c r="AD116" s="68">
        <f t="shared" si="34"/>
        <v>0</v>
      </c>
      <c r="AE116" s="69">
        <f t="shared" si="35"/>
        <v>0</v>
      </c>
      <c r="AF116" s="69">
        <f t="shared" si="36"/>
        <v>0</v>
      </c>
      <c r="AG116" s="67">
        <f t="shared" si="37"/>
        <v>0</v>
      </c>
      <c r="AH116" s="69">
        <f t="shared" si="38"/>
        <v>0</v>
      </c>
      <c r="AI116" s="67">
        <f t="shared" si="39"/>
        <v>0</v>
      </c>
    </row>
    <row r="117" ht="15.75" customHeight="1">
      <c r="B117" s="160" t="s">
        <v>138</v>
      </c>
      <c r="C117" s="20"/>
      <c r="D117" s="20"/>
      <c r="E117" s="20"/>
      <c r="F117" s="20"/>
      <c r="G117" s="21"/>
      <c r="H117" s="161" t="str">
        <f t="shared" si="12"/>
        <v/>
      </c>
      <c r="I117" s="67">
        <f t="shared" si="13"/>
        <v>0</v>
      </c>
      <c r="J117" s="68">
        <f t="shared" si="14"/>
        <v>0</v>
      </c>
      <c r="K117" s="68">
        <f t="shared" si="15"/>
        <v>0</v>
      </c>
      <c r="L117" s="69">
        <f t="shared" si="16"/>
        <v>0</v>
      </c>
      <c r="M117" s="69">
        <f t="shared" si="17"/>
        <v>0</v>
      </c>
      <c r="N117" s="69">
        <f t="shared" si="18"/>
        <v>0</v>
      </c>
      <c r="O117" s="67">
        <f t="shared" si="19"/>
        <v>0</v>
      </c>
      <c r="P117" s="68">
        <f t="shared" si="20"/>
        <v>0</v>
      </c>
      <c r="Q117" s="68">
        <f t="shared" si="21"/>
        <v>0</v>
      </c>
      <c r="R117" s="67">
        <f t="shared" si="22"/>
        <v>0</v>
      </c>
      <c r="S117" s="67">
        <f t="shared" si="23"/>
        <v>0</v>
      </c>
      <c r="T117" s="68">
        <f t="shared" si="24"/>
        <v>0</v>
      </c>
      <c r="U117" s="67">
        <f t="shared" si="25"/>
        <v>0</v>
      </c>
      <c r="V117" s="67">
        <f t="shared" si="26"/>
        <v>0</v>
      </c>
      <c r="W117" s="67">
        <f t="shared" si="27"/>
        <v>0</v>
      </c>
      <c r="X117" s="69">
        <f t="shared" si="28"/>
        <v>0</v>
      </c>
      <c r="Y117" s="69">
        <f t="shared" si="29"/>
        <v>0</v>
      </c>
      <c r="Z117" s="69">
        <f t="shared" si="30"/>
        <v>0</v>
      </c>
      <c r="AA117" s="67">
        <f t="shared" si="31"/>
        <v>0</v>
      </c>
      <c r="AB117" s="69">
        <f t="shared" si="32"/>
        <v>0</v>
      </c>
      <c r="AC117" s="69">
        <f t="shared" si="33"/>
        <v>0</v>
      </c>
      <c r="AD117" s="68">
        <f t="shared" si="34"/>
        <v>0</v>
      </c>
      <c r="AE117" s="69">
        <f t="shared" si="35"/>
        <v>0</v>
      </c>
      <c r="AF117" s="69">
        <f t="shared" si="36"/>
        <v>0</v>
      </c>
      <c r="AG117" s="67">
        <f t="shared" si="37"/>
        <v>0</v>
      </c>
      <c r="AH117" s="69">
        <f t="shared" si="38"/>
        <v>0</v>
      </c>
      <c r="AI117" s="67">
        <f t="shared" si="39"/>
        <v>0</v>
      </c>
    </row>
    <row r="118" ht="15.75" customHeight="1">
      <c r="B118" s="160" t="s">
        <v>311</v>
      </c>
      <c r="C118" s="20"/>
      <c r="D118" s="20"/>
      <c r="E118" s="20"/>
      <c r="F118" s="20"/>
      <c r="G118" s="21"/>
      <c r="H118" s="161" t="str">
        <f t="shared" si="12"/>
        <v/>
      </c>
      <c r="I118" s="67">
        <f t="shared" si="13"/>
        <v>0</v>
      </c>
      <c r="J118" s="68">
        <f t="shared" si="14"/>
        <v>0</v>
      </c>
      <c r="K118" s="68">
        <f t="shared" si="15"/>
        <v>0</v>
      </c>
      <c r="L118" s="69">
        <f t="shared" si="16"/>
        <v>0</v>
      </c>
      <c r="M118" s="69">
        <f t="shared" si="17"/>
        <v>0</v>
      </c>
      <c r="N118" s="69">
        <f t="shared" si="18"/>
        <v>0</v>
      </c>
      <c r="O118" s="67">
        <f t="shared" si="19"/>
        <v>0</v>
      </c>
      <c r="P118" s="68">
        <f t="shared" si="20"/>
        <v>0</v>
      </c>
      <c r="Q118" s="68">
        <f t="shared" si="21"/>
        <v>0</v>
      </c>
      <c r="R118" s="67">
        <f t="shared" si="22"/>
        <v>0</v>
      </c>
      <c r="S118" s="67">
        <f t="shared" si="23"/>
        <v>0</v>
      </c>
      <c r="T118" s="68">
        <f t="shared" si="24"/>
        <v>0</v>
      </c>
      <c r="U118" s="67">
        <f t="shared" si="25"/>
        <v>0</v>
      </c>
      <c r="V118" s="67">
        <f t="shared" si="26"/>
        <v>0</v>
      </c>
      <c r="W118" s="67">
        <f t="shared" si="27"/>
        <v>0</v>
      </c>
      <c r="X118" s="69">
        <f t="shared" si="28"/>
        <v>0</v>
      </c>
      <c r="Y118" s="69">
        <f t="shared" si="29"/>
        <v>0</v>
      </c>
      <c r="Z118" s="69">
        <f t="shared" si="30"/>
        <v>0</v>
      </c>
      <c r="AA118" s="67">
        <f t="shared" si="31"/>
        <v>0</v>
      </c>
      <c r="AB118" s="69">
        <f t="shared" si="32"/>
        <v>0</v>
      </c>
      <c r="AC118" s="69">
        <f t="shared" si="33"/>
        <v>0</v>
      </c>
      <c r="AD118" s="68">
        <f t="shared" si="34"/>
        <v>0</v>
      </c>
      <c r="AE118" s="69">
        <f t="shared" si="35"/>
        <v>0</v>
      </c>
      <c r="AF118" s="69">
        <f t="shared" si="36"/>
        <v>0</v>
      </c>
      <c r="AG118" s="67">
        <f t="shared" si="37"/>
        <v>0</v>
      </c>
      <c r="AH118" s="69">
        <f t="shared" si="38"/>
        <v>0</v>
      </c>
      <c r="AI118" s="67">
        <f t="shared" si="39"/>
        <v>0</v>
      </c>
    </row>
    <row r="119" ht="15.75" customHeight="1">
      <c r="B119" s="160" t="s">
        <v>312</v>
      </c>
      <c r="C119" s="20"/>
      <c r="D119" s="20"/>
      <c r="E119" s="20"/>
      <c r="F119" s="20"/>
      <c r="G119" s="21"/>
      <c r="H119" s="161" t="str">
        <f t="shared" si="12"/>
        <v/>
      </c>
      <c r="I119" s="67">
        <f t="shared" si="13"/>
        <v>0</v>
      </c>
      <c r="J119" s="68">
        <f t="shared" si="14"/>
        <v>0</v>
      </c>
      <c r="K119" s="68">
        <f t="shared" si="15"/>
        <v>0</v>
      </c>
      <c r="L119" s="69">
        <f t="shared" si="16"/>
        <v>0</v>
      </c>
      <c r="M119" s="69">
        <f t="shared" si="17"/>
        <v>0</v>
      </c>
      <c r="N119" s="69">
        <f t="shared" si="18"/>
        <v>0</v>
      </c>
      <c r="O119" s="67">
        <f t="shared" si="19"/>
        <v>0</v>
      </c>
      <c r="P119" s="68">
        <f t="shared" si="20"/>
        <v>0</v>
      </c>
      <c r="Q119" s="68">
        <f t="shared" si="21"/>
        <v>0</v>
      </c>
      <c r="R119" s="67">
        <f t="shared" si="22"/>
        <v>0</v>
      </c>
      <c r="S119" s="67">
        <f t="shared" si="23"/>
        <v>0</v>
      </c>
      <c r="T119" s="68">
        <f t="shared" si="24"/>
        <v>0</v>
      </c>
      <c r="U119" s="67">
        <f t="shared" si="25"/>
        <v>0</v>
      </c>
      <c r="V119" s="67">
        <f t="shared" si="26"/>
        <v>0</v>
      </c>
      <c r="W119" s="67">
        <f t="shared" si="27"/>
        <v>0</v>
      </c>
      <c r="X119" s="69">
        <f t="shared" si="28"/>
        <v>0</v>
      </c>
      <c r="Y119" s="69">
        <f t="shared" si="29"/>
        <v>0</v>
      </c>
      <c r="Z119" s="69">
        <f t="shared" si="30"/>
        <v>0</v>
      </c>
      <c r="AA119" s="67">
        <f t="shared" si="31"/>
        <v>0</v>
      </c>
      <c r="AB119" s="69">
        <f t="shared" si="32"/>
        <v>0</v>
      </c>
      <c r="AC119" s="69">
        <f t="shared" si="33"/>
        <v>0</v>
      </c>
      <c r="AD119" s="68">
        <f t="shared" si="34"/>
        <v>0</v>
      </c>
      <c r="AE119" s="69">
        <f t="shared" si="35"/>
        <v>0</v>
      </c>
      <c r="AF119" s="69">
        <f t="shared" si="36"/>
        <v>0</v>
      </c>
      <c r="AG119" s="67">
        <f t="shared" si="37"/>
        <v>0</v>
      </c>
      <c r="AH119" s="69">
        <f t="shared" si="38"/>
        <v>0</v>
      </c>
      <c r="AI119" s="67">
        <f t="shared" si="39"/>
        <v>0</v>
      </c>
    </row>
    <row r="120" ht="15.75" customHeight="1">
      <c r="B120" s="160" t="s">
        <v>153</v>
      </c>
      <c r="C120" s="20"/>
      <c r="D120" s="20"/>
      <c r="E120" s="20"/>
      <c r="F120" s="20"/>
      <c r="G120" s="21"/>
      <c r="H120" s="161" t="str">
        <f t="shared" si="12"/>
        <v/>
      </c>
      <c r="I120" s="67">
        <f t="shared" si="13"/>
        <v>0</v>
      </c>
      <c r="J120" s="68">
        <f t="shared" si="14"/>
        <v>0</v>
      </c>
      <c r="K120" s="68">
        <f t="shared" si="15"/>
        <v>0</v>
      </c>
      <c r="L120" s="69">
        <f t="shared" si="16"/>
        <v>0</v>
      </c>
      <c r="M120" s="69">
        <f t="shared" si="17"/>
        <v>0</v>
      </c>
      <c r="N120" s="69">
        <f t="shared" si="18"/>
        <v>0</v>
      </c>
      <c r="O120" s="67">
        <f t="shared" si="19"/>
        <v>0</v>
      </c>
      <c r="P120" s="68">
        <f t="shared" si="20"/>
        <v>0</v>
      </c>
      <c r="Q120" s="68">
        <f t="shared" si="21"/>
        <v>0</v>
      </c>
      <c r="R120" s="67">
        <f t="shared" si="22"/>
        <v>0</v>
      </c>
      <c r="S120" s="67">
        <f t="shared" si="23"/>
        <v>0</v>
      </c>
      <c r="T120" s="68">
        <f t="shared" si="24"/>
        <v>0</v>
      </c>
      <c r="U120" s="67">
        <f t="shared" si="25"/>
        <v>0</v>
      </c>
      <c r="V120" s="67">
        <f t="shared" si="26"/>
        <v>0</v>
      </c>
      <c r="W120" s="67">
        <f t="shared" si="27"/>
        <v>0</v>
      </c>
      <c r="X120" s="69">
        <f t="shared" si="28"/>
        <v>0</v>
      </c>
      <c r="Y120" s="69">
        <f t="shared" si="29"/>
        <v>0</v>
      </c>
      <c r="Z120" s="69">
        <f t="shared" si="30"/>
        <v>0</v>
      </c>
      <c r="AA120" s="67">
        <f t="shared" si="31"/>
        <v>0</v>
      </c>
      <c r="AB120" s="69">
        <f t="shared" si="32"/>
        <v>0</v>
      </c>
      <c r="AC120" s="69">
        <f t="shared" si="33"/>
        <v>0</v>
      </c>
      <c r="AD120" s="68">
        <f t="shared" si="34"/>
        <v>0</v>
      </c>
      <c r="AE120" s="69">
        <f t="shared" si="35"/>
        <v>0</v>
      </c>
      <c r="AF120" s="69">
        <f t="shared" si="36"/>
        <v>0</v>
      </c>
      <c r="AG120" s="67">
        <f t="shared" si="37"/>
        <v>0</v>
      </c>
      <c r="AH120" s="69">
        <f t="shared" si="38"/>
        <v>0</v>
      </c>
      <c r="AI120" s="67">
        <f t="shared" si="39"/>
        <v>0</v>
      </c>
    </row>
    <row r="121" ht="15.0" customHeight="1">
      <c r="B121" s="158" t="s">
        <v>159</v>
      </c>
      <c r="C121" s="20"/>
      <c r="D121" s="20"/>
      <c r="E121" s="20"/>
      <c r="F121" s="20"/>
      <c r="G121" s="21"/>
      <c r="H121" s="161" t="str">
        <f t="shared" si="12"/>
        <v/>
      </c>
      <c r="I121" s="67">
        <f t="shared" si="13"/>
        <v>0</v>
      </c>
      <c r="J121" s="68">
        <f t="shared" si="14"/>
        <v>0</v>
      </c>
      <c r="K121" s="68">
        <f t="shared" si="15"/>
        <v>0</v>
      </c>
      <c r="L121" s="69">
        <f t="shared" si="16"/>
        <v>0</v>
      </c>
      <c r="M121" s="69">
        <f t="shared" si="17"/>
        <v>0</v>
      </c>
      <c r="N121" s="69">
        <f t="shared" si="18"/>
        <v>0</v>
      </c>
      <c r="O121" s="67">
        <f t="shared" si="19"/>
        <v>0</v>
      </c>
      <c r="P121" s="68">
        <f t="shared" si="20"/>
        <v>0</v>
      </c>
      <c r="Q121" s="68">
        <f t="shared" si="21"/>
        <v>0</v>
      </c>
      <c r="R121" s="67">
        <f t="shared" si="22"/>
        <v>0</v>
      </c>
      <c r="S121" s="67">
        <f t="shared" si="23"/>
        <v>0</v>
      </c>
      <c r="T121" s="68">
        <f t="shared" si="24"/>
        <v>0</v>
      </c>
      <c r="U121" s="67">
        <f t="shared" si="25"/>
        <v>0</v>
      </c>
      <c r="V121" s="67">
        <f t="shared" si="26"/>
        <v>0</v>
      </c>
      <c r="W121" s="67">
        <f t="shared" si="27"/>
        <v>0</v>
      </c>
      <c r="X121" s="69">
        <f t="shared" si="28"/>
        <v>0</v>
      </c>
      <c r="Y121" s="69">
        <f t="shared" si="29"/>
        <v>0</v>
      </c>
      <c r="Z121" s="69">
        <f t="shared" si="30"/>
        <v>0</v>
      </c>
      <c r="AA121" s="67">
        <f t="shared" si="31"/>
        <v>0</v>
      </c>
      <c r="AB121" s="69">
        <f t="shared" si="32"/>
        <v>0</v>
      </c>
      <c r="AC121" s="69">
        <f t="shared" si="33"/>
        <v>0</v>
      </c>
      <c r="AD121" s="68">
        <f t="shared" si="34"/>
        <v>0</v>
      </c>
      <c r="AE121" s="69">
        <f t="shared" si="35"/>
        <v>0</v>
      </c>
      <c r="AF121" s="69">
        <f t="shared" si="36"/>
        <v>0</v>
      </c>
      <c r="AG121" s="67">
        <f t="shared" si="37"/>
        <v>0</v>
      </c>
      <c r="AH121" s="69">
        <f t="shared" si="38"/>
        <v>0</v>
      </c>
      <c r="AI121" s="67">
        <f t="shared" si="39"/>
        <v>0</v>
      </c>
    </row>
    <row r="122" ht="15.75" customHeight="1">
      <c r="B122" s="158" t="s">
        <v>167</v>
      </c>
      <c r="C122" s="20"/>
      <c r="D122" s="20"/>
      <c r="E122" s="20"/>
      <c r="F122" s="20"/>
      <c r="G122" s="21"/>
      <c r="H122" s="161" t="str">
        <f t="shared" si="12"/>
        <v/>
      </c>
      <c r="I122" s="67">
        <f t="shared" si="13"/>
        <v>0</v>
      </c>
      <c r="J122" s="68">
        <f t="shared" si="14"/>
        <v>0</v>
      </c>
      <c r="K122" s="68">
        <f t="shared" si="15"/>
        <v>0</v>
      </c>
      <c r="L122" s="69">
        <f t="shared" si="16"/>
        <v>0</v>
      </c>
      <c r="M122" s="69">
        <f t="shared" si="17"/>
        <v>0</v>
      </c>
      <c r="N122" s="69">
        <f t="shared" si="18"/>
        <v>0</v>
      </c>
      <c r="O122" s="67">
        <f t="shared" si="19"/>
        <v>0</v>
      </c>
      <c r="P122" s="68">
        <f t="shared" si="20"/>
        <v>0</v>
      </c>
      <c r="Q122" s="68">
        <f t="shared" si="21"/>
        <v>0</v>
      </c>
      <c r="R122" s="67">
        <f t="shared" si="22"/>
        <v>0</v>
      </c>
      <c r="S122" s="67">
        <f t="shared" si="23"/>
        <v>0</v>
      </c>
      <c r="T122" s="68">
        <f t="shared" si="24"/>
        <v>0</v>
      </c>
      <c r="U122" s="67">
        <f t="shared" si="25"/>
        <v>0</v>
      </c>
      <c r="V122" s="67">
        <f t="shared" si="26"/>
        <v>0</v>
      </c>
      <c r="W122" s="67">
        <f t="shared" si="27"/>
        <v>0</v>
      </c>
      <c r="X122" s="69">
        <f t="shared" si="28"/>
        <v>0</v>
      </c>
      <c r="Y122" s="69">
        <f t="shared" si="29"/>
        <v>0</v>
      </c>
      <c r="Z122" s="69">
        <f t="shared" si="30"/>
        <v>0</v>
      </c>
      <c r="AA122" s="67">
        <f t="shared" si="31"/>
        <v>0</v>
      </c>
      <c r="AB122" s="69">
        <f t="shared" si="32"/>
        <v>0</v>
      </c>
      <c r="AC122" s="69">
        <f t="shared" si="33"/>
        <v>0</v>
      </c>
      <c r="AD122" s="68">
        <f t="shared" si="34"/>
        <v>0</v>
      </c>
      <c r="AE122" s="69">
        <f t="shared" si="35"/>
        <v>0</v>
      </c>
      <c r="AF122" s="69">
        <f t="shared" si="36"/>
        <v>0</v>
      </c>
      <c r="AG122" s="67">
        <f t="shared" si="37"/>
        <v>0</v>
      </c>
      <c r="AH122" s="69">
        <f t="shared" si="38"/>
        <v>0</v>
      </c>
      <c r="AI122" s="67">
        <f t="shared" si="39"/>
        <v>0</v>
      </c>
    </row>
    <row r="123" ht="15.0" customHeight="1">
      <c r="B123" s="158" t="s">
        <v>313</v>
      </c>
      <c r="C123" s="20"/>
      <c r="D123" s="20"/>
      <c r="E123" s="20"/>
      <c r="F123" s="20"/>
      <c r="G123" s="21"/>
      <c r="H123" s="161" t="str">
        <f t="shared" si="12"/>
        <v/>
      </c>
      <c r="I123" s="67">
        <f t="shared" si="13"/>
        <v>0</v>
      </c>
      <c r="J123" s="68">
        <f t="shared" si="14"/>
        <v>0</v>
      </c>
      <c r="K123" s="68">
        <f t="shared" si="15"/>
        <v>0</v>
      </c>
      <c r="L123" s="69">
        <f t="shared" si="16"/>
        <v>0</v>
      </c>
      <c r="M123" s="69">
        <f t="shared" si="17"/>
        <v>0</v>
      </c>
      <c r="N123" s="69">
        <f t="shared" si="18"/>
        <v>0</v>
      </c>
      <c r="O123" s="67">
        <f t="shared" si="19"/>
        <v>0</v>
      </c>
      <c r="P123" s="68">
        <f t="shared" si="20"/>
        <v>0</v>
      </c>
      <c r="Q123" s="68">
        <f t="shared" si="21"/>
        <v>0</v>
      </c>
      <c r="R123" s="67">
        <f t="shared" si="22"/>
        <v>0</v>
      </c>
      <c r="S123" s="67">
        <f t="shared" si="23"/>
        <v>0</v>
      </c>
      <c r="T123" s="68">
        <f t="shared" si="24"/>
        <v>0</v>
      </c>
      <c r="U123" s="67">
        <f t="shared" si="25"/>
        <v>0</v>
      </c>
      <c r="V123" s="67">
        <f t="shared" si="26"/>
        <v>0</v>
      </c>
      <c r="W123" s="67">
        <f t="shared" si="27"/>
        <v>0</v>
      </c>
      <c r="X123" s="69">
        <f t="shared" si="28"/>
        <v>0</v>
      </c>
      <c r="Y123" s="69">
        <f t="shared" si="29"/>
        <v>0</v>
      </c>
      <c r="Z123" s="69">
        <f t="shared" si="30"/>
        <v>0</v>
      </c>
      <c r="AA123" s="67">
        <f t="shared" si="31"/>
        <v>0</v>
      </c>
      <c r="AB123" s="69">
        <f t="shared" si="32"/>
        <v>0</v>
      </c>
      <c r="AC123" s="69">
        <f t="shared" si="33"/>
        <v>0</v>
      </c>
      <c r="AD123" s="68">
        <f t="shared" si="34"/>
        <v>0</v>
      </c>
      <c r="AE123" s="69">
        <f t="shared" si="35"/>
        <v>0</v>
      </c>
      <c r="AF123" s="69">
        <f t="shared" si="36"/>
        <v>0</v>
      </c>
      <c r="AG123" s="67">
        <f t="shared" si="37"/>
        <v>0</v>
      </c>
      <c r="AH123" s="69">
        <f t="shared" si="38"/>
        <v>0</v>
      </c>
      <c r="AI123" s="67">
        <f t="shared" si="39"/>
        <v>0</v>
      </c>
    </row>
    <row r="124" ht="15.75" customHeight="1">
      <c r="B124" s="160" t="s">
        <v>176</v>
      </c>
      <c r="C124" s="20"/>
      <c r="D124" s="20"/>
      <c r="E124" s="20"/>
      <c r="F124" s="20"/>
      <c r="G124" s="21"/>
      <c r="H124" s="161" t="str">
        <f t="shared" si="12"/>
        <v/>
      </c>
      <c r="I124" s="67">
        <f t="shared" si="13"/>
        <v>0</v>
      </c>
      <c r="J124" s="68">
        <f t="shared" si="14"/>
        <v>0</v>
      </c>
      <c r="K124" s="68">
        <f t="shared" si="15"/>
        <v>0</v>
      </c>
      <c r="L124" s="69">
        <f t="shared" si="16"/>
        <v>0</v>
      </c>
      <c r="M124" s="69">
        <f t="shared" si="17"/>
        <v>0</v>
      </c>
      <c r="N124" s="69">
        <f t="shared" si="18"/>
        <v>0</v>
      </c>
      <c r="O124" s="67">
        <f t="shared" si="19"/>
        <v>0</v>
      </c>
      <c r="P124" s="68">
        <f t="shared" si="20"/>
        <v>0</v>
      </c>
      <c r="Q124" s="68">
        <f t="shared" si="21"/>
        <v>0</v>
      </c>
      <c r="R124" s="67">
        <f t="shared" si="22"/>
        <v>0</v>
      </c>
      <c r="S124" s="67">
        <f t="shared" si="23"/>
        <v>0</v>
      </c>
      <c r="T124" s="68">
        <f t="shared" si="24"/>
        <v>0</v>
      </c>
      <c r="U124" s="67">
        <f t="shared" si="25"/>
        <v>0</v>
      </c>
      <c r="V124" s="67">
        <f t="shared" si="26"/>
        <v>0</v>
      </c>
      <c r="W124" s="67">
        <f t="shared" si="27"/>
        <v>0</v>
      </c>
      <c r="X124" s="69">
        <f t="shared" si="28"/>
        <v>0</v>
      </c>
      <c r="Y124" s="69">
        <f t="shared" si="29"/>
        <v>0</v>
      </c>
      <c r="Z124" s="69">
        <f t="shared" si="30"/>
        <v>0</v>
      </c>
      <c r="AA124" s="67">
        <f t="shared" si="31"/>
        <v>0</v>
      </c>
      <c r="AB124" s="69">
        <f t="shared" si="32"/>
        <v>0</v>
      </c>
      <c r="AC124" s="69">
        <f t="shared" si="33"/>
        <v>0</v>
      </c>
      <c r="AD124" s="68">
        <f t="shared" si="34"/>
        <v>0</v>
      </c>
      <c r="AE124" s="69">
        <f t="shared" si="35"/>
        <v>0</v>
      </c>
      <c r="AF124" s="69">
        <f t="shared" si="36"/>
        <v>0</v>
      </c>
      <c r="AG124" s="67">
        <f t="shared" si="37"/>
        <v>0</v>
      </c>
      <c r="AH124" s="69">
        <f t="shared" si="38"/>
        <v>0</v>
      </c>
      <c r="AI124" s="67">
        <f t="shared" si="39"/>
        <v>0</v>
      </c>
    </row>
    <row r="125" ht="15.0" customHeight="1">
      <c r="B125" s="160" t="s">
        <v>179</v>
      </c>
      <c r="C125" s="20"/>
      <c r="D125" s="20"/>
      <c r="E125" s="20"/>
      <c r="F125" s="20"/>
      <c r="G125" s="21"/>
      <c r="H125" s="161" t="str">
        <f t="shared" si="12"/>
        <v/>
      </c>
      <c r="I125" s="67">
        <f t="shared" si="13"/>
        <v>0</v>
      </c>
      <c r="J125" s="68">
        <f t="shared" si="14"/>
        <v>0</v>
      </c>
      <c r="K125" s="68">
        <f t="shared" si="15"/>
        <v>0</v>
      </c>
      <c r="L125" s="69">
        <f t="shared" si="16"/>
        <v>0</v>
      </c>
      <c r="M125" s="69">
        <f t="shared" si="17"/>
        <v>0</v>
      </c>
      <c r="N125" s="69">
        <f t="shared" si="18"/>
        <v>0</v>
      </c>
      <c r="O125" s="67">
        <f t="shared" si="19"/>
        <v>0</v>
      </c>
      <c r="P125" s="68">
        <f t="shared" si="20"/>
        <v>0</v>
      </c>
      <c r="Q125" s="68">
        <f t="shared" si="21"/>
        <v>0</v>
      </c>
      <c r="R125" s="67">
        <f t="shared" si="22"/>
        <v>0</v>
      </c>
      <c r="S125" s="67">
        <f t="shared" si="23"/>
        <v>0</v>
      </c>
      <c r="T125" s="68">
        <f t="shared" si="24"/>
        <v>0</v>
      </c>
      <c r="U125" s="67">
        <f t="shared" si="25"/>
        <v>0</v>
      </c>
      <c r="V125" s="67">
        <f t="shared" si="26"/>
        <v>0</v>
      </c>
      <c r="W125" s="67">
        <f t="shared" si="27"/>
        <v>0</v>
      </c>
      <c r="X125" s="69">
        <f t="shared" si="28"/>
        <v>0</v>
      </c>
      <c r="Y125" s="69">
        <f t="shared" si="29"/>
        <v>0</v>
      </c>
      <c r="Z125" s="69">
        <f t="shared" si="30"/>
        <v>0</v>
      </c>
      <c r="AA125" s="67">
        <f t="shared" si="31"/>
        <v>0</v>
      </c>
      <c r="AB125" s="69">
        <f t="shared" si="32"/>
        <v>0</v>
      </c>
      <c r="AC125" s="69">
        <f t="shared" si="33"/>
        <v>0</v>
      </c>
      <c r="AD125" s="68">
        <f t="shared" si="34"/>
        <v>0</v>
      </c>
      <c r="AE125" s="69">
        <f t="shared" si="35"/>
        <v>0</v>
      </c>
      <c r="AF125" s="69">
        <f t="shared" si="36"/>
        <v>0</v>
      </c>
      <c r="AG125" s="67">
        <f t="shared" si="37"/>
        <v>0</v>
      </c>
      <c r="AH125" s="69">
        <f t="shared" si="38"/>
        <v>0</v>
      </c>
      <c r="AI125" s="67">
        <f t="shared" si="39"/>
        <v>0</v>
      </c>
    </row>
    <row r="126" ht="15.75" customHeight="1">
      <c r="B126" s="158" t="s">
        <v>184</v>
      </c>
      <c r="C126" s="20"/>
      <c r="D126" s="20"/>
      <c r="E126" s="20"/>
      <c r="F126" s="20"/>
      <c r="G126" s="21"/>
      <c r="H126" s="161" t="str">
        <f t="shared" si="12"/>
        <v/>
      </c>
      <c r="I126" s="67">
        <f t="shared" si="13"/>
        <v>0</v>
      </c>
      <c r="J126" s="68">
        <f t="shared" si="14"/>
        <v>0</v>
      </c>
      <c r="K126" s="68">
        <f t="shared" si="15"/>
        <v>0</v>
      </c>
      <c r="L126" s="69">
        <f t="shared" si="16"/>
        <v>0</v>
      </c>
      <c r="M126" s="69">
        <f t="shared" si="17"/>
        <v>0</v>
      </c>
      <c r="N126" s="69">
        <f t="shared" si="18"/>
        <v>0</v>
      </c>
      <c r="O126" s="67">
        <f t="shared" si="19"/>
        <v>0</v>
      </c>
      <c r="P126" s="68">
        <f t="shared" si="20"/>
        <v>0</v>
      </c>
      <c r="Q126" s="68">
        <f t="shared" si="21"/>
        <v>0</v>
      </c>
      <c r="R126" s="67">
        <f t="shared" si="22"/>
        <v>0</v>
      </c>
      <c r="S126" s="67">
        <f t="shared" si="23"/>
        <v>0</v>
      </c>
      <c r="T126" s="68">
        <f t="shared" si="24"/>
        <v>0</v>
      </c>
      <c r="U126" s="67">
        <f t="shared" si="25"/>
        <v>0</v>
      </c>
      <c r="V126" s="67">
        <f t="shared" si="26"/>
        <v>0</v>
      </c>
      <c r="W126" s="67">
        <f t="shared" si="27"/>
        <v>0</v>
      </c>
      <c r="X126" s="69">
        <f t="shared" si="28"/>
        <v>0</v>
      </c>
      <c r="Y126" s="69">
        <f t="shared" si="29"/>
        <v>0</v>
      </c>
      <c r="Z126" s="69">
        <f t="shared" si="30"/>
        <v>0</v>
      </c>
      <c r="AA126" s="67">
        <f t="shared" si="31"/>
        <v>0</v>
      </c>
      <c r="AB126" s="69">
        <f t="shared" si="32"/>
        <v>0</v>
      </c>
      <c r="AC126" s="69">
        <f t="shared" si="33"/>
        <v>0</v>
      </c>
      <c r="AD126" s="68">
        <f t="shared" si="34"/>
        <v>0</v>
      </c>
      <c r="AE126" s="69">
        <f t="shared" si="35"/>
        <v>0</v>
      </c>
      <c r="AF126" s="69">
        <f t="shared" si="36"/>
        <v>0</v>
      </c>
      <c r="AG126" s="67">
        <f t="shared" si="37"/>
        <v>0</v>
      </c>
      <c r="AH126" s="69">
        <f t="shared" si="38"/>
        <v>0</v>
      </c>
      <c r="AI126" s="67">
        <f t="shared" si="39"/>
        <v>0</v>
      </c>
    </row>
    <row r="127" ht="15.75" customHeight="1">
      <c r="B127" s="158" t="s">
        <v>186</v>
      </c>
      <c r="C127" s="20"/>
      <c r="D127" s="20"/>
      <c r="E127" s="20"/>
      <c r="F127" s="20"/>
      <c r="G127" s="21"/>
      <c r="H127" s="161" t="str">
        <f t="shared" si="12"/>
        <v/>
      </c>
      <c r="I127" s="67">
        <f t="shared" si="13"/>
        <v>0</v>
      </c>
      <c r="J127" s="68">
        <f t="shared" si="14"/>
        <v>0</v>
      </c>
      <c r="K127" s="68">
        <f t="shared" si="15"/>
        <v>0</v>
      </c>
      <c r="L127" s="69">
        <f t="shared" si="16"/>
        <v>0</v>
      </c>
      <c r="M127" s="69">
        <f t="shared" si="17"/>
        <v>0</v>
      </c>
      <c r="N127" s="69">
        <f t="shared" si="18"/>
        <v>0</v>
      </c>
      <c r="O127" s="67">
        <f t="shared" si="19"/>
        <v>0</v>
      </c>
      <c r="P127" s="68">
        <f t="shared" si="20"/>
        <v>0</v>
      </c>
      <c r="Q127" s="68">
        <f t="shared" si="21"/>
        <v>0</v>
      </c>
      <c r="R127" s="67">
        <f t="shared" si="22"/>
        <v>0</v>
      </c>
      <c r="S127" s="67">
        <f t="shared" si="23"/>
        <v>0</v>
      </c>
      <c r="T127" s="68">
        <f t="shared" si="24"/>
        <v>0</v>
      </c>
      <c r="U127" s="67">
        <f t="shared" si="25"/>
        <v>0</v>
      </c>
      <c r="V127" s="67">
        <f t="shared" si="26"/>
        <v>0</v>
      </c>
      <c r="W127" s="67">
        <f t="shared" si="27"/>
        <v>0</v>
      </c>
      <c r="X127" s="69">
        <f t="shared" si="28"/>
        <v>0</v>
      </c>
      <c r="Y127" s="69">
        <f t="shared" si="29"/>
        <v>0</v>
      </c>
      <c r="Z127" s="69">
        <f t="shared" si="30"/>
        <v>0</v>
      </c>
      <c r="AA127" s="67">
        <f t="shared" si="31"/>
        <v>0</v>
      </c>
      <c r="AB127" s="69">
        <f t="shared" si="32"/>
        <v>0</v>
      </c>
      <c r="AC127" s="69">
        <f t="shared" si="33"/>
        <v>0</v>
      </c>
      <c r="AD127" s="68">
        <f t="shared" si="34"/>
        <v>0</v>
      </c>
      <c r="AE127" s="69">
        <f t="shared" si="35"/>
        <v>0</v>
      </c>
      <c r="AF127" s="69">
        <f t="shared" si="36"/>
        <v>0</v>
      </c>
      <c r="AG127" s="67">
        <f t="shared" si="37"/>
        <v>0</v>
      </c>
      <c r="AH127" s="69">
        <f t="shared" si="38"/>
        <v>0</v>
      </c>
      <c r="AI127" s="67">
        <f t="shared" si="39"/>
        <v>0</v>
      </c>
    </row>
    <row r="128" ht="15.75" customHeight="1">
      <c r="B128" s="160" t="s">
        <v>189</v>
      </c>
      <c r="C128" s="20"/>
      <c r="D128" s="20"/>
      <c r="E128" s="20"/>
      <c r="F128" s="20"/>
      <c r="G128" s="21"/>
      <c r="H128" s="161" t="str">
        <f t="shared" si="12"/>
        <v/>
      </c>
      <c r="I128" s="67">
        <f t="shared" si="13"/>
        <v>0</v>
      </c>
      <c r="J128" s="68">
        <f t="shared" si="14"/>
        <v>0</v>
      </c>
      <c r="K128" s="68">
        <f t="shared" si="15"/>
        <v>0</v>
      </c>
      <c r="L128" s="69">
        <f t="shared" si="16"/>
        <v>0</v>
      </c>
      <c r="M128" s="69">
        <f t="shared" si="17"/>
        <v>0</v>
      </c>
      <c r="N128" s="69">
        <f t="shared" si="18"/>
        <v>0</v>
      </c>
      <c r="O128" s="67">
        <f t="shared" si="19"/>
        <v>0</v>
      </c>
      <c r="P128" s="68">
        <f t="shared" si="20"/>
        <v>0</v>
      </c>
      <c r="Q128" s="68">
        <f t="shared" si="21"/>
        <v>0</v>
      </c>
      <c r="R128" s="67">
        <f t="shared" si="22"/>
        <v>0</v>
      </c>
      <c r="S128" s="67">
        <f t="shared" si="23"/>
        <v>0</v>
      </c>
      <c r="T128" s="68">
        <f t="shared" si="24"/>
        <v>0</v>
      </c>
      <c r="U128" s="67">
        <f t="shared" si="25"/>
        <v>0</v>
      </c>
      <c r="V128" s="67">
        <f t="shared" si="26"/>
        <v>0</v>
      </c>
      <c r="W128" s="67">
        <f t="shared" si="27"/>
        <v>0</v>
      </c>
      <c r="X128" s="69">
        <f t="shared" si="28"/>
        <v>0</v>
      </c>
      <c r="Y128" s="69">
        <f t="shared" si="29"/>
        <v>0</v>
      </c>
      <c r="Z128" s="69">
        <f t="shared" si="30"/>
        <v>0</v>
      </c>
      <c r="AA128" s="67">
        <f t="shared" si="31"/>
        <v>0</v>
      </c>
      <c r="AB128" s="69">
        <f t="shared" si="32"/>
        <v>0</v>
      </c>
      <c r="AC128" s="69">
        <f t="shared" si="33"/>
        <v>0</v>
      </c>
      <c r="AD128" s="68">
        <f t="shared" si="34"/>
        <v>0</v>
      </c>
      <c r="AE128" s="69">
        <f t="shared" si="35"/>
        <v>0</v>
      </c>
      <c r="AF128" s="69">
        <f t="shared" si="36"/>
        <v>0</v>
      </c>
      <c r="AG128" s="67">
        <f t="shared" si="37"/>
        <v>0</v>
      </c>
      <c r="AH128" s="69">
        <f t="shared" si="38"/>
        <v>0</v>
      </c>
      <c r="AI128" s="67">
        <f t="shared" si="39"/>
        <v>0</v>
      </c>
    </row>
    <row r="129" ht="15.75" customHeight="1">
      <c r="B129" s="158" t="s">
        <v>195</v>
      </c>
      <c r="C129" s="20"/>
      <c r="D129" s="20"/>
      <c r="E129" s="20"/>
      <c r="F129" s="20"/>
      <c r="G129" s="21"/>
      <c r="H129" s="161" t="str">
        <f t="shared" si="12"/>
        <v/>
      </c>
      <c r="I129" s="67">
        <f t="shared" si="13"/>
        <v>0</v>
      </c>
      <c r="J129" s="68">
        <f t="shared" si="14"/>
        <v>0</v>
      </c>
      <c r="K129" s="68">
        <f t="shared" si="15"/>
        <v>0</v>
      </c>
      <c r="L129" s="69">
        <f t="shared" si="16"/>
        <v>0</v>
      </c>
      <c r="M129" s="69">
        <f t="shared" si="17"/>
        <v>0</v>
      </c>
      <c r="N129" s="69">
        <f t="shared" si="18"/>
        <v>0</v>
      </c>
      <c r="O129" s="67">
        <f t="shared" si="19"/>
        <v>0</v>
      </c>
      <c r="P129" s="68">
        <f t="shared" si="20"/>
        <v>0</v>
      </c>
      <c r="Q129" s="68">
        <f t="shared" si="21"/>
        <v>0</v>
      </c>
      <c r="R129" s="67">
        <f t="shared" si="22"/>
        <v>0</v>
      </c>
      <c r="S129" s="67">
        <f t="shared" si="23"/>
        <v>0</v>
      </c>
      <c r="T129" s="68">
        <f t="shared" si="24"/>
        <v>0</v>
      </c>
      <c r="U129" s="67">
        <f t="shared" si="25"/>
        <v>0</v>
      </c>
      <c r="V129" s="67">
        <f t="shared" si="26"/>
        <v>0</v>
      </c>
      <c r="W129" s="67">
        <f t="shared" si="27"/>
        <v>0</v>
      </c>
      <c r="X129" s="69">
        <f t="shared" si="28"/>
        <v>0</v>
      </c>
      <c r="Y129" s="69">
        <f t="shared" si="29"/>
        <v>0</v>
      </c>
      <c r="Z129" s="69">
        <f t="shared" si="30"/>
        <v>0</v>
      </c>
      <c r="AA129" s="67">
        <f t="shared" si="31"/>
        <v>0</v>
      </c>
      <c r="AB129" s="69">
        <f t="shared" si="32"/>
        <v>0</v>
      </c>
      <c r="AC129" s="69">
        <f t="shared" si="33"/>
        <v>0</v>
      </c>
      <c r="AD129" s="68">
        <f t="shared" si="34"/>
        <v>0</v>
      </c>
      <c r="AE129" s="69">
        <f t="shared" si="35"/>
        <v>0</v>
      </c>
      <c r="AF129" s="69">
        <f t="shared" si="36"/>
        <v>0</v>
      </c>
      <c r="AG129" s="67">
        <f t="shared" si="37"/>
        <v>0</v>
      </c>
      <c r="AH129" s="69">
        <f t="shared" si="38"/>
        <v>0</v>
      </c>
      <c r="AI129" s="67">
        <f t="shared" si="39"/>
        <v>0</v>
      </c>
    </row>
    <row r="130" ht="15.75" customHeight="1">
      <c r="B130" s="158" t="s">
        <v>196</v>
      </c>
      <c r="C130" s="20"/>
      <c r="D130" s="20"/>
      <c r="E130" s="20"/>
      <c r="F130" s="20"/>
      <c r="G130" s="21"/>
      <c r="H130" s="161" t="str">
        <f t="shared" si="12"/>
        <v/>
      </c>
      <c r="I130" s="67">
        <f t="shared" si="13"/>
        <v>0</v>
      </c>
      <c r="J130" s="68">
        <f t="shared" si="14"/>
        <v>0</v>
      </c>
      <c r="K130" s="68">
        <f t="shared" si="15"/>
        <v>0</v>
      </c>
      <c r="L130" s="69">
        <f t="shared" si="16"/>
        <v>0</v>
      </c>
      <c r="M130" s="69">
        <f t="shared" si="17"/>
        <v>0</v>
      </c>
      <c r="N130" s="69">
        <f t="shared" si="18"/>
        <v>0</v>
      </c>
      <c r="O130" s="67">
        <f t="shared" si="19"/>
        <v>0</v>
      </c>
      <c r="P130" s="68">
        <f t="shared" si="20"/>
        <v>0</v>
      </c>
      <c r="Q130" s="68">
        <f t="shared" si="21"/>
        <v>0</v>
      </c>
      <c r="R130" s="67">
        <f t="shared" si="22"/>
        <v>0</v>
      </c>
      <c r="S130" s="67">
        <f t="shared" si="23"/>
        <v>0</v>
      </c>
      <c r="T130" s="68">
        <f t="shared" si="24"/>
        <v>0</v>
      </c>
      <c r="U130" s="67">
        <f t="shared" si="25"/>
        <v>0</v>
      </c>
      <c r="V130" s="67">
        <f t="shared" si="26"/>
        <v>0</v>
      </c>
      <c r="W130" s="67">
        <f t="shared" si="27"/>
        <v>0</v>
      </c>
      <c r="X130" s="69">
        <f t="shared" si="28"/>
        <v>0</v>
      </c>
      <c r="Y130" s="69">
        <f t="shared" si="29"/>
        <v>0</v>
      </c>
      <c r="Z130" s="69">
        <f t="shared" si="30"/>
        <v>0</v>
      </c>
      <c r="AA130" s="67">
        <f t="shared" si="31"/>
        <v>0</v>
      </c>
      <c r="AB130" s="69">
        <f t="shared" si="32"/>
        <v>0</v>
      </c>
      <c r="AC130" s="69">
        <f t="shared" si="33"/>
        <v>0</v>
      </c>
      <c r="AD130" s="68">
        <f t="shared" si="34"/>
        <v>0</v>
      </c>
      <c r="AE130" s="69">
        <f t="shared" si="35"/>
        <v>0</v>
      </c>
      <c r="AF130" s="69">
        <f t="shared" si="36"/>
        <v>0</v>
      </c>
      <c r="AG130" s="67">
        <f t="shared" si="37"/>
        <v>0</v>
      </c>
      <c r="AH130" s="69">
        <f t="shared" si="38"/>
        <v>0</v>
      </c>
      <c r="AI130" s="67">
        <f t="shared" si="39"/>
        <v>0</v>
      </c>
    </row>
    <row r="131" ht="15.75" customHeight="1">
      <c r="B131" s="158" t="s">
        <v>197</v>
      </c>
      <c r="C131" s="20"/>
      <c r="D131" s="20"/>
      <c r="E131" s="20"/>
      <c r="F131" s="20"/>
      <c r="G131" s="21"/>
      <c r="H131" s="161" t="str">
        <f t="shared" si="12"/>
        <v/>
      </c>
      <c r="I131" s="67">
        <f t="shared" si="13"/>
        <v>0</v>
      </c>
      <c r="J131" s="68">
        <f t="shared" si="14"/>
        <v>0</v>
      </c>
      <c r="K131" s="68">
        <f t="shared" si="15"/>
        <v>0</v>
      </c>
      <c r="L131" s="69">
        <f t="shared" si="16"/>
        <v>0</v>
      </c>
      <c r="M131" s="69">
        <f t="shared" si="17"/>
        <v>0</v>
      </c>
      <c r="N131" s="69">
        <f t="shared" si="18"/>
        <v>0</v>
      </c>
      <c r="O131" s="67">
        <f t="shared" si="19"/>
        <v>0</v>
      </c>
      <c r="P131" s="68">
        <f t="shared" si="20"/>
        <v>0</v>
      </c>
      <c r="Q131" s="68">
        <f t="shared" si="21"/>
        <v>0</v>
      </c>
      <c r="R131" s="67">
        <f t="shared" si="22"/>
        <v>0</v>
      </c>
      <c r="S131" s="67">
        <f t="shared" si="23"/>
        <v>0</v>
      </c>
      <c r="T131" s="68">
        <f t="shared" si="24"/>
        <v>0</v>
      </c>
      <c r="U131" s="67">
        <f t="shared" si="25"/>
        <v>0</v>
      </c>
      <c r="V131" s="67">
        <f t="shared" si="26"/>
        <v>0</v>
      </c>
      <c r="W131" s="67">
        <f t="shared" si="27"/>
        <v>0</v>
      </c>
      <c r="X131" s="69">
        <f t="shared" si="28"/>
        <v>0</v>
      </c>
      <c r="Y131" s="69">
        <f t="shared" si="29"/>
        <v>0</v>
      </c>
      <c r="Z131" s="69">
        <f t="shared" si="30"/>
        <v>0</v>
      </c>
      <c r="AA131" s="67">
        <f t="shared" si="31"/>
        <v>0</v>
      </c>
      <c r="AB131" s="69">
        <f t="shared" si="32"/>
        <v>0</v>
      </c>
      <c r="AC131" s="69">
        <f t="shared" si="33"/>
        <v>0</v>
      </c>
      <c r="AD131" s="68">
        <f t="shared" si="34"/>
        <v>0</v>
      </c>
      <c r="AE131" s="69">
        <f t="shared" si="35"/>
        <v>0</v>
      </c>
      <c r="AF131" s="69">
        <f t="shared" si="36"/>
        <v>0</v>
      </c>
      <c r="AG131" s="67">
        <f t="shared" si="37"/>
        <v>0</v>
      </c>
      <c r="AH131" s="69">
        <f t="shared" si="38"/>
        <v>0</v>
      </c>
      <c r="AI131" s="67">
        <f t="shared" si="39"/>
        <v>0</v>
      </c>
    </row>
    <row r="132" ht="15.75" customHeight="1">
      <c r="B132" s="158" t="s">
        <v>198</v>
      </c>
      <c r="C132" s="20"/>
      <c r="D132" s="20"/>
      <c r="E132" s="20"/>
      <c r="F132" s="20"/>
      <c r="G132" s="21"/>
      <c r="H132" s="161" t="str">
        <f t="shared" si="12"/>
        <v/>
      </c>
      <c r="I132" s="67">
        <f t="shared" si="13"/>
        <v>0</v>
      </c>
      <c r="J132" s="68">
        <f t="shared" si="14"/>
        <v>0</v>
      </c>
      <c r="K132" s="68">
        <f t="shared" si="15"/>
        <v>0</v>
      </c>
      <c r="L132" s="69">
        <f t="shared" si="16"/>
        <v>0</v>
      </c>
      <c r="M132" s="69">
        <f t="shared" si="17"/>
        <v>0</v>
      </c>
      <c r="N132" s="69">
        <f t="shared" si="18"/>
        <v>0</v>
      </c>
      <c r="O132" s="67">
        <f t="shared" si="19"/>
        <v>0</v>
      </c>
      <c r="P132" s="68">
        <f t="shared" si="20"/>
        <v>0</v>
      </c>
      <c r="Q132" s="68">
        <f t="shared" si="21"/>
        <v>0</v>
      </c>
      <c r="R132" s="67">
        <f t="shared" si="22"/>
        <v>0</v>
      </c>
      <c r="S132" s="67">
        <f t="shared" si="23"/>
        <v>0</v>
      </c>
      <c r="T132" s="68">
        <f t="shared" si="24"/>
        <v>0</v>
      </c>
      <c r="U132" s="67">
        <f t="shared" si="25"/>
        <v>0</v>
      </c>
      <c r="V132" s="67">
        <f t="shared" si="26"/>
        <v>0</v>
      </c>
      <c r="W132" s="67">
        <f t="shared" si="27"/>
        <v>0</v>
      </c>
      <c r="X132" s="69">
        <f t="shared" si="28"/>
        <v>0</v>
      </c>
      <c r="Y132" s="69">
        <f t="shared" si="29"/>
        <v>0</v>
      </c>
      <c r="Z132" s="69">
        <f t="shared" si="30"/>
        <v>0</v>
      </c>
      <c r="AA132" s="67">
        <f t="shared" si="31"/>
        <v>0</v>
      </c>
      <c r="AB132" s="69">
        <f t="shared" si="32"/>
        <v>0</v>
      </c>
      <c r="AC132" s="69">
        <f t="shared" si="33"/>
        <v>0</v>
      </c>
      <c r="AD132" s="68">
        <f t="shared" si="34"/>
        <v>0</v>
      </c>
      <c r="AE132" s="69">
        <f t="shared" si="35"/>
        <v>0</v>
      </c>
      <c r="AF132" s="69">
        <f t="shared" si="36"/>
        <v>0</v>
      </c>
      <c r="AG132" s="67">
        <f t="shared" si="37"/>
        <v>0</v>
      </c>
      <c r="AH132" s="69">
        <f t="shared" si="38"/>
        <v>0</v>
      </c>
      <c r="AI132" s="67">
        <f t="shared" si="39"/>
        <v>0</v>
      </c>
    </row>
    <row r="133" ht="15.75" customHeight="1">
      <c r="B133" s="158" t="s">
        <v>200</v>
      </c>
      <c r="C133" s="20"/>
      <c r="D133" s="20"/>
      <c r="E133" s="20"/>
      <c r="F133" s="20"/>
      <c r="G133" s="21"/>
      <c r="H133" s="161" t="str">
        <f t="shared" si="12"/>
        <v/>
      </c>
      <c r="I133" s="67">
        <f t="shared" si="13"/>
        <v>0</v>
      </c>
      <c r="J133" s="68">
        <f t="shared" si="14"/>
        <v>0</v>
      </c>
      <c r="K133" s="68">
        <f t="shared" si="15"/>
        <v>0</v>
      </c>
      <c r="L133" s="69">
        <f t="shared" si="16"/>
        <v>0</v>
      </c>
      <c r="M133" s="69">
        <f t="shared" si="17"/>
        <v>0</v>
      </c>
      <c r="N133" s="69">
        <f t="shared" si="18"/>
        <v>0</v>
      </c>
      <c r="O133" s="67">
        <f t="shared" si="19"/>
        <v>0</v>
      </c>
      <c r="P133" s="68">
        <f t="shared" si="20"/>
        <v>0</v>
      </c>
      <c r="Q133" s="68">
        <f t="shared" si="21"/>
        <v>0</v>
      </c>
      <c r="R133" s="67">
        <f t="shared" si="22"/>
        <v>0</v>
      </c>
      <c r="S133" s="67">
        <f t="shared" si="23"/>
        <v>0</v>
      </c>
      <c r="T133" s="68">
        <f t="shared" si="24"/>
        <v>0</v>
      </c>
      <c r="U133" s="67">
        <f t="shared" si="25"/>
        <v>0</v>
      </c>
      <c r="V133" s="67">
        <f t="shared" si="26"/>
        <v>0</v>
      </c>
      <c r="W133" s="67">
        <f t="shared" si="27"/>
        <v>0</v>
      </c>
      <c r="X133" s="69">
        <f t="shared" si="28"/>
        <v>0</v>
      </c>
      <c r="Y133" s="69">
        <f t="shared" si="29"/>
        <v>0</v>
      </c>
      <c r="Z133" s="69">
        <f t="shared" si="30"/>
        <v>0</v>
      </c>
      <c r="AA133" s="67">
        <f t="shared" si="31"/>
        <v>0</v>
      </c>
      <c r="AB133" s="69">
        <f t="shared" si="32"/>
        <v>0</v>
      </c>
      <c r="AC133" s="69">
        <f t="shared" si="33"/>
        <v>0</v>
      </c>
      <c r="AD133" s="68">
        <f t="shared" si="34"/>
        <v>0</v>
      </c>
      <c r="AE133" s="69">
        <f t="shared" si="35"/>
        <v>0</v>
      </c>
      <c r="AF133" s="69">
        <f t="shared" si="36"/>
        <v>0</v>
      </c>
      <c r="AG133" s="67">
        <f t="shared" si="37"/>
        <v>0</v>
      </c>
      <c r="AH133" s="69">
        <f t="shared" si="38"/>
        <v>0</v>
      </c>
      <c r="AI133" s="67">
        <f t="shared" si="39"/>
        <v>0</v>
      </c>
    </row>
    <row r="134" ht="15.75" customHeight="1">
      <c r="H134" s="341" t="s">
        <v>212</v>
      </c>
      <c r="I134" s="163">
        <f t="shared" ref="I134:AI134" si="40">SUM(I113:I133)</f>
        <v>0</v>
      </c>
      <c r="J134" s="164">
        <f t="shared" si="40"/>
        <v>0</v>
      </c>
      <c r="K134" s="164">
        <f t="shared" si="40"/>
        <v>0</v>
      </c>
      <c r="L134" s="165">
        <f t="shared" si="40"/>
        <v>0</v>
      </c>
      <c r="M134" s="165">
        <f t="shared" si="40"/>
        <v>0</v>
      </c>
      <c r="N134" s="165">
        <f t="shared" si="40"/>
        <v>0</v>
      </c>
      <c r="O134" s="163">
        <f t="shared" si="40"/>
        <v>0</v>
      </c>
      <c r="P134" s="164">
        <f t="shared" si="40"/>
        <v>0</v>
      </c>
      <c r="Q134" s="164">
        <f t="shared" si="40"/>
        <v>0</v>
      </c>
      <c r="R134" s="163">
        <f t="shared" si="40"/>
        <v>0</v>
      </c>
      <c r="S134" s="163">
        <f t="shared" si="40"/>
        <v>0</v>
      </c>
      <c r="T134" s="164">
        <f t="shared" si="40"/>
        <v>0</v>
      </c>
      <c r="U134" s="163">
        <f t="shared" si="40"/>
        <v>0</v>
      </c>
      <c r="V134" s="163">
        <f t="shared" si="40"/>
        <v>0</v>
      </c>
      <c r="W134" s="163">
        <f t="shared" si="40"/>
        <v>0</v>
      </c>
      <c r="X134" s="165">
        <f t="shared" si="40"/>
        <v>0</v>
      </c>
      <c r="Y134" s="165">
        <f t="shared" si="40"/>
        <v>0</v>
      </c>
      <c r="Z134" s="165">
        <f t="shared" si="40"/>
        <v>0</v>
      </c>
      <c r="AA134" s="163">
        <f t="shared" si="40"/>
        <v>0</v>
      </c>
      <c r="AB134" s="165">
        <f t="shared" si="40"/>
        <v>0</v>
      </c>
      <c r="AC134" s="165">
        <f t="shared" si="40"/>
        <v>0</v>
      </c>
      <c r="AD134" s="164">
        <f t="shared" si="40"/>
        <v>0</v>
      </c>
      <c r="AE134" s="165">
        <f t="shared" si="40"/>
        <v>0</v>
      </c>
      <c r="AF134" s="165">
        <f t="shared" si="40"/>
        <v>0</v>
      </c>
      <c r="AG134" s="163">
        <f t="shared" si="40"/>
        <v>0</v>
      </c>
      <c r="AH134" s="165">
        <f t="shared" si="40"/>
        <v>0</v>
      </c>
      <c r="AI134" s="163">
        <f t="shared" si="40"/>
        <v>0</v>
      </c>
    </row>
    <row r="135" ht="15.75" customHeight="1">
      <c r="H135" s="341" t="s">
        <v>213</v>
      </c>
      <c r="I135" s="85">
        <f t="shared" ref="I135:Q135" si="41">B82</f>
        <v>302.91</v>
      </c>
      <c r="J135" s="85">
        <f t="shared" si="41"/>
        <v>0</v>
      </c>
      <c r="K135" s="85">
        <f t="shared" si="41"/>
        <v>0</v>
      </c>
      <c r="L135" s="86">
        <f t="shared" si="41"/>
        <v>0</v>
      </c>
      <c r="M135" s="86">
        <f t="shared" si="41"/>
        <v>0</v>
      </c>
      <c r="N135" s="86">
        <f t="shared" si="41"/>
        <v>0</v>
      </c>
      <c r="O135" s="52" t="str">
        <f t="shared" si="41"/>
        <v/>
      </c>
      <c r="P135" s="85">
        <f t="shared" si="41"/>
        <v>75.7275</v>
      </c>
      <c r="Q135" s="85" t="str">
        <f t="shared" si="41"/>
        <v/>
      </c>
      <c r="R135" s="52">
        <v>1300.0</v>
      </c>
      <c r="S135" s="52">
        <v>1250.0</v>
      </c>
      <c r="T135" s="52">
        <v>40.0</v>
      </c>
      <c r="U135" s="52">
        <v>2300.0</v>
      </c>
      <c r="V135" s="52">
        <v>4700.0</v>
      </c>
      <c r="W135" s="52">
        <v>400.0</v>
      </c>
      <c r="X135" s="52">
        <v>10.0</v>
      </c>
      <c r="Y135" s="52">
        <v>1000.0</v>
      </c>
      <c r="Z135" s="52"/>
      <c r="AA135" s="52">
        <v>750.0</v>
      </c>
      <c r="AB135" s="52">
        <v>1.4</v>
      </c>
      <c r="AC135" s="52">
        <v>1.4</v>
      </c>
      <c r="AD135" s="52">
        <v>18.0</v>
      </c>
      <c r="AE135" s="52">
        <v>6.0</v>
      </c>
      <c r="AF135" s="52">
        <v>1.9</v>
      </c>
      <c r="AG135" s="52">
        <v>600.0</v>
      </c>
      <c r="AH135" s="52">
        <v>2.6</v>
      </c>
      <c r="AI135" s="52">
        <v>80.0</v>
      </c>
    </row>
    <row r="136" ht="15.75" customHeight="1">
      <c r="H136" s="341" t="s">
        <v>606</v>
      </c>
      <c r="I136" s="166">
        <f t="shared" ref="I136:AI136" si="42">((100/I135)*I134)</f>
        <v>0</v>
      </c>
      <c r="J136" s="166" t="str">
        <f t="shared" si="42"/>
        <v>#DIV/0!</v>
      </c>
      <c r="K136" s="166" t="str">
        <f t="shared" si="42"/>
        <v>#DIV/0!</v>
      </c>
      <c r="L136" s="166" t="str">
        <f t="shared" si="42"/>
        <v>#DIV/0!</v>
      </c>
      <c r="M136" s="166" t="str">
        <f t="shared" si="42"/>
        <v>#DIV/0!</v>
      </c>
      <c r="N136" s="166" t="str">
        <f t="shared" si="42"/>
        <v>#DIV/0!</v>
      </c>
      <c r="O136" s="166" t="str">
        <f t="shared" si="42"/>
        <v>#DIV/0!</v>
      </c>
      <c r="P136" s="166">
        <f t="shared" si="42"/>
        <v>0</v>
      </c>
      <c r="Q136" s="166" t="str">
        <f t="shared" si="42"/>
        <v>#DIV/0!</v>
      </c>
      <c r="R136" s="166">
        <f t="shared" si="42"/>
        <v>0</v>
      </c>
      <c r="S136" s="166">
        <f t="shared" si="42"/>
        <v>0</v>
      </c>
      <c r="T136" s="166">
        <f t="shared" si="42"/>
        <v>0</v>
      </c>
      <c r="U136" s="166">
        <f t="shared" si="42"/>
        <v>0</v>
      </c>
      <c r="V136" s="166">
        <f t="shared" si="42"/>
        <v>0</v>
      </c>
      <c r="W136" s="166">
        <f t="shared" si="42"/>
        <v>0</v>
      </c>
      <c r="X136" s="166">
        <f t="shared" si="42"/>
        <v>0</v>
      </c>
      <c r="Y136" s="166">
        <f t="shared" si="42"/>
        <v>0</v>
      </c>
      <c r="Z136" s="166" t="str">
        <f t="shared" si="42"/>
        <v>#DIV/0!</v>
      </c>
      <c r="AA136" s="166">
        <f t="shared" si="42"/>
        <v>0</v>
      </c>
      <c r="AB136" s="166">
        <f t="shared" si="42"/>
        <v>0</v>
      </c>
      <c r="AC136" s="166">
        <f t="shared" si="42"/>
        <v>0</v>
      </c>
      <c r="AD136" s="166">
        <f t="shared" si="42"/>
        <v>0</v>
      </c>
      <c r="AE136" s="166">
        <f t="shared" si="42"/>
        <v>0</v>
      </c>
      <c r="AF136" s="166">
        <f t="shared" si="42"/>
        <v>0</v>
      </c>
      <c r="AG136" s="166">
        <f t="shared" si="42"/>
        <v>0</v>
      </c>
      <c r="AH136" s="166">
        <f t="shared" si="42"/>
        <v>0</v>
      </c>
      <c r="AI136" s="307">
        <f t="shared" si="42"/>
        <v>0</v>
      </c>
    </row>
    <row r="137" ht="15.75" customHeight="1">
      <c r="I137" s="63" t="s">
        <v>97</v>
      </c>
      <c r="J137" s="63" t="s">
        <v>98</v>
      </c>
      <c r="K137" s="63" t="s">
        <v>99</v>
      </c>
      <c r="L137" s="63" t="s">
        <v>100</v>
      </c>
      <c r="M137" s="63" t="s">
        <v>101</v>
      </c>
      <c r="N137" s="63" t="s">
        <v>102</v>
      </c>
      <c r="O137" s="63" t="s">
        <v>103</v>
      </c>
      <c r="P137" s="63" t="s">
        <v>104</v>
      </c>
      <c r="Q137" s="63" t="s">
        <v>105</v>
      </c>
      <c r="R137" s="157" t="s">
        <v>106</v>
      </c>
      <c r="S137" s="157" t="s">
        <v>107</v>
      </c>
      <c r="T137" s="157" t="s">
        <v>108</v>
      </c>
      <c r="U137" s="157" t="s">
        <v>109</v>
      </c>
      <c r="V137" s="157" t="s">
        <v>110</v>
      </c>
      <c r="W137" s="157" t="s">
        <v>111</v>
      </c>
      <c r="X137" s="157" t="s">
        <v>112</v>
      </c>
      <c r="Y137" s="157" t="s">
        <v>113</v>
      </c>
      <c r="Z137" s="157" t="s">
        <v>114</v>
      </c>
      <c r="AA137" s="157" t="s">
        <v>115</v>
      </c>
      <c r="AB137" s="157" t="s">
        <v>116</v>
      </c>
      <c r="AC137" s="157" t="s">
        <v>117</v>
      </c>
      <c r="AD137" s="157" t="s">
        <v>118</v>
      </c>
      <c r="AE137" s="157" t="s">
        <v>119</v>
      </c>
      <c r="AF137" s="157" t="s">
        <v>120</v>
      </c>
      <c r="AG137" s="157" t="s">
        <v>121</v>
      </c>
      <c r="AH137" s="157" t="s">
        <v>122</v>
      </c>
      <c r="AI137" s="157" t="s">
        <v>123</v>
      </c>
    </row>
    <row r="138" ht="15.75" customHeight="1"/>
    <row r="139" ht="15.75" customHeight="1">
      <c r="B139" s="90" t="s">
        <v>314</v>
      </c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1"/>
      <c r="T139" s="61"/>
      <c r="U139" s="61"/>
      <c r="V139" s="61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</row>
    <row r="140" ht="15.75" customHeight="1"/>
    <row r="141" ht="15.75" customHeight="1">
      <c r="I141" s="19" t="s">
        <v>314</v>
      </c>
      <c r="J141" s="20"/>
      <c r="K141" s="20"/>
      <c r="L141" s="20"/>
      <c r="M141" s="20"/>
      <c r="N141" s="21"/>
      <c r="O141" s="19" t="s">
        <v>216</v>
      </c>
      <c r="P141" s="20"/>
      <c r="Q141" s="21"/>
      <c r="S141" s="19" t="s">
        <v>315</v>
      </c>
      <c r="T141" s="20"/>
      <c r="U141" s="21"/>
    </row>
    <row r="142" ht="15.75" customHeight="1">
      <c r="I142" s="23" t="s">
        <v>217</v>
      </c>
      <c r="J142" s="23" t="s">
        <v>218</v>
      </c>
      <c r="K142" s="23" t="s">
        <v>219</v>
      </c>
      <c r="L142" s="23" t="s">
        <v>220</v>
      </c>
      <c r="M142" s="91" t="s">
        <v>221</v>
      </c>
      <c r="N142" s="22"/>
      <c r="O142" s="174" t="s">
        <v>224</v>
      </c>
      <c r="P142" s="21"/>
      <c r="Q142" s="52" t="s">
        <v>301</v>
      </c>
      <c r="S142" s="174" t="s">
        <v>316</v>
      </c>
      <c r="T142" s="21"/>
      <c r="U142" s="52">
        <f>J143/6.25</f>
        <v>0</v>
      </c>
    </row>
    <row r="143" ht="15.75" customHeight="1">
      <c r="I143" s="94" t="s">
        <v>224</v>
      </c>
      <c r="J143" s="95">
        <f>(J134)</f>
        <v>0</v>
      </c>
      <c r="K143" s="96">
        <f>(J143*4)</f>
        <v>0</v>
      </c>
      <c r="L143" s="95" t="str">
        <f>((100/K155)*K143)</f>
        <v>#DIV/0!</v>
      </c>
      <c r="M143" s="113" t="s">
        <v>225</v>
      </c>
      <c r="N143" s="98">
        <f>SUM(J113:J119)</f>
        <v>0</v>
      </c>
      <c r="O143" s="174" t="s">
        <v>226</v>
      </c>
      <c r="P143" s="21"/>
      <c r="Q143" s="304">
        <v>1.53</v>
      </c>
      <c r="S143" s="113" t="s">
        <v>317</v>
      </c>
      <c r="T143" s="113"/>
      <c r="U143" s="84">
        <f>K146+K153</f>
        <v>0</v>
      </c>
    </row>
    <row r="144" ht="15.75" customHeight="1">
      <c r="I144" s="99"/>
      <c r="J144" s="99"/>
      <c r="K144" s="99"/>
      <c r="L144" s="99"/>
      <c r="M144" s="113" t="s">
        <v>228</v>
      </c>
      <c r="N144" s="98" t="str">
        <f>((100/J143)*N143)</f>
        <v>#DIV/0!</v>
      </c>
      <c r="O144" s="174" t="s">
        <v>547</v>
      </c>
      <c r="P144" s="21"/>
      <c r="Q144" s="304">
        <v>1.7</v>
      </c>
      <c r="S144" s="113" t="s">
        <v>318</v>
      </c>
      <c r="T144" s="113"/>
      <c r="U144" s="52" t="str">
        <f>U143/U142</f>
        <v>#DIV/0!</v>
      </c>
    </row>
    <row r="145" ht="15.75" customHeight="1">
      <c r="I145" s="100"/>
      <c r="J145" s="100"/>
      <c r="K145" s="100"/>
      <c r="L145" s="100"/>
      <c r="M145" s="113" t="s">
        <v>231</v>
      </c>
      <c r="N145" s="101" t="str">
        <f>(J143/J156)</f>
        <v>#DIV/0!</v>
      </c>
      <c r="O145" s="174" t="s">
        <v>229</v>
      </c>
      <c r="P145" s="21"/>
      <c r="Q145" s="52" t="s">
        <v>230</v>
      </c>
      <c r="S145" s="113" t="s">
        <v>54</v>
      </c>
      <c r="T145" s="113"/>
      <c r="U145" s="52" t="str">
        <f>IF(U144&gt;180,"Adecuado","Inadecuado")</f>
        <v>#DIV/0!</v>
      </c>
    </row>
    <row r="146" ht="15.75" customHeight="1">
      <c r="I146" s="94" t="s">
        <v>234</v>
      </c>
      <c r="J146" s="95">
        <f>(K134)</f>
        <v>0</v>
      </c>
      <c r="K146" s="96">
        <f>(J146*9)</f>
        <v>0</v>
      </c>
      <c r="L146" s="95" t="str">
        <f>((100/K155)*K146)</f>
        <v>#DIV/0!</v>
      </c>
      <c r="M146" s="113" t="s">
        <v>235</v>
      </c>
      <c r="N146" s="101">
        <f>(L134)</f>
        <v>0</v>
      </c>
      <c r="O146" s="174" t="s">
        <v>302</v>
      </c>
      <c r="P146" s="21"/>
      <c r="Q146" s="52" t="s">
        <v>233</v>
      </c>
    </row>
    <row r="147" ht="15.75" customHeight="1">
      <c r="I147" s="99"/>
      <c r="J147" s="99"/>
      <c r="K147" s="99"/>
      <c r="L147" s="99"/>
      <c r="M147" s="113" t="s">
        <v>238</v>
      </c>
      <c r="N147" s="101" t="str">
        <f>((100/K155)*(N146*9))</f>
        <v>#DIV/0!</v>
      </c>
      <c r="O147" s="97" t="s">
        <v>303</v>
      </c>
      <c r="P147" s="97"/>
      <c r="Q147" s="52" t="s">
        <v>237</v>
      </c>
    </row>
    <row r="148" ht="15.75" customHeight="1">
      <c r="I148" s="99"/>
      <c r="J148" s="99"/>
      <c r="K148" s="99"/>
      <c r="L148" s="99"/>
      <c r="M148" s="113" t="s">
        <v>241</v>
      </c>
      <c r="N148" s="101">
        <f>(M134)</f>
        <v>0</v>
      </c>
      <c r="O148" s="97" t="s">
        <v>304</v>
      </c>
      <c r="P148" s="97"/>
      <c r="Q148" s="52" t="s">
        <v>305</v>
      </c>
    </row>
    <row r="149" ht="15.75" customHeight="1">
      <c r="I149" s="99"/>
      <c r="J149" s="99"/>
      <c r="K149" s="99"/>
      <c r="L149" s="99"/>
      <c r="M149" s="113" t="s">
        <v>243</v>
      </c>
      <c r="N149" s="101" t="str">
        <f>((100/K155)*(N148*9))</f>
        <v>#DIV/0!</v>
      </c>
      <c r="O149" s="174" t="s">
        <v>242</v>
      </c>
      <c r="P149" s="21"/>
      <c r="Q149" s="52" t="s">
        <v>237</v>
      </c>
    </row>
    <row r="150" ht="15.75" customHeight="1">
      <c r="I150" s="99"/>
      <c r="J150" s="99"/>
      <c r="K150" s="99"/>
      <c r="L150" s="99"/>
      <c r="M150" s="113" t="s">
        <v>246</v>
      </c>
      <c r="N150" s="101">
        <f>(N134)</f>
        <v>0</v>
      </c>
      <c r="O150" s="174" t="s">
        <v>247</v>
      </c>
      <c r="P150" s="21"/>
      <c r="Q150" s="52" t="s">
        <v>248</v>
      </c>
    </row>
    <row r="151" ht="15.75" customHeight="1">
      <c r="I151" s="99"/>
      <c r="J151" s="99"/>
      <c r="K151" s="99"/>
      <c r="L151" s="99"/>
      <c r="M151" s="113" t="s">
        <v>249</v>
      </c>
      <c r="N151" s="101" t="str">
        <f>((100/K155)*(N150*9))</f>
        <v>#DIV/0!</v>
      </c>
      <c r="O151" s="174" t="s">
        <v>244</v>
      </c>
      <c r="P151" s="21"/>
      <c r="Q151" s="52" t="s">
        <v>245</v>
      </c>
    </row>
    <row r="152" ht="15.75" customHeight="1">
      <c r="I152" s="100"/>
      <c r="J152" s="100"/>
      <c r="K152" s="100"/>
      <c r="L152" s="100"/>
      <c r="M152" s="113" t="s">
        <v>252</v>
      </c>
      <c r="N152" s="102">
        <f>(O134)</f>
        <v>0</v>
      </c>
      <c r="O152" s="174" t="s">
        <v>250</v>
      </c>
      <c r="P152" s="21"/>
      <c r="Q152" s="52" t="s">
        <v>251</v>
      </c>
    </row>
    <row r="153" ht="15.75" customHeight="1">
      <c r="I153" s="94" t="s">
        <v>254</v>
      </c>
      <c r="J153" s="95">
        <f>(P134)</f>
        <v>0</v>
      </c>
      <c r="K153" s="103">
        <f>(J153*4)</f>
        <v>0</v>
      </c>
      <c r="L153" s="95" t="str">
        <f>((100/K155)*K153)</f>
        <v>#DIV/0!</v>
      </c>
      <c r="M153" s="113" t="s">
        <v>255</v>
      </c>
      <c r="N153" s="98">
        <f>SUM(P128)</f>
        <v>0</v>
      </c>
      <c r="O153" s="174" t="s">
        <v>252</v>
      </c>
      <c r="P153" s="21"/>
      <c r="Q153" s="52" t="s">
        <v>253</v>
      </c>
    </row>
    <row r="154" ht="15.75" customHeight="1">
      <c r="I154" s="100"/>
      <c r="J154" s="100"/>
      <c r="K154" s="100"/>
      <c r="L154" s="100"/>
      <c r="M154" s="113" t="s">
        <v>258</v>
      </c>
      <c r="N154" s="98" t="str">
        <f>((100/K155)*(N153*4))</f>
        <v>#DIV/0!</v>
      </c>
      <c r="O154" s="97" t="s">
        <v>256</v>
      </c>
      <c r="P154" s="97"/>
      <c r="Q154" s="52" t="s">
        <v>257</v>
      </c>
    </row>
    <row r="155" ht="15.75" customHeight="1">
      <c r="I155" s="249" t="s">
        <v>261</v>
      </c>
      <c r="J155" s="250"/>
      <c r="K155" s="105">
        <f t="shared" ref="K155:L155" si="43">SUM(K143:K154)</f>
        <v>0</v>
      </c>
      <c r="L155" s="106" t="str">
        <f t="shared" si="43"/>
        <v>#DIV/0!</v>
      </c>
      <c r="M155" s="113" t="s">
        <v>259</v>
      </c>
      <c r="N155" s="107">
        <f>Q134</f>
        <v>0</v>
      </c>
      <c r="O155" s="174" t="s">
        <v>259</v>
      </c>
      <c r="P155" s="21"/>
      <c r="Q155" s="52" t="s">
        <v>548</v>
      </c>
    </row>
    <row r="156" ht="15.75" customHeight="1">
      <c r="I156" s="251" t="s">
        <v>264</v>
      </c>
      <c r="J156" s="106" t="str">
        <f>C77</f>
        <v/>
      </c>
      <c r="K156" s="252"/>
      <c r="L156" s="253"/>
      <c r="M156" s="253"/>
      <c r="N156" s="29"/>
      <c r="O156" s="174" t="s">
        <v>262</v>
      </c>
      <c r="P156" s="21"/>
      <c r="Q156" s="52" t="s">
        <v>263</v>
      </c>
    </row>
    <row r="157" ht="15.75" customHeight="1"/>
    <row r="158" ht="15.75" customHeight="1">
      <c r="B158" s="90" t="s">
        <v>319</v>
      </c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</row>
    <row r="159" ht="15.75" customHeight="1"/>
    <row r="160" ht="15.75" customHeight="1">
      <c r="B160" s="62" t="s">
        <v>95</v>
      </c>
      <c r="C160" s="20"/>
      <c r="D160" s="20"/>
      <c r="E160" s="20"/>
      <c r="F160" s="20"/>
      <c r="G160" s="21"/>
      <c r="H160" s="63" t="s">
        <v>96</v>
      </c>
      <c r="I160" s="63" t="s">
        <v>320</v>
      </c>
      <c r="J160" s="63" t="s">
        <v>321</v>
      </c>
      <c r="K160" s="63" t="s">
        <v>322</v>
      </c>
      <c r="L160" s="63" t="s">
        <v>323</v>
      </c>
      <c r="M160" s="63" t="s">
        <v>324</v>
      </c>
      <c r="N160" s="63" t="s">
        <v>325</v>
      </c>
      <c r="P160" s="190" t="s">
        <v>607</v>
      </c>
      <c r="Q160" s="60"/>
    </row>
    <row r="161" ht="15.75" customHeight="1">
      <c r="B161" s="158" t="s">
        <v>126</v>
      </c>
      <c r="C161" s="20"/>
      <c r="D161" s="20"/>
      <c r="E161" s="20"/>
      <c r="F161" s="20"/>
      <c r="G161" s="21"/>
      <c r="H161" s="161" t="str">
        <f t="shared" ref="H161:H181" si="44">H113</f>
        <v/>
      </c>
      <c r="I161" s="66"/>
      <c r="J161" s="66"/>
      <c r="K161" s="66"/>
      <c r="L161" s="66"/>
      <c r="M161" s="66"/>
      <c r="N161" s="66"/>
      <c r="P161" s="191" t="s">
        <v>608</v>
      </c>
      <c r="Q161" s="60"/>
    </row>
    <row r="162" ht="15.75" customHeight="1">
      <c r="B162" s="158" t="s">
        <v>127</v>
      </c>
      <c r="C162" s="20"/>
      <c r="D162" s="20"/>
      <c r="E162" s="20"/>
      <c r="F162" s="20"/>
      <c r="G162" s="21"/>
      <c r="H162" s="161" t="str">
        <f t="shared" si="44"/>
        <v/>
      </c>
      <c r="I162" s="66"/>
      <c r="J162" s="66"/>
      <c r="K162" s="66"/>
      <c r="L162" s="66"/>
      <c r="M162" s="66"/>
      <c r="N162" s="66"/>
      <c r="P162" s="191" t="s">
        <v>609</v>
      </c>
      <c r="Q162" s="60"/>
    </row>
    <row r="163" ht="15.75" customHeight="1">
      <c r="B163" s="158" t="s">
        <v>128</v>
      </c>
      <c r="C163" s="20"/>
      <c r="D163" s="20"/>
      <c r="E163" s="20"/>
      <c r="F163" s="20"/>
      <c r="G163" s="21"/>
      <c r="H163" s="161" t="str">
        <f t="shared" si="44"/>
        <v/>
      </c>
      <c r="I163" s="66"/>
      <c r="J163" s="66"/>
      <c r="K163" s="66"/>
      <c r="L163" s="66"/>
      <c r="M163" s="66"/>
      <c r="N163" s="66"/>
      <c r="P163" s="191" t="s">
        <v>610</v>
      </c>
      <c r="Q163" s="60"/>
    </row>
    <row r="164" ht="15.75" customHeight="1">
      <c r="B164" s="158" t="s">
        <v>129</v>
      </c>
      <c r="C164" s="20"/>
      <c r="D164" s="20"/>
      <c r="E164" s="20"/>
      <c r="F164" s="20"/>
      <c r="G164" s="21"/>
      <c r="H164" s="161" t="str">
        <f t="shared" si="44"/>
        <v/>
      </c>
      <c r="I164" s="66"/>
      <c r="J164" s="66"/>
      <c r="K164" s="66"/>
      <c r="L164" s="66"/>
      <c r="M164" s="66"/>
      <c r="N164" s="66"/>
      <c r="P164" s="191" t="s">
        <v>611</v>
      </c>
      <c r="Q164" s="60"/>
    </row>
    <row r="165" ht="15.75" customHeight="1">
      <c r="B165" s="160" t="s">
        <v>138</v>
      </c>
      <c r="C165" s="20"/>
      <c r="D165" s="20"/>
      <c r="E165" s="20"/>
      <c r="F165" s="20"/>
      <c r="G165" s="21"/>
      <c r="H165" s="161" t="str">
        <f t="shared" si="44"/>
        <v/>
      </c>
      <c r="I165" s="66"/>
      <c r="J165" s="66"/>
      <c r="K165" s="66"/>
      <c r="L165" s="66"/>
      <c r="M165" s="66"/>
      <c r="N165" s="66"/>
      <c r="P165" s="191" t="s">
        <v>612</v>
      </c>
      <c r="Q165" s="60"/>
    </row>
    <row r="166" ht="15.75" customHeight="1">
      <c r="B166" s="160" t="s">
        <v>311</v>
      </c>
      <c r="C166" s="20"/>
      <c r="D166" s="20"/>
      <c r="E166" s="20"/>
      <c r="F166" s="20"/>
      <c r="G166" s="21"/>
      <c r="H166" s="161" t="str">
        <f t="shared" si="44"/>
        <v/>
      </c>
      <c r="I166" s="66"/>
      <c r="J166" s="66"/>
      <c r="K166" s="66"/>
      <c r="L166" s="66"/>
      <c r="M166" s="66"/>
      <c r="N166" s="66"/>
    </row>
    <row r="167" ht="15.75" customHeight="1">
      <c r="B167" s="160" t="s">
        <v>312</v>
      </c>
      <c r="C167" s="20"/>
      <c r="D167" s="20"/>
      <c r="E167" s="20"/>
      <c r="F167" s="20"/>
      <c r="G167" s="21"/>
      <c r="H167" s="161" t="str">
        <f t="shared" si="44"/>
        <v/>
      </c>
      <c r="I167" s="66"/>
      <c r="J167" s="66"/>
      <c r="K167" s="66"/>
      <c r="L167" s="66"/>
      <c r="M167" s="66"/>
      <c r="N167" s="66"/>
    </row>
    <row r="168" ht="15.75" customHeight="1">
      <c r="B168" s="160" t="s">
        <v>153</v>
      </c>
      <c r="C168" s="20"/>
      <c r="D168" s="20"/>
      <c r="E168" s="20"/>
      <c r="F168" s="20"/>
      <c r="G168" s="21"/>
      <c r="H168" s="161" t="str">
        <f t="shared" si="44"/>
        <v/>
      </c>
      <c r="I168" s="66"/>
      <c r="J168" s="66"/>
      <c r="K168" s="66"/>
      <c r="L168" s="66"/>
      <c r="M168" s="66"/>
      <c r="N168" s="66"/>
    </row>
    <row r="169" ht="15.0" customHeight="1">
      <c r="B169" s="158" t="s">
        <v>159</v>
      </c>
      <c r="C169" s="20"/>
      <c r="D169" s="20"/>
      <c r="E169" s="20"/>
      <c r="F169" s="20"/>
      <c r="G169" s="21"/>
      <c r="H169" s="161" t="str">
        <f t="shared" si="44"/>
        <v/>
      </c>
      <c r="I169" s="66"/>
      <c r="J169" s="66"/>
      <c r="K169" s="66"/>
      <c r="L169" s="66"/>
      <c r="M169" s="66"/>
      <c r="N169" s="66"/>
    </row>
    <row r="170" ht="15.75" customHeight="1">
      <c r="B170" s="158" t="s">
        <v>167</v>
      </c>
      <c r="C170" s="20"/>
      <c r="D170" s="20"/>
      <c r="E170" s="20"/>
      <c r="F170" s="20"/>
      <c r="G170" s="21"/>
      <c r="H170" s="161" t="str">
        <f t="shared" si="44"/>
        <v/>
      </c>
      <c r="I170" s="66"/>
      <c r="J170" s="66"/>
      <c r="K170" s="66"/>
      <c r="L170" s="66"/>
      <c r="M170" s="66"/>
      <c r="N170" s="66"/>
    </row>
    <row r="171" ht="15.0" customHeight="1">
      <c r="B171" s="158" t="s">
        <v>313</v>
      </c>
      <c r="C171" s="20"/>
      <c r="D171" s="20"/>
      <c r="E171" s="20"/>
      <c r="F171" s="20"/>
      <c r="G171" s="21"/>
      <c r="H171" s="161" t="str">
        <f t="shared" si="44"/>
        <v/>
      </c>
      <c r="I171" s="66"/>
      <c r="J171" s="66"/>
      <c r="K171" s="66"/>
      <c r="L171" s="66"/>
      <c r="M171" s="66"/>
      <c r="N171" s="66"/>
    </row>
    <row r="172" ht="15.75" customHeight="1">
      <c r="B172" s="160" t="s">
        <v>176</v>
      </c>
      <c r="C172" s="20"/>
      <c r="D172" s="20"/>
      <c r="E172" s="20"/>
      <c r="F172" s="20"/>
      <c r="G172" s="21"/>
      <c r="H172" s="161" t="str">
        <f t="shared" si="44"/>
        <v/>
      </c>
      <c r="I172" s="66"/>
      <c r="J172" s="66"/>
      <c r="K172" s="66"/>
      <c r="L172" s="66"/>
      <c r="M172" s="66"/>
      <c r="N172" s="66"/>
    </row>
    <row r="173" ht="15.0" customHeight="1">
      <c r="B173" s="160" t="s">
        <v>179</v>
      </c>
      <c r="C173" s="20"/>
      <c r="D173" s="20"/>
      <c r="E173" s="20"/>
      <c r="F173" s="20"/>
      <c r="G173" s="21"/>
      <c r="H173" s="161" t="str">
        <f t="shared" si="44"/>
        <v/>
      </c>
      <c r="I173" s="66"/>
      <c r="J173" s="66"/>
      <c r="K173" s="66"/>
      <c r="L173" s="66"/>
      <c r="M173" s="66"/>
      <c r="N173" s="66"/>
    </row>
    <row r="174" ht="15.75" customHeight="1">
      <c r="B174" s="158" t="s">
        <v>184</v>
      </c>
      <c r="C174" s="20"/>
      <c r="D174" s="20"/>
      <c r="E174" s="20"/>
      <c r="F174" s="20"/>
      <c r="G174" s="21"/>
      <c r="H174" s="161" t="str">
        <f t="shared" si="44"/>
        <v/>
      </c>
      <c r="I174" s="66"/>
      <c r="J174" s="66"/>
      <c r="K174" s="66"/>
      <c r="L174" s="66"/>
      <c r="M174" s="66"/>
      <c r="N174" s="66"/>
    </row>
    <row r="175" ht="15.75" customHeight="1">
      <c r="B175" s="158" t="s">
        <v>186</v>
      </c>
      <c r="C175" s="20"/>
      <c r="D175" s="20"/>
      <c r="E175" s="20"/>
      <c r="F175" s="20"/>
      <c r="G175" s="21"/>
      <c r="H175" s="161" t="str">
        <f t="shared" si="44"/>
        <v/>
      </c>
      <c r="I175" s="66"/>
      <c r="J175" s="66"/>
      <c r="K175" s="66"/>
      <c r="L175" s="66"/>
      <c r="M175" s="66"/>
      <c r="N175" s="66"/>
    </row>
    <row r="176" ht="15.75" customHeight="1">
      <c r="B176" s="160" t="s">
        <v>189</v>
      </c>
      <c r="C176" s="20"/>
      <c r="D176" s="20"/>
      <c r="E176" s="20"/>
      <c r="F176" s="20"/>
      <c r="G176" s="21"/>
      <c r="H176" s="161" t="str">
        <f t="shared" si="44"/>
        <v/>
      </c>
      <c r="I176" s="66"/>
      <c r="J176" s="66"/>
      <c r="K176" s="66"/>
      <c r="L176" s="66"/>
      <c r="M176" s="66"/>
      <c r="N176" s="66"/>
    </row>
    <row r="177" ht="15.75" customHeight="1">
      <c r="B177" s="158" t="s">
        <v>195</v>
      </c>
      <c r="C177" s="20"/>
      <c r="D177" s="20"/>
      <c r="E177" s="20"/>
      <c r="F177" s="20"/>
      <c r="G177" s="21"/>
      <c r="H177" s="161" t="str">
        <f t="shared" si="44"/>
        <v/>
      </c>
      <c r="I177" s="66"/>
      <c r="J177" s="66"/>
      <c r="K177" s="66"/>
      <c r="L177" s="66"/>
      <c r="M177" s="66"/>
      <c r="N177" s="66"/>
    </row>
    <row r="178" ht="15.75" customHeight="1">
      <c r="B178" s="158" t="s">
        <v>196</v>
      </c>
      <c r="C178" s="20"/>
      <c r="D178" s="20"/>
      <c r="E178" s="20"/>
      <c r="F178" s="20"/>
      <c r="G178" s="21"/>
      <c r="H178" s="161" t="str">
        <f t="shared" si="44"/>
        <v/>
      </c>
      <c r="I178" s="66"/>
      <c r="J178" s="66"/>
      <c r="K178" s="66"/>
      <c r="L178" s="66"/>
      <c r="M178" s="66"/>
      <c r="N178" s="66"/>
    </row>
    <row r="179" ht="15.0" customHeight="1">
      <c r="B179" s="158" t="s">
        <v>197</v>
      </c>
      <c r="C179" s="20"/>
      <c r="D179" s="20"/>
      <c r="E179" s="20"/>
      <c r="F179" s="20"/>
      <c r="G179" s="21"/>
      <c r="H179" s="161" t="str">
        <f t="shared" si="44"/>
        <v/>
      </c>
      <c r="I179" s="66"/>
      <c r="J179" s="66"/>
      <c r="K179" s="66"/>
      <c r="L179" s="66"/>
      <c r="M179" s="66"/>
      <c r="N179" s="66"/>
    </row>
    <row r="180" ht="15.75" customHeight="1">
      <c r="B180" s="158" t="s">
        <v>198</v>
      </c>
      <c r="C180" s="20"/>
      <c r="D180" s="20"/>
      <c r="E180" s="20"/>
      <c r="F180" s="20"/>
      <c r="G180" s="21"/>
      <c r="H180" s="161" t="str">
        <f t="shared" si="44"/>
        <v/>
      </c>
      <c r="I180" s="66"/>
      <c r="J180" s="66"/>
      <c r="K180" s="66"/>
      <c r="L180" s="66"/>
      <c r="M180" s="66"/>
      <c r="N180" s="66"/>
    </row>
    <row r="181" ht="15.75" customHeight="1">
      <c r="B181" s="158" t="s">
        <v>200</v>
      </c>
      <c r="C181" s="20"/>
      <c r="D181" s="20"/>
      <c r="E181" s="20"/>
      <c r="F181" s="20"/>
      <c r="G181" s="21"/>
      <c r="H181" s="161" t="str">
        <f t="shared" si="44"/>
        <v/>
      </c>
      <c r="I181" s="66"/>
      <c r="J181" s="66"/>
      <c r="K181" s="66"/>
      <c r="L181" s="66"/>
      <c r="M181" s="66"/>
      <c r="N181" s="66"/>
    </row>
    <row r="182" ht="15.75" customHeight="1"/>
    <row r="183" ht="15.75" customHeight="1">
      <c r="B183" s="90" t="s">
        <v>335</v>
      </c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</row>
    <row r="184" ht="15.75" customHeight="1"/>
    <row r="185" ht="15.75" customHeight="1">
      <c r="B185" s="62" t="s">
        <v>336</v>
      </c>
      <c r="C185" s="21"/>
      <c r="D185" s="62" t="s">
        <v>337</v>
      </c>
      <c r="E185" s="21"/>
      <c r="F185" s="62" t="s">
        <v>338</v>
      </c>
      <c r="G185" s="21"/>
      <c r="H185" s="62" t="s">
        <v>339</v>
      </c>
      <c r="I185" s="21"/>
      <c r="J185" s="62" t="s">
        <v>340</v>
      </c>
      <c r="K185" s="21"/>
      <c r="L185" s="62" t="s">
        <v>341</v>
      </c>
      <c r="M185" s="21"/>
    </row>
    <row r="186" ht="15.75" customHeight="1">
      <c r="B186" s="192"/>
      <c r="C186" s="193"/>
      <c r="D186" s="192"/>
      <c r="E186" s="193"/>
      <c r="F186" s="192"/>
      <c r="G186" s="193"/>
      <c r="H186" s="192"/>
      <c r="I186" s="193"/>
      <c r="J186" s="192"/>
      <c r="K186" s="193"/>
      <c r="L186" s="192"/>
      <c r="M186" s="193"/>
      <c r="O186" s="194"/>
    </row>
    <row r="187" ht="15.75" customHeight="1">
      <c r="B187" s="195"/>
      <c r="C187" s="196"/>
      <c r="D187" s="195"/>
      <c r="E187" s="196"/>
      <c r="F187" s="195"/>
      <c r="G187" s="196"/>
      <c r="H187" s="195"/>
      <c r="I187" s="196"/>
      <c r="J187" s="195"/>
      <c r="K187" s="196"/>
      <c r="L187" s="195"/>
      <c r="M187" s="196"/>
      <c r="O187" s="72"/>
    </row>
    <row r="188" ht="15.75" customHeight="1">
      <c r="B188" s="195"/>
      <c r="C188" s="196"/>
      <c r="D188" s="195"/>
      <c r="E188" s="196"/>
      <c r="F188" s="195"/>
      <c r="G188" s="196"/>
      <c r="H188" s="195"/>
      <c r="I188" s="196"/>
      <c r="J188" s="195"/>
      <c r="K188" s="196"/>
      <c r="L188" s="195"/>
      <c r="M188" s="196"/>
      <c r="O188" s="72"/>
    </row>
    <row r="189" ht="15.75" customHeight="1">
      <c r="B189" s="195"/>
      <c r="C189" s="196"/>
      <c r="D189" s="195"/>
      <c r="E189" s="196"/>
      <c r="F189" s="195"/>
      <c r="G189" s="196"/>
      <c r="H189" s="195"/>
      <c r="I189" s="196"/>
      <c r="J189" s="195"/>
      <c r="K189" s="196"/>
      <c r="L189" s="195"/>
      <c r="M189" s="196"/>
      <c r="O189" s="72"/>
    </row>
    <row r="190" ht="15.75" customHeight="1">
      <c r="B190" s="195"/>
      <c r="C190" s="196"/>
      <c r="D190" s="195"/>
      <c r="E190" s="196"/>
      <c r="F190" s="195"/>
      <c r="G190" s="196"/>
      <c r="H190" s="195"/>
      <c r="I190" s="196"/>
      <c r="J190" s="195"/>
      <c r="K190" s="196"/>
      <c r="L190" s="195"/>
      <c r="M190" s="196"/>
      <c r="O190" s="72"/>
    </row>
    <row r="191" ht="15.75" customHeight="1">
      <c r="B191" s="195"/>
      <c r="C191" s="196"/>
      <c r="D191" s="195"/>
      <c r="E191" s="196"/>
      <c r="F191" s="195"/>
      <c r="G191" s="196"/>
      <c r="H191" s="195"/>
      <c r="I191" s="196"/>
      <c r="J191" s="195"/>
      <c r="K191" s="196"/>
      <c r="L191" s="195"/>
      <c r="M191" s="196"/>
      <c r="O191" s="72"/>
    </row>
    <row r="192" ht="15.75" customHeight="1">
      <c r="B192" s="195"/>
      <c r="C192" s="196"/>
      <c r="D192" s="195"/>
      <c r="E192" s="196"/>
      <c r="F192" s="195"/>
      <c r="G192" s="196"/>
      <c r="H192" s="195"/>
      <c r="I192" s="196"/>
      <c r="J192" s="195"/>
      <c r="K192" s="196"/>
      <c r="L192" s="195"/>
      <c r="M192" s="196"/>
    </row>
    <row r="193" ht="15.75" customHeight="1">
      <c r="B193" s="195"/>
      <c r="C193" s="196"/>
      <c r="D193" s="195"/>
      <c r="E193" s="196"/>
      <c r="F193" s="195"/>
      <c r="G193" s="196"/>
      <c r="H193" s="195"/>
      <c r="I193" s="196"/>
      <c r="J193" s="195"/>
      <c r="K193" s="196"/>
      <c r="L193" s="195"/>
      <c r="M193" s="196"/>
    </row>
    <row r="194" ht="15.75" customHeight="1">
      <c r="B194" s="195"/>
      <c r="C194" s="196"/>
      <c r="D194" s="195"/>
      <c r="E194" s="196"/>
      <c r="F194" s="195"/>
      <c r="G194" s="196"/>
      <c r="H194" s="195"/>
      <c r="I194" s="196"/>
      <c r="J194" s="195"/>
      <c r="K194" s="196"/>
      <c r="L194" s="195"/>
      <c r="M194" s="196"/>
    </row>
    <row r="195" ht="15.75" customHeight="1">
      <c r="B195" s="195"/>
      <c r="C195" s="196"/>
      <c r="D195" s="195"/>
      <c r="E195" s="196"/>
      <c r="F195" s="195"/>
      <c r="G195" s="196"/>
      <c r="H195" s="195"/>
      <c r="I195" s="196"/>
      <c r="J195" s="195"/>
      <c r="K195" s="196"/>
      <c r="L195" s="195"/>
      <c r="M195" s="196"/>
    </row>
    <row r="196" ht="15.75" customHeight="1">
      <c r="B196" s="195"/>
      <c r="C196" s="196"/>
      <c r="D196" s="195"/>
      <c r="E196" s="196"/>
      <c r="F196" s="195"/>
      <c r="G196" s="196"/>
      <c r="H196" s="195"/>
      <c r="I196" s="196"/>
      <c r="J196" s="195"/>
      <c r="K196" s="196"/>
      <c r="L196" s="195"/>
      <c r="M196" s="196"/>
    </row>
    <row r="197" ht="15.75" customHeight="1">
      <c r="B197" s="195"/>
      <c r="C197" s="196"/>
      <c r="D197" s="195"/>
      <c r="E197" s="196"/>
      <c r="F197" s="195"/>
      <c r="G197" s="196"/>
      <c r="H197" s="195"/>
      <c r="I197" s="196"/>
      <c r="J197" s="195"/>
      <c r="K197" s="196"/>
      <c r="L197" s="195"/>
      <c r="M197" s="196"/>
    </row>
    <row r="198" ht="15.75" customHeight="1">
      <c r="B198" s="195"/>
      <c r="C198" s="196"/>
      <c r="D198" s="195"/>
      <c r="E198" s="196"/>
      <c r="F198" s="195"/>
      <c r="G198" s="196"/>
      <c r="H198" s="195"/>
      <c r="I198" s="196"/>
      <c r="J198" s="195"/>
      <c r="K198" s="196"/>
      <c r="L198" s="195"/>
      <c r="M198" s="196"/>
    </row>
    <row r="199" ht="15.75" customHeight="1">
      <c r="B199" s="195"/>
      <c r="C199" s="196"/>
      <c r="D199" s="195"/>
      <c r="E199" s="196"/>
      <c r="F199" s="195"/>
      <c r="G199" s="196"/>
      <c r="H199" s="195"/>
      <c r="I199" s="196"/>
      <c r="J199" s="195"/>
      <c r="K199" s="196"/>
      <c r="L199" s="195"/>
      <c r="M199" s="196"/>
    </row>
    <row r="200" ht="15.75" customHeight="1">
      <c r="B200" s="195"/>
      <c r="C200" s="196"/>
      <c r="D200" s="195"/>
      <c r="E200" s="196"/>
      <c r="F200" s="195"/>
      <c r="G200" s="196"/>
      <c r="H200" s="195"/>
      <c r="I200" s="196"/>
      <c r="J200" s="195"/>
      <c r="K200" s="196"/>
      <c r="L200" s="195"/>
      <c r="M200" s="196"/>
    </row>
    <row r="201" ht="15.75" customHeight="1">
      <c r="B201" s="195"/>
      <c r="C201" s="196"/>
      <c r="D201" s="195"/>
      <c r="E201" s="196"/>
      <c r="F201" s="195"/>
      <c r="G201" s="196"/>
      <c r="H201" s="195"/>
      <c r="I201" s="196"/>
      <c r="J201" s="195"/>
      <c r="K201" s="196"/>
      <c r="L201" s="195"/>
      <c r="M201" s="196"/>
    </row>
    <row r="202" ht="15.75" customHeight="1">
      <c r="B202" s="195"/>
      <c r="C202" s="196"/>
      <c r="D202" s="195"/>
      <c r="E202" s="196"/>
      <c r="F202" s="195"/>
      <c r="G202" s="196"/>
      <c r="H202" s="195"/>
      <c r="I202" s="196"/>
      <c r="J202" s="195"/>
      <c r="K202" s="196"/>
      <c r="L202" s="195"/>
      <c r="M202" s="196"/>
    </row>
    <row r="203" ht="15.75" customHeight="1">
      <c r="B203" s="195"/>
      <c r="C203" s="196"/>
      <c r="D203" s="195"/>
      <c r="E203" s="196"/>
      <c r="F203" s="195"/>
      <c r="G203" s="196"/>
      <c r="H203" s="195"/>
      <c r="I203" s="196"/>
      <c r="J203" s="195"/>
      <c r="K203" s="196"/>
      <c r="L203" s="195"/>
      <c r="M203" s="196"/>
    </row>
    <row r="204" ht="15.75" customHeight="1">
      <c r="B204" s="195"/>
      <c r="C204" s="196"/>
      <c r="D204" s="195"/>
      <c r="E204" s="196"/>
      <c r="F204" s="195"/>
      <c r="G204" s="196"/>
      <c r="H204" s="195"/>
      <c r="I204" s="196"/>
      <c r="J204" s="195"/>
      <c r="K204" s="196"/>
      <c r="L204" s="195"/>
      <c r="M204" s="196"/>
    </row>
    <row r="205" ht="15.75" customHeight="1">
      <c r="B205" s="195"/>
      <c r="C205" s="196"/>
      <c r="D205" s="195"/>
      <c r="E205" s="196"/>
      <c r="F205" s="195"/>
      <c r="G205" s="196"/>
      <c r="H205" s="195"/>
      <c r="I205" s="196"/>
      <c r="J205" s="195"/>
      <c r="K205" s="196"/>
      <c r="L205" s="195"/>
      <c r="M205" s="196"/>
    </row>
    <row r="206" ht="15.75" customHeight="1">
      <c r="B206" s="195"/>
      <c r="C206" s="196"/>
      <c r="D206" s="195"/>
      <c r="E206" s="196"/>
      <c r="F206" s="195"/>
      <c r="G206" s="196"/>
      <c r="H206" s="195"/>
      <c r="I206" s="196"/>
      <c r="J206" s="195"/>
      <c r="K206" s="196"/>
      <c r="L206" s="195"/>
      <c r="M206" s="196"/>
    </row>
    <row r="207" ht="15.75" customHeight="1">
      <c r="B207" s="195"/>
      <c r="C207" s="196"/>
      <c r="D207" s="195"/>
      <c r="E207" s="196"/>
      <c r="F207" s="195"/>
      <c r="G207" s="196"/>
      <c r="H207" s="195"/>
      <c r="I207" s="196"/>
      <c r="J207" s="195"/>
      <c r="K207" s="196"/>
      <c r="L207" s="195"/>
      <c r="M207" s="196"/>
    </row>
    <row r="208" ht="15.75" customHeight="1">
      <c r="B208" s="195"/>
      <c r="C208" s="196"/>
      <c r="D208" s="195"/>
      <c r="E208" s="196"/>
      <c r="F208" s="195"/>
      <c r="G208" s="196"/>
      <c r="H208" s="195"/>
      <c r="I208" s="196"/>
      <c r="J208" s="195"/>
      <c r="K208" s="196"/>
      <c r="L208" s="195"/>
      <c r="M208" s="196"/>
    </row>
    <row r="209" ht="15.75" customHeight="1">
      <c r="B209" s="195"/>
      <c r="C209" s="196"/>
      <c r="D209" s="195"/>
      <c r="E209" s="196"/>
      <c r="F209" s="195"/>
      <c r="G209" s="196"/>
      <c r="H209" s="195"/>
      <c r="I209" s="196"/>
      <c r="J209" s="195"/>
      <c r="K209" s="196"/>
      <c r="L209" s="195"/>
      <c r="M209" s="196"/>
    </row>
    <row r="210" ht="15.75" customHeight="1">
      <c r="B210" s="195"/>
      <c r="C210" s="196"/>
      <c r="D210" s="195"/>
      <c r="E210" s="196"/>
      <c r="F210" s="195"/>
      <c r="G210" s="196"/>
      <c r="H210" s="195"/>
      <c r="I210" s="196"/>
      <c r="J210" s="195"/>
      <c r="K210" s="196"/>
      <c r="L210" s="195"/>
      <c r="M210" s="196"/>
    </row>
    <row r="211" ht="15.75" customHeight="1">
      <c r="B211" s="197"/>
      <c r="C211" s="198"/>
      <c r="D211" s="197"/>
      <c r="E211" s="198"/>
      <c r="F211" s="197"/>
      <c r="G211" s="198"/>
      <c r="H211" s="197"/>
      <c r="I211" s="198"/>
      <c r="J211" s="197"/>
      <c r="K211" s="198"/>
      <c r="L211" s="197"/>
      <c r="M211" s="198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B2:R2"/>
    <mergeCell ref="B4:G4"/>
    <mergeCell ref="C5:C6"/>
    <mergeCell ref="E13:F13"/>
    <mergeCell ref="H13:I18"/>
    <mergeCell ref="B20:C20"/>
    <mergeCell ref="H20:I20"/>
    <mergeCell ref="E20:F20"/>
    <mergeCell ref="E22:F22"/>
    <mergeCell ref="H22:I22"/>
    <mergeCell ref="K22:R22"/>
    <mergeCell ref="K23:M23"/>
    <mergeCell ref="B24:C24"/>
    <mergeCell ref="K24:M24"/>
    <mergeCell ref="K25:M25"/>
    <mergeCell ref="P25:R25"/>
    <mergeCell ref="B26:C26"/>
    <mergeCell ref="K26:M26"/>
    <mergeCell ref="P26:R26"/>
    <mergeCell ref="E29:F29"/>
    <mergeCell ref="H29:I29"/>
    <mergeCell ref="P34:R34"/>
    <mergeCell ref="P35:R35"/>
    <mergeCell ref="E31:F31"/>
    <mergeCell ref="H31:I31"/>
    <mergeCell ref="K31:R31"/>
    <mergeCell ref="K32:M32"/>
    <mergeCell ref="K33:M33"/>
    <mergeCell ref="K34:M34"/>
    <mergeCell ref="K35:M35"/>
    <mergeCell ref="E38:F38"/>
    <mergeCell ref="H38:I38"/>
    <mergeCell ref="E40:F40"/>
    <mergeCell ref="H40:I40"/>
    <mergeCell ref="K40:R40"/>
    <mergeCell ref="K41:M41"/>
    <mergeCell ref="K42:M42"/>
    <mergeCell ref="K43:M43"/>
    <mergeCell ref="P43:R43"/>
    <mergeCell ref="K44:M44"/>
    <mergeCell ref="P44:R44"/>
    <mergeCell ref="B47:K47"/>
    <mergeCell ref="F49:I49"/>
    <mergeCell ref="K49:L49"/>
    <mergeCell ref="C49:D49"/>
    <mergeCell ref="C50:D50"/>
    <mergeCell ref="C51:D51"/>
    <mergeCell ref="C52:D52"/>
    <mergeCell ref="C53:D53"/>
    <mergeCell ref="B55:C55"/>
    <mergeCell ref="B60:K60"/>
    <mergeCell ref="I63:J63"/>
    <mergeCell ref="I64:J64"/>
    <mergeCell ref="B62:G62"/>
    <mergeCell ref="I62:K62"/>
    <mergeCell ref="F63:G63"/>
    <mergeCell ref="B64:B66"/>
    <mergeCell ref="C64:C66"/>
    <mergeCell ref="D64:D66"/>
    <mergeCell ref="E64:E66"/>
    <mergeCell ref="C74:C75"/>
    <mergeCell ref="B76:C76"/>
    <mergeCell ref="B67:B73"/>
    <mergeCell ref="C67:C73"/>
    <mergeCell ref="D67:D73"/>
    <mergeCell ref="E67:E73"/>
    <mergeCell ref="B74:B75"/>
    <mergeCell ref="D74:D75"/>
    <mergeCell ref="E74:E75"/>
    <mergeCell ref="I65:J65"/>
    <mergeCell ref="I66:J66"/>
    <mergeCell ref="I67:J67"/>
    <mergeCell ref="I70:J70"/>
    <mergeCell ref="I71:J71"/>
    <mergeCell ref="I72:J72"/>
    <mergeCell ref="I73:J73"/>
    <mergeCell ref="I74:J74"/>
    <mergeCell ref="I76:J76"/>
    <mergeCell ref="I77:J77"/>
    <mergeCell ref="B79:Q79"/>
    <mergeCell ref="B84:Q84"/>
    <mergeCell ref="B86:G86"/>
    <mergeCell ref="B87:G87"/>
    <mergeCell ref="B88:G88"/>
    <mergeCell ref="B89:G89"/>
    <mergeCell ref="B90:G90"/>
    <mergeCell ref="B91:G91"/>
    <mergeCell ref="B92:G92"/>
    <mergeCell ref="B93:G93"/>
    <mergeCell ref="B94:G94"/>
    <mergeCell ref="B95:G95"/>
    <mergeCell ref="B96:G96"/>
    <mergeCell ref="B97:G97"/>
    <mergeCell ref="B98:G98"/>
    <mergeCell ref="B99:G99"/>
    <mergeCell ref="B100:G100"/>
    <mergeCell ref="B101:G101"/>
    <mergeCell ref="B102:G102"/>
    <mergeCell ref="B103:G103"/>
    <mergeCell ref="B104:G104"/>
    <mergeCell ref="B105:G105"/>
    <mergeCell ref="B106:G106"/>
    <mergeCell ref="B107:G107"/>
    <mergeCell ref="B108:G108"/>
    <mergeCell ref="B109:G109"/>
    <mergeCell ref="B112:G112"/>
    <mergeCell ref="B113:G113"/>
    <mergeCell ref="B114:G114"/>
    <mergeCell ref="B115:G115"/>
    <mergeCell ref="B116:G116"/>
    <mergeCell ref="B117:G117"/>
    <mergeCell ref="B118:G118"/>
    <mergeCell ref="B119:G119"/>
    <mergeCell ref="B120:G120"/>
    <mergeCell ref="B121:G121"/>
    <mergeCell ref="B122:G122"/>
    <mergeCell ref="B123:G123"/>
    <mergeCell ref="B124:G124"/>
    <mergeCell ref="B125:G125"/>
    <mergeCell ref="B126:G126"/>
    <mergeCell ref="B127:G127"/>
    <mergeCell ref="B128:G128"/>
    <mergeCell ref="B129:G129"/>
    <mergeCell ref="B130:G130"/>
    <mergeCell ref="B131:G131"/>
    <mergeCell ref="K153:K154"/>
    <mergeCell ref="L153:L154"/>
    <mergeCell ref="I143:I145"/>
    <mergeCell ref="I146:I152"/>
    <mergeCell ref="J146:J152"/>
    <mergeCell ref="K146:K152"/>
    <mergeCell ref="L146:L152"/>
    <mergeCell ref="I153:I154"/>
    <mergeCell ref="J153:J154"/>
    <mergeCell ref="D186:E211"/>
    <mergeCell ref="F186:G211"/>
    <mergeCell ref="H186:I211"/>
    <mergeCell ref="J186:K211"/>
    <mergeCell ref="B185:C185"/>
    <mergeCell ref="D185:E185"/>
    <mergeCell ref="F185:G185"/>
    <mergeCell ref="H185:I185"/>
    <mergeCell ref="J185:K185"/>
    <mergeCell ref="L185:M185"/>
    <mergeCell ref="B186:C211"/>
    <mergeCell ref="L186:M211"/>
    <mergeCell ref="O186:P186"/>
    <mergeCell ref="O187:P187"/>
    <mergeCell ref="O188:P188"/>
    <mergeCell ref="O189:P189"/>
    <mergeCell ref="O190:P190"/>
    <mergeCell ref="O191:P191"/>
    <mergeCell ref="B176:G176"/>
    <mergeCell ref="B177:G177"/>
    <mergeCell ref="B178:G178"/>
    <mergeCell ref="B179:G179"/>
    <mergeCell ref="B180:G180"/>
    <mergeCell ref="B181:G181"/>
    <mergeCell ref="B183:Q183"/>
    <mergeCell ref="B132:G132"/>
    <mergeCell ref="B133:G133"/>
    <mergeCell ref="B139:R139"/>
    <mergeCell ref="O141:Q141"/>
    <mergeCell ref="S141:U141"/>
    <mergeCell ref="O142:P142"/>
    <mergeCell ref="S142:T142"/>
    <mergeCell ref="I141:N141"/>
    <mergeCell ref="J143:J145"/>
    <mergeCell ref="K143:K145"/>
    <mergeCell ref="L143:L145"/>
    <mergeCell ref="O143:P143"/>
    <mergeCell ref="O144:P144"/>
    <mergeCell ref="O145:P145"/>
    <mergeCell ref="O146:P146"/>
    <mergeCell ref="O149:P149"/>
    <mergeCell ref="O150:P150"/>
    <mergeCell ref="O151:P151"/>
    <mergeCell ref="O152:P152"/>
    <mergeCell ref="O153:P153"/>
    <mergeCell ref="O155:P155"/>
    <mergeCell ref="P163:Q163"/>
    <mergeCell ref="P164:Q164"/>
    <mergeCell ref="P165:Q165"/>
    <mergeCell ref="O156:P156"/>
    <mergeCell ref="B158:Q158"/>
    <mergeCell ref="B160:G160"/>
    <mergeCell ref="P160:Q160"/>
    <mergeCell ref="B161:G161"/>
    <mergeCell ref="P161:Q161"/>
    <mergeCell ref="P162:Q162"/>
    <mergeCell ref="B162:G162"/>
    <mergeCell ref="B163:G163"/>
    <mergeCell ref="B164:G164"/>
    <mergeCell ref="B165:G165"/>
    <mergeCell ref="B166:G166"/>
    <mergeCell ref="B167:G167"/>
    <mergeCell ref="B168:G168"/>
    <mergeCell ref="B169:G169"/>
    <mergeCell ref="B170:G170"/>
    <mergeCell ref="B171:G171"/>
    <mergeCell ref="B172:G172"/>
    <mergeCell ref="B173:G173"/>
    <mergeCell ref="B174:G174"/>
    <mergeCell ref="B175:G175"/>
  </mergeCells>
  <dataValidations>
    <dataValidation type="list" allowBlank="1" showErrorMessage="1" sqref="C52">
      <formula1>$U$51:$U$53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7.29"/>
    <col customWidth="1" min="3" max="3" width="16.14"/>
    <col customWidth="1" min="4" max="4" width="14.71"/>
    <col customWidth="1" min="5" max="5" width="13.71"/>
    <col customWidth="1" min="6" max="6" width="12.0"/>
    <col customWidth="1" min="7" max="7" width="12.86"/>
    <col customWidth="1" min="8" max="8" width="13.57"/>
    <col customWidth="1" min="9" max="9" width="12.71"/>
    <col customWidth="1" min="10" max="27" width="10.71"/>
  </cols>
  <sheetData>
    <row r="2">
      <c r="B2" s="258" t="s">
        <v>613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58"/>
      <c r="T2" s="58"/>
      <c r="U2" s="58"/>
      <c r="V2" s="58"/>
      <c r="W2" s="58"/>
      <c r="X2" s="58"/>
      <c r="Y2" s="58"/>
      <c r="Z2" s="58"/>
      <c r="AA2" s="58"/>
    </row>
    <row r="4" ht="15.75" customHeight="1">
      <c r="B4" s="342" t="s">
        <v>12</v>
      </c>
      <c r="C4" s="8"/>
      <c r="D4" s="343"/>
      <c r="E4" s="344" t="s">
        <v>614</v>
      </c>
      <c r="F4" s="20"/>
      <c r="G4" s="21"/>
      <c r="I4" s="344" t="s">
        <v>615</v>
      </c>
      <c r="J4" s="20"/>
      <c r="K4" s="21"/>
    </row>
    <row r="5">
      <c r="B5" s="212" t="s">
        <v>13</v>
      </c>
      <c r="C5" s="202"/>
      <c r="D5" s="343"/>
      <c r="E5" s="345" t="s">
        <v>18</v>
      </c>
      <c r="F5" s="21"/>
      <c r="G5" s="346" t="s">
        <v>14</v>
      </c>
      <c r="H5" s="288">
        <f>IF(G5="Hombre",1,0)</f>
        <v>1</v>
      </c>
      <c r="I5" s="347" t="s">
        <v>616</v>
      </c>
      <c r="J5" s="21"/>
      <c r="K5" s="66">
        <v>1.0</v>
      </c>
    </row>
    <row r="6">
      <c r="B6" s="214" t="s">
        <v>15</v>
      </c>
      <c r="C6" s="202"/>
      <c r="D6" s="343"/>
      <c r="E6" s="345" t="s">
        <v>617</v>
      </c>
      <c r="F6" s="21"/>
      <c r="G6" s="348"/>
      <c r="I6" s="347" t="s">
        <v>618</v>
      </c>
      <c r="J6" s="21"/>
      <c r="K6" s="109" t="s">
        <v>619</v>
      </c>
    </row>
    <row r="7">
      <c r="B7" s="214" t="s">
        <v>17</v>
      </c>
      <c r="C7" s="202"/>
      <c r="D7" s="343"/>
      <c r="E7" s="345" t="s">
        <v>22</v>
      </c>
      <c r="F7" s="21"/>
      <c r="G7" s="348"/>
      <c r="I7" s="347" t="s">
        <v>620</v>
      </c>
      <c r="J7" s="21"/>
      <c r="K7" s="109">
        <v>1.3</v>
      </c>
    </row>
    <row r="8">
      <c r="B8" s="214" t="s">
        <v>18</v>
      </c>
      <c r="C8" s="250" t="s">
        <v>14</v>
      </c>
      <c r="D8" s="343"/>
      <c r="E8" s="345" t="s">
        <v>19</v>
      </c>
      <c r="F8" s="21"/>
      <c r="G8" s="348"/>
      <c r="I8" s="344" t="s">
        <v>621</v>
      </c>
      <c r="J8" s="20"/>
      <c r="K8" s="21"/>
    </row>
    <row r="9">
      <c r="B9" s="214" t="s">
        <v>19</v>
      </c>
      <c r="C9" s="202"/>
      <c r="D9" s="343"/>
      <c r="E9" s="345" t="s">
        <v>622</v>
      </c>
      <c r="F9" s="21"/>
      <c r="G9" s="348">
        <v>1.0</v>
      </c>
      <c r="I9" s="347" t="s">
        <v>623</v>
      </c>
      <c r="J9" s="21"/>
      <c r="K9" s="349">
        <v>1.2</v>
      </c>
      <c r="S9" s="350"/>
    </row>
    <row r="10">
      <c r="B10" s="214" t="s">
        <v>20</v>
      </c>
      <c r="C10" s="202"/>
      <c r="D10" s="343"/>
      <c r="E10" s="345" t="s">
        <v>624</v>
      </c>
      <c r="F10" s="21"/>
      <c r="G10" s="348">
        <v>1.0</v>
      </c>
      <c r="I10" s="347" t="s">
        <v>625</v>
      </c>
      <c r="J10" s="21"/>
      <c r="K10" s="349">
        <v>1.1</v>
      </c>
    </row>
    <row r="11">
      <c r="B11" s="214" t="s">
        <v>21</v>
      </c>
      <c r="C11" s="202"/>
      <c r="D11" s="343"/>
      <c r="E11" s="104" t="s">
        <v>626</v>
      </c>
      <c r="F11" s="20"/>
      <c r="G11" s="21"/>
      <c r="I11" s="347" t="s">
        <v>627</v>
      </c>
      <c r="J11" s="21"/>
      <c r="K11" s="349">
        <v>1.2</v>
      </c>
    </row>
    <row r="12">
      <c r="B12" s="214" t="s">
        <v>22</v>
      </c>
      <c r="C12" s="351">
        <f>C11*100</f>
        <v>0</v>
      </c>
      <c r="D12" s="343"/>
      <c r="E12" s="345" t="s">
        <v>628</v>
      </c>
      <c r="F12" s="21"/>
      <c r="G12" s="352">
        <f>IF(G5="Hombre",((67.47+(13.75*(G6))+(5*(G7))-(6.78*(G8)))*G9*G10),((655.1+(9.56*(G6))+(1.85*(G7))-(4.68*(G8)))*G9*G10))</f>
        <v>67.47</v>
      </c>
      <c r="I12" s="347" t="s">
        <v>629</v>
      </c>
      <c r="J12" s="21"/>
      <c r="K12" s="349">
        <v>1.5</v>
      </c>
      <c r="S12" s="350"/>
    </row>
    <row r="13">
      <c r="B13" s="342" t="s">
        <v>630</v>
      </c>
      <c r="C13" s="8"/>
      <c r="D13" s="343"/>
      <c r="E13" s="104" t="s">
        <v>631</v>
      </c>
      <c r="F13" s="20"/>
      <c r="G13" s="21"/>
      <c r="I13" s="347" t="s">
        <v>632</v>
      </c>
      <c r="J13" s="21"/>
      <c r="K13" s="349">
        <v>1.8</v>
      </c>
    </row>
    <row r="14">
      <c r="B14" s="353" t="s">
        <v>633</v>
      </c>
      <c r="C14" s="109"/>
      <c r="D14" s="343"/>
      <c r="E14" s="345" t="s">
        <v>628</v>
      </c>
      <c r="F14" s="21"/>
      <c r="G14" s="352">
        <f>IF(G5="Hombre",(((10*(G6))+(6.25*(G7))-(5*(G8))+5)*G9*G10),(((10*(G6))+(6.25*(G7))-(5*(G8))-161)*G9*G10))</f>
        <v>5</v>
      </c>
      <c r="I14" s="347" t="s">
        <v>634</v>
      </c>
      <c r="J14" s="21"/>
      <c r="K14" s="349">
        <v>1.35</v>
      </c>
    </row>
    <row r="15">
      <c r="B15" s="353" t="s">
        <v>635</v>
      </c>
      <c r="C15" s="106">
        <f>IF(C8="Hombre",((2.02*C14)-(0.04*C9)+64.19),((1.83*C14)-(0.24*C9)+84.88))</f>
        <v>64.19</v>
      </c>
      <c r="D15" s="343"/>
      <c r="E15" s="104" t="s">
        <v>636</v>
      </c>
      <c r="F15" s="20"/>
      <c r="G15" s="21"/>
      <c r="I15" s="347" t="s">
        <v>637</v>
      </c>
      <c r="J15" s="21"/>
      <c r="K15" s="349">
        <v>1.35</v>
      </c>
    </row>
    <row r="16">
      <c r="B16" s="342" t="s">
        <v>638</v>
      </c>
      <c r="C16" s="8"/>
      <c r="D16" s="343"/>
      <c r="E16" s="345" t="s">
        <v>639</v>
      </c>
      <c r="F16" s="21"/>
      <c r="G16" s="354" t="s">
        <v>640</v>
      </c>
      <c r="I16" s="347" t="s">
        <v>641</v>
      </c>
      <c r="J16" s="21"/>
      <c r="K16" s="349">
        <v>1.6</v>
      </c>
    </row>
    <row r="17">
      <c r="B17" s="353" t="s">
        <v>633</v>
      </c>
      <c r="C17" s="109"/>
      <c r="D17" s="343"/>
      <c r="E17" s="345" t="s">
        <v>43</v>
      </c>
      <c r="F17" s="21"/>
      <c r="G17" s="354" t="s">
        <v>640</v>
      </c>
      <c r="H17" s="288">
        <f t="shared" ref="H17:H19" si="1">IF(G17="Sí",1,0)</f>
        <v>0</v>
      </c>
      <c r="I17" s="347" t="s">
        <v>642</v>
      </c>
      <c r="J17" s="21"/>
      <c r="K17" s="349">
        <v>1.5</v>
      </c>
    </row>
    <row r="18">
      <c r="B18" s="355" t="s">
        <v>643</v>
      </c>
      <c r="C18" s="109"/>
      <c r="D18" s="343"/>
      <c r="E18" s="345" t="s">
        <v>644</v>
      </c>
      <c r="F18" s="21"/>
      <c r="G18" s="354" t="s">
        <v>640</v>
      </c>
      <c r="H18" s="288">
        <f t="shared" si="1"/>
        <v>0</v>
      </c>
      <c r="I18" s="347" t="s">
        <v>645</v>
      </c>
      <c r="J18" s="21"/>
      <c r="K18" s="109">
        <v>1.96</v>
      </c>
    </row>
    <row r="19" ht="17.25" customHeight="1">
      <c r="B19" s="356" t="s">
        <v>646</v>
      </c>
      <c r="C19" s="109"/>
      <c r="D19" s="343"/>
      <c r="E19" s="345" t="s">
        <v>647</v>
      </c>
      <c r="F19" s="21"/>
      <c r="G19" s="354" t="s">
        <v>640</v>
      </c>
      <c r="H19" s="288">
        <f t="shared" si="1"/>
        <v>0</v>
      </c>
      <c r="I19" s="347" t="s">
        <v>648</v>
      </c>
      <c r="J19" s="21"/>
      <c r="K19" s="109" t="s">
        <v>649</v>
      </c>
    </row>
    <row r="20" ht="14.25" customHeight="1">
      <c r="B20" s="356" t="s">
        <v>28</v>
      </c>
      <c r="C20" s="109"/>
      <c r="D20" s="343"/>
      <c r="E20" s="345" t="s">
        <v>628</v>
      </c>
      <c r="F20" s="21"/>
      <c r="G20" s="357">
        <f>IF(G16="Sí",(1925-(10*(G8))+(5*(G6))+(28*H5)+(292*H18)+(851*H19)),(629-(11*(G8))+(25*(G6))-(609*H17)))</f>
        <v>629</v>
      </c>
      <c r="I20" s="347" t="s">
        <v>650</v>
      </c>
      <c r="J20" s="21"/>
      <c r="K20" s="109" t="s">
        <v>651</v>
      </c>
    </row>
    <row r="21" ht="15.75" customHeight="1">
      <c r="B21" s="353" t="s">
        <v>652</v>
      </c>
      <c r="C21" s="106">
        <f>IF(C8="Hombre",((C18*1.73)+(C19*0.98)+(C20*0.37)+(C17*1.16)-81.69),((C18*0.98)+(C19*1.27)+(C20*0.4)+(C17*0.87)-62.35))</f>
        <v>-81.69</v>
      </c>
      <c r="D21" s="343"/>
      <c r="E21" s="104" t="s">
        <v>653</v>
      </c>
      <c r="F21" s="20"/>
      <c r="G21" s="21"/>
    </row>
    <row r="22" ht="15.75" customHeight="1">
      <c r="B22" s="343"/>
      <c r="C22" s="343"/>
      <c r="D22" s="343"/>
      <c r="E22" s="345" t="s">
        <v>654</v>
      </c>
      <c r="F22" s="21"/>
      <c r="G22" s="354"/>
    </row>
    <row r="23" ht="15.75" customHeight="1">
      <c r="B23" s="344" t="s">
        <v>266</v>
      </c>
      <c r="C23" s="21"/>
      <c r="D23" s="343"/>
      <c r="E23" s="345" t="s">
        <v>628</v>
      </c>
      <c r="F23" s="21"/>
      <c r="G23" s="357">
        <f>G22*G6</f>
        <v>0</v>
      </c>
      <c r="I23" s="358" t="s">
        <v>655</v>
      </c>
      <c r="J23" s="2"/>
      <c r="K23" s="2"/>
    </row>
    <row r="24" ht="15.75" customHeight="1">
      <c r="B24" s="359" t="s">
        <v>20</v>
      </c>
      <c r="C24" s="109"/>
      <c r="D24" s="343"/>
      <c r="E24" s="343"/>
      <c r="F24" s="343"/>
      <c r="G24" s="343"/>
      <c r="I24" s="3"/>
    </row>
    <row r="25" ht="15.0" customHeight="1">
      <c r="B25" s="359" t="s">
        <v>277</v>
      </c>
      <c r="C25" s="109"/>
      <c r="D25" s="343"/>
      <c r="E25" s="344" t="s">
        <v>656</v>
      </c>
      <c r="F25" s="20"/>
      <c r="G25" s="21"/>
      <c r="H25" s="360"/>
      <c r="I25" s="3"/>
    </row>
    <row r="26" ht="15.75" customHeight="1">
      <c r="B26" s="359" t="s">
        <v>38</v>
      </c>
      <c r="C26" s="161" t="str">
        <f>(C24/(C25*C25))</f>
        <v>#DIV/0!</v>
      </c>
      <c r="D26" s="343"/>
      <c r="E26" s="345" t="s">
        <v>657</v>
      </c>
      <c r="F26" s="21"/>
      <c r="G26" s="348"/>
      <c r="H26" s="360"/>
      <c r="I26" s="3"/>
      <c r="M26" s="361" t="s">
        <v>658</v>
      </c>
    </row>
    <row r="27" ht="15.75" customHeight="1">
      <c r="B27" s="359" t="s">
        <v>285</v>
      </c>
      <c r="C27" s="66"/>
      <c r="D27" s="343"/>
      <c r="E27" s="345" t="s">
        <v>659</v>
      </c>
      <c r="F27" s="21"/>
      <c r="G27" s="346">
        <f>G26*G6</f>
        <v>0</v>
      </c>
      <c r="H27" s="360"/>
      <c r="I27" s="3"/>
      <c r="M27" s="362" t="s">
        <v>660</v>
      </c>
    </row>
    <row r="28" ht="15.75" customHeight="1">
      <c r="B28" s="342" t="s">
        <v>47</v>
      </c>
      <c r="C28" s="8"/>
      <c r="D28" s="343"/>
      <c r="E28" s="224" t="s">
        <v>661</v>
      </c>
      <c r="F28" s="256"/>
      <c r="G28" s="193"/>
      <c r="H28" s="360"/>
      <c r="I28" s="3"/>
      <c r="M28" s="362" t="s">
        <v>662</v>
      </c>
    </row>
    <row r="29" ht="15.0" customHeight="1">
      <c r="B29" s="353" t="s">
        <v>292</v>
      </c>
      <c r="C29" s="161">
        <f>(C27*(C25*C25))</f>
        <v>0</v>
      </c>
      <c r="D29" s="343"/>
      <c r="E29" s="197"/>
      <c r="F29" s="257"/>
      <c r="G29" s="198"/>
      <c r="H29" s="360"/>
      <c r="I29" s="3"/>
      <c r="M29" s="362" t="s">
        <v>663</v>
      </c>
    </row>
    <row r="30" ht="15.75" customHeight="1">
      <c r="B30" s="363" t="s">
        <v>49</v>
      </c>
      <c r="C30" s="364"/>
      <c r="D30" s="343"/>
      <c r="E30" s="360"/>
      <c r="F30" s="360"/>
      <c r="G30" s="360"/>
      <c r="H30" s="360"/>
      <c r="I30" s="3"/>
      <c r="M30" s="362" t="s">
        <v>664</v>
      </c>
    </row>
    <row r="31" ht="15.75" customHeight="1">
      <c r="B31" s="353" t="s">
        <v>297</v>
      </c>
      <c r="C31" s="161">
        <f>(C29+(0.25*(C24-C29)))</f>
        <v>0</v>
      </c>
      <c r="D31" s="343"/>
      <c r="E31" s="360"/>
      <c r="F31" s="360"/>
      <c r="G31" s="360"/>
      <c r="H31" s="360"/>
      <c r="I31" s="3"/>
    </row>
    <row r="32" ht="15.75" customHeight="1"/>
    <row r="33" ht="15.75" customHeight="1">
      <c r="B33" s="258" t="s">
        <v>665</v>
      </c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</row>
    <row r="34" ht="15.75" customHeight="1"/>
    <row r="35" ht="15.75" customHeight="1">
      <c r="B35" s="365" t="s">
        <v>666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</row>
    <row r="36" ht="15.75" customHeight="1"/>
    <row r="37" ht="15.75" customHeight="1">
      <c r="B37" s="359" t="s">
        <v>667</v>
      </c>
      <c r="C37" s="66"/>
    </row>
    <row r="38" ht="15.75" customHeight="1">
      <c r="B38" s="359" t="s">
        <v>543</v>
      </c>
      <c r="C38" s="366"/>
    </row>
    <row r="39" ht="15.75" customHeight="1">
      <c r="B39" s="359" t="s">
        <v>668</v>
      </c>
      <c r="C39" s="366"/>
    </row>
    <row r="40" ht="15.75" customHeight="1"/>
    <row r="41" ht="15.75" customHeight="1">
      <c r="B41" s="365" t="s">
        <v>669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</row>
    <row r="42" ht="15.75" customHeight="1"/>
    <row r="43" ht="15.0" customHeight="1">
      <c r="B43" s="359" t="s">
        <v>670</v>
      </c>
      <c r="C43" s="66"/>
      <c r="D43" s="288">
        <f>F65*4</f>
        <v>0</v>
      </c>
      <c r="E43" s="104" t="s">
        <v>671</v>
      </c>
      <c r="F43" s="20"/>
      <c r="G43" s="20"/>
      <c r="H43" s="20"/>
      <c r="I43" s="21"/>
      <c r="K43" s="367" t="str">
        <f>IF(AND(C45&lt;&gt;0, OR(C45&lt;2,C45&gt;5)),"La admon de CHOs debe hacerse con un flujo de 2 – 5 mg/kg/min, un valor menor favorece la  gluconeogénesis; un valor mayor excede la capacidad de oxidación lo que causa hiperglicemia, diuresis osmótica y coma hiperosmolar no cetósico","")</f>
        <v/>
      </c>
      <c r="O43" s="358" t="s">
        <v>672</v>
      </c>
      <c r="P43" s="2"/>
      <c r="Q43" s="2"/>
    </row>
    <row r="44" ht="15.75" customHeight="1">
      <c r="B44" s="359" t="s">
        <v>673</v>
      </c>
      <c r="C44" s="66"/>
      <c r="D44" s="288">
        <f>F66*3.4</f>
        <v>0</v>
      </c>
      <c r="E44" s="223" t="s">
        <v>670</v>
      </c>
      <c r="F44" s="21"/>
      <c r="G44" s="368" t="s">
        <v>674</v>
      </c>
      <c r="H44" s="20"/>
      <c r="I44" s="21"/>
      <c r="O44" s="3"/>
    </row>
    <row r="45" ht="15.75" customHeight="1">
      <c r="B45" s="359" t="s">
        <v>675</v>
      </c>
      <c r="C45" s="161">
        <f>(C44*1000)/1440</f>
        <v>0</v>
      </c>
      <c r="D45" s="288">
        <f>C38-(D43+D44)</f>
        <v>0</v>
      </c>
      <c r="E45" s="223" t="s">
        <v>673</v>
      </c>
      <c r="F45" s="21"/>
      <c r="G45" s="369" t="s">
        <v>676</v>
      </c>
      <c r="H45" s="20"/>
      <c r="I45" s="21"/>
      <c r="O45" s="3"/>
    </row>
    <row r="46" ht="15.75" customHeight="1">
      <c r="B46" s="359" t="s">
        <v>677</v>
      </c>
      <c r="C46" s="161" t="str">
        <f>D46/C37</f>
        <v>#DIV/0!</v>
      </c>
      <c r="D46" s="288">
        <f>D45/(IF(G57="Omegaven 10%",11,10))</f>
        <v>0</v>
      </c>
      <c r="E46" s="370" t="s">
        <v>677</v>
      </c>
      <c r="F46" s="193"/>
      <c r="G46" s="371" t="s">
        <v>678</v>
      </c>
      <c r="H46" s="21"/>
      <c r="I46" s="120" t="s">
        <v>679</v>
      </c>
      <c r="O46" s="3"/>
    </row>
    <row r="47" ht="15.75" customHeight="1">
      <c r="B47" s="359" t="s">
        <v>680</v>
      </c>
      <c r="C47" s="348"/>
      <c r="E47" s="197"/>
      <c r="F47" s="198"/>
      <c r="G47" s="371" t="s">
        <v>681</v>
      </c>
      <c r="H47" s="21"/>
      <c r="I47" s="120" t="s">
        <v>682</v>
      </c>
      <c r="O47" s="3"/>
    </row>
    <row r="48" ht="15.75" customHeight="1">
      <c r="B48" s="359" t="s">
        <v>683</v>
      </c>
      <c r="C48" s="348"/>
      <c r="E48" s="223" t="s">
        <v>680</v>
      </c>
      <c r="F48" s="21"/>
      <c r="G48" s="369" t="s">
        <v>684</v>
      </c>
      <c r="H48" s="20"/>
      <c r="I48" s="21"/>
      <c r="O48" s="3"/>
    </row>
    <row r="49" ht="15.75" customHeight="1">
      <c r="B49" s="359" t="s">
        <v>685</v>
      </c>
      <c r="C49" s="348"/>
      <c r="E49" s="223" t="s">
        <v>683</v>
      </c>
      <c r="F49" s="21"/>
      <c r="G49" s="369" t="s">
        <v>684</v>
      </c>
      <c r="H49" s="20"/>
      <c r="I49" s="21"/>
      <c r="O49" s="3"/>
    </row>
    <row r="50" ht="15.75" customHeight="1">
      <c r="B50" s="359" t="s">
        <v>686</v>
      </c>
      <c r="C50" s="348"/>
      <c r="E50" s="223" t="s">
        <v>685</v>
      </c>
      <c r="F50" s="21"/>
      <c r="G50" s="369" t="s">
        <v>687</v>
      </c>
      <c r="H50" s="20"/>
      <c r="I50" s="21"/>
      <c r="O50" s="3"/>
    </row>
    <row r="51" ht="15.75" customHeight="1">
      <c r="B51" s="359" t="s">
        <v>688</v>
      </c>
      <c r="C51" s="348"/>
      <c r="E51" s="223" t="s">
        <v>686</v>
      </c>
      <c r="F51" s="21"/>
      <c r="G51" s="369" t="s">
        <v>689</v>
      </c>
      <c r="H51" s="20"/>
      <c r="I51" s="21"/>
      <c r="O51" s="3"/>
    </row>
    <row r="52" ht="15.75" customHeight="1">
      <c r="E52" s="223" t="s">
        <v>688</v>
      </c>
      <c r="F52" s="21"/>
      <c r="G52" s="369" t="s">
        <v>690</v>
      </c>
      <c r="H52" s="20"/>
      <c r="I52" s="21"/>
      <c r="O52" s="3"/>
    </row>
    <row r="53" ht="15.75" customHeight="1"/>
    <row r="54" ht="15.75" customHeight="1">
      <c r="B54" s="365" t="s">
        <v>691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</row>
    <row r="55" ht="15.75" customHeight="1"/>
    <row r="56" ht="15.75" customHeight="1">
      <c r="B56" s="372" t="s">
        <v>692</v>
      </c>
      <c r="C56" s="373" t="s">
        <v>693</v>
      </c>
      <c r="D56" s="21"/>
      <c r="E56" s="373" t="s">
        <v>694</v>
      </c>
      <c r="F56" s="21"/>
      <c r="G56" s="373" t="s">
        <v>695</v>
      </c>
      <c r="H56" s="21"/>
      <c r="I56" s="373" t="s">
        <v>262</v>
      </c>
      <c r="J56" s="21"/>
      <c r="K56" s="373" t="s">
        <v>696</v>
      </c>
      <c r="L56" s="21"/>
      <c r="M56" s="373" t="s">
        <v>697</v>
      </c>
      <c r="N56" s="21"/>
      <c r="O56" s="373" t="s">
        <v>698</v>
      </c>
      <c r="P56" s="21"/>
      <c r="Q56" s="373" t="s">
        <v>699</v>
      </c>
      <c r="R56" s="21"/>
    </row>
    <row r="57" ht="15.75" customHeight="1">
      <c r="B57" s="372" t="s">
        <v>700</v>
      </c>
      <c r="C57" s="368"/>
      <c r="D57" s="21"/>
      <c r="E57" s="368"/>
      <c r="F57" s="21"/>
      <c r="G57" s="368"/>
      <c r="H57" s="21"/>
      <c r="I57" s="368"/>
      <c r="J57" s="21"/>
      <c r="K57" s="368"/>
      <c r="L57" s="21"/>
      <c r="M57" s="368"/>
      <c r="N57" s="21"/>
      <c r="O57" s="368"/>
      <c r="P57" s="21"/>
      <c r="Q57" s="368"/>
      <c r="R57" s="21"/>
    </row>
    <row r="58" ht="15.75" customHeight="1"/>
    <row r="59" ht="15.75" customHeight="1">
      <c r="B59" s="372" t="s">
        <v>692</v>
      </c>
      <c r="C59" s="373" t="s">
        <v>701</v>
      </c>
      <c r="D59" s="21"/>
      <c r="E59" s="373" t="s">
        <v>702</v>
      </c>
      <c r="F59" s="21"/>
      <c r="H59" s="374" t="s">
        <v>703</v>
      </c>
      <c r="I59" s="2"/>
    </row>
    <row r="60" ht="15.75" customHeight="1">
      <c r="B60" s="372" t="s">
        <v>700</v>
      </c>
      <c r="C60" s="368"/>
      <c r="D60" s="21"/>
      <c r="E60" s="368"/>
      <c r="F60" s="21"/>
      <c r="H60" s="3"/>
    </row>
    <row r="61" ht="15.75" customHeight="1"/>
    <row r="62" ht="15.75" customHeight="1">
      <c r="B62" s="375" t="s">
        <v>704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</row>
    <row r="63" ht="15.75" customHeight="1"/>
    <row r="64" ht="15.75" customHeight="1">
      <c r="B64" s="376" t="s">
        <v>700</v>
      </c>
      <c r="C64" s="376" t="s">
        <v>692</v>
      </c>
      <c r="D64" s="7" t="s">
        <v>705</v>
      </c>
      <c r="E64" s="377"/>
      <c r="F64" s="19" t="s">
        <v>706</v>
      </c>
      <c r="G64" s="21"/>
      <c r="H64" s="378" t="s">
        <v>707</v>
      </c>
      <c r="I64" s="376" t="s">
        <v>708</v>
      </c>
      <c r="J64" s="376" t="s">
        <v>709</v>
      </c>
    </row>
    <row r="65" ht="15.0" customHeight="1">
      <c r="B65" s="379" t="str">
        <f>C57</f>
        <v/>
      </c>
      <c r="C65" s="380" t="str">
        <f>C56</f>
        <v>Aminoácidos</v>
      </c>
      <c r="D65" s="381">
        <f>IF(OR(C57="Aminoven adultos 15%", C57="Travasol plus 15%"), 0.15, 0.1)</f>
        <v>0.1</v>
      </c>
      <c r="E65" s="382" t="s">
        <v>710</v>
      </c>
      <c r="F65" s="383">
        <f>C43*C37</f>
        <v>0</v>
      </c>
      <c r="G65" s="384" t="s">
        <v>711</v>
      </c>
      <c r="H65" s="385">
        <f t="shared" ref="H65:H72" si="2">F65/D65</f>
        <v>0</v>
      </c>
      <c r="I65" s="64">
        <f>IF(C57="Aminoven adultos 10%",E82,(IF(C57="Aminoven adultos 15%",E83,(IF(C57="Trophamine 10%",E84,(IF(C57="Aminoplasmal 10%",E85,(IF(C57="Primene 10%",E86,(IF(C57="Travasol 10% S.E",E87,(IF(C57="Travasol 10% C.E",E88,(IF(C57="Travasol plus 15%",E89,0)))))))))))))))</f>
        <v>0</v>
      </c>
      <c r="J65" s="67">
        <f t="shared" ref="J65:J72" si="3">(H65*I65)/1000</f>
        <v>0</v>
      </c>
      <c r="L65" s="358" t="s">
        <v>712</v>
      </c>
      <c r="M65" s="2"/>
      <c r="N65" s="2"/>
    </row>
    <row r="66" ht="15.75" customHeight="1">
      <c r="B66" s="379" t="str">
        <f>E57</f>
        <v/>
      </c>
      <c r="C66" s="380" t="str">
        <f>E56</f>
        <v>Dextrosa</v>
      </c>
      <c r="D66" s="386">
        <f>IF(E57="Baxter 20%", 0.2, IF(E57="Baxter 70%",0.7,0.5))</f>
        <v>0.5</v>
      </c>
      <c r="E66" s="387" t="s">
        <v>710</v>
      </c>
      <c r="F66" s="383">
        <f>C44*C37</f>
        <v>0</v>
      </c>
      <c r="G66" s="384" t="s">
        <v>711</v>
      </c>
      <c r="H66" s="385">
        <f t="shared" si="2"/>
        <v>0</v>
      </c>
      <c r="I66" s="64">
        <f>IF(E57="Baxter 20%",E90,(IF(E57="Baxter 70%",E92,(IF(E57="Corpaul 50%",E93,(IF(E57="Baxter 50%",E91,(IF(E57="FreseniusKabi 50%",E94,0)))))))))</f>
        <v>0</v>
      </c>
      <c r="J66" s="67">
        <f t="shared" si="3"/>
        <v>0</v>
      </c>
      <c r="L66" s="3"/>
    </row>
    <row r="67" ht="15.75" customHeight="1">
      <c r="B67" s="379" t="str">
        <f>G57</f>
        <v/>
      </c>
      <c r="C67" s="64" t="str">
        <f>G56</f>
        <v>Lípidos</v>
      </c>
      <c r="D67" s="386">
        <f>IF(G57="Omegaven 10%", 0.1,0.2 )</f>
        <v>0.2</v>
      </c>
      <c r="E67" s="387" t="s">
        <v>710</v>
      </c>
      <c r="F67" s="383" t="str">
        <f>C46*C37</f>
        <v>#DIV/0!</v>
      </c>
      <c r="G67" s="384" t="s">
        <v>711</v>
      </c>
      <c r="H67" s="385" t="str">
        <f t="shared" si="2"/>
        <v>#DIV/0!</v>
      </c>
      <c r="I67" s="64">
        <f>IF(G57="Smoflipid 20%",E95,(IF(G57="Lipovenos 20%",E96,(IF(G57="Clinoleic 20%",E97,(IF(G57="Lipofundin 20%",E98,(IF(G57="Omegaven 10%",E99,0)))))))))</f>
        <v>0</v>
      </c>
      <c r="J67" s="67" t="str">
        <f t="shared" si="3"/>
        <v>#DIV/0!</v>
      </c>
      <c r="L67" s="3"/>
    </row>
    <row r="68" ht="15.75" customHeight="1">
      <c r="B68" s="379" t="str">
        <f>I57</f>
        <v/>
      </c>
      <c r="C68" s="64" t="str">
        <f>I56</f>
        <v>Sodio</v>
      </c>
      <c r="D68" s="386">
        <v>2.0</v>
      </c>
      <c r="E68" s="387" t="s">
        <v>713</v>
      </c>
      <c r="F68" s="383">
        <f>IF(C73="Sodio",((C47*C37)-F73),(C47*C37))</f>
        <v>0</v>
      </c>
      <c r="G68" s="384" t="s">
        <v>714</v>
      </c>
      <c r="H68" s="385">
        <f t="shared" si="2"/>
        <v>0</v>
      </c>
      <c r="I68" s="227">
        <f>IF(I57="Cloruro de sodio (Natrol)",4000,0)</f>
        <v>0</v>
      </c>
      <c r="J68" s="67">
        <f t="shared" si="3"/>
        <v>0</v>
      </c>
      <c r="L68" s="3"/>
    </row>
    <row r="69" ht="15.75" customHeight="1">
      <c r="B69" s="379" t="str">
        <f>K57</f>
        <v/>
      </c>
      <c r="C69" s="64" t="str">
        <f>K56</f>
        <v>Potasio</v>
      </c>
      <c r="D69" s="386">
        <v>2.0</v>
      </c>
      <c r="E69" s="387" t="s">
        <v>713</v>
      </c>
      <c r="F69" s="383">
        <f>IF(C73="Potasio",((C48*C37)-F73),(C48*C37))</f>
        <v>0</v>
      </c>
      <c r="G69" s="384" t="s">
        <v>714</v>
      </c>
      <c r="H69" s="385">
        <f t="shared" si="2"/>
        <v>0</v>
      </c>
      <c r="I69" s="227">
        <f>IF(K57="Cloruro de potasio (katrol)",4000,0)</f>
        <v>0</v>
      </c>
      <c r="J69" s="67">
        <f t="shared" si="3"/>
        <v>0</v>
      </c>
      <c r="L69" s="3"/>
    </row>
    <row r="70" ht="15.75" customHeight="1">
      <c r="B70" s="379" t="str">
        <f>M57</f>
        <v/>
      </c>
      <c r="C70" s="64" t="str">
        <f>M56</f>
        <v>Calcio</v>
      </c>
      <c r="D70" s="380">
        <v>0.46</v>
      </c>
      <c r="E70" s="387" t="s">
        <v>713</v>
      </c>
      <c r="F70" s="383" t="str">
        <f>C49</f>
        <v/>
      </c>
      <c r="G70" s="384" t="s">
        <v>714</v>
      </c>
      <c r="H70" s="385">
        <f t="shared" si="2"/>
        <v>0</v>
      </c>
      <c r="I70" s="227">
        <f>IF(M57="Gluconato de calcio 10%",703,0)</f>
        <v>0</v>
      </c>
      <c r="J70" s="67">
        <f t="shared" si="3"/>
        <v>0</v>
      </c>
      <c r="L70" s="3"/>
    </row>
    <row r="71" ht="15.75" customHeight="1">
      <c r="B71" s="379" t="str">
        <f>O57</f>
        <v/>
      </c>
      <c r="C71" s="64" t="str">
        <f>O56</f>
        <v>Magnesio</v>
      </c>
      <c r="D71" s="380">
        <v>1.62</v>
      </c>
      <c r="E71" s="387" t="s">
        <v>713</v>
      </c>
      <c r="F71" s="383" t="str">
        <f>C51</f>
        <v/>
      </c>
      <c r="G71" s="384" t="s">
        <v>714</v>
      </c>
      <c r="H71" s="385">
        <f t="shared" si="2"/>
        <v>0</v>
      </c>
      <c r="I71" s="64">
        <f>IF(O57="Sulfato de magnesio 20%",1626,0)</f>
        <v>0</v>
      </c>
      <c r="J71" s="67">
        <f t="shared" si="3"/>
        <v>0</v>
      </c>
      <c r="L71" s="3"/>
    </row>
    <row r="72" ht="15.75" customHeight="1">
      <c r="B72" s="388" t="str">
        <f>Q57</f>
        <v/>
      </c>
      <c r="C72" s="64" t="str">
        <f>Q56</f>
        <v>Fósforo</v>
      </c>
      <c r="D72" s="386">
        <f>IF(Q57="Fosfato de potasio Corpaul",2.5,1)</f>
        <v>1</v>
      </c>
      <c r="E72" s="387" t="s">
        <v>715</v>
      </c>
      <c r="F72" s="383" t="str">
        <f>C50</f>
        <v/>
      </c>
      <c r="G72" s="384" t="s">
        <v>716</v>
      </c>
      <c r="H72" s="389">
        <f t="shared" si="2"/>
        <v>0</v>
      </c>
      <c r="I72" s="390">
        <f>IF(Q57="Fosfato de potasio Corpaul",E104,(IF(Q57="Glicerol fosfato de sodio",E105,0)))</f>
        <v>0</v>
      </c>
      <c r="J72" s="391">
        <f t="shared" si="3"/>
        <v>0</v>
      </c>
      <c r="L72" s="3"/>
    </row>
    <row r="73" ht="15.75" customHeight="1">
      <c r="B73" s="392"/>
      <c r="C73" s="64" t="str">
        <f>IF(Q57="Fosfato de potasio Corpaul","Potasio","Sodio")</f>
        <v>Sodio</v>
      </c>
      <c r="D73" s="386">
        <f>IF(Q57="Fosfato de potasio Corpaul",3.8,2)</f>
        <v>2</v>
      </c>
      <c r="E73" s="387" t="s">
        <v>713</v>
      </c>
      <c r="F73" s="383">
        <f>D73*H72</f>
        <v>0</v>
      </c>
      <c r="G73" s="384" t="s">
        <v>714</v>
      </c>
      <c r="H73" s="100"/>
      <c r="I73" s="100"/>
      <c r="J73" s="100"/>
    </row>
    <row r="74" ht="15.75" customHeight="1">
      <c r="B74" s="379" t="str">
        <f>C60</f>
        <v/>
      </c>
      <c r="C74" s="64" t="s">
        <v>701</v>
      </c>
      <c r="D74" s="393" t="s">
        <v>717</v>
      </c>
      <c r="E74" s="21"/>
      <c r="F74" s="393" t="s">
        <v>717</v>
      </c>
      <c r="G74" s="21"/>
      <c r="H74" s="385">
        <f>IF(B74="Cernevit",5,(IF(C60="Soluvit+Vitalipid",20,0)))</f>
        <v>0</v>
      </c>
      <c r="I74" s="64">
        <f>IF(C60="Cernevit",E107,(IF(C60="Soluvit+Vitalipid",E106,0)))</f>
        <v>0</v>
      </c>
      <c r="J74" s="67">
        <f t="shared" ref="J74:J76" si="4">(H74*I74)/1000</f>
        <v>0</v>
      </c>
      <c r="K74" s="5"/>
    </row>
    <row r="75" ht="15.75" customHeight="1">
      <c r="B75" s="379" t="str">
        <f>E60</f>
        <v/>
      </c>
      <c r="C75" s="64" t="s">
        <v>702</v>
      </c>
      <c r="D75" s="393" t="s">
        <v>717</v>
      </c>
      <c r="E75" s="21"/>
      <c r="F75" s="393" t="s">
        <v>717</v>
      </c>
      <c r="G75" s="21"/>
      <c r="H75" s="385">
        <f>IF(OR(E60="Nulanza",E60="Addaven"),10,0)</f>
        <v>0</v>
      </c>
      <c r="I75" s="64">
        <f>IF(OR(E60="Nulanza",E60="Addaven"),E108,0)</f>
        <v>0</v>
      </c>
      <c r="J75" s="64">
        <f t="shared" si="4"/>
        <v>0</v>
      </c>
      <c r="K75" s="5"/>
      <c r="L75" s="367" t="str">
        <f>IF(C60="Cernevit","Cernevit no contiene Vit K, aplique 10mg/ml semanalmente","")</f>
        <v/>
      </c>
    </row>
    <row r="76" ht="15.75" customHeight="1">
      <c r="B76" s="379" t="s">
        <v>718</v>
      </c>
      <c r="C76" s="64" t="s">
        <v>719</v>
      </c>
      <c r="D76" s="393" t="s">
        <v>717</v>
      </c>
      <c r="E76" s="21"/>
      <c r="F76" s="393" t="s">
        <v>717</v>
      </c>
      <c r="G76" s="21"/>
      <c r="H76" s="385" t="str">
        <f>H77-SUM(H65:H75)</f>
        <v>#DIV/0!</v>
      </c>
      <c r="I76" s="64">
        <v>0.0</v>
      </c>
      <c r="J76" s="64" t="str">
        <f t="shared" si="4"/>
        <v>#DIV/0!</v>
      </c>
      <c r="K76" s="288" t="str">
        <f>SUM(J65:J75)</f>
        <v>#DIV/0!</v>
      </c>
    </row>
    <row r="77" ht="15.75" customHeight="1">
      <c r="B77" s="394" t="s">
        <v>212</v>
      </c>
      <c r="C77" s="20"/>
      <c r="D77" s="20"/>
      <c r="E77" s="20"/>
      <c r="F77" s="20"/>
      <c r="G77" s="21"/>
      <c r="H77" s="385" t="str">
        <f>C39</f>
        <v/>
      </c>
      <c r="I77" s="53" t="s">
        <v>717</v>
      </c>
      <c r="J77" s="67" t="str">
        <f>(K76/H77)*1000</f>
        <v>#DIV/0!</v>
      </c>
    </row>
    <row r="78" ht="15.75" customHeight="1">
      <c r="H78" s="395"/>
    </row>
    <row r="79" ht="15.75" customHeight="1">
      <c r="B79" s="375" t="s">
        <v>720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</row>
    <row r="80" ht="15.75" customHeight="1"/>
    <row r="81" ht="15.75" customHeight="1">
      <c r="B81" s="376" t="s">
        <v>700</v>
      </c>
      <c r="C81" s="376" t="s">
        <v>13</v>
      </c>
      <c r="D81" s="162" t="s">
        <v>721</v>
      </c>
      <c r="E81" s="162" t="s">
        <v>722</v>
      </c>
      <c r="F81" s="396"/>
    </row>
    <row r="82" ht="15.75" customHeight="1">
      <c r="B82" s="164" t="s">
        <v>723</v>
      </c>
      <c r="C82" s="64" t="s">
        <v>724</v>
      </c>
      <c r="D82" s="69" t="s">
        <v>725</v>
      </c>
      <c r="E82" s="397">
        <v>990.0</v>
      </c>
    </row>
    <row r="83" ht="15.75" customHeight="1">
      <c r="B83" s="164" t="s">
        <v>726</v>
      </c>
      <c r="C83" s="64" t="s">
        <v>727</v>
      </c>
      <c r="D83" s="69" t="s">
        <v>725</v>
      </c>
      <c r="E83" s="397">
        <v>1505.0</v>
      </c>
    </row>
    <row r="84" ht="15.75" customHeight="1">
      <c r="B84" s="164" t="s">
        <v>728</v>
      </c>
      <c r="C84" s="64" t="s">
        <v>729</v>
      </c>
      <c r="D84" s="69" t="s">
        <v>730</v>
      </c>
      <c r="E84" s="397">
        <v>875.0</v>
      </c>
    </row>
    <row r="85" ht="15.75" customHeight="1">
      <c r="B85" s="164" t="s">
        <v>728</v>
      </c>
      <c r="C85" s="64" t="s">
        <v>731</v>
      </c>
      <c r="D85" s="69" t="s">
        <v>730</v>
      </c>
      <c r="E85" s="397">
        <v>1030.0</v>
      </c>
    </row>
    <row r="86" ht="15.75" customHeight="1">
      <c r="B86" s="164" t="s">
        <v>728</v>
      </c>
      <c r="C86" s="64" t="s">
        <v>732</v>
      </c>
      <c r="D86" s="69" t="s">
        <v>733</v>
      </c>
      <c r="E86" s="397">
        <v>780.0</v>
      </c>
    </row>
    <row r="87" ht="15.75" customHeight="1">
      <c r="B87" s="164" t="s">
        <v>728</v>
      </c>
      <c r="C87" s="64" t="s">
        <v>734</v>
      </c>
      <c r="D87" s="69" t="s">
        <v>733</v>
      </c>
      <c r="E87" s="397">
        <v>996.0</v>
      </c>
    </row>
    <row r="88" ht="15.75" customHeight="1">
      <c r="B88" s="164" t="s">
        <v>728</v>
      </c>
      <c r="C88" s="64" t="s">
        <v>735</v>
      </c>
      <c r="D88" s="69" t="s">
        <v>733</v>
      </c>
      <c r="E88" s="397">
        <v>1300.0</v>
      </c>
    </row>
    <row r="89" ht="15.75" customHeight="1">
      <c r="B89" s="164" t="s">
        <v>736</v>
      </c>
      <c r="C89" s="64" t="s">
        <v>737</v>
      </c>
      <c r="D89" s="69" t="s">
        <v>733</v>
      </c>
      <c r="E89" s="397">
        <v>1357.0</v>
      </c>
    </row>
    <row r="90" ht="15.75" customHeight="1">
      <c r="B90" s="164" t="s">
        <v>738</v>
      </c>
      <c r="C90" s="64" t="s">
        <v>738</v>
      </c>
      <c r="D90" s="69" t="s">
        <v>733</v>
      </c>
      <c r="E90" s="397">
        <v>1100.0</v>
      </c>
    </row>
    <row r="91" ht="15.75" customHeight="1">
      <c r="B91" s="164" t="s">
        <v>739</v>
      </c>
      <c r="C91" s="64" t="s">
        <v>739</v>
      </c>
      <c r="D91" s="69" t="s">
        <v>733</v>
      </c>
      <c r="E91" s="397">
        <v>2775.0</v>
      </c>
    </row>
    <row r="92" ht="15.75" customHeight="1">
      <c r="B92" s="164" t="s">
        <v>740</v>
      </c>
      <c r="C92" s="64" t="s">
        <v>740</v>
      </c>
      <c r="D92" s="69" t="s">
        <v>733</v>
      </c>
      <c r="E92" s="397">
        <v>3885.0</v>
      </c>
    </row>
    <row r="93" ht="15.75" customHeight="1">
      <c r="B93" s="164" t="s">
        <v>739</v>
      </c>
      <c r="C93" s="64" t="s">
        <v>739</v>
      </c>
      <c r="D93" s="69" t="s">
        <v>741</v>
      </c>
      <c r="E93" s="397">
        <v>2780.0</v>
      </c>
    </row>
    <row r="94" ht="15.75" customHeight="1">
      <c r="B94" s="164" t="s">
        <v>739</v>
      </c>
      <c r="C94" s="64" t="s">
        <v>739</v>
      </c>
      <c r="D94" s="69" t="s">
        <v>725</v>
      </c>
      <c r="E94" s="397">
        <v>2775.0</v>
      </c>
    </row>
    <row r="95" ht="15.75" customHeight="1">
      <c r="B95" s="164" t="s">
        <v>742</v>
      </c>
      <c r="C95" s="64" t="s">
        <v>743</v>
      </c>
      <c r="D95" s="69" t="s">
        <v>725</v>
      </c>
      <c r="E95" s="397">
        <v>290.0</v>
      </c>
    </row>
    <row r="96" ht="15.75" customHeight="1">
      <c r="B96" s="164" t="s">
        <v>742</v>
      </c>
      <c r="C96" s="69" t="s">
        <v>744</v>
      </c>
      <c r="D96" s="69" t="s">
        <v>725</v>
      </c>
      <c r="E96" s="397">
        <v>273.0</v>
      </c>
    </row>
    <row r="97" ht="15.75" customHeight="1">
      <c r="B97" s="164" t="s">
        <v>742</v>
      </c>
      <c r="C97" s="64" t="s">
        <v>745</v>
      </c>
      <c r="D97" s="69" t="s">
        <v>733</v>
      </c>
      <c r="E97" s="397">
        <v>270.0</v>
      </c>
    </row>
    <row r="98" ht="15.75" customHeight="1">
      <c r="B98" s="164" t="s">
        <v>742</v>
      </c>
      <c r="C98" s="64" t="s">
        <v>746</v>
      </c>
      <c r="D98" s="69" t="s">
        <v>730</v>
      </c>
      <c r="E98" s="397">
        <v>380.0</v>
      </c>
    </row>
    <row r="99" ht="15.75" customHeight="1">
      <c r="B99" s="164" t="s">
        <v>747</v>
      </c>
      <c r="C99" s="64" t="s">
        <v>748</v>
      </c>
      <c r="D99" s="69" t="s">
        <v>725</v>
      </c>
      <c r="E99" s="397">
        <v>273.0</v>
      </c>
    </row>
    <row r="100" ht="15.75" customHeight="1">
      <c r="B100" s="164" t="s">
        <v>749</v>
      </c>
      <c r="C100" s="64" t="s">
        <v>750</v>
      </c>
      <c r="D100" s="69" t="s">
        <v>741</v>
      </c>
      <c r="E100" s="397">
        <v>4000.0</v>
      </c>
    </row>
    <row r="101" ht="15.75" customHeight="1">
      <c r="B101" s="164" t="s">
        <v>751</v>
      </c>
      <c r="C101" s="64" t="s">
        <v>752</v>
      </c>
      <c r="D101" s="69" t="s">
        <v>741</v>
      </c>
      <c r="E101" s="397">
        <v>4000.0</v>
      </c>
    </row>
    <row r="102" ht="15.75" customHeight="1">
      <c r="B102" s="164" t="s">
        <v>753</v>
      </c>
      <c r="C102" s="64" t="s">
        <v>753</v>
      </c>
      <c r="D102" s="69" t="s">
        <v>741</v>
      </c>
      <c r="E102" s="397">
        <v>703.0</v>
      </c>
    </row>
    <row r="103" ht="15.75" customHeight="1">
      <c r="B103" s="164" t="s">
        <v>754</v>
      </c>
      <c r="C103" s="64" t="s">
        <v>755</v>
      </c>
      <c r="D103" s="69" t="s">
        <v>427</v>
      </c>
      <c r="E103" s="397">
        <v>1626.0</v>
      </c>
    </row>
    <row r="104" ht="15.75" customHeight="1">
      <c r="B104" s="164" t="s">
        <v>756</v>
      </c>
      <c r="C104" s="64" t="s">
        <v>756</v>
      </c>
      <c r="D104" s="69" t="s">
        <v>741</v>
      </c>
      <c r="E104" s="397">
        <v>6380.0</v>
      </c>
    </row>
    <row r="105" ht="15.75" customHeight="1">
      <c r="B105" s="164" t="s">
        <v>757</v>
      </c>
      <c r="C105" s="64" t="s">
        <v>758</v>
      </c>
      <c r="D105" s="69" t="s">
        <v>725</v>
      </c>
      <c r="E105" s="397">
        <v>2800.0</v>
      </c>
    </row>
    <row r="106" ht="15.75" customHeight="1">
      <c r="B106" s="164" t="s">
        <v>759</v>
      </c>
      <c r="C106" s="64" t="s">
        <v>760</v>
      </c>
      <c r="D106" s="69" t="s">
        <v>725</v>
      </c>
      <c r="E106" s="397">
        <v>770.0</v>
      </c>
    </row>
    <row r="107" ht="15.75" customHeight="1">
      <c r="B107" s="164" t="s">
        <v>759</v>
      </c>
      <c r="C107" s="64" t="s">
        <v>761</v>
      </c>
      <c r="D107" s="69" t="s">
        <v>733</v>
      </c>
      <c r="E107" s="397">
        <v>4280.0</v>
      </c>
    </row>
    <row r="108" ht="15.75" customHeight="1">
      <c r="B108" s="164" t="s">
        <v>762</v>
      </c>
      <c r="C108" s="64" t="s">
        <v>763</v>
      </c>
      <c r="D108" s="69" t="s">
        <v>725</v>
      </c>
      <c r="E108" s="397">
        <v>3100.0</v>
      </c>
    </row>
    <row r="109" ht="15.75" customHeight="1">
      <c r="B109" s="164" t="s">
        <v>762</v>
      </c>
      <c r="C109" s="380" t="s">
        <v>764</v>
      </c>
      <c r="D109" s="69" t="s">
        <v>725</v>
      </c>
      <c r="E109" s="398">
        <v>3100.0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7">
    <mergeCell ref="E15:G15"/>
    <mergeCell ref="I15:J15"/>
    <mergeCell ref="B16:C16"/>
    <mergeCell ref="E16:F16"/>
    <mergeCell ref="I16:J16"/>
    <mergeCell ref="E17:F17"/>
    <mergeCell ref="E18:F18"/>
    <mergeCell ref="M26:AA26"/>
    <mergeCell ref="M27:AA27"/>
    <mergeCell ref="M28:AA28"/>
    <mergeCell ref="M29:AA29"/>
    <mergeCell ref="M30:AA30"/>
    <mergeCell ref="E19:F19"/>
    <mergeCell ref="I19:J19"/>
    <mergeCell ref="E20:F20"/>
    <mergeCell ref="I20:J20"/>
    <mergeCell ref="E21:G21"/>
    <mergeCell ref="E22:F22"/>
    <mergeCell ref="B23:C23"/>
    <mergeCell ref="E45:F45"/>
    <mergeCell ref="E46:F47"/>
    <mergeCell ref="G46:H46"/>
    <mergeCell ref="G47:H47"/>
    <mergeCell ref="B33:R33"/>
    <mergeCell ref="B35:R35"/>
    <mergeCell ref="B41:R41"/>
    <mergeCell ref="E43:I43"/>
    <mergeCell ref="E44:F44"/>
    <mergeCell ref="G44:I44"/>
    <mergeCell ref="G45:I45"/>
    <mergeCell ref="E51:F51"/>
    <mergeCell ref="E52:F52"/>
    <mergeCell ref="E48:F48"/>
    <mergeCell ref="G48:I48"/>
    <mergeCell ref="E49:F49"/>
    <mergeCell ref="G49:I49"/>
    <mergeCell ref="E50:F50"/>
    <mergeCell ref="G50:I50"/>
    <mergeCell ref="G51:I51"/>
    <mergeCell ref="G52:I52"/>
    <mergeCell ref="E23:F23"/>
    <mergeCell ref="E25:G25"/>
    <mergeCell ref="E26:F26"/>
    <mergeCell ref="E27:F27"/>
    <mergeCell ref="B28:C28"/>
    <mergeCell ref="E28:G29"/>
    <mergeCell ref="B30:C30"/>
    <mergeCell ref="M56:N56"/>
    <mergeCell ref="O56:P56"/>
    <mergeCell ref="I17:J17"/>
    <mergeCell ref="I18:J18"/>
    <mergeCell ref="I23:K31"/>
    <mergeCell ref="K43:M52"/>
    <mergeCell ref="O43:Q52"/>
    <mergeCell ref="B54:R54"/>
    <mergeCell ref="C56:D56"/>
    <mergeCell ref="Q56:R56"/>
    <mergeCell ref="E56:F56"/>
    <mergeCell ref="G56:H56"/>
    <mergeCell ref="C57:D57"/>
    <mergeCell ref="E57:F57"/>
    <mergeCell ref="G57:H57"/>
    <mergeCell ref="E59:F59"/>
    <mergeCell ref="H59:I60"/>
    <mergeCell ref="B72:B73"/>
    <mergeCell ref="D74:E74"/>
    <mergeCell ref="F74:G74"/>
    <mergeCell ref="D75:E75"/>
    <mergeCell ref="F75:G75"/>
    <mergeCell ref="B77:G77"/>
    <mergeCell ref="F81:G81"/>
    <mergeCell ref="L75:N76"/>
    <mergeCell ref="D76:E76"/>
    <mergeCell ref="F76:G76"/>
    <mergeCell ref="B79:R79"/>
    <mergeCell ref="E60:F60"/>
    <mergeCell ref="D64:E64"/>
    <mergeCell ref="F64:G64"/>
    <mergeCell ref="L65:N72"/>
    <mergeCell ref="H72:H73"/>
    <mergeCell ref="I72:I73"/>
    <mergeCell ref="J72:J73"/>
    <mergeCell ref="B2:R2"/>
    <mergeCell ref="B4:C4"/>
    <mergeCell ref="E4:G4"/>
    <mergeCell ref="I4:K4"/>
    <mergeCell ref="E5:F5"/>
    <mergeCell ref="I5:J5"/>
    <mergeCell ref="I6:J6"/>
    <mergeCell ref="I9:J9"/>
    <mergeCell ref="I10:J10"/>
    <mergeCell ref="E6:F6"/>
    <mergeCell ref="E7:F7"/>
    <mergeCell ref="I7:J7"/>
    <mergeCell ref="E8:F8"/>
    <mergeCell ref="I8:K8"/>
    <mergeCell ref="E9:F9"/>
    <mergeCell ref="E10:F10"/>
    <mergeCell ref="I13:J13"/>
    <mergeCell ref="I14:J14"/>
    <mergeCell ref="E11:G11"/>
    <mergeCell ref="I11:J11"/>
    <mergeCell ref="E12:F12"/>
    <mergeCell ref="I12:J12"/>
    <mergeCell ref="B13:C13"/>
    <mergeCell ref="E13:G13"/>
    <mergeCell ref="E14:F14"/>
    <mergeCell ref="I56:J56"/>
    <mergeCell ref="K56:L56"/>
    <mergeCell ref="I57:J57"/>
    <mergeCell ref="K57:L57"/>
    <mergeCell ref="M57:N57"/>
    <mergeCell ref="O57:P57"/>
    <mergeCell ref="Q57:R57"/>
    <mergeCell ref="C59:D59"/>
    <mergeCell ref="C60:D60"/>
    <mergeCell ref="B62:R62"/>
  </mergeCells>
  <conditionalFormatting sqref="K43:M52">
    <cfRule type="expression" dxfId="0" priority="1">
      <formula>AND($C$45&lt;&gt;0, OR($C$45&gt;5, $C$45&lt;2))</formula>
    </cfRule>
  </conditionalFormatting>
  <conditionalFormatting sqref="L75:N76">
    <cfRule type="expression" dxfId="0" priority="2">
      <formula>$C$60="Cernevit"</formula>
    </cfRule>
  </conditionalFormatting>
  <dataValidations>
    <dataValidation type="list" allowBlank="1" showErrorMessage="1" sqref="G5 C8">
      <formula1>"Hombre,Mujer"</formula1>
    </dataValidation>
    <dataValidation type="list" allowBlank="1" showErrorMessage="1" sqref="E60">
      <formula1>"Nulanza,Addaven"</formula1>
    </dataValidation>
    <dataValidation type="list" allowBlank="1" showErrorMessage="1" sqref="K57">
      <formula1>"Cloruro de potasio (Katrol)"</formula1>
    </dataValidation>
    <dataValidation type="list" allowBlank="1" showErrorMessage="1" sqref="O57">
      <formula1>"Sulfato de magnesio 20%"</formula1>
    </dataValidation>
    <dataValidation type="list" allowBlank="1" showErrorMessage="1" sqref="C60">
      <formula1>"Cernevit,Soluvit+Vitalipid"</formula1>
    </dataValidation>
    <dataValidation type="list" allowBlank="1" showErrorMessage="1" sqref="Q57">
      <formula1>"Fosfato de potasio Corpaul,Glicerol fosfato de sodio"</formula1>
    </dataValidation>
    <dataValidation type="list" allowBlank="1" showErrorMessage="1" sqref="C57">
      <formula1>"Aminoven adultos 10%,Aminoven adultos 15%,Trophamine 10%,Aminoplasmal 10%,Primene 10%,Travasol 10% S.E,Travasol 10% C.E,Travasol plus 15%"</formula1>
    </dataValidation>
    <dataValidation type="list" allowBlank="1" showErrorMessage="1" sqref="G57">
      <formula1>"Smoflipid 20%,Lipovenos 20%,Clinoleic 20%,Lipofundin 20%,Omegaven 10%"</formula1>
    </dataValidation>
    <dataValidation type="list" allowBlank="1" showErrorMessage="1" sqref="G16:G19">
      <formula1>"Sí,No"</formula1>
    </dataValidation>
    <dataValidation type="list" allowBlank="1" showErrorMessage="1" sqref="E57">
      <formula1>"Baxter 20%,Baxter 50%,Baxter 70%,Corpaul 50%,FreseniusKabi 50%"</formula1>
    </dataValidation>
    <dataValidation type="list" allowBlank="1" showErrorMessage="1" sqref="G22">
      <formula1>"5,10,15,20,25,30,35,40"</formula1>
    </dataValidation>
    <dataValidation type="list" allowBlank="1" showErrorMessage="1" sqref="I57">
      <formula1>"Cloruro de sodio (Natrol)"</formula1>
    </dataValidation>
    <dataValidation type="list" allowBlank="1" showErrorMessage="1" sqref="M57">
      <formula1>"Gluconato de calcio 10%"</formula1>
    </dataValidation>
    <dataValidation type="list" allowBlank="1" showErrorMessage="1" sqref="G26">
      <formula1>"20,25,30,35,40,45"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0.86"/>
    <col customWidth="1" min="3" max="3" width="15.0"/>
    <col customWidth="1" min="4" max="17" width="10.71"/>
    <col customWidth="1" min="18" max="18" width="14.43"/>
    <col customWidth="1" min="19" max="35" width="10.71"/>
  </cols>
  <sheetData>
    <row r="2">
      <c r="B2" s="258" t="s">
        <v>765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4">
      <c r="B4" s="19" t="s">
        <v>766</v>
      </c>
      <c r="C4" s="21"/>
    </row>
    <row r="5">
      <c r="B5" s="113" t="s">
        <v>20</v>
      </c>
      <c r="C5" s="64"/>
      <c r="N5" s="19" t="s">
        <v>767</v>
      </c>
      <c r="O5" s="20"/>
      <c r="P5" s="21"/>
      <c r="R5" s="288">
        <f>SUM(C30:C35)</f>
        <v>0</v>
      </c>
    </row>
    <row r="6">
      <c r="B6" s="113" t="s">
        <v>768</v>
      </c>
      <c r="C6" s="64"/>
      <c r="N6" s="174" t="s">
        <v>769</v>
      </c>
      <c r="O6" s="20"/>
      <c r="P6" s="21"/>
    </row>
    <row r="7">
      <c r="B7" s="113" t="s">
        <v>770</v>
      </c>
      <c r="C7" s="64"/>
      <c r="N7" s="174" t="s">
        <v>771</v>
      </c>
      <c r="O7" s="20"/>
      <c r="P7" s="21"/>
    </row>
    <row r="8">
      <c r="B8" s="113" t="s">
        <v>772</v>
      </c>
      <c r="C8" s="64"/>
      <c r="N8" s="399" t="s">
        <v>773</v>
      </c>
      <c r="O8" s="20"/>
      <c r="P8" s="21"/>
    </row>
    <row r="9">
      <c r="B9" s="113" t="s">
        <v>774</v>
      </c>
      <c r="C9" s="52">
        <f>SUM(C6:C8)</f>
        <v>0</v>
      </c>
      <c r="N9" s="174" t="s">
        <v>775</v>
      </c>
      <c r="O9" s="20"/>
      <c r="P9" s="21"/>
    </row>
    <row r="10">
      <c r="B10" s="113" t="s">
        <v>776</v>
      </c>
      <c r="C10" s="52" t="str">
        <f>C9*(170.18/C11)</f>
        <v>#DIV/0!</v>
      </c>
      <c r="N10" s="399" t="s">
        <v>777</v>
      </c>
      <c r="O10" s="20"/>
      <c r="P10" s="21"/>
    </row>
    <row r="11">
      <c r="B11" s="113" t="s">
        <v>778</v>
      </c>
      <c r="C11" s="64"/>
      <c r="N11" s="399" t="s">
        <v>779</v>
      </c>
      <c r="O11" s="20"/>
      <c r="P11" s="21"/>
    </row>
    <row r="12">
      <c r="B12" s="113" t="s">
        <v>780</v>
      </c>
      <c r="C12" s="64"/>
      <c r="N12" s="399" t="s">
        <v>781</v>
      </c>
      <c r="O12" s="20"/>
      <c r="P12" s="21"/>
    </row>
    <row r="13">
      <c r="B13" s="113" t="s">
        <v>782</v>
      </c>
      <c r="C13" s="64"/>
      <c r="N13" s="399" t="s">
        <v>783</v>
      </c>
      <c r="O13" s="20"/>
      <c r="P13" s="21"/>
    </row>
    <row r="14">
      <c r="B14" s="113" t="s">
        <v>784</v>
      </c>
      <c r="C14" s="64"/>
      <c r="N14" s="399" t="s">
        <v>785</v>
      </c>
      <c r="O14" s="20"/>
      <c r="P14" s="21"/>
    </row>
    <row r="15">
      <c r="B15" s="113" t="s">
        <v>786</v>
      </c>
      <c r="C15" s="52">
        <f>C14-(C6/10)</f>
        <v>0</v>
      </c>
      <c r="N15" s="174" t="s">
        <v>787</v>
      </c>
      <c r="O15" s="20"/>
      <c r="P15" s="21"/>
    </row>
    <row r="16">
      <c r="B16" s="113" t="s">
        <v>788</v>
      </c>
      <c r="C16" s="64"/>
      <c r="N16" s="174" t="s">
        <v>789</v>
      </c>
      <c r="O16" s="20"/>
      <c r="P16" s="21"/>
    </row>
    <row r="17">
      <c r="B17" s="113" t="s">
        <v>790</v>
      </c>
      <c r="C17" s="64"/>
      <c r="N17" s="174" t="s">
        <v>791</v>
      </c>
      <c r="O17" s="20"/>
      <c r="P17" s="21"/>
    </row>
    <row r="18">
      <c r="B18" s="113" t="s">
        <v>792</v>
      </c>
      <c r="C18" s="52">
        <f>C16-(C17/10)</f>
        <v>0</v>
      </c>
    </row>
    <row r="19">
      <c r="B19" s="113" t="s">
        <v>793</v>
      </c>
      <c r="C19" s="52" t="str">
        <f>C11/(C5^0.333)</f>
        <v>#DIV/0!</v>
      </c>
    </row>
    <row r="20">
      <c r="B20" s="19" t="s">
        <v>794</v>
      </c>
      <c r="C20" s="21"/>
    </row>
    <row r="21" ht="15.75" customHeight="1">
      <c r="B21" s="113" t="s">
        <v>795</v>
      </c>
      <c r="C21" s="52" t="str">
        <f>(0.1451*C10)-(0.00068*(C10^2))+(0.0000014*(C10^3))-0.7182</f>
        <v>#DIV/0!</v>
      </c>
    </row>
    <row r="22" ht="15.75" customHeight="1">
      <c r="B22" s="113" t="s">
        <v>796</v>
      </c>
      <c r="C22" s="52">
        <f>(0.858*C12)+(0.601*C13)+(0.188*C15)+(0.161*C18)-(0.131*C11)+4.5</f>
        <v>4.5</v>
      </c>
    </row>
    <row r="23" ht="15.75" customHeight="1">
      <c r="B23" s="113" t="s">
        <v>797</v>
      </c>
      <c r="C23" s="52" t="str">
        <f>IF(C19&gt;=40.75,((C19*0.732)-28.58),IF(AND(C19&gt;38.25,C19&lt;40.75),((C19*0.463)-17.63),0.1))</f>
        <v>#DIV/0!</v>
      </c>
    </row>
    <row r="24" ht="15.75" customHeight="1">
      <c r="B24" s="19" t="s">
        <v>798</v>
      </c>
      <c r="C24" s="21"/>
    </row>
    <row r="25" ht="15.75" customHeight="1">
      <c r="B25" s="113" t="s">
        <v>799</v>
      </c>
      <c r="C25" s="52" t="str">
        <f>C23-C21</f>
        <v>#DIV/0!</v>
      </c>
    </row>
    <row r="26" ht="15.75" customHeight="1">
      <c r="B26" s="113" t="s">
        <v>800</v>
      </c>
      <c r="C26" s="52" t="str">
        <f>(2*C22)-(C23+C21)</f>
        <v>#DIV/0!</v>
      </c>
    </row>
    <row r="27" ht="15.75" customHeight="1"/>
    <row r="28" ht="15.75" customHeight="1">
      <c r="B28" s="7" t="s">
        <v>801</v>
      </c>
      <c r="C28" s="8"/>
    </row>
    <row r="29" ht="15.75" customHeight="1">
      <c r="B29" s="32" t="s">
        <v>18</v>
      </c>
      <c r="C29" s="400" t="s">
        <v>14</v>
      </c>
    </row>
    <row r="30" ht="15.75" customHeight="1">
      <c r="B30" s="32" t="s">
        <v>768</v>
      </c>
      <c r="C30" s="400" t="str">
        <f t="shared" ref="C30:C32" si="1">C6</f>
        <v/>
      </c>
    </row>
    <row r="31" ht="15.75" customHeight="1">
      <c r="B31" s="32" t="s">
        <v>770</v>
      </c>
      <c r="C31" s="400" t="str">
        <f t="shared" si="1"/>
        <v/>
      </c>
    </row>
    <row r="32" ht="15.75" customHeight="1">
      <c r="B32" s="32" t="s">
        <v>772</v>
      </c>
      <c r="C32" s="400" t="str">
        <f t="shared" si="1"/>
        <v/>
      </c>
    </row>
    <row r="33" ht="15.75" customHeight="1">
      <c r="B33" s="48" t="s">
        <v>802</v>
      </c>
      <c r="C33" s="401" t="str">
        <f>C17</f>
        <v/>
      </c>
    </row>
    <row r="34" ht="15.75" customHeight="1">
      <c r="B34" s="32" t="s">
        <v>803</v>
      </c>
      <c r="C34" s="384"/>
    </row>
    <row r="35" ht="15.75" customHeight="1">
      <c r="B35" s="32" t="s">
        <v>804</v>
      </c>
      <c r="C35" s="384"/>
    </row>
    <row r="36" ht="15.75" customHeight="1">
      <c r="B36" s="32" t="s">
        <v>805</v>
      </c>
      <c r="C36" s="294">
        <f>IF(C29="Hombre",((0.1051*R5)+2.585),((0.1548*R5)+3.588))</f>
        <v>2.585</v>
      </c>
    </row>
    <row r="37" ht="15.75" customHeight="1">
      <c r="B37" s="32" t="s">
        <v>806</v>
      </c>
      <c r="C37" s="294">
        <f>((C5*C36)/100)</f>
        <v>0</v>
      </c>
    </row>
    <row r="38" ht="15.75" customHeight="1">
      <c r="B38" s="32" t="s">
        <v>77</v>
      </c>
      <c r="C38" s="294">
        <f>C5-C37</f>
        <v>0</v>
      </c>
    </row>
    <row r="39" ht="15.75" customHeight="1">
      <c r="B39" s="32" t="s">
        <v>807</v>
      </c>
      <c r="C39" s="294" t="str">
        <f>(C38*100000)/(C11^3)</f>
        <v>#DIV/0!</v>
      </c>
    </row>
    <row r="40" ht="15.75" customHeight="1">
      <c r="B40" s="402" t="s">
        <v>808</v>
      </c>
      <c r="C40" s="403" t="str">
        <f>IF(C39&lt;0.99,"Deficiente masa muscular",IF(AND(C39&gt;=1,C39&lt;=1.12),"Adecuada masa muscular","Excelente masa muscular"))</f>
        <v>#DIV/0!</v>
      </c>
    </row>
    <row r="41" ht="15.75" customHeight="1">
      <c r="B41" s="7" t="s">
        <v>809</v>
      </c>
      <c r="C41" s="8"/>
    </row>
    <row r="42" ht="15.75" customHeight="1">
      <c r="B42" s="32" t="s">
        <v>810</v>
      </c>
      <c r="C42" s="384"/>
    </row>
    <row r="43" ht="15.75" customHeight="1">
      <c r="B43" s="32" t="s">
        <v>811</v>
      </c>
      <c r="C43" s="294">
        <f>C38/(1-(C42/100))</f>
        <v>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>
      <c r="B50" s="59" t="s">
        <v>299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58"/>
    </row>
    <row r="51" ht="15.75" customHeight="1"/>
    <row r="52" ht="15.75" customHeight="1">
      <c r="B52" s="201"/>
      <c r="C52" s="201"/>
      <c r="D52" s="201"/>
      <c r="E52" s="201"/>
      <c r="F52" s="201"/>
      <c r="G52" s="201"/>
      <c r="I52" s="19" t="s">
        <v>300</v>
      </c>
      <c r="J52" s="20"/>
      <c r="K52" s="20"/>
      <c r="L52" s="20"/>
      <c r="M52" s="20"/>
      <c r="N52" s="21"/>
      <c r="P52" s="19" t="s">
        <v>812</v>
      </c>
      <c r="Q52" s="20"/>
      <c r="R52" s="21"/>
    </row>
    <row r="53" ht="15.75" customHeight="1">
      <c r="B53" s="201"/>
      <c r="C53" s="201"/>
      <c r="D53" s="201"/>
      <c r="E53" s="201"/>
      <c r="F53" s="201"/>
      <c r="G53" s="201"/>
      <c r="I53" s="23" t="s">
        <v>217</v>
      </c>
      <c r="J53" s="23" t="s">
        <v>218</v>
      </c>
      <c r="K53" s="23" t="s">
        <v>219</v>
      </c>
      <c r="L53" s="23" t="s">
        <v>220</v>
      </c>
      <c r="M53" s="130" t="s">
        <v>221</v>
      </c>
      <c r="N53" s="21"/>
      <c r="P53" s="174" t="s">
        <v>224</v>
      </c>
      <c r="Q53" s="21"/>
      <c r="R53" s="52" t="s">
        <v>301</v>
      </c>
    </row>
    <row r="54" ht="15.0" customHeight="1">
      <c r="B54" s="201"/>
      <c r="C54" s="404" t="s">
        <v>813</v>
      </c>
      <c r="D54" s="2"/>
      <c r="E54" s="2"/>
      <c r="F54" s="2"/>
      <c r="G54" s="201"/>
      <c r="I54" s="94" t="s">
        <v>224</v>
      </c>
      <c r="J54" s="95">
        <f>(N56*J67)</f>
        <v>0</v>
      </c>
      <c r="K54" s="96">
        <f>(J54*4)</f>
        <v>0</v>
      </c>
      <c r="L54" s="95" t="str">
        <f>((100/K66)*K54)</f>
        <v>#DIV/0!</v>
      </c>
      <c r="M54" s="113" t="s">
        <v>225</v>
      </c>
      <c r="N54" s="137">
        <f>((N55/100)*J54)</f>
        <v>0</v>
      </c>
      <c r="P54" s="174" t="s">
        <v>226</v>
      </c>
      <c r="Q54" s="21"/>
      <c r="R54" s="52" t="s">
        <v>814</v>
      </c>
    </row>
    <row r="55" ht="15.0" customHeight="1">
      <c r="B55" s="201"/>
      <c r="C55" s="3"/>
      <c r="G55" s="201"/>
      <c r="I55" s="99"/>
      <c r="J55" s="99"/>
      <c r="K55" s="99"/>
      <c r="L55" s="99"/>
      <c r="M55" s="113" t="s">
        <v>228</v>
      </c>
      <c r="N55" s="227"/>
      <c r="P55" s="174" t="s">
        <v>229</v>
      </c>
      <c r="Q55" s="21"/>
      <c r="R55" s="52" t="s">
        <v>230</v>
      </c>
    </row>
    <row r="56" ht="15.0" customHeight="1">
      <c r="B56" s="201"/>
      <c r="C56" s="3"/>
      <c r="G56" s="201"/>
      <c r="I56" s="100"/>
      <c r="J56" s="100"/>
      <c r="K56" s="100"/>
      <c r="L56" s="100"/>
      <c r="M56" s="113" t="s">
        <v>231</v>
      </c>
      <c r="N56" s="227"/>
      <c r="P56" s="174" t="s">
        <v>302</v>
      </c>
      <c r="Q56" s="21"/>
      <c r="R56" s="52" t="s">
        <v>233</v>
      </c>
    </row>
    <row r="57" ht="15.0" customHeight="1">
      <c r="B57" s="201"/>
      <c r="C57" s="3"/>
      <c r="G57" s="201"/>
      <c r="I57" s="94" t="s">
        <v>234</v>
      </c>
      <c r="J57" s="95">
        <f>(K57/9)</f>
        <v>0</v>
      </c>
      <c r="K57" s="96">
        <f>((K66/100)*L57)</f>
        <v>0</v>
      </c>
      <c r="L57" s="228"/>
      <c r="M57" s="113" t="s">
        <v>235</v>
      </c>
      <c r="N57" s="137">
        <f>(((K66/100)*N58)/9)</f>
        <v>0</v>
      </c>
      <c r="P57" s="174" t="s">
        <v>303</v>
      </c>
      <c r="Q57" s="21"/>
      <c r="R57" s="52" t="s">
        <v>237</v>
      </c>
    </row>
    <row r="58" ht="15.0" customHeight="1">
      <c r="B58" s="201"/>
      <c r="C58" s="3"/>
      <c r="G58" s="201"/>
      <c r="I58" s="99"/>
      <c r="J58" s="99"/>
      <c r="K58" s="99"/>
      <c r="L58" s="99"/>
      <c r="M58" s="113" t="s">
        <v>238</v>
      </c>
      <c r="N58" s="227"/>
      <c r="P58" s="174" t="s">
        <v>304</v>
      </c>
      <c r="Q58" s="21"/>
      <c r="R58" s="52" t="s">
        <v>305</v>
      </c>
    </row>
    <row r="59" ht="15.0" customHeight="1">
      <c r="B59" s="201"/>
      <c r="C59" s="3"/>
      <c r="G59" s="201"/>
      <c r="I59" s="99"/>
      <c r="J59" s="99"/>
      <c r="K59" s="99"/>
      <c r="L59" s="99"/>
      <c r="M59" s="113" t="s">
        <v>241</v>
      </c>
      <c r="N59" s="137">
        <f>(((K66/100)*N60)/9)</f>
        <v>0</v>
      </c>
      <c r="P59" s="174" t="s">
        <v>242</v>
      </c>
      <c r="Q59" s="21"/>
      <c r="R59" s="52" t="s">
        <v>237</v>
      </c>
    </row>
    <row r="60" ht="15.75" customHeight="1">
      <c r="B60" s="201"/>
      <c r="C60" s="3"/>
      <c r="G60" s="201"/>
      <c r="I60" s="99"/>
      <c r="J60" s="99"/>
      <c r="K60" s="99"/>
      <c r="L60" s="99"/>
      <c r="M60" s="113" t="s">
        <v>243</v>
      </c>
      <c r="N60" s="141">
        <f>(L57-N58)-N62</f>
        <v>0</v>
      </c>
      <c r="P60" s="174" t="s">
        <v>247</v>
      </c>
      <c r="Q60" s="21"/>
      <c r="R60" s="52" t="s">
        <v>248</v>
      </c>
    </row>
    <row r="61" ht="15.75" customHeight="1">
      <c r="B61" s="201"/>
      <c r="C61" s="3"/>
      <c r="G61" s="201"/>
      <c r="I61" s="99"/>
      <c r="J61" s="99"/>
      <c r="K61" s="99"/>
      <c r="L61" s="99"/>
      <c r="M61" s="113" t="s">
        <v>246</v>
      </c>
      <c r="N61" s="137">
        <f>(((K66/100)*N62)/9)</f>
        <v>0</v>
      </c>
      <c r="P61" s="174" t="s">
        <v>244</v>
      </c>
      <c r="Q61" s="21"/>
      <c r="R61" s="52" t="s">
        <v>245</v>
      </c>
    </row>
    <row r="62" ht="15.75" customHeight="1">
      <c r="B62" s="201"/>
      <c r="C62" s="3"/>
      <c r="G62" s="201"/>
      <c r="I62" s="99"/>
      <c r="J62" s="99"/>
      <c r="K62" s="99"/>
      <c r="L62" s="99"/>
      <c r="M62" s="113" t="s">
        <v>249</v>
      </c>
      <c r="N62" s="227"/>
      <c r="P62" s="174" t="s">
        <v>250</v>
      </c>
      <c r="Q62" s="21"/>
      <c r="R62" s="52" t="s">
        <v>251</v>
      </c>
    </row>
    <row r="63" ht="15.75" customHeight="1">
      <c r="B63" s="201"/>
      <c r="C63" s="3"/>
      <c r="G63" s="201"/>
      <c r="I63" s="100"/>
      <c r="J63" s="100"/>
      <c r="K63" s="100"/>
      <c r="L63" s="100"/>
      <c r="M63" s="113" t="s">
        <v>252</v>
      </c>
      <c r="N63" s="227"/>
      <c r="P63" s="174" t="s">
        <v>252</v>
      </c>
      <c r="Q63" s="21"/>
      <c r="R63" s="52" t="s">
        <v>253</v>
      </c>
    </row>
    <row r="64" ht="15.75" customHeight="1">
      <c r="B64" s="201"/>
      <c r="C64" s="201"/>
      <c r="D64" s="201"/>
      <c r="E64" s="201"/>
      <c r="F64" s="201"/>
      <c r="G64" s="201"/>
      <c r="I64" s="94" t="s">
        <v>254</v>
      </c>
      <c r="J64" s="95" t="str">
        <f>(K64/4)</f>
        <v>#DIV/0!</v>
      </c>
      <c r="K64" s="96" t="str">
        <f>((K66/100)*L64)</f>
        <v>#DIV/0!</v>
      </c>
      <c r="L64" s="95" t="str">
        <f>(100-L67)</f>
        <v>#DIV/0!</v>
      </c>
      <c r="M64" s="113" t="s">
        <v>255</v>
      </c>
      <c r="N64" s="137">
        <f>(((K66/100)*N65)/4)</f>
        <v>0</v>
      </c>
      <c r="P64" s="174" t="s">
        <v>256</v>
      </c>
      <c r="Q64" s="21"/>
      <c r="R64" s="52" t="s">
        <v>257</v>
      </c>
    </row>
    <row r="65" ht="15.75" customHeight="1">
      <c r="B65" s="201"/>
      <c r="C65" s="201"/>
      <c r="D65" s="201"/>
      <c r="E65" s="201"/>
      <c r="F65" s="201"/>
      <c r="G65" s="201"/>
      <c r="I65" s="100"/>
      <c r="J65" s="100"/>
      <c r="K65" s="100"/>
      <c r="L65" s="100"/>
      <c r="M65" s="113" t="s">
        <v>258</v>
      </c>
      <c r="N65" s="227"/>
      <c r="P65" s="174" t="s">
        <v>259</v>
      </c>
      <c r="Q65" s="21"/>
      <c r="R65" s="52" t="s">
        <v>306</v>
      </c>
    </row>
    <row r="66" ht="15.75" customHeight="1">
      <c r="B66" s="201"/>
      <c r="C66" s="201"/>
      <c r="D66" s="201"/>
      <c r="E66" s="201"/>
      <c r="F66" s="201"/>
      <c r="G66" s="201"/>
      <c r="I66" s="104" t="s">
        <v>261</v>
      </c>
      <c r="J66" s="21"/>
      <c r="K66" s="229"/>
      <c r="L66" s="230" t="str">
        <f>SUM(L54:L65)</f>
        <v>#DIV/0!</v>
      </c>
      <c r="M66" s="123" t="s">
        <v>259</v>
      </c>
      <c r="N66" s="405"/>
      <c r="P66" s="174" t="s">
        <v>262</v>
      </c>
      <c r="Q66" s="21"/>
      <c r="R66" s="52" t="s">
        <v>263</v>
      </c>
    </row>
    <row r="67" ht="15.75" customHeight="1">
      <c r="B67" s="406"/>
      <c r="C67" s="406"/>
      <c r="I67" s="108" t="s">
        <v>264</v>
      </c>
      <c r="J67" s="380"/>
      <c r="K67" s="152" t="str">
        <f>SUM(K54:K65)</f>
        <v>#DIV/0!</v>
      </c>
      <c r="L67" s="153" t="str">
        <f>SUM(L54:L63)</f>
        <v>#DIV/0!</v>
      </c>
      <c r="M67" s="154"/>
      <c r="N67" s="155"/>
      <c r="P67" s="174" t="s">
        <v>307</v>
      </c>
      <c r="Q67" s="21"/>
      <c r="R67" s="52" t="s">
        <v>308</v>
      </c>
    </row>
    <row r="68" ht="15.75" customHeight="1"/>
    <row r="69" ht="15.75" customHeight="1">
      <c r="B69" s="59" t="s">
        <v>309</v>
      </c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58"/>
    </row>
    <row r="70" ht="15.75" customHeight="1"/>
    <row r="71" ht="15.75" customHeight="1">
      <c r="B71" s="63" t="s">
        <v>97</v>
      </c>
      <c r="C71" s="63" t="s">
        <v>98</v>
      </c>
      <c r="D71" s="63" t="s">
        <v>99</v>
      </c>
      <c r="E71" s="63" t="s">
        <v>100</v>
      </c>
      <c r="F71" s="63" t="s">
        <v>101</v>
      </c>
      <c r="G71" s="63" t="s">
        <v>102</v>
      </c>
      <c r="H71" s="63" t="s">
        <v>103</v>
      </c>
      <c r="I71" s="63" t="s">
        <v>104</v>
      </c>
      <c r="J71" s="63" t="s">
        <v>259</v>
      </c>
    </row>
    <row r="72" ht="15.75" customHeight="1">
      <c r="B72" s="26" t="str">
        <f>K66</f>
        <v/>
      </c>
      <c r="C72" s="55">
        <f>J54</f>
        <v>0</v>
      </c>
      <c r="D72" s="55">
        <f>J57</f>
        <v>0</v>
      </c>
      <c r="E72" s="156">
        <f>N57</f>
        <v>0</v>
      </c>
      <c r="F72" s="156">
        <f>N59</f>
        <v>0</v>
      </c>
      <c r="G72" s="156">
        <f>N61</f>
        <v>0</v>
      </c>
      <c r="H72" s="26" t="str">
        <f>N63</f>
        <v/>
      </c>
      <c r="I72" s="55" t="str">
        <f>J64</f>
        <v>#DIV/0!</v>
      </c>
      <c r="J72" s="55" t="str">
        <f>N66</f>
        <v/>
      </c>
    </row>
    <row r="73" ht="15.75" customHeight="1">
      <c r="X73" s="15"/>
    </row>
    <row r="74" ht="15.75" customHeight="1">
      <c r="B74" s="59" t="s">
        <v>310</v>
      </c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58"/>
      <c r="S74" s="61"/>
      <c r="T74" s="61"/>
      <c r="U74" s="61"/>
      <c r="V74" s="61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</row>
    <row r="75" ht="15.75" customHeight="1"/>
    <row r="76" ht="15.75" customHeight="1">
      <c r="B76" s="407" t="s">
        <v>815</v>
      </c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</row>
    <row r="77" ht="15.75" customHeight="1"/>
    <row r="78" ht="15.75" customHeight="1">
      <c r="B78" s="306" t="s">
        <v>95</v>
      </c>
      <c r="C78" s="20"/>
      <c r="D78" s="20"/>
      <c r="E78" s="20"/>
      <c r="F78" s="20"/>
      <c r="G78" s="21"/>
      <c r="H78" s="63" t="s">
        <v>96</v>
      </c>
      <c r="I78" s="63" t="s">
        <v>97</v>
      </c>
      <c r="J78" s="63" t="s">
        <v>98</v>
      </c>
      <c r="K78" s="63" t="s">
        <v>99</v>
      </c>
      <c r="L78" s="63" t="s">
        <v>100</v>
      </c>
      <c r="M78" s="63" t="s">
        <v>101</v>
      </c>
      <c r="N78" s="63" t="s">
        <v>102</v>
      </c>
      <c r="O78" s="63" t="s">
        <v>103</v>
      </c>
      <c r="P78" s="63" t="s">
        <v>104</v>
      </c>
      <c r="Q78" s="63" t="s">
        <v>105</v>
      </c>
      <c r="R78" s="157" t="s">
        <v>106</v>
      </c>
      <c r="S78" s="157" t="s">
        <v>107</v>
      </c>
      <c r="T78" s="157" t="s">
        <v>108</v>
      </c>
      <c r="U78" s="157" t="s">
        <v>109</v>
      </c>
      <c r="V78" s="157" t="s">
        <v>110</v>
      </c>
      <c r="W78" s="157" t="s">
        <v>111</v>
      </c>
      <c r="X78" s="157" t="s">
        <v>112</v>
      </c>
      <c r="Y78" s="157" t="s">
        <v>113</v>
      </c>
      <c r="Z78" s="157" t="s">
        <v>114</v>
      </c>
      <c r="AA78" s="157" t="s">
        <v>115</v>
      </c>
      <c r="AB78" s="157" t="s">
        <v>116</v>
      </c>
      <c r="AC78" s="157" t="s">
        <v>117</v>
      </c>
      <c r="AD78" s="157" t="s">
        <v>118</v>
      </c>
      <c r="AE78" s="157" t="s">
        <v>119</v>
      </c>
      <c r="AF78" s="157" t="s">
        <v>120</v>
      </c>
      <c r="AG78" s="157" t="s">
        <v>121</v>
      </c>
      <c r="AH78" s="157" t="s">
        <v>122</v>
      </c>
      <c r="AI78" s="157" t="s">
        <v>123</v>
      </c>
    </row>
    <row r="79" ht="15.75" customHeight="1">
      <c r="B79" s="158" t="s">
        <v>126</v>
      </c>
      <c r="C79" s="20"/>
      <c r="D79" s="20"/>
      <c r="E79" s="20"/>
      <c r="F79" s="20"/>
      <c r="G79" s="21"/>
      <c r="H79" s="66"/>
      <c r="I79" s="67">
        <f t="shared" ref="I79:I82" si="2">(J79*4)+(K79*9)+(P79*4)</f>
        <v>139.1</v>
      </c>
      <c r="J79" s="68">
        <v>6.7</v>
      </c>
      <c r="K79" s="68">
        <v>6.7</v>
      </c>
      <c r="L79" s="69">
        <v>4.4</v>
      </c>
      <c r="M79" s="69">
        <v>1.95</v>
      </c>
      <c r="N79" s="69">
        <v>0.49</v>
      </c>
      <c r="O79" s="67">
        <v>26.0</v>
      </c>
      <c r="P79" s="68">
        <v>13.0</v>
      </c>
      <c r="Q79" s="68">
        <v>0.0</v>
      </c>
      <c r="R79" s="67">
        <v>236.0</v>
      </c>
      <c r="S79" s="67">
        <v>173.0</v>
      </c>
      <c r="T79" s="68">
        <v>0.2</v>
      </c>
      <c r="U79" s="67">
        <v>96.0</v>
      </c>
      <c r="V79" s="67">
        <v>330.0</v>
      </c>
      <c r="W79" s="67">
        <v>25.0</v>
      </c>
      <c r="X79" s="69">
        <v>0.89</v>
      </c>
      <c r="Y79" s="69">
        <v>0.03</v>
      </c>
      <c r="Z79" s="69">
        <v>0.01</v>
      </c>
      <c r="AA79" s="67">
        <v>73.0</v>
      </c>
      <c r="AB79" s="69">
        <v>0.08</v>
      </c>
      <c r="AC79" s="69">
        <v>0.34</v>
      </c>
      <c r="AD79" s="68">
        <v>0.3</v>
      </c>
      <c r="AE79" s="69">
        <v>0.67</v>
      </c>
      <c r="AF79" s="69">
        <v>0.08</v>
      </c>
      <c r="AG79" s="67">
        <v>10.0</v>
      </c>
      <c r="AH79" s="69">
        <v>0.65</v>
      </c>
      <c r="AI79" s="67">
        <v>3.0</v>
      </c>
    </row>
    <row r="80" ht="15.75" customHeight="1">
      <c r="B80" s="158" t="s">
        <v>127</v>
      </c>
      <c r="C80" s="20"/>
      <c r="D80" s="20"/>
      <c r="E80" s="20"/>
      <c r="F80" s="20"/>
      <c r="G80" s="21"/>
      <c r="H80" s="66"/>
      <c r="I80" s="67">
        <f t="shared" si="2"/>
        <v>94.5</v>
      </c>
      <c r="J80" s="68">
        <v>5.4</v>
      </c>
      <c r="K80" s="68">
        <v>2.1</v>
      </c>
      <c r="L80" s="69">
        <v>0.87</v>
      </c>
      <c r="M80" s="69">
        <v>0.54</v>
      </c>
      <c r="N80" s="69">
        <v>0.35</v>
      </c>
      <c r="O80" s="67">
        <v>5.0</v>
      </c>
      <c r="P80" s="68">
        <v>13.5</v>
      </c>
      <c r="Q80" s="68">
        <v>0.8</v>
      </c>
      <c r="R80" s="67">
        <v>153.0</v>
      </c>
      <c r="S80" s="67">
        <v>143.0</v>
      </c>
      <c r="T80" s="68">
        <v>0.4</v>
      </c>
      <c r="U80" s="67">
        <v>72.0</v>
      </c>
      <c r="V80" s="67">
        <v>268.0</v>
      </c>
      <c r="W80" s="67">
        <v>25.0</v>
      </c>
      <c r="X80" s="69">
        <v>1.24</v>
      </c>
      <c r="Y80" s="69">
        <v>0.06</v>
      </c>
      <c r="Z80" s="69">
        <v>0.11</v>
      </c>
      <c r="AA80" s="67">
        <v>76.0</v>
      </c>
      <c r="AB80" s="69">
        <v>0.12</v>
      </c>
      <c r="AC80" s="69">
        <v>0.25</v>
      </c>
      <c r="AD80" s="68">
        <v>0.2</v>
      </c>
      <c r="AE80" s="69">
        <v>0.41</v>
      </c>
      <c r="AF80" s="69">
        <v>0.06</v>
      </c>
      <c r="AG80" s="67">
        <v>8.0</v>
      </c>
      <c r="AH80" s="69">
        <v>0.5</v>
      </c>
      <c r="AI80" s="67">
        <v>4.0</v>
      </c>
    </row>
    <row r="81" ht="15.75" customHeight="1">
      <c r="B81" s="158" t="s">
        <v>128</v>
      </c>
      <c r="C81" s="20"/>
      <c r="D81" s="20"/>
      <c r="E81" s="20"/>
      <c r="F81" s="20"/>
      <c r="G81" s="21"/>
      <c r="H81" s="66"/>
      <c r="I81" s="67">
        <f t="shared" si="2"/>
        <v>82.3</v>
      </c>
      <c r="J81" s="68">
        <v>9.0</v>
      </c>
      <c r="K81" s="68">
        <v>0.7</v>
      </c>
      <c r="L81" s="69">
        <v>0.45</v>
      </c>
      <c r="M81" s="69">
        <v>0.18</v>
      </c>
      <c r="N81" s="69">
        <v>0.03</v>
      </c>
      <c r="O81" s="67">
        <v>6.0</v>
      </c>
      <c r="P81" s="68">
        <v>10.0</v>
      </c>
      <c r="Q81" s="68">
        <v>0.0</v>
      </c>
      <c r="R81" s="67">
        <v>256.0</v>
      </c>
      <c r="S81" s="67">
        <v>214.0</v>
      </c>
      <c r="T81" s="68">
        <v>0.1</v>
      </c>
      <c r="U81" s="67">
        <v>101.0</v>
      </c>
      <c r="V81" s="67">
        <v>340.0</v>
      </c>
      <c r="W81" s="67">
        <v>24.0</v>
      </c>
      <c r="X81" s="69">
        <v>1.05</v>
      </c>
      <c r="Y81" s="69">
        <v>0.02</v>
      </c>
      <c r="Z81" s="69">
        <v>0.01</v>
      </c>
      <c r="AA81" s="67">
        <v>89.0</v>
      </c>
      <c r="AB81" s="69">
        <v>0.08</v>
      </c>
      <c r="AC81" s="69">
        <v>0.33</v>
      </c>
      <c r="AD81" s="68">
        <v>0.2</v>
      </c>
      <c r="AE81" s="69">
        <v>0.79</v>
      </c>
      <c r="AF81" s="69">
        <v>0.08</v>
      </c>
      <c r="AG81" s="67">
        <v>14.0</v>
      </c>
      <c r="AH81" s="69">
        <v>0.84</v>
      </c>
      <c r="AI81" s="67">
        <v>2.0</v>
      </c>
    </row>
    <row r="82" ht="15.75" customHeight="1">
      <c r="B82" s="158" t="s">
        <v>129</v>
      </c>
      <c r="C82" s="20"/>
      <c r="D82" s="20"/>
      <c r="E82" s="20"/>
      <c r="F82" s="20"/>
      <c r="G82" s="21"/>
      <c r="H82" s="66"/>
      <c r="I82" s="67">
        <f t="shared" si="2"/>
        <v>170.7</v>
      </c>
      <c r="J82" s="68">
        <v>6.4</v>
      </c>
      <c r="K82" s="68">
        <v>5.9</v>
      </c>
      <c r="L82" s="69">
        <v>3.8</v>
      </c>
      <c r="M82" s="69">
        <v>1.91</v>
      </c>
      <c r="N82" s="69">
        <v>0.63</v>
      </c>
      <c r="O82" s="67">
        <v>22.0</v>
      </c>
      <c r="P82" s="68">
        <v>23.0</v>
      </c>
      <c r="Q82" s="68">
        <v>0.4</v>
      </c>
      <c r="R82" s="67">
        <v>258.0</v>
      </c>
      <c r="S82" s="67">
        <v>169.0</v>
      </c>
      <c r="T82" s="68">
        <v>0.3</v>
      </c>
      <c r="U82" s="67">
        <v>115.0</v>
      </c>
      <c r="V82" s="67">
        <v>334.0</v>
      </c>
      <c r="W82" s="67">
        <v>27.0</v>
      </c>
      <c r="X82" s="69">
        <v>1.03</v>
      </c>
      <c r="Y82" s="69">
        <v>0.05</v>
      </c>
      <c r="Z82" s="69">
        <v>0.04</v>
      </c>
      <c r="AA82" s="67">
        <v>45.0</v>
      </c>
      <c r="AB82" s="69">
        <v>0.08</v>
      </c>
      <c r="AC82" s="69">
        <v>0.37</v>
      </c>
      <c r="AD82" s="68">
        <v>0.2</v>
      </c>
      <c r="AE82" s="69">
        <v>0.73</v>
      </c>
      <c r="AF82" s="69">
        <v>0.08</v>
      </c>
      <c r="AG82" s="67">
        <v>13.0</v>
      </c>
      <c r="AH82" s="69">
        <v>0.76</v>
      </c>
      <c r="AI82" s="67">
        <v>3.0</v>
      </c>
    </row>
    <row r="83" ht="15.75" customHeight="1">
      <c r="B83" s="408" t="s">
        <v>816</v>
      </c>
      <c r="C83" s="20"/>
      <c r="D83" s="20"/>
      <c r="E83" s="20"/>
      <c r="F83" s="20"/>
      <c r="G83" s="21"/>
      <c r="H83" s="66"/>
      <c r="I83" s="67"/>
      <c r="J83" s="68"/>
      <c r="K83" s="68"/>
      <c r="L83" s="69"/>
      <c r="M83" s="69"/>
      <c r="N83" s="69"/>
      <c r="O83" s="67"/>
      <c r="P83" s="68"/>
      <c r="Q83" s="68"/>
      <c r="R83" s="67"/>
      <c r="S83" s="67"/>
      <c r="T83" s="68"/>
      <c r="U83" s="67"/>
      <c r="V83" s="67"/>
      <c r="W83" s="67"/>
      <c r="X83" s="69"/>
      <c r="Y83" s="69"/>
      <c r="Z83" s="69"/>
      <c r="AA83" s="67"/>
      <c r="AB83" s="69"/>
      <c r="AC83" s="69"/>
      <c r="AD83" s="68"/>
      <c r="AE83" s="69"/>
      <c r="AF83" s="69"/>
      <c r="AG83" s="67"/>
      <c r="AH83" s="69"/>
      <c r="AI83" s="67"/>
    </row>
    <row r="84" ht="15.75" customHeight="1">
      <c r="B84" s="160" t="s">
        <v>138</v>
      </c>
      <c r="C84" s="20"/>
      <c r="D84" s="20"/>
      <c r="E84" s="20"/>
      <c r="F84" s="20"/>
      <c r="G84" s="21"/>
      <c r="H84" s="66"/>
      <c r="I84" s="67">
        <f t="shared" ref="I84:I100" si="3">(J84*4)+(K84*9)+(P84*4)</f>
        <v>77.1</v>
      </c>
      <c r="J84" s="68">
        <v>5.8</v>
      </c>
      <c r="K84" s="68">
        <v>5.5</v>
      </c>
      <c r="L84" s="69">
        <v>2.91</v>
      </c>
      <c r="M84" s="69">
        <v>1.94</v>
      </c>
      <c r="N84" s="69">
        <v>0.41</v>
      </c>
      <c r="O84" s="67">
        <v>40.0</v>
      </c>
      <c r="P84" s="68">
        <v>1.1</v>
      </c>
      <c r="Q84" s="68">
        <v>0.0</v>
      </c>
      <c r="R84" s="67">
        <v>95.0</v>
      </c>
      <c r="S84" s="67">
        <v>85.0</v>
      </c>
      <c r="T84" s="68">
        <v>1.1</v>
      </c>
      <c r="U84" s="67">
        <v>211.0</v>
      </c>
      <c r="V84" s="67">
        <v>52.0</v>
      </c>
      <c r="W84" s="67">
        <v>6.0</v>
      </c>
      <c r="X84" s="69">
        <v>0.65</v>
      </c>
      <c r="Y84" s="69">
        <v>0.03</v>
      </c>
      <c r="Z84" s="69">
        <v>0.01</v>
      </c>
      <c r="AA84" s="67">
        <v>45.0</v>
      </c>
      <c r="AB84" s="69">
        <v>0.04</v>
      </c>
      <c r="AC84" s="69">
        <v>0.1</v>
      </c>
      <c r="AD84" s="68">
        <v>0.4</v>
      </c>
      <c r="AE84" s="69">
        <v>0.16</v>
      </c>
      <c r="AF84" s="69">
        <v>0.05</v>
      </c>
      <c r="AG84" s="67">
        <v>4.0</v>
      </c>
      <c r="AH84" s="69">
        <v>0.72</v>
      </c>
      <c r="AI84" s="67">
        <v>0.0</v>
      </c>
    </row>
    <row r="85" ht="15.75" customHeight="1">
      <c r="B85" s="160" t="s">
        <v>311</v>
      </c>
      <c r="C85" s="20"/>
      <c r="D85" s="20"/>
      <c r="E85" s="20"/>
      <c r="F85" s="20"/>
      <c r="G85" s="21"/>
      <c r="H85" s="66"/>
      <c r="I85" s="67">
        <f t="shared" si="3"/>
        <v>108.3</v>
      </c>
      <c r="J85" s="68">
        <v>19.1</v>
      </c>
      <c r="K85" s="68">
        <v>3.1</v>
      </c>
      <c r="L85" s="69">
        <v>0.92</v>
      </c>
      <c r="M85" s="69">
        <v>1.16</v>
      </c>
      <c r="N85" s="69">
        <v>0.53</v>
      </c>
      <c r="O85" s="67">
        <v>50.0</v>
      </c>
      <c r="P85" s="68">
        <v>1.0</v>
      </c>
      <c r="Q85" s="68">
        <v>0.3</v>
      </c>
      <c r="R85" s="67">
        <v>22.0</v>
      </c>
      <c r="S85" s="67">
        <v>191.0</v>
      </c>
      <c r="T85" s="68">
        <v>1.5</v>
      </c>
      <c r="U85" s="67">
        <v>72.0</v>
      </c>
      <c r="V85" s="67">
        <v>325.0</v>
      </c>
      <c r="W85" s="67">
        <v>28.0</v>
      </c>
      <c r="X85" s="69">
        <v>1.81</v>
      </c>
      <c r="Y85" s="69">
        <v>0.11</v>
      </c>
      <c r="Z85" s="69">
        <v>0.12</v>
      </c>
      <c r="AA85" s="67">
        <v>7.0</v>
      </c>
      <c r="AB85" s="69">
        <v>0.19</v>
      </c>
      <c r="AC85" s="69">
        <v>0.18</v>
      </c>
      <c r="AD85" s="68">
        <v>5.6</v>
      </c>
      <c r="AE85" s="69">
        <v>0.78</v>
      </c>
      <c r="AF85" s="69">
        <v>0.35</v>
      </c>
      <c r="AG85" s="67">
        <v>15.0</v>
      </c>
      <c r="AH85" s="69">
        <v>2.39</v>
      </c>
      <c r="AI85" s="67">
        <v>1.0</v>
      </c>
    </row>
    <row r="86" ht="15.75" customHeight="1">
      <c r="B86" s="160" t="s">
        <v>312</v>
      </c>
      <c r="C86" s="20"/>
      <c r="D86" s="20"/>
      <c r="E86" s="20"/>
      <c r="F86" s="20"/>
      <c r="G86" s="21"/>
      <c r="H86" s="66"/>
      <c r="I86" s="67">
        <f t="shared" si="3"/>
        <v>138.7</v>
      </c>
      <c r="J86" s="68">
        <v>15.6</v>
      </c>
      <c r="K86" s="68">
        <v>7.9</v>
      </c>
      <c r="L86" s="69">
        <v>2.51</v>
      </c>
      <c r="M86" s="69">
        <v>3.3</v>
      </c>
      <c r="N86" s="69">
        <v>1.25</v>
      </c>
      <c r="O86" s="67">
        <v>137.0</v>
      </c>
      <c r="P86" s="68">
        <v>1.3</v>
      </c>
      <c r="Q86" s="68">
        <v>0.0</v>
      </c>
      <c r="R86" s="67">
        <v>37.0</v>
      </c>
      <c r="S86" s="67">
        <v>186.0</v>
      </c>
      <c r="T86" s="68">
        <v>2.5</v>
      </c>
      <c r="U86" s="67">
        <v>101.0</v>
      </c>
      <c r="V86" s="67">
        <v>234.0</v>
      </c>
      <c r="W86" s="67">
        <v>20.0</v>
      </c>
      <c r="X86" s="69">
        <v>1.87</v>
      </c>
      <c r="Y86" s="69">
        <v>0.47</v>
      </c>
      <c r="Z86" s="69">
        <v>0.09</v>
      </c>
      <c r="AA86" s="67">
        <v>1515.0</v>
      </c>
      <c r="AB86" s="69">
        <v>0.07</v>
      </c>
      <c r="AC86" s="69">
        <v>0.53</v>
      </c>
      <c r="AD86" s="68">
        <v>4.4</v>
      </c>
      <c r="AE86" s="69">
        <v>1.67</v>
      </c>
      <c r="AF86" s="69">
        <v>0.27</v>
      </c>
      <c r="AG86" s="67">
        <v>87.0</v>
      </c>
      <c r="AH86" s="69">
        <v>10.58</v>
      </c>
      <c r="AI86" s="67">
        <v>6.0</v>
      </c>
    </row>
    <row r="87" ht="15.75" customHeight="1">
      <c r="B87" s="160" t="s">
        <v>153</v>
      </c>
      <c r="C87" s="20"/>
      <c r="D87" s="20"/>
      <c r="E87" s="20"/>
      <c r="F87" s="20"/>
      <c r="G87" s="21"/>
      <c r="H87" s="66"/>
      <c r="I87" s="67">
        <f t="shared" si="3"/>
        <v>158.1</v>
      </c>
      <c r="J87" s="68">
        <v>9.8</v>
      </c>
      <c r="K87" s="68">
        <v>1.7</v>
      </c>
      <c r="L87" s="69">
        <v>0.25</v>
      </c>
      <c r="M87" s="69">
        <v>0.32</v>
      </c>
      <c r="N87" s="69">
        <v>0.94</v>
      </c>
      <c r="O87" s="67">
        <v>0.0</v>
      </c>
      <c r="P87" s="68">
        <v>25.9</v>
      </c>
      <c r="Q87" s="68">
        <v>7.9</v>
      </c>
      <c r="R87" s="67">
        <v>50.0</v>
      </c>
      <c r="S87" s="67">
        <v>167.0</v>
      </c>
      <c r="T87" s="68">
        <v>3.1</v>
      </c>
      <c r="U87" s="67">
        <v>10.0</v>
      </c>
      <c r="V87" s="67">
        <v>534.0</v>
      </c>
      <c r="W87" s="67">
        <v>62.0</v>
      </c>
      <c r="X87" s="69">
        <v>1.22</v>
      </c>
      <c r="Y87" s="69">
        <v>0.28</v>
      </c>
      <c r="Z87" s="69">
        <v>0.6</v>
      </c>
      <c r="AA87" s="67">
        <v>10.0</v>
      </c>
      <c r="AB87" s="69">
        <v>0.2</v>
      </c>
      <c r="AC87" s="69">
        <v>0.09</v>
      </c>
      <c r="AD87" s="68">
        <v>0.9</v>
      </c>
      <c r="AE87" s="69">
        <v>0.42</v>
      </c>
      <c r="AF87" s="69">
        <v>0.16</v>
      </c>
      <c r="AG87" s="67">
        <v>142.0</v>
      </c>
      <c r="AH87" s="69">
        <v>0.0</v>
      </c>
      <c r="AI87" s="67">
        <v>4.0</v>
      </c>
    </row>
    <row r="88" ht="15.75" customHeight="1">
      <c r="B88" s="158" t="s">
        <v>159</v>
      </c>
      <c r="C88" s="20"/>
      <c r="D88" s="20"/>
      <c r="E88" s="20"/>
      <c r="F88" s="20"/>
      <c r="G88" s="21"/>
      <c r="H88" s="66"/>
      <c r="I88" s="67">
        <f t="shared" si="3"/>
        <v>93.8</v>
      </c>
      <c r="J88" s="68">
        <v>2.5</v>
      </c>
      <c r="K88" s="68">
        <v>1.0</v>
      </c>
      <c r="L88" s="69">
        <v>0.24</v>
      </c>
      <c r="M88" s="69">
        <v>0.32</v>
      </c>
      <c r="N88" s="69">
        <v>0.33</v>
      </c>
      <c r="O88" s="67">
        <v>1.0</v>
      </c>
      <c r="P88" s="68">
        <v>18.7</v>
      </c>
      <c r="Q88" s="68">
        <v>1.2</v>
      </c>
      <c r="R88" s="67">
        <v>19.0</v>
      </c>
      <c r="S88" s="67">
        <v>47.0</v>
      </c>
      <c r="T88" s="68">
        <v>0.9</v>
      </c>
      <c r="U88" s="67">
        <v>82.0</v>
      </c>
      <c r="V88" s="67">
        <v>53.0</v>
      </c>
      <c r="W88" s="67">
        <v>13.0</v>
      </c>
      <c r="X88" s="69">
        <v>0.42</v>
      </c>
      <c r="Y88" s="69">
        <v>0.05</v>
      </c>
      <c r="Z88" s="69">
        <v>0.24</v>
      </c>
      <c r="AA88" s="67">
        <v>22.0</v>
      </c>
      <c r="AB88" s="69">
        <v>0.11</v>
      </c>
      <c r="AC88" s="69">
        <v>0.09</v>
      </c>
      <c r="AD88" s="68">
        <v>1.1</v>
      </c>
      <c r="AE88" s="69">
        <v>0.15</v>
      </c>
      <c r="AF88" s="69">
        <v>0.08</v>
      </c>
      <c r="AG88" s="67">
        <v>38.0</v>
      </c>
      <c r="AH88" s="69">
        <v>0.0</v>
      </c>
      <c r="AI88" s="67">
        <v>2.0</v>
      </c>
    </row>
    <row r="89" ht="15.75" customHeight="1">
      <c r="B89" s="158" t="s">
        <v>167</v>
      </c>
      <c r="C89" s="20"/>
      <c r="D89" s="20"/>
      <c r="E89" s="20"/>
      <c r="F89" s="20"/>
      <c r="G89" s="21"/>
      <c r="H89" s="66"/>
      <c r="I89" s="67">
        <f t="shared" si="3"/>
        <v>95.7</v>
      </c>
      <c r="J89" s="68">
        <v>1.4</v>
      </c>
      <c r="K89" s="68">
        <v>0.1</v>
      </c>
      <c r="L89" s="69">
        <v>0.05</v>
      </c>
      <c r="M89" s="69">
        <v>0.01</v>
      </c>
      <c r="N89" s="69">
        <v>0.06</v>
      </c>
      <c r="O89" s="67">
        <v>0.0</v>
      </c>
      <c r="P89" s="68">
        <v>22.3</v>
      </c>
      <c r="Q89" s="68">
        <v>1.9</v>
      </c>
      <c r="R89" s="67">
        <v>11.0</v>
      </c>
      <c r="S89" s="67">
        <v>40.0</v>
      </c>
      <c r="T89" s="68">
        <v>0.5</v>
      </c>
      <c r="U89" s="67">
        <v>10.0</v>
      </c>
      <c r="V89" s="67">
        <v>376.0</v>
      </c>
      <c r="W89" s="67">
        <v>20.0</v>
      </c>
      <c r="X89" s="69">
        <v>0.23</v>
      </c>
      <c r="Y89" s="69">
        <v>0.13</v>
      </c>
      <c r="Z89" s="69">
        <v>0.25</v>
      </c>
      <c r="AA89" s="67">
        <v>156.0</v>
      </c>
      <c r="AB89" s="69">
        <v>0.05</v>
      </c>
      <c r="AC89" s="69">
        <v>0.04</v>
      </c>
      <c r="AD89" s="68">
        <v>0.9</v>
      </c>
      <c r="AE89" s="69">
        <v>0.29</v>
      </c>
      <c r="AF89" s="69">
        <v>0.21</v>
      </c>
      <c r="AG89" s="67">
        <v>13.0</v>
      </c>
      <c r="AH89" s="69">
        <v>0.0</v>
      </c>
      <c r="AI89" s="67">
        <v>28.0</v>
      </c>
    </row>
    <row r="90" ht="15.75" customHeight="1">
      <c r="B90" s="158" t="s">
        <v>313</v>
      </c>
      <c r="C90" s="20"/>
      <c r="D90" s="20"/>
      <c r="E90" s="20"/>
      <c r="F90" s="20"/>
      <c r="G90" s="21"/>
      <c r="H90" s="66"/>
      <c r="I90" s="67">
        <f t="shared" si="3"/>
        <v>95.4</v>
      </c>
      <c r="J90" s="68">
        <v>2.0</v>
      </c>
      <c r="K90" s="68">
        <v>0.6</v>
      </c>
      <c r="L90" s="69">
        <v>0.14</v>
      </c>
      <c r="M90" s="69">
        <v>0.16</v>
      </c>
      <c r="N90" s="69">
        <v>0.19</v>
      </c>
      <c r="O90" s="67">
        <v>0.0</v>
      </c>
      <c r="P90" s="68">
        <v>20.5</v>
      </c>
      <c r="Q90" s="68">
        <v>1.5</v>
      </c>
      <c r="R90" s="67">
        <v>15.0</v>
      </c>
      <c r="S90" s="67">
        <v>43.0</v>
      </c>
      <c r="T90" s="68">
        <v>0.7</v>
      </c>
      <c r="U90" s="67">
        <v>46.0</v>
      </c>
      <c r="V90" s="67">
        <v>214.0</v>
      </c>
      <c r="W90" s="67">
        <v>17.0</v>
      </c>
      <c r="X90" s="69">
        <v>0.33</v>
      </c>
      <c r="Y90" s="69">
        <v>0.09</v>
      </c>
      <c r="Z90" s="69">
        <v>0.24</v>
      </c>
      <c r="AA90" s="67">
        <v>89.0</v>
      </c>
      <c r="AB90" s="69">
        <v>0.08</v>
      </c>
      <c r="AC90" s="69">
        <v>0.07</v>
      </c>
      <c r="AD90" s="68">
        <v>1.0</v>
      </c>
      <c r="AE90" s="69">
        <v>0.22</v>
      </c>
      <c r="AF90" s="69">
        <v>0.15</v>
      </c>
      <c r="AG90" s="67">
        <v>26.0</v>
      </c>
      <c r="AH90" s="69">
        <v>0.0</v>
      </c>
      <c r="AI90" s="67">
        <v>15.0</v>
      </c>
    </row>
    <row r="91" ht="15.75" customHeight="1">
      <c r="B91" s="160" t="s">
        <v>176</v>
      </c>
      <c r="C91" s="20"/>
      <c r="D91" s="20"/>
      <c r="E91" s="20"/>
      <c r="F91" s="20"/>
      <c r="G91" s="21"/>
      <c r="H91" s="66"/>
      <c r="I91" s="67">
        <f t="shared" si="3"/>
        <v>29.5</v>
      </c>
      <c r="J91" s="68">
        <v>1.2</v>
      </c>
      <c r="K91" s="68">
        <v>0.3</v>
      </c>
      <c r="L91" s="69">
        <v>0.05</v>
      </c>
      <c r="M91" s="69">
        <v>0.03</v>
      </c>
      <c r="N91" s="69">
        <v>0.13</v>
      </c>
      <c r="O91" s="67">
        <v>0.0</v>
      </c>
      <c r="P91" s="68">
        <v>5.5</v>
      </c>
      <c r="Q91" s="68">
        <v>1.7</v>
      </c>
      <c r="R91" s="67">
        <v>15.0</v>
      </c>
      <c r="S91" s="67">
        <v>32.0</v>
      </c>
      <c r="T91" s="68">
        <v>0.7</v>
      </c>
      <c r="U91" s="67">
        <v>68.0</v>
      </c>
      <c r="V91" s="67">
        <v>187.0</v>
      </c>
      <c r="W91" s="67">
        <v>12.0</v>
      </c>
      <c r="X91" s="69">
        <v>0.29</v>
      </c>
      <c r="Y91" s="69">
        <v>0.1</v>
      </c>
      <c r="Z91" s="69">
        <v>0.16</v>
      </c>
      <c r="AA91" s="67">
        <v>136.0</v>
      </c>
      <c r="AB91" s="69">
        <v>0.05</v>
      </c>
      <c r="AC91" s="69">
        <v>0.06</v>
      </c>
      <c r="AD91" s="68">
        <v>0.8</v>
      </c>
      <c r="AE91" s="69">
        <v>0.37</v>
      </c>
      <c r="AF91" s="69">
        <v>0.09</v>
      </c>
      <c r="AG91" s="67">
        <v>23.0</v>
      </c>
      <c r="AH91" s="69">
        <v>0.0</v>
      </c>
      <c r="AI91" s="67">
        <v>19.0</v>
      </c>
    </row>
    <row r="92" ht="15.75" customHeight="1">
      <c r="B92" s="160" t="s">
        <v>179</v>
      </c>
      <c r="C92" s="20"/>
      <c r="D92" s="20"/>
      <c r="E92" s="20"/>
      <c r="F92" s="20"/>
      <c r="G92" s="21"/>
      <c r="H92" s="66"/>
      <c r="I92" s="67">
        <f t="shared" si="3"/>
        <v>59.9</v>
      </c>
      <c r="J92" s="68">
        <v>1.0</v>
      </c>
      <c r="K92" s="68">
        <v>0.3</v>
      </c>
      <c r="L92" s="69">
        <v>0.06</v>
      </c>
      <c r="M92" s="69">
        <v>0.09</v>
      </c>
      <c r="N92" s="69">
        <v>0.11</v>
      </c>
      <c r="O92" s="67">
        <v>0.0</v>
      </c>
      <c r="P92" s="68">
        <v>13.3</v>
      </c>
      <c r="Q92" s="68">
        <v>2.6</v>
      </c>
      <c r="R92" s="67">
        <v>21.0</v>
      </c>
      <c r="S92" s="67">
        <v>24.0</v>
      </c>
      <c r="T92" s="68">
        <v>0.5</v>
      </c>
      <c r="U92" s="67">
        <v>4.0</v>
      </c>
      <c r="V92" s="67">
        <v>244.0</v>
      </c>
      <c r="W92" s="67">
        <v>19.0</v>
      </c>
      <c r="X92" s="69">
        <v>0.14</v>
      </c>
      <c r="Y92" s="69">
        <v>0.07</v>
      </c>
      <c r="Z92" s="69">
        <v>0.17</v>
      </c>
      <c r="AA92" s="67">
        <v>74.0</v>
      </c>
      <c r="AB92" s="69">
        <v>0.06</v>
      </c>
      <c r="AC92" s="69">
        <v>0.06</v>
      </c>
      <c r="AD92" s="68">
        <v>0.9</v>
      </c>
      <c r="AE92" s="69">
        <v>0.27</v>
      </c>
      <c r="AF92" s="69">
        <v>0.1</v>
      </c>
      <c r="AG92" s="67">
        <v>20.0</v>
      </c>
      <c r="AH92" s="69">
        <v>0.0</v>
      </c>
      <c r="AI92" s="67">
        <v>52.0</v>
      </c>
    </row>
    <row r="93" ht="15.75" customHeight="1">
      <c r="B93" s="158" t="s">
        <v>184</v>
      </c>
      <c r="C93" s="20"/>
      <c r="D93" s="20"/>
      <c r="E93" s="20"/>
      <c r="F93" s="20"/>
      <c r="G93" s="21"/>
      <c r="H93" s="66"/>
      <c r="I93" s="67">
        <f t="shared" si="3"/>
        <v>56.4</v>
      </c>
      <c r="J93" s="68">
        <v>1.3</v>
      </c>
      <c r="K93" s="68">
        <v>4.8</v>
      </c>
      <c r="L93" s="69">
        <v>1.15</v>
      </c>
      <c r="M93" s="69">
        <v>2.44</v>
      </c>
      <c r="N93" s="69">
        <v>0.99</v>
      </c>
      <c r="O93" s="67">
        <v>0.0</v>
      </c>
      <c r="P93" s="68">
        <v>2.0</v>
      </c>
      <c r="Q93" s="68">
        <v>0.7</v>
      </c>
      <c r="R93" s="67">
        <v>8.0</v>
      </c>
      <c r="S93" s="67">
        <v>34.0</v>
      </c>
      <c r="T93" s="68">
        <v>0.3</v>
      </c>
      <c r="U93" s="67">
        <v>6.0</v>
      </c>
      <c r="V93" s="67">
        <v>55.0</v>
      </c>
      <c r="W93" s="67">
        <v>16.0</v>
      </c>
      <c r="X93" s="69">
        <v>0.28</v>
      </c>
      <c r="Y93" s="69">
        <v>0.1</v>
      </c>
      <c r="Z93" s="69">
        <v>0.18</v>
      </c>
      <c r="AA93" s="67">
        <v>1.0</v>
      </c>
      <c r="AB93" s="69">
        <v>0.03</v>
      </c>
      <c r="AC93" s="69">
        <v>0.02</v>
      </c>
      <c r="AD93" s="68">
        <v>0.2</v>
      </c>
      <c r="AE93" s="69">
        <v>0.08</v>
      </c>
      <c r="AF93" s="69">
        <v>0.02</v>
      </c>
      <c r="AG93" s="67">
        <v>5.0</v>
      </c>
      <c r="AH93" s="69">
        <v>0.0</v>
      </c>
      <c r="AI93" s="67">
        <v>0.0</v>
      </c>
    </row>
    <row r="94" ht="15.75" customHeight="1">
      <c r="B94" s="158" t="s">
        <v>186</v>
      </c>
      <c r="C94" s="20"/>
      <c r="D94" s="20"/>
      <c r="E94" s="20"/>
      <c r="F94" s="20"/>
      <c r="G94" s="21"/>
      <c r="H94" s="66"/>
      <c r="I94" s="67">
        <f t="shared" si="3"/>
        <v>58.5</v>
      </c>
      <c r="J94" s="68">
        <v>2.3</v>
      </c>
      <c r="K94" s="68">
        <v>4.1</v>
      </c>
      <c r="L94" s="69">
        <v>0.5</v>
      </c>
      <c r="M94" s="69">
        <v>0.91</v>
      </c>
      <c r="N94" s="69">
        <v>2.48</v>
      </c>
      <c r="O94" s="67">
        <v>0.0</v>
      </c>
      <c r="P94" s="68">
        <v>3.1</v>
      </c>
      <c r="Q94" s="68">
        <v>2.1</v>
      </c>
      <c r="R94" s="67">
        <v>50.0</v>
      </c>
      <c r="S94" s="67">
        <v>74.0</v>
      </c>
      <c r="T94" s="68">
        <v>0.9</v>
      </c>
      <c r="U94" s="67">
        <v>2.0</v>
      </c>
      <c r="V94" s="67">
        <v>78.0</v>
      </c>
      <c r="W94" s="67">
        <v>37.0</v>
      </c>
      <c r="X94" s="69">
        <v>0.58</v>
      </c>
      <c r="Y94" s="69">
        <v>0.15</v>
      </c>
      <c r="Z94" s="69">
        <v>0.35</v>
      </c>
      <c r="AA94" s="67">
        <v>1.0</v>
      </c>
      <c r="AB94" s="69">
        <v>0.07</v>
      </c>
      <c r="AC94" s="69">
        <v>0.02</v>
      </c>
      <c r="AD94" s="68">
        <v>0.3</v>
      </c>
      <c r="AE94" s="69">
        <v>0.15</v>
      </c>
      <c r="AF94" s="69">
        <v>0.06</v>
      </c>
      <c r="AG94" s="67">
        <v>18.0</v>
      </c>
      <c r="AH94" s="69">
        <v>0.0</v>
      </c>
      <c r="AI94" s="67">
        <v>0.0</v>
      </c>
    </row>
    <row r="95" ht="15.75" customHeight="1">
      <c r="B95" s="160" t="s">
        <v>189</v>
      </c>
      <c r="C95" s="20"/>
      <c r="D95" s="20"/>
      <c r="E95" s="20"/>
      <c r="F95" s="20"/>
      <c r="G95" s="21"/>
      <c r="H95" s="66"/>
      <c r="I95" s="67">
        <f t="shared" si="3"/>
        <v>89.9</v>
      </c>
      <c r="J95" s="68">
        <v>0.9</v>
      </c>
      <c r="K95" s="68">
        <v>1.1</v>
      </c>
      <c r="L95" s="69">
        <v>0.63</v>
      </c>
      <c r="M95" s="69">
        <v>0.33</v>
      </c>
      <c r="N95" s="69">
        <v>0.07</v>
      </c>
      <c r="O95" s="67">
        <v>2.0</v>
      </c>
      <c r="P95" s="68">
        <v>19.1</v>
      </c>
      <c r="Q95" s="68">
        <v>0.5</v>
      </c>
      <c r="R95" s="67">
        <v>20.0</v>
      </c>
      <c r="S95" s="67">
        <v>23.0</v>
      </c>
      <c r="T95" s="68">
        <v>0.3</v>
      </c>
      <c r="U95" s="67">
        <v>25.0</v>
      </c>
      <c r="V95" s="67">
        <v>67.0</v>
      </c>
      <c r="W95" s="67">
        <v>6.0</v>
      </c>
      <c r="X95" s="69">
        <v>0.16</v>
      </c>
      <c r="Y95" s="69">
        <v>0.05</v>
      </c>
      <c r="Z95" s="69">
        <v>0.16</v>
      </c>
      <c r="AA95" s="67">
        <v>10.0</v>
      </c>
      <c r="AB95" s="69">
        <v>0.04</v>
      </c>
      <c r="AC95" s="69">
        <v>0.07</v>
      </c>
      <c r="AD95" s="68">
        <v>0.2</v>
      </c>
      <c r="AE95" s="69">
        <v>0.08</v>
      </c>
      <c r="AF95" s="69">
        <v>0.02</v>
      </c>
      <c r="AG95" s="67">
        <v>5.0</v>
      </c>
      <c r="AH95" s="69">
        <v>0.04</v>
      </c>
      <c r="AI95" s="67">
        <v>2.0</v>
      </c>
    </row>
    <row r="96" ht="15.75" customHeight="1">
      <c r="B96" s="158" t="s">
        <v>195</v>
      </c>
      <c r="C96" s="20"/>
      <c r="D96" s="20"/>
      <c r="E96" s="20"/>
      <c r="F96" s="20"/>
      <c r="G96" s="21"/>
      <c r="H96" s="66"/>
      <c r="I96" s="67">
        <f t="shared" si="3"/>
        <v>41.7</v>
      </c>
      <c r="J96" s="68">
        <v>0.0</v>
      </c>
      <c r="K96" s="68">
        <v>4.5</v>
      </c>
      <c r="L96" s="69">
        <v>0.67</v>
      </c>
      <c r="M96" s="69">
        <v>1.39</v>
      </c>
      <c r="N96" s="69">
        <v>2.71</v>
      </c>
      <c r="O96" s="67">
        <v>1.0</v>
      </c>
      <c r="P96" s="68">
        <v>0.3</v>
      </c>
      <c r="Q96" s="68">
        <v>0.0</v>
      </c>
      <c r="R96" s="67">
        <v>1.0</v>
      </c>
      <c r="S96" s="67">
        <v>1.0</v>
      </c>
      <c r="T96" s="68">
        <v>0.0</v>
      </c>
      <c r="U96" s="67">
        <v>27.0</v>
      </c>
      <c r="V96" s="67">
        <v>2.0</v>
      </c>
      <c r="W96" s="67">
        <v>0.0</v>
      </c>
      <c r="X96" s="69">
        <v>0.01</v>
      </c>
      <c r="Y96" s="69">
        <v>0.0</v>
      </c>
      <c r="Z96" s="69">
        <v>0.0</v>
      </c>
      <c r="AA96" s="67">
        <v>2.0</v>
      </c>
      <c r="AB96" s="69">
        <v>0.0</v>
      </c>
      <c r="AC96" s="69">
        <v>0.0</v>
      </c>
      <c r="AD96" s="68">
        <v>0.0</v>
      </c>
      <c r="AE96" s="69">
        <v>0.01</v>
      </c>
      <c r="AF96" s="69">
        <v>0.01</v>
      </c>
      <c r="AG96" s="67">
        <v>0.0</v>
      </c>
      <c r="AH96" s="69">
        <v>0.01</v>
      </c>
      <c r="AI96" s="67">
        <v>0.0</v>
      </c>
    </row>
    <row r="97" ht="15.75" customHeight="1">
      <c r="B97" s="158" t="s">
        <v>196</v>
      </c>
      <c r="C97" s="20"/>
      <c r="D97" s="20"/>
      <c r="E97" s="20"/>
      <c r="F97" s="20"/>
      <c r="G97" s="21"/>
      <c r="H97" s="66"/>
      <c r="I97" s="67">
        <f t="shared" si="3"/>
        <v>47</v>
      </c>
      <c r="J97" s="68">
        <v>0.4</v>
      </c>
      <c r="K97" s="68">
        <v>4.6</v>
      </c>
      <c r="L97" s="69">
        <v>0.66</v>
      </c>
      <c r="M97" s="69">
        <v>2.7</v>
      </c>
      <c r="N97" s="69">
        <v>0.96</v>
      </c>
      <c r="O97" s="67">
        <v>0.0</v>
      </c>
      <c r="P97" s="68">
        <v>1.0</v>
      </c>
      <c r="Q97" s="68">
        <v>0.6</v>
      </c>
      <c r="R97" s="67">
        <v>7.0</v>
      </c>
      <c r="S97" s="67">
        <v>7.0</v>
      </c>
      <c r="T97" s="68">
        <v>0.2</v>
      </c>
      <c r="U97" s="67">
        <v>55.0</v>
      </c>
      <c r="V97" s="67">
        <v>49.0</v>
      </c>
      <c r="W97" s="67">
        <v>5.0</v>
      </c>
      <c r="X97" s="69">
        <v>0.07</v>
      </c>
      <c r="Y97" s="69">
        <v>0.03</v>
      </c>
      <c r="Z97" s="69">
        <v>0.02</v>
      </c>
      <c r="AA97" s="67">
        <v>12.0</v>
      </c>
      <c r="AB97" s="69">
        <v>0.01</v>
      </c>
      <c r="AC97" s="69">
        <v>0.01</v>
      </c>
      <c r="AD97" s="68">
        <v>0.3</v>
      </c>
      <c r="AE97" s="69">
        <v>0.08</v>
      </c>
      <c r="AF97" s="69">
        <v>0.03</v>
      </c>
      <c r="AG97" s="67">
        <v>5.0</v>
      </c>
      <c r="AH97" s="69">
        <v>0.0</v>
      </c>
      <c r="AI97" s="67">
        <v>1.0</v>
      </c>
    </row>
    <row r="98" ht="15.75" customHeight="1">
      <c r="B98" s="158" t="s">
        <v>197</v>
      </c>
      <c r="C98" s="20"/>
      <c r="D98" s="20"/>
      <c r="E98" s="20"/>
      <c r="F98" s="20"/>
      <c r="G98" s="21"/>
      <c r="H98" s="66"/>
      <c r="I98" s="67">
        <f t="shared" si="3"/>
        <v>45.6</v>
      </c>
      <c r="J98" s="68">
        <v>0.3</v>
      </c>
      <c r="K98" s="68">
        <v>4.8</v>
      </c>
      <c r="L98" s="69">
        <v>2.66</v>
      </c>
      <c r="M98" s="69">
        <v>1.57</v>
      </c>
      <c r="N98" s="69">
        <v>0.28</v>
      </c>
      <c r="O98" s="67">
        <v>10.0</v>
      </c>
      <c r="P98" s="68">
        <v>0.3</v>
      </c>
      <c r="Q98" s="68">
        <v>0.0</v>
      </c>
      <c r="R98" s="67">
        <v>8.0</v>
      </c>
      <c r="S98" s="67">
        <v>7.0</v>
      </c>
      <c r="T98" s="68">
        <v>0.0</v>
      </c>
      <c r="U98" s="67">
        <v>9.0</v>
      </c>
      <c r="V98" s="67">
        <v>10.0</v>
      </c>
      <c r="W98" s="67">
        <v>1.0</v>
      </c>
      <c r="X98" s="69">
        <v>0.03</v>
      </c>
      <c r="Y98" s="69">
        <v>0.0</v>
      </c>
      <c r="Z98" s="69">
        <v>0.0</v>
      </c>
      <c r="AA98" s="67">
        <v>31.0</v>
      </c>
      <c r="AB98" s="69">
        <v>0.0</v>
      </c>
      <c r="AC98" s="69">
        <v>0.01</v>
      </c>
      <c r="AD98" s="68">
        <v>0.0</v>
      </c>
      <c r="AE98" s="69">
        <v>0.03</v>
      </c>
      <c r="AF98" s="69">
        <v>0.0</v>
      </c>
      <c r="AG98" s="67">
        <v>1.0</v>
      </c>
      <c r="AH98" s="69">
        <v>0.03</v>
      </c>
      <c r="AI98" s="67">
        <v>0.0</v>
      </c>
    </row>
    <row r="99" ht="15.75" customHeight="1">
      <c r="B99" s="158" t="s">
        <v>198</v>
      </c>
      <c r="C99" s="20"/>
      <c r="D99" s="20"/>
      <c r="E99" s="20"/>
      <c r="F99" s="20"/>
      <c r="G99" s="21"/>
      <c r="H99" s="66"/>
      <c r="I99" s="67">
        <f t="shared" si="3"/>
        <v>44.6</v>
      </c>
      <c r="J99" s="68">
        <v>0.3</v>
      </c>
      <c r="K99" s="68">
        <v>4.6</v>
      </c>
      <c r="L99" s="69">
        <v>1.33</v>
      </c>
      <c r="M99" s="69">
        <v>1.88</v>
      </c>
      <c r="N99" s="69">
        <v>1.32</v>
      </c>
      <c r="O99" s="67">
        <v>4.0</v>
      </c>
      <c r="P99" s="68">
        <v>0.5</v>
      </c>
      <c r="Q99" s="68">
        <v>0.2</v>
      </c>
      <c r="R99" s="67">
        <v>5.0</v>
      </c>
      <c r="S99" s="67">
        <v>5.0</v>
      </c>
      <c r="T99" s="68">
        <v>0.1</v>
      </c>
      <c r="U99" s="67">
        <v>30.0</v>
      </c>
      <c r="V99" s="67">
        <v>20.0</v>
      </c>
      <c r="W99" s="67">
        <v>2.0</v>
      </c>
      <c r="X99" s="69">
        <v>0.04</v>
      </c>
      <c r="Y99" s="69">
        <v>0.01</v>
      </c>
      <c r="Z99" s="69">
        <v>0.01</v>
      </c>
      <c r="AA99" s="67">
        <v>15.0</v>
      </c>
      <c r="AB99" s="69">
        <v>0.0</v>
      </c>
      <c r="AC99" s="69">
        <v>0.01</v>
      </c>
      <c r="AD99" s="68">
        <v>0.1</v>
      </c>
      <c r="AE99" s="69">
        <v>0.04</v>
      </c>
      <c r="AF99" s="69">
        <v>0.01</v>
      </c>
      <c r="AG99" s="67">
        <v>2.0</v>
      </c>
      <c r="AH99" s="69">
        <v>0.01</v>
      </c>
      <c r="AI99" s="67">
        <v>0.0</v>
      </c>
    </row>
    <row r="100" ht="15.75" customHeight="1">
      <c r="B100" s="158" t="s">
        <v>200</v>
      </c>
      <c r="C100" s="20"/>
      <c r="D100" s="20"/>
      <c r="E100" s="20"/>
      <c r="F100" s="20"/>
      <c r="G100" s="21"/>
      <c r="H100" s="66"/>
      <c r="I100" s="67">
        <f t="shared" si="3"/>
        <v>39.3</v>
      </c>
      <c r="J100" s="68">
        <v>1.3</v>
      </c>
      <c r="K100" s="68">
        <v>3.3</v>
      </c>
      <c r="L100" s="69">
        <v>1.16</v>
      </c>
      <c r="M100" s="69">
        <v>0.98</v>
      </c>
      <c r="N100" s="69">
        <v>0.89</v>
      </c>
      <c r="O100" s="67">
        <v>6.0</v>
      </c>
      <c r="P100" s="68">
        <v>1.1</v>
      </c>
      <c r="Q100" s="68">
        <v>0.0</v>
      </c>
      <c r="R100" s="67">
        <v>16.0</v>
      </c>
      <c r="S100" s="67">
        <v>37.0</v>
      </c>
      <c r="T100" s="68">
        <v>0.0</v>
      </c>
      <c r="U100" s="67">
        <v>125.0</v>
      </c>
      <c r="V100" s="67">
        <v>19.0</v>
      </c>
      <c r="W100" s="67">
        <v>2.0</v>
      </c>
      <c r="X100" s="69">
        <v>0.12</v>
      </c>
      <c r="Y100" s="69">
        <v>0.0</v>
      </c>
      <c r="Z100" s="69">
        <v>0.0</v>
      </c>
      <c r="AA100" s="67">
        <v>41.0</v>
      </c>
      <c r="AB100" s="69">
        <v>0.0</v>
      </c>
      <c r="AC100" s="69">
        <v>0.02</v>
      </c>
      <c r="AD100" s="68">
        <v>0.0</v>
      </c>
      <c r="AE100" s="69">
        <v>0.04</v>
      </c>
      <c r="AF100" s="69">
        <v>0.03</v>
      </c>
      <c r="AG100" s="67">
        <v>3.0</v>
      </c>
      <c r="AH100" s="69">
        <v>0.06</v>
      </c>
      <c r="AI100" s="67">
        <v>0.0</v>
      </c>
    </row>
    <row r="101" ht="15.75" customHeight="1">
      <c r="B101" s="72"/>
      <c r="C101" s="72"/>
      <c r="D101" s="72"/>
      <c r="E101" s="72"/>
      <c r="F101" s="72"/>
      <c r="G101" s="72"/>
      <c r="AI101" s="73"/>
    </row>
    <row r="102" ht="15.75" customHeight="1">
      <c r="B102" s="72"/>
      <c r="C102" s="72"/>
      <c r="D102" s="72"/>
      <c r="E102" s="72"/>
      <c r="F102" s="72"/>
      <c r="G102" s="72"/>
    </row>
    <row r="103" ht="15.75" customHeight="1">
      <c r="B103" s="306" t="s">
        <v>95</v>
      </c>
      <c r="C103" s="20"/>
      <c r="D103" s="20"/>
      <c r="E103" s="20"/>
      <c r="F103" s="20"/>
      <c r="G103" s="21"/>
      <c r="H103" s="63" t="s">
        <v>96</v>
      </c>
      <c r="I103" s="63" t="s">
        <v>97</v>
      </c>
      <c r="J103" s="63" t="s">
        <v>98</v>
      </c>
      <c r="K103" s="63" t="s">
        <v>99</v>
      </c>
      <c r="L103" s="63" t="s">
        <v>100</v>
      </c>
      <c r="M103" s="63" t="s">
        <v>101</v>
      </c>
      <c r="N103" s="63" t="s">
        <v>102</v>
      </c>
      <c r="O103" s="63" t="s">
        <v>103</v>
      </c>
      <c r="P103" s="63" t="s">
        <v>104</v>
      </c>
      <c r="Q103" s="63" t="s">
        <v>105</v>
      </c>
      <c r="R103" s="157" t="s">
        <v>106</v>
      </c>
      <c r="S103" s="157" t="s">
        <v>107</v>
      </c>
      <c r="T103" s="157" t="s">
        <v>108</v>
      </c>
      <c r="U103" s="157" t="s">
        <v>109</v>
      </c>
      <c r="V103" s="157" t="s">
        <v>110</v>
      </c>
      <c r="W103" s="157" t="s">
        <v>111</v>
      </c>
      <c r="X103" s="157" t="s">
        <v>112</v>
      </c>
      <c r="Y103" s="157" t="s">
        <v>113</v>
      </c>
      <c r="Z103" s="157" t="s">
        <v>114</v>
      </c>
      <c r="AA103" s="157" t="s">
        <v>115</v>
      </c>
      <c r="AB103" s="157" t="s">
        <v>116</v>
      </c>
      <c r="AC103" s="157" t="s">
        <v>117</v>
      </c>
      <c r="AD103" s="157" t="s">
        <v>118</v>
      </c>
      <c r="AE103" s="157" t="s">
        <v>119</v>
      </c>
      <c r="AF103" s="157" t="s">
        <v>120</v>
      </c>
      <c r="AG103" s="157" t="s">
        <v>121</v>
      </c>
      <c r="AH103" s="157" t="s">
        <v>122</v>
      </c>
      <c r="AI103" s="157" t="s">
        <v>123</v>
      </c>
    </row>
    <row r="104" ht="15.75" customHeight="1">
      <c r="B104" s="158" t="s">
        <v>126</v>
      </c>
      <c r="C104" s="20"/>
      <c r="D104" s="20"/>
      <c r="E104" s="20"/>
      <c r="F104" s="20"/>
      <c r="G104" s="21"/>
      <c r="H104" s="161" t="str">
        <f t="shared" ref="H104:H125" si="4">H79</f>
        <v/>
      </c>
      <c r="I104" s="67">
        <f t="shared" ref="I104:I125" si="5">(I79*H79)</f>
        <v>0</v>
      </c>
      <c r="J104" s="68">
        <f t="shared" ref="J104:J125" si="6">(J79*H79)</f>
        <v>0</v>
      </c>
      <c r="K104" s="68">
        <f t="shared" ref="K104:K125" si="7">(K79*H79)</f>
        <v>0</v>
      </c>
      <c r="L104" s="69">
        <f t="shared" ref="L104:L125" si="8">(L79*H79)</f>
        <v>0</v>
      </c>
      <c r="M104" s="69">
        <f t="shared" ref="M104:M125" si="9">(M79*H79)</f>
        <v>0</v>
      </c>
      <c r="N104" s="69">
        <f t="shared" ref="N104:N125" si="10">(N79*H79)</f>
        <v>0</v>
      </c>
      <c r="O104" s="67">
        <f t="shared" ref="O104:O125" si="11">(O79*H79)</f>
        <v>0</v>
      </c>
      <c r="P104" s="68">
        <f t="shared" ref="P104:P125" si="12">(P79*H79)</f>
        <v>0</v>
      </c>
      <c r="Q104" s="68">
        <f t="shared" ref="Q104:Q125" si="13">(Q79*H79)</f>
        <v>0</v>
      </c>
      <c r="R104" s="67">
        <f t="shared" ref="R104:R125" si="14">(R79*H79)</f>
        <v>0</v>
      </c>
      <c r="S104" s="67">
        <f t="shared" ref="S104:S125" si="15">(S79*H79)</f>
        <v>0</v>
      </c>
      <c r="T104" s="68">
        <f t="shared" ref="T104:T125" si="16">(T79*H79)</f>
        <v>0</v>
      </c>
      <c r="U104" s="67">
        <f t="shared" ref="U104:U125" si="17">(U79*H79)</f>
        <v>0</v>
      </c>
      <c r="V104" s="67">
        <f t="shared" ref="V104:V125" si="18">(V79*H79)</f>
        <v>0</v>
      </c>
      <c r="W104" s="67">
        <f t="shared" ref="W104:W125" si="19">(W79*H79)</f>
        <v>0</v>
      </c>
      <c r="X104" s="69">
        <f t="shared" ref="X104:X125" si="20">(X79*H79)</f>
        <v>0</v>
      </c>
      <c r="Y104" s="69">
        <f t="shared" ref="Y104:Y125" si="21">(Y79*H79)</f>
        <v>0</v>
      </c>
      <c r="Z104" s="69">
        <f t="shared" ref="Z104:Z125" si="22">(Z79*H79)</f>
        <v>0</v>
      </c>
      <c r="AA104" s="67">
        <f t="shared" ref="AA104:AA125" si="23">(AA79*H79)</f>
        <v>0</v>
      </c>
      <c r="AB104" s="69">
        <f t="shared" ref="AB104:AB125" si="24">(AB79*H79)</f>
        <v>0</v>
      </c>
      <c r="AC104" s="69">
        <f t="shared" ref="AC104:AC125" si="25">(AC79*H79)</f>
        <v>0</v>
      </c>
      <c r="AD104" s="68">
        <f t="shared" ref="AD104:AD125" si="26">(AD79*H79)</f>
        <v>0</v>
      </c>
      <c r="AE104" s="69">
        <f t="shared" ref="AE104:AE125" si="27">(AE79*H79)</f>
        <v>0</v>
      </c>
      <c r="AF104" s="69">
        <f t="shared" ref="AF104:AF125" si="28">(AF79*H79)</f>
        <v>0</v>
      </c>
      <c r="AG104" s="67">
        <f t="shared" ref="AG104:AG125" si="29">(AG79*H79)</f>
        <v>0</v>
      </c>
      <c r="AH104" s="69">
        <f t="shared" ref="AH104:AH125" si="30">(AH79*H79)</f>
        <v>0</v>
      </c>
      <c r="AI104" s="67">
        <f t="shared" ref="AI104:AI125" si="31">(AI79*H79)</f>
        <v>0</v>
      </c>
    </row>
    <row r="105" ht="15.75" customHeight="1">
      <c r="B105" s="158" t="s">
        <v>127</v>
      </c>
      <c r="C105" s="20"/>
      <c r="D105" s="20"/>
      <c r="E105" s="20"/>
      <c r="F105" s="20"/>
      <c r="G105" s="21"/>
      <c r="H105" s="161" t="str">
        <f t="shared" si="4"/>
        <v/>
      </c>
      <c r="I105" s="67">
        <f t="shared" si="5"/>
        <v>0</v>
      </c>
      <c r="J105" s="68">
        <f t="shared" si="6"/>
        <v>0</v>
      </c>
      <c r="K105" s="68">
        <f t="shared" si="7"/>
        <v>0</v>
      </c>
      <c r="L105" s="69">
        <f t="shared" si="8"/>
        <v>0</v>
      </c>
      <c r="M105" s="69">
        <f t="shared" si="9"/>
        <v>0</v>
      </c>
      <c r="N105" s="69">
        <f t="shared" si="10"/>
        <v>0</v>
      </c>
      <c r="O105" s="67">
        <f t="shared" si="11"/>
        <v>0</v>
      </c>
      <c r="P105" s="68">
        <f t="shared" si="12"/>
        <v>0</v>
      </c>
      <c r="Q105" s="68">
        <f t="shared" si="13"/>
        <v>0</v>
      </c>
      <c r="R105" s="67">
        <f t="shared" si="14"/>
        <v>0</v>
      </c>
      <c r="S105" s="67">
        <f t="shared" si="15"/>
        <v>0</v>
      </c>
      <c r="T105" s="68">
        <f t="shared" si="16"/>
        <v>0</v>
      </c>
      <c r="U105" s="67">
        <f t="shared" si="17"/>
        <v>0</v>
      </c>
      <c r="V105" s="67">
        <f t="shared" si="18"/>
        <v>0</v>
      </c>
      <c r="W105" s="67">
        <f t="shared" si="19"/>
        <v>0</v>
      </c>
      <c r="X105" s="69">
        <f t="shared" si="20"/>
        <v>0</v>
      </c>
      <c r="Y105" s="69">
        <f t="shared" si="21"/>
        <v>0</v>
      </c>
      <c r="Z105" s="69">
        <f t="shared" si="22"/>
        <v>0</v>
      </c>
      <c r="AA105" s="67">
        <f t="shared" si="23"/>
        <v>0</v>
      </c>
      <c r="AB105" s="69">
        <f t="shared" si="24"/>
        <v>0</v>
      </c>
      <c r="AC105" s="69">
        <f t="shared" si="25"/>
        <v>0</v>
      </c>
      <c r="AD105" s="68">
        <f t="shared" si="26"/>
        <v>0</v>
      </c>
      <c r="AE105" s="69">
        <f t="shared" si="27"/>
        <v>0</v>
      </c>
      <c r="AF105" s="69">
        <f t="shared" si="28"/>
        <v>0</v>
      </c>
      <c r="AG105" s="67">
        <f t="shared" si="29"/>
        <v>0</v>
      </c>
      <c r="AH105" s="69">
        <f t="shared" si="30"/>
        <v>0</v>
      </c>
      <c r="AI105" s="67">
        <f t="shared" si="31"/>
        <v>0</v>
      </c>
    </row>
    <row r="106" ht="15.75" customHeight="1">
      <c r="B106" s="158" t="s">
        <v>128</v>
      </c>
      <c r="C106" s="20"/>
      <c r="D106" s="20"/>
      <c r="E106" s="20"/>
      <c r="F106" s="20"/>
      <c r="G106" s="21"/>
      <c r="H106" s="161" t="str">
        <f t="shared" si="4"/>
        <v/>
      </c>
      <c r="I106" s="67">
        <f t="shared" si="5"/>
        <v>0</v>
      </c>
      <c r="J106" s="68">
        <f t="shared" si="6"/>
        <v>0</v>
      </c>
      <c r="K106" s="68">
        <f t="shared" si="7"/>
        <v>0</v>
      </c>
      <c r="L106" s="69">
        <f t="shared" si="8"/>
        <v>0</v>
      </c>
      <c r="M106" s="69">
        <f t="shared" si="9"/>
        <v>0</v>
      </c>
      <c r="N106" s="69">
        <f t="shared" si="10"/>
        <v>0</v>
      </c>
      <c r="O106" s="67">
        <f t="shared" si="11"/>
        <v>0</v>
      </c>
      <c r="P106" s="68">
        <f t="shared" si="12"/>
        <v>0</v>
      </c>
      <c r="Q106" s="68">
        <f t="shared" si="13"/>
        <v>0</v>
      </c>
      <c r="R106" s="67">
        <f t="shared" si="14"/>
        <v>0</v>
      </c>
      <c r="S106" s="67">
        <f t="shared" si="15"/>
        <v>0</v>
      </c>
      <c r="T106" s="68">
        <f t="shared" si="16"/>
        <v>0</v>
      </c>
      <c r="U106" s="67">
        <f t="shared" si="17"/>
        <v>0</v>
      </c>
      <c r="V106" s="67">
        <f t="shared" si="18"/>
        <v>0</v>
      </c>
      <c r="W106" s="67">
        <f t="shared" si="19"/>
        <v>0</v>
      </c>
      <c r="X106" s="69">
        <f t="shared" si="20"/>
        <v>0</v>
      </c>
      <c r="Y106" s="69">
        <f t="shared" si="21"/>
        <v>0</v>
      </c>
      <c r="Z106" s="69">
        <f t="shared" si="22"/>
        <v>0</v>
      </c>
      <c r="AA106" s="67">
        <f t="shared" si="23"/>
        <v>0</v>
      </c>
      <c r="AB106" s="69">
        <f t="shared" si="24"/>
        <v>0</v>
      </c>
      <c r="AC106" s="69">
        <f t="shared" si="25"/>
        <v>0</v>
      </c>
      <c r="AD106" s="68">
        <f t="shared" si="26"/>
        <v>0</v>
      </c>
      <c r="AE106" s="69">
        <f t="shared" si="27"/>
        <v>0</v>
      </c>
      <c r="AF106" s="69">
        <f t="shared" si="28"/>
        <v>0</v>
      </c>
      <c r="AG106" s="67">
        <f t="shared" si="29"/>
        <v>0</v>
      </c>
      <c r="AH106" s="69">
        <f t="shared" si="30"/>
        <v>0</v>
      </c>
      <c r="AI106" s="67">
        <f t="shared" si="31"/>
        <v>0</v>
      </c>
    </row>
    <row r="107" ht="15.75" customHeight="1">
      <c r="B107" s="158" t="s">
        <v>129</v>
      </c>
      <c r="C107" s="20"/>
      <c r="D107" s="20"/>
      <c r="E107" s="20"/>
      <c r="F107" s="20"/>
      <c r="G107" s="21"/>
      <c r="H107" s="161" t="str">
        <f t="shared" si="4"/>
        <v/>
      </c>
      <c r="I107" s="67">
        <f t="shared" si="5"/>
        <v>0</v>
      </c>
      <c r="J107" s="68">
        <f t="shared" si="6"/>
        <v>0</v>
      </c>
      <c r="K107" s="68">
        <f t="shared" si="7"/>
        <v>0</v>
      </c>
      <c r="L107" s="69">
        <f t="shared" si="8"/>
        <v>0</v>
      </c>
      <c r="M107" s="69">
        <f t="shared" si="9"/>
        <v>0</v>
      </c>
      <c r="N107" s="69">
        <f t="shared" si="10"/>
        <v>0</v>
      </c>
      <c r="O107" s="67">
        <f t="shared" si="11"/>
        <v>0</v>
      </c>
      <c r="P107" s="68">
        <f t="shared" si="12"/>
        <v>0</v>
      </c>
      <c r="Q107" s="68">
        <f t="shared" si="13"/>
        <v>0</v>
      </c>
      <c r="R107" s="67">
        <f t="shared" si="14"/>
        <v>0</v>
      </c>
      <c r="S107" s="67">
        <f t="shared" si="15"/>
        <v>0</v>
      </c>
      <c r="T107" s="68">
        <f t="shared" si="16"/>
        <v>0</v>
      </c>
      <c r="U107" s="67">
        <f t="shared" si="17"/>
        <v>0</v>
      </c>
      <c r="V107" s="67">
        <f t="shared" si="18"/>
        <v>0</v>
      </c>
      <c r="W107" s="67">
        <f t="shared" si="19"/>
        <v>0</v>
      </c>
      <c r="X107" s="69">
        <f t="shared" si="20"/>
        <v>0</v>
      </c>
      <c r="Y107" s="69">
        <f t="shared" si="21"/>
        <v>0</v>
      </c>
      <c r="Z107" s="69">
        <f t="shared" si="22"/>
        <v>0</v>
      </c>
      <c r="AA107" s="67">
        <f t="shared" si="23"/>
        <v>0</v>
      </c>
      <c r="AB107" s="69">
        <f t="shared" si="24"/>
        <v>0</v>
      </c>
      <c r="AC107" s="69">
        <f t="shared" si="25"/>
        <v>0</v>
      </c>
      <c r="AD107" s="68">
        <f t="shared" si="26"/>
        <v>0</v>
      </c>
      <c r="AE107" s="69">
        <f t="shared" si="27"/>
        <v>0</v>
      </c>
      <c r="AF107" s="69">
        <f t="shared" si="28"/>
        <v>0</v>
      </c>
      <c r="AG107" s="67">
        <f t="shared" si="29"/>
        <v>0</v>
      </c>
      <c r="AH107" s="69">
        <f t="shared" si="30"/>
        <v>0</v>
      </c>
      <c r="AI107" s="67">
        <f t="shared" si="31"/>
        <v>0</v>
      </c>
    </row>
    <row r="108" ht="15.75" customHeight="1">
      <c r="B108" s="408" t="s">
        <v>817</v>
      </c>
      <c r="C108" s="20"/>
      <c r="D108" s="20"/>
      <c r="E108" s="20"/>
      <c r="F108" s="20"/>
      <c r="G108" s="21"/>
      <c r="H108" s="161" t="str">
        <f t="shared" si="4"/>
        <v/>
      </c>
      <c r="I108" s="67">
        <f t="shared" si="5"/>
        <v>0</v>
      </c>
      <c r="J108" s="68">
        <f t="shared" si="6"/>
        <v>0</v>
      </c>
      <c r="K108" s="68">
        <f t="shared" si="7"/>
        <v>0</v>
      </c>
      <c r="L108" s="69">
        <f t="shared" si="8"/>
        <v>0</v>
      </c>
      <c r="M108" s="69">
        <f t="shared" si="9"/>
        <v>0</v>
      </c>
      <c r="N108" s="69">
        <f t="shared" si="10"/>
        <v>0</v>
      </c>
      <c r="O108" s="67">
        <f t="shared" si="11"/>
        <v>0</v>
      </c>
      <c r="P108" s="68">
        <f t="shared" si="12"/>
        <v>0</v>
      </c>
      <c r="Q108" s="68">
        <f t="shared" si="13"/>
        <v>0</v>
      </c>
      <c r="R108" s="67">
        <f t="shared" si="14"/>
        <v>0</v>
      </c>
      <c r="S108" s="67">
        <f t="shared" si="15"/>
        <v>0</v>
      </c>
      <c r="T108" s="68">
        <f t="shared" si="16"/>
        <v>0</v>
      </c>
      <c r="U108" s="67">
        <f t="shared" si="17"/>
        <v>0</v>
      </c>
      <c r="V108" s="67">
        <f t="shared" si="18"/>
        <v>0</v>
      </c>
      <c r="W108" s="67">
        <f t="shared" si="19"/>
        <v>0</v>
      </c>
      <c r="X108" s="69">
        <f t="shared" si="20"/>
        <v>0</v>
      </c>
      <c r="Y108" s="69">
        <f t="shared" si="21"/>
        <v>0</v>
      </c>
      <c r="Z108" s="69">
        <f t="shared" si="22"/>
        <v>0</v>
      </c>
      <c r="AA108" s="67">
        <f t="shared" si="23"/>
        <v>0</v>
      </c>
      <c r="AB108" s="69">
        <f t="shared" si="24"/>
        <v>0</v>
      </c>
      <c r="AC108" s="69">
        <f t="shared" si="25"/>
        <v>0</v>
      </c>
      <c r="AD108" s="68">
        <f t="shared" si="26"/>
        <v>0</v>
      </c>
      <c r="AE108" s="69">
        <f t="shared" si="27"/>
        <v>0</v>
      </c>
      <c r="AF108" s="69">
        <f t="shared" si="28"/>
        <v>0</v>
      </c>
      <c r="AG108" s="67">
        <f t="shared" si="29"/>
        <v>0</v>
      </c>
      <c r="AH108" s="69">
        <f t="shared" si="30"/>
        <v>0</v>
      </c>
      <c r="AI108" s="67">
        <f t="shared" si="31"/>
        <v>0</v>
      </c>
    </row>
    <row r="109" ht="15.75" customHeight="1">
      <c r="B109" s="160" t="s">
        <v>138</v>
      </c>
      <c r="C109" s="20"/>
      <c r="D109" s="20"/>
      <c r="E109" s="20"/>
      <c r="F109" s="20"/>
      <c r="G109" s="21"/>
      <c r="H109" s="161" t="str">
        <f t="shared" si="4"/>
        <v/>
      </c>
      <c r="I109" s="67">
        <f t="shared" si="5"/>
        <v>0</v>
      </c>
      <c r="J109" s="68">
        <f t="shared" si="6"/>
        <v>0</v>
      </c>
      <c r="K109" s="68">
        <f t="shared" si="7"/>
        <v>0</v>
      </c>
      <c r="L109" s="69">
        <f t="shared" si="8"/>
        <v>0</v>
      </c>
      <c r="M109" s="69">
        <f t="shared" si="9"/>
        <v>0</v>
      </c>
      <c r="N109" s="69">
        <f t="shared" si="10"/>
        <v>0</v>
      </c>
      <c r="O109" s="67">
        <f t="shared" si="11"/>
        <v>0</v>
      </c>
      <c r="P109" s="68">
        <f t="shared" si="12"/>
        <v>0</v>
      </c>
      <c r="Q109" s="68">
        <f t="shared" si="13"/>
        <v>0</v>
      </c>
      <c r="R109" s="67">
        <f t="shared" si="14"/>
        <v>0</v>
      </c>
      <c r="S109" s="67">
        <f t="shared" si="15"/>
        <v>0</v>
      </c>
      <c r="T109" s="68">
        <f t="shared" si="16"/>
        <v>0</v>
      </c>
      <c r="U109" s="67">
        <f t="shared" si="17"/>
        <v>0</v>
      </c>
      <c r="V109" s="67">
        <f t="shared" si="18"/>
        <v>0</v>
      </c>
      <c r="W109" s="67">
        <f t="shared" si="19"/>
        <v>0</v>
      </c>
      <c r="X109" s="69">
        <f t="shared" si="20"/>
        <v>0</v>
      </c>
      <c r="Y109" s="69">
        <f t="shared" si="21"/>
        <v>0</v>
      </c>
      <c r="Z109" s="69">
        <f t="shared" si="22"/>
        <v>0</v>
      </c>
      <c r="AA109" s="67">
        <f t="shared" si="23"/>
        <v>0</v>
      </c>
      <c r="AB109" s="69">
        <f t="shared" si="24"/>
        <v>0</v>
      </c>
      <c r="AC109" s="69">
        <f t="shared" si="25"/>
        <v>0</v>
      </c>
      <c r="AD109" s="68">
        <f t="shared" si="26"/>
        <v>0</v>
      </c>
      <c r="AE109" s="69">
        <f t="shared" si="27"/>
        <v>0</v>
      </c>
      <c r="AF109" s="69">
        <f t="shared" si="28"/>
        <v>0</v>
      </c>
      <c r="AG109" s="67">
        <f t="shared" si="29"/>
        <v>0</v>
      </c>
      <c r="AH109" s="69">
        <f t="shared" si="30"/>
        <v>0</v>
      </c>
      <c r="AI109" s="67">
        <f t="shared" si="31"/>
        <v>0</v>
      </c>
    </row>
    <row r="110" ht="15.75" customHeight="1">
      <c r="B110" s="160" t="s">
        <v>311</v>
      </c>
      <c r="C110" s="20"/>
      <c r="D110" s="20"/>
      <c r="E110" s="20"/>
      <c r="F110" s="20"/>
      <c r="G110" s="21"/>
      <c r="H110" s="161" t="str">
        <f t="shared" si="4"/>
        <v/>
      </c>
      <c r="I110" s="67">
        <f t="shared" si="5"/>
        <v>0</v>
      </c>
      <c r="J110" s="68">
        <f t="shared" si="6"/>
        <v>0</v>
      </c>
      <c r="K110" s="68">
        <f t="shared" si="7"/>
        <v>0</v>
      </c>
      <c r="L110" s="69">
        <f t="shared" si="8"/>
        <v>0</v>
      </c>
      <c r="M110" s="69">
        <f t="shared" si="9"/>
        <v>0</v>
      </c>
      <c r="N110" s="69">
        <f t="shared" si="10"/>
        <v>0</v>
      </c>
      <c r="O110" s="67">
        <f t="shared" si="11"/>
        <v>0</v>
      </c>
      <c r="P110" s="68">
        <f t="shared" si="12"/>
        <v>0</v>
      </c>
      <c r="Q110" s="68">
        <f t="shared" si="13"/>
        <v>0</v>
      </c>
      <c r="R110" s="67">
        <f t="shared" si="14"/>
        <v>0</v>
      </c>
      <c r="S110" s="67">
        <f t="shared" si="15"/>
        <v>0</v>
      </c>
      <c r="T110" s="68">
        <f t="shared" si="16"/>
        <v>0</v>
      </c>
      <c r="U110" s="67">
        <f t="shared" si="17"/>
        <v>0</v>
      </c>
      <c r="V110" s="67">
        <f t="shared" si="18"/>
        <v>0</v>
      </c>
      <c r="W110" s="67">
        <f t="shared" si="19"/>
        <v>0</v>
      </c>
      <c r="X110" s="69">
        <f t="shared" si="20"/>
        <v>0</v>
      </c>
      <c r="Y110" s="69">
        <f t="shared" si="21"/>
        <v>0</v>
      </c>
      <c r="Z110" s="69">
        <f t="shared" si="22"/>
        <v>0</v>
      </c>
      <c r="AA110" s="67">
        <f t="shared" si="23"/>
        <v>0</v>
      </c>
      <c r="AB110" s="69">
        <f t="shared" si="24"/>
        <v>0</v>
      </c>
      <c r="AC110" s="69">
        <f t="shared" si="25"/>
        <v>0</v>
      </c>
      <c r="AD110" s="68">
        <f t="shared" si="26"/>
        <v>0</v>
      </c>
      <c r="AE110" s="69">
        <f t="shared" si="27"/>
        <v>0</v>
      </c>
      <c r="AF110" s="69">
        <f t="shared" si="28"/>
        <v>0</v>
      </c>
      <c r="AG110" s="67">
        <f t="shared" si="29"/>
        <v>0</v>
      </c>
      <c r="AH110" s="69">
        <f t="shared" si="30"/>
        <v>0</v>
      </c>
      <c r="AI110" s="67">
        <f t="shared" si="31"/>
        <v>0</v>
      </c>
    </row>
    <row r="111" ht="15.75" customHeight="1">
      <c r="B111" s="160" t="s">
        <v>312</v>
      </c>
      <c r="C111" s="20"/>
      <c r="D111" s="20"/>
      <c r="E111" s="20"/>
      <c r="F111" s="20"/>
      <c r="G111" s="21"/>
      <c r="H111" s="161" t="str">
        <f t="shared" si="4"/>
        <v/>
      </c>
      <c r="I111" s="67">
        <f t="shared" si="5"/>
        <v>0</v>
      </c>
      <c r="J111" s="68">
        <f t="shared" si="6"/>
        <v>0</v>
      </c>
      <c r="K111" s="68">
        <f t="shared" si="7"/>
        <v>0</v>
      </c>
      <c r="L111" s="69">
        <f t="shared" si="8"/>
        <v>0</v>
      </c>
      <c r="M111" s="69">
        <f t="shared" si="9"/>
        <v>0</v>
      </c>
      <c r="N111" s="69">
        <f t="shared" si="10"/>
        <v>0</v>
      </c>
      <c r="O111" s="67">
        <f t="shared" si="11"/>
        <v>0</v>
      </c>
      <c r="P111" s="68">
        <f t="shared" si="12"/>
        <v>0</v>
      </c>
      <c r="Q111" s="68">
        <f t="shared" si="13"/>
        <v>0</v>
      </c>
      <c r="R111" s="67">
        <f t="shared" si="14"/>
        <v>0</v>
      </c>
      <c r="S111" s="67">
        <f t="shared" si="15"/>
        <v>0</v>
      </c>
      <c r="T111" s="68">
        <f t="shared" si="16"/>
        <v>0</v>
      </c>
      <c r="U111" s="67">
        <f t="shared" si="17"/>
        <v>0</v>
      </c>
      <c r="V111" s="67">
        <f t="shared" si="18"/>
        <v>0</v>
      </c>
      <c r="W111" s="67">
        <f t="shared" si="19"/>
        <v>0</v>
      </c>
      <c r="X111" s="69">
        <f t="shared" si="20"/>
        <v>0</v>
      </c>
      <c r="Y111" s="69">
        <f t="shared" si="21"/>
        <v>0</v>
      </c>
      <c r="Z111" s="69">
        <f t="shared" si="22"/>
        <v>0</v>
      </c>
      <c r="AA111" s="67">
        <f t="shared" si="23"/>
        <v>0</v>
      </c>
      <c r="AB111" s="69">
        <f t="shared" si="24"/>
        <v>0</v>
      </c>
      <c r="AC111" s="69">
        <f t="shared" si="25"/>
        <v>0</v>
      </c>
      <c r="AD111" s="68">
        <f t="shared" si="26"/>
        <v>0</v>
      </c>
      <c r="AE111" s="69">
        <f t="shared" si="27"/>
        <v>0</v>
      </c>
      <c r="AF111" s="69">
        <f t="shared" si="28"/>
        <v>0</v>
      </c>
      <c r="AG111" s="67">
        <f t="shared" si="29"/>
        <v>0</v>
      </c>
      <c r="AH111" s="69">
        <f t="shared" si="30"/>
        <v>0</v>
      </c>
      <c r="AI111" s="67">
        <f t="shared" si="31"/>
        <v>0</v>
      </c>
    </row>
    <row r="112" ht="15.75" customHeight="1">
      <c r="B112" s="160" t="s">
        <v>153</v>
      </c>
      <c r="C112" s="20"/>
      <c r="D112" s="20"/>
      <c r="E112" s="20"/>
      <c r="F112" s="20"/>
      <c r="G112" s="21"/>
      <c r="H112" s="161" t="str">
        <f t="shared" si="4"/>
        <v/>
      </c>
      <c r="I112" s="67">
        <f t="shared" si="5"/>
        <v>0</v>
      </c>
      <c r="J112" s="68">
        <f t="shared" si="6"/>
        <v>0</v>
      </c>
      <c r="K112" s="68">
        <f t="shared" si="7"/>
        <v>0</v>
      </c>
      <c r="L112" s="69">
        <f t="shared" si="8"/>
        <v>0</v>
      </c>
      <c r="M112" s="69">
        <f t="shared" si="9"/>
        <v>0</v>
      </c>
      <c r="N112" s="69">
        <f t="shared" si="10"/>
        <v>0</v>
      </c>
      <c r="O112" s="67">
        <f t="shared" si="11"/>
        <v>0</v>
      </c>
      <c r="P112" s="68">
        <f t="shared" si="12"/>
        <v>0</v>
      </c>
      <c r="Q112" s="68">
        <f t="shared" si="13"/>
        <v>0</v>
      </c>
      <c r="R112" s="67">
        <f t="shared" si="14"/>
        <v>0</v>
      </c>
      <c r="S112" s="67">
        <f t="shared" si="15"/>
        <v>0</v>
      </c>
      <c r="T112" s="68">
        <f t="shared" si="16"/>
        <v>0</v>
      </c>
      <c r="U112" s="67">
        <f t="shared" si="17"/>
        <v>0</v>
      </c>
      <c r="V112" s="67">
        <f t="shared" si="18"/>
        <v>0</v>
      </c>
      <c r="W112" s="67">
        <f t="shared" si="19"/>
        <v>0</v>
      </c>
      <c r="X112" s="69">
        <f t="shared" si="20"/>
        <v>0</v>
      </c>
      <c r="Y112" s="69">
        <f t="shared" si="21"/>
        <v>0</v>
      </c>
      <c r="Z112" s="69">
        <f t="shared" si="22"/>
        <v>0</v>
      </c>
      <c r="AA112" s="67">
        <f t="shared" si="23"/>
        <v>0</v>
      </c>
      <c r="AB112" s="69">
        <f t="shared" si="24"/>
        <v>0</v>
      </c>
      <c r="AC112" s="69">
        <f t="shared" si="25"/>
        <v>0</v>
      </c>
      <c r="AD112" s="68">
        <f t="shared" si="26"/>
        <v>0</v>
      </c>
      <c r="AE112" s="69">
        <f t="shared" si="27"/>
        <v>0</v>
      </c>
      <c r="AF112" s="69">
        <f t="shared" si="28"/>
        <v>0</v>
      </c>
      <c r="AG112" s="67">
        <f t="shared" si="29"/>
        <v>0</v>
      </c>
      <c r="AH112" s="69">
        <f t="shared" si="30"/>
        <v>0</v>
      </c>
      <c r="AI112" s="67">
        <f t="shared" si="31"/>
        <v>0</v>
      </c>
    </row>
    <row r="113" ht="15.75" customHeight="1">
      <c r="B113" s="158" t="s">
        <v>159</v>
      </c>
      <c r="C113" s="20"/>
      <c r="D113" s="20"/>
      <c r="E113" s="20"/>
      <c r="F113" s="20"/>
      <c r="G113" s="21"/>
      <c r="H113" s="161" t="str">
        <f t="shared" si="4"/>
        <v/>
      </c>
      <c r="I113" s="67">
        <f t="shared" si="5"/>
        <v>0</v>
      </c>
      <c r="J113" s="68">
        <f t="shared" si="6"/>
        <v>0</v>
      </c>
      <c r="K113" s="68">
        <f t="shared" si="7"/>
        <v>0</v>
      </c>
      <c r="L113" s="69">
        <f t="shared" si="8"/>
        <v>0</v>
      </c>
      <c r="M113" s="69">
        <f t="shared" si="9"/>
        <v>0</v>
      </c>
      <c r="N113" s="69">
        <f t="shared" si="10"/>
        <v>0</v>
      </c>
      <c r="O113" s="67">
        <f t="shared" si="11"/>
        <v>0</v>
      </c>
      <c r="P113" s="68">
        <f t="shared" si="12"/>
        <v>0</v>
      </c>
      <c r="Q113" s="68">
        <f t="shared" si="13"/>
        <v>0</v>
      </c>
      <c r="R113" s="67">
        <f t="shared" si="14"/>
        <v>0</v>
      </c>
      <c r="S113" s="67">
        <f t="shared" si="15"/>
        <v>0</v>
      </c>
      <c r="T113" s="68">
        <f t="shared" si="16"/>
        <v>0</v>
      </c>
      <c r="U113" s="67">
        <f t="shared" si="17"/>
        <v>0</v>
      </c>
      <c r="V113" s="67">
        <f t="shared" si="18"/>
        <v>0</v>
      </c>
      <c r="W113" s="67">
        <f t="shared" si="19"/>
        <v>0</v>
      </c>
      <c r="X113" s="69">
        <f t="shared" si="20"/>
        <v>0</v>
      </c>
      <c r="Y113" s="69">
        <f t="shared" si="21"/>
        <v>0</v>
      </c>
      <c r="Z113" s="69">
        <f t="shared" si="22"/>
        <v>0</v>
      </c>
      <c r="AA113" s="67">
        <f t="shared" si="23"/>
        <v>0</v>
      </c>
      <c r="AB113" s="69">
        <f t="shared" si="24"/>
        <v>0</v>
      </c>
      <c r="AC113" s="69">
        <f t="shared" si="25"/>
        <v>0</v>
      </c>
      <c r="AD113" s="68">
        <f t="shared" si="26"/>
        <v>0</v>
      </c>
      <c r="AE113" s="69">
        <f t="shared" si="27"/>
        <v>0</v>
      </c>
      <c r="AF113" s="69">
        <f t="shared" si="28"/>
        <v>0</v>
      </c>
      <c r="AG113" s="67">
        <f t="shared" si="29"/>
        <v>0</v>
      </c>
      <c r="AH113" s="69">
        <f t="shared" si="30"/>
        <v>0</v>
      </c>
      <c r="AI113" s="67">
        <f t="shared" si="31"/>
        <v>0</v>
      </c>
    </row>
    <row r="114" ht="15.75" customHeight="1">
      <c r="B114" s="158" t="s">
        <v>167</v>
      </c>
      <c r="C114" s="20"/>
      <c r="D114" s="20"/>
      <c r="E114" s="20"/>
      <c r="F114" s="20"/>
      <c r="G114" s="21"/>
      <c r="H114" s="161" t="str">
        <f t="shared" si="4"/>
        <v/>
      </c>
      <c r="I114" s="67">
        <f t="shared" si="5"/>
        <v>0</v>
      </c>
      <c r="J114" s="68">
        <f t="shared" si="6"/>
        <v>0</v>
      </c>
      <c r="K114" s="68">
        <f t="shared" si="7"/>
        <v>0</v>
      </c>
      <c r="L114" s="69">
        <f t="shared" si="8"/>
        <v>0</v>
      </c>
      <c r="M114" s="69">
        <f t="shared" si="9"/>
        <v>0</v>
      </c>
      <c r="N114" s="69">
        <f t="shared" si="10"/>
        <v>0</v>
      </c>
      <c r="O114" s="67">
        <f t="shared" si="11"/>
        <v>0</v>
      </c>
      <c r="P114" s="68">
        <f t="shared" si="12"/>
        <v>0</v>
      </c>
      <c r="Q114" s="68">
        <f t="shared" si="13"/>
        <v>0</v>
      </c>
      <c r="R114" s="67">
        <f t="shared" si="14"/>
        <v>0</v>
      </c>
      <c r="S114" s="67">
        <f t="shared" si="15"/>
        <v>0</v>
      </c>
      <c r="T114" s="68">
        <f t="shared" si="16"/>
        <v>0</v>
      </c>
      <c r="U114" s="67">
        <f t="shared" si="17"/>
        <v>0</v>
      </c>
      <c r="V114" s="67">
        <f t="shared" si="18"/>
        <v>0</v>
      </c>
      <c r="W114" s="67">
        <f t="shared" si="19"/>
        <v>0</v>
      </c>
      <c r="X114" s="69">
        <f t="shared" si="20"/>
        <v>0</v>
      </c>
      <c r="Y114" s="69">
        <f t="shared" si="21"/>
        <v>0</v>
      </c>
      <c r="Z114" s="69">
        <f t="shared" si="22"/>
        <v>0</v>
      </c>
      <c r="AA114" s="67">
        <f t="shared" si="23"/>
        <v>0</v>
      </c>
      <c r="AB114" s="69">
        <f t="shared" si="24"/>
        <v>0</v>
      </c>
      <c r="AC114" s="69">
        <f t="shared" si="25"/>
        <v>0</v>
      </c>
      <c r="AD114" s="68">
        <f t="shared" si="26"/>
        <v>0</v>
      </c>
      <c r="AE114" s="69">
        <f t="shared" si="27"/>
        <v>0</v>
      </c>
      <c r="AF114" s="69">
        <f t="shared" si="28"/>
        <v>0</v>
      </c>
      <c r="AG114" s="67">
        <f t="shared" si="29"/>
        <v>0</v>
      </c>
      <c r="AH114" s="69">
        <f t="shared" si="30"/>
        <v>0</v>
      </c>
      <c r="AI114" s="67">
        <f t="shared" si="31"/>
        <v>0</v>
      </c>
    </row>
    <row r="115" ht="15.75" customHeight="1">
      <c r="B115" s="158" t="s">
        <v>313</v>
      </c>
      <c r="C115" s="20"/>
      <c r="D115" s="20"/>
      <c r="E115" s="20"/>
      <c r="F115" s="20"/>
      <c r="G115" s="21"/>
      <c r="H115" s="161" t="str">
        <f t="shared" si="4"/>
        <v/>
      </c>
      <c r="I115" s="67">
        <f t="shared" si="5"/>
        <v>0</v>
      </c>
      <c r="J115" s="68">
        <f t="shared" si="6"/>
        <v>0</v>
      </c>
      <c r="K115" s="68">
        <f t="shared" si="7"/>
        <v>0</v>
      </c>
      <c r="L115" s="69">
        <f t="shared" si="8"/>
        <v>0</v>
      </c>
      <c r="M115" s="69">
        <f t="shared" si="9"/>
        <v>0</v>
      </c>
      <c r="N115" s="69">
        <f t="shared" si="10"/>
        <v>0</v>
      </c>
      <c r="O115" s="67">
        <f t="shared" si="11"/>
        <v>0</v>
      </c>
      <c r="P115" s="68">
        <f t="shared" si="12"/>
        <v>0</v>
      </c>
      <c r="Q115" s="68">
        <f t="shared" si="13"/>
        <v>0</v>
      </c>
      <c r="R115" s="67">
        <f t="shared" si="14"/>
        <v>0</v>
      </c>
      <c r="S115" s="67">
        <f t="shared" si="15"/>
        <v>0</v>
      </c>
      <c r="T115" s="68">
        <f t="shared" si="16"/>
        <v>0</v>
      </c>
      <c r="U115" s="67">
        <f t="shared" si="17"/>
        <v>0</v>
      </c>
      <c r="V115" s="67">
        <f t="shared" si="18"/>
        <v>0</v>
      </c>
      <c r="W115" s="67">
        <f t="shared" si="19"/>
        <v>0</v>
      </c>
      <c r="X115" s="69">
        <f t="shared" si="20"/>
        <v>0</v>
      </c>
      <c r="Y115" s="69">
        <f t="shared" si="21"/>
        <v>0</v>
      </c>
      <c r="Z115" s="69">
        <f t="shared" si="22"/>
        <v>0</v>
      </c>
      <c r="AA115" s="67">
        <f t="shared" si="23"/>
        <v>0</v>
      </c>
      <c r="AB115" s="69">
        <f t="shared" si="24"/>
        <v>0</v>
      </c>
      <c r="AC115" s="69">
        <f t="shared" si="25"/>
        <v>0</v>
      </c>
      <c r="AD115" s="68">
        <f t="shared" si="26"/>
        <v>0</v>
      </c>
      <c r="AE115" s="69">
        <f t="shared" si="27"/>
        <v>0</v>
      </c>
      <c r="AF115" s="69">
        <f t="shared" si="28"/>
        <v>0</v>
      </c>
      <c r="AG115" s="67">
        <f t="shared" si="29"/>
        <v>0</v>
      </c>
      <c r="AH115" s="69">
        <f t="shared" si="30"/>
        <v>0</v>
      </c>
      <c r="AI115" s="67">
        <f t="shared" si="31"/>
        <v>0</v>
      </c>
    </row>
    <row r="116" ht="15.75" customHeight="1">
      <c r="B116" s="160" t="s">
        <v>176</v>
      </c>
      <c r="C116" s="20"/>
      <c r="D116" s="20"/>
      <c r="E116" s="20"/>
      <c r="F116" s="20"/>
      <c r="G116" s="21"/>
      <c r="H116" s="161" t="str">
        <f t="shared" si="4"/>
        <v/>
      </c>
      <c r="I116" s="67">
        <f t="shared" si="5"/>
        <v>0</v>
      </c>
      <c r="J116" s="68">
        <f t="shared" si="6"/>
        <v>0</v>
      </c>
      <c r="K116" s="68">
        <f t="shared" si="7"/>
        <v>0</v>
      </c>
      <c r="L116" s="69">
        <f t="shared" si="8"/>
        <v>0</v>
      </c>
      <c r="M116" s="69">
        <f t="shared" si="9"/>
        <v>0</v>
      </c>
      <c r="N116" s="69">
        <f t="shared" si="10"/>
        <v>0</v>
      </c>
      <c r="O116" s="67">
        <f t="shared" si="11"/>
        <v>0</v>
      </c>
      <c r="P116" s="68">
        <f t="shared" si="12"/>
        <v>0</v>
      </c>
      <c r="Q116" s="68">
        <f t="shared" si="13"/>
        <v>0</v>
      </c>
      <c r="R116" s="67">
        <f t="shared" si="14"/>
        <v>0</v>
      </c>
      <c r="S116" s="67">
        <f t="shared" si="15"/>
        <v>0</v>
      </c>
      <c r="T116" s="68">
        <f t="shared" si="16"/>
        <v>0</v>
      </c>
      <c r="U116" s="67">
        <f t="shared" si="17"/>
        <v>0</v>
      </c>
      <c r="V116" s="67">
        <f t="shared" si="18"/>
        <v>0</v>
      </c>
      <c r="W116" s="67">
        <f t="shared" si="19"/>
        <v>0</v>
      </c>
      <c r="X116" s="69">
        <f t="shared" si="20"/>
        <v>0</v>
      </c>
      <c r="Y116" s="69">
        <f t="shared" si="21"/>
        <v>0</v>
      </c>
      <c r="Z116" s="69">
        <f t="shared" si="22"/>
        <v>0</v>
      </c>
      <c r="AA116" s="67">
        <f t="shared" si="23"/>
        <v>0</v>
      </c>
      <c r="AB116" s="69">
        <f t="shared" si="24"/>
        <v>0</v>
      </c>
      <c r="AC116" s="69">
        <f t="shared" si="25"/>
        <v>0</v>
      </c>
      <c r="AD116" s="68">
        <f t="shared" si="26"/>
        <v>0</v>
      </c>
      <c r="AE116" s="69">
        <f t="shared" si="27"/>
        <v>0</v>
      </c>
      <c r="AF116" s="69">
        <f t="shared" si="28"/>
        <v>0</v>
      </c>
      <c r="AG116" s="67">
        <f t="shared" si="29"/>
        <v>0</v>
      </c>
      <c r="AH116" s="69">
        <f t="shared" si="30"/>
        <v>0</v>
      </c>
      <c r="AI116" s="67">
        <f t="shared" si="31"/>
        <v>0</v>
      </c>
    </row>
    <row r="117" ht="15.75" customHeight="1">
      <c r="B117" s="160" t="s">
        <v>179</v>
      </c>
      <c r="C117" s="20"/>
      <c r="D117" s="20"/>
      <c r="E117" s="20"/>
      <c r="F117" s="20"/>
      <c r="G117" s="21"/>
      <c r="H117" s="161" t="str">
        <f t="shared" si="4"/>
        <v/>
      </c>
      <c r="I117" s="67">
        <f t="shared" si="5"/>
        <v>0</v>
      </c>
      <c r="J117" s="68">
        <f t="shared" si="6"/>
        <v>0</v>
      </c>
      <c r="K117" s="68">
        <f t="shared" si="7"/>
        <v>0</v>
      </c>
      <c r="L117" s="69">
        <f t="shared" si="8"/>
        <v>0</v>
      </c>
      <c r="M117" s="69">
        <f t="shared" si="9"/>
        <v>0</v>
      </c>
      <c r="N117" s="69">
        <f t="shared" si="10"/>
        <v>0</v>
      </c>
      <c r="O117" s="67">
        <f t="shared" si="11"/>
        <v>0</v>
      </c>
      <c r="P117" s="68">
        <f t="shared" si="12"/>
        <v>0</v>
      </c>
      <c r="Q117" s="68">
        <f t="shared" si="13"/>
        <v>0</v>
      </c>
      <c r="R117" s="67">
        <f t="shared" si="14"/>
        <v>0</v>
      </c>
      <c r="S117" s="67">
        <f t="shared" si="15"/>
        <v>0</v>
      </c>
      <c r="T117" s="68">
        <f t="shared" si="16"/>
        <v>0</v>
      </c>
      <c r="U117" s="67">
        <f t="shared" si="17"/>
        <v>0</v>
      </c>
      <c r="V117" s="67">
        <f t="shared" si="18"/>
        <v>0</v>
      </c>
      <c r="W117" s="67">
        <f t="shared" si="19"/>
        <v>0</v>
      </c>
      <c r="X117" s="69">
        <f t="shared" si="20"/>
        <v>0</v>
      </c>
      <c r="Y117" s="69">
        <f t="shared" si="21"/>
        <v>0</v>
      </c>
      <c r="Z117" s="69">
        <f t="shared" si="22"/>
        <v>0</v>
      </c>
      <c r="AA117" s="67">
        <f t="shared" si="23"/>
        <v>0</v>
      </c>
      <c r="AB117" s="69">
        <f t="shared" si="24"/>
        <v>0</v>
      </c>
      <c r="AC117" s="69">
        <f t="shared" si="25"/>
        <v>0</v>
      </c>
      <c r="AD117" s="68">
        <f t="shared" si="26"/>
        <v>0</v>
      </c>
      <c r="AE117" s="69">
        <f t="shared" si="27"/>
        <v>0</v>
      </c>
      <c r="AF117" s="69">
        <f t="shared" si="28"/>
        <v>0</v>
      </c>
      <c r="AG117" s="67">
        <f t="shared" si="29"/>
        <v>0</v>
      </c>
      <c r="AH117" s="69">
        <f t="shared" si="30"/>
        <v>0</v>
      </c>
      <c r="AI117" s="67">
        <f t="shared" si="31"/>
        <v>0</v>
      </c>
    </row>
    <row r="118" ht="15.75" customHeight="1">
      <c r="B118" s="158" t="s">
        <v>184</v>
      </c>
      <c r="C118" s="20"/>
      <c r="D118" s="20"/>
      <c r="E118" s="20"/>
      <c r="F118" s="20"/>
      <c r="G118" s="21"/>
      <c r="H118" s="161" t="str">
        <f t="shared" si="4"/>
        <v/>
      </c>
      <c r="I118" s="67">
        <f t="shared" si="5"/>
        <v>0</v>
      </c>
      <c r="J118" s="68">
        <f t="shared" si="6"/>
        <v>0</v>
      </c>
      <c r="K118" s="68">
        <f t="shared" si="7"/>
        <v>0</v>
      </c>
      <c r="L118" s="69">
        <f t="shared" si="8"/>
        <v>0</v>
      </c>
      <c r="M118" s="69">
        <f t="shared" si="9"/>
        <v>0</v>
      </c>
      <c r="N118" s="69">
        <f t="shared" si="10"/>
        <v>0</v>
      </c>
      <c r="O118" s="67">
        <f t="shared" si="11"/>
        <v>0</v>
      </c>
      <c r="P118" s="68">
        <f t="shared" si="12"/>
        <v>0</v>
      </c>
      <c r="Q118" s="68">
        <f t="shared" si="13"/>
        <v>0</v>
      </c>
      <c r="R118" s="67">
        <f t="shared" si="14"/>
        <v>0</v>
      </c>
      <c r="S118" s="67">
        <f t="shared" si="15"/>
        <v>0</v>
      </c>
      <c r="T118" s="68">
        <f t="shared" si="16"/>
        <v>0</v>
      </c>
      <c r="U118" s="67">
        <f t="shared" si="17"/>
        <v>0</v>
      </c>
      <c r="V118" s="67">
        <f t="shared" si="18"/>
        <v>0</v>
      </c>
      <c r="W118" s="67">
        <f t="shared" si="19"/>
        <v>0</v>
      </c>
      <c r="X118" s="69">
        <f t="shared" si="20"/>
        <v>0</v>
      </c>
      <c r="Y118" s="69">
        <f t="shared" si="21"/>
        <v>0</v>
      </c>
      <c r="Z118" s="69">
        <f t="shared" si="22"/>
        <v>0</v>
      </c>
      <c r="AA118" s="67">
        <f t="shared" si="23"/>
        <v>0</v>
      </c>
      <c r="AB118" s="69">
        <f t="shared" si="24"/>
        <v>0</v>
      </c>
      <c r="AC118" s="69">
        <f t="shared" si="25"/>
        <v>0</v>
      </c>
      <c r="AD118" s="68">
        <f t="shared" si="26"/>
        <v>0</v>
      </c>
      <c r="AE118" s="69">
        <f t="shared" si="27"/>
        <v>0</v>
      </c>
      <c r="AF118" s="69">
        <f t="shared" si="28"/>
        <v>0</v>
      </c>
      <c r="AG118" s="67">
        <f t="shared" si="29"/>
        <v>0</v>
      </c>
      <c r="AH118" s="69">
        <f t="shared" si="30"/>
        <v>0</v>
      </c>
      <c r="AI118" s="67">
        <f t="shared" si="31"/>
        <v>0</v>
      </c>
    </row>
    <row r="119" ht="15.75" customHeight="1">
      <c r="B119" s="158" t="s">
        <v>186</v>
      </c>
      <c r="C119" s="20"/>
      <c r="D119" s="20"/>
      <c r="E119" s="20"/>
      <c r="F119" s="20"/>
      <c r="G119" s="21"/>
      <c r="H119" s="161" t="str">
        <f t="shared" si="4"/>
        <v/>
      </c>
      <c r="I119" s="67">
        <f t="shared" si="5"/>
        <v>0</v>
      </c>
      <c r="J119" s="68">
        <f t="shared" si="6"/>
        <v>0</v>
      </c>
      <c r="K119" s="68">
        <f t="shared" si="7"/>
        <v>0</v>
      </c>
      <c r="L119" s="69">
        <f t="shared" si="8"/>
        <v>0</v>
      </c>
      <c r="M119" s="69">
        <f t="shared" si="9"/>
        <v>0</v>
      </c>
      <c r="N119" s="69">
        <f t="shared" si="10"/>
        <v>0</v>
      </c>
      <c r="O119" s="67">
        <f t="shared" si="11"/>
        <v>0</v>
      </c>
      <c r="P119" s="68">
        <f t="shared" si="12"/>
        <v>0</v>
      </c>
      <c r="Q119" s="68">
        <f t="shared" si="13"/>
        <v>0</v>
      </c>
      <c r="R119" s="67">
        <f t="shared" si="14"/>
        <v>0</v>
      </c>
      <c r="S119" s="67">
        <f t="shared" si="15"/>
        <v>0</v>
      </c>
      <c r="T119" s="68">
        <f t="shared" si="16"/>
        <v>0</v>
      </c>
      <c r="U119" s="67">
        <f t="shared" si="17"/>
        <v>0</v>
      </c>
      <c r="V119" s="67">
        <f t="shared" si="18"/>
        <v>0</v>
      </c>
      <c r="W119" s="67">
        <f t="shared" si="19"/>
        <v>0</v>
      </c>
      <c r="X119" s="69">
        <f t="shared" si="20"/>
        <v>0</v>
      </c>
      <c r="Y119" s="69">
        <f t="shared" si="21"/>
        <v>0</v>
      </c>
      <c r="Z119" s="69">
        <f t="shared" si="22"/>
        <v>0</v>
      </c>
      <c r="AA119" s="67">
        <f t="shared" si="23"/>
        <v>0</v>
      </c>
      <c r="AB119" s="69">
        <f t="shared" si="24"/>
        <v>0</v>
      </c>
      <c r="AC119" s="69">
        <f t="shared" si="25"/>
        <v>0</v>
      </c>
      <c r="AD119" s="68">
        <f t="shared" si="26"/>
        <v>0</v>
      </c>
      <c r="AE119" s="69">
        <f t="shared" si="27"/>
        <v>0</v>
      </c>
      <c r="AF119" s="69">
        <f t="shared" si="28"/>
        <v>0</v>
      </c>
      <c r="AG119" s="67">
        <f t="shared" si="29"/>
        <v>0</v>
      </c>
      <c r="AH119" s="69">
        <f t="shared" si="30"/>
        <v>0</v>
      </c>
      <c r="AI119" s="67">
        <f t="shared" si="31"/>
        <v>0</v>
      </c>
    </row>
    <row r="120" ht="15.75" customHeight="1">
      <c r="B120" s="160" t="s">
        <v>189</v>
      </c>
      <c r="C120" s="20"/>
      <c r="D120" s="20"/>
      <c r="E120" s="20"/>
      <c r="F120" s="20"/>
      <c r="G120" s="21"/>
      <c r="H120" s="161" t="str">
        <f t="shared" si="4"/>
        <v/>
      </c>
      <c r="I120" s="67">
        <f t="shared" si="5"/>
        <v>0</v>
      </c>
      <c r="J120" s="68">
        <f t="shared" si="6"/>
        <v>0</v>
      </c>
      <c r="K120" s="68">
        <f t="shared" si="7"/>
        <v>0</v>
      </c>
      <c r="L120" s="69">
        <f t="shared" si="8"/>
        <v>0</v>
      </c>
      <c r="M120" s="69">
        <f t="shared" si="9"/>
        <v>0</v>
      </c>
      <c r="N120" s="69">
        <f t="shared" si="10"/>
        <v>0</v>
      </c>
      <c r="O120" s="67">
        <f t="shared" si="11"/>
        <v>0</v>
      </c>
      <c r="P120" s="68">
        <f t="shared" si="12"/>
        <v>0</v>
      </c>
      <c r="Q120" s="68">
        <f t="shared" si="13"/>
        <v>0</v>
      </c>
      <c r="R120" s="67">
        <f t="shared" si="14"/>
        <v>0</v>
      </c>
      <c r="S120" s="67">
        <f t="shared" si="15"/>
        <v>0</v>
      </c>
      <c r="T120" s="68">
        <f t="shared" si="16"/>
        <v>0</v>
      </c>
      <c r="U120" s="67">
        <f t="shared" si="17"/>
        <v>0</v>
      </c>
      <c r="V120" s="67">
        <f t="shared" si="18"/>
        <v>0</v>
      </c>
      <c r="W120" s="67">
        <f t="shared" si="19"/>
        <v>0</v>
      </c>
      <c r="X120" s="69">
        <f t="shared" si="20"/>
        <v>0</v>
      </c>
      <c r="Y120" s="69">
        <f t="shared" si="21"/>
        <v>0</v>
      </c>
      <c r="Z120" s="69">
        <f t="shared" si="22"/>
        <v>0</v>
      </c>
      <c r="AA120" s="67">
        <f t="shared" si="23"/>
        <v>0</v>
      </c>
      <c r="AB120" s="69">
        <f t="shared" si="24"/>
        <v>0</v>
      </c>
      <c r="AC120" s="69">
        <f t="shared" si="25"/>
        <v>0</v>
      </c>
      <c r="AD120" s="68">
        <f t="shared" si="26"/>
        <v>0</v>
      </c>
      <c r="AE120" s="69">
        <f t="shared" si="27"/>
        <v>0</v>
      </c>
      <c r="AF120" s="69">
        <f t="shared" si="28"/>
        <v>0</v>
      </c>
      <c r="AG120" s="67">
        <f t="shared" si="29"/>
        <v>0</v>
      </c>
      <c r="AH120" s="69">
        <f t="shared" si="30"/>
        <v>0</v>
      </c>
      <c r="AI120" s="67">
        <f t="shared" si="31"/>
        <v>0</v>
      </c>
    </row>
    <row r="121" ht="15.75" customHeight="1">
      <c r="B121" s="158" t="s">
        <v>195</v>
      </c>
      <c r="C121" s="20"/>
      <c r="D121" s="20"/>
      <c r="E121" s="20"/>
      <c r="F121" s="20"/>
      <c r="G121" s="21"/>
      <c r="H121" s="161" t="str">
        <f t="shared" si="4"/>
        <v/>
      </c>
      <c r="I121" s="67">
        <f t="shared" si="5"/>
        <v>0</v>
      </c>
      <c r="J121" s="68">
        <f t="shared" si="6"/>
        <v>0</v>
      </c>
      <c r="K121" s="68">
        <f t="shared" si="7"/>
        <v>0</v>
      </c>
      <c r="L121" s="69">
        <f t="shared" si="8"/>
        <v>0</v>
      </c>
      <c r="M121" s="69">
        <f t="shared" si="9"/>
        <v>0</v>
      </c>
      <c r="N121" s="69">
        <f t="shared" si="10"/>
        <v>0</v>
      </c>
      <c r="O121" s="67">
        <f t="shared" si="11"/>
        <v>0</v>
      </c>
      <c r="P121" s="68">
        <f t="shared" si="12"/>
        <v>0</v>
      </c>
      <c r="Q121" s="68">
        <f t="shared" si="13"/>
        <v>0</v>
      </c>
      <c r="R121" s="67">
        <f t="shared" si="14"/>
        <v>0</v>
      </c>
      <c r="S121" s="67">
        <f t="shared" si="15"/>
        <v>0</v>
      </c>
      <c r="T121" s="68">
        <f t="shared" si="16"/>
        <v>0</v>
      </c>
      <c r="U121" s="67">
        <f t="shared" si="17"/>
        <v>0</v>
      </c>
      <c r="V121" s="67">
        <f t="shared" si="18"/>
        <v>0</v>
      </c>
      <c r="W121" s="67">
        <f t="shared" si="19"/>
        <v>0</v>
      </c>
      <c r="X121" s="69">
        <f t="shared" si="20"/>
        <v>0</v>
      </c>
      <c r="Y121" s="69">
        <f t="shared" si="21"/>
        <v>0</v>
      </c>
      <c r="Z121" s="69">
        <f t="shared" si="22"/>
        <v>0</v>
      </c>
      <c r="AA121" s="67">
        <f t="shared" si="23"/>
        <v>0</v>
      </c>
      <c r="AB121" s="69">
        <f t="shared" si="24"/>
        <v>0</v>
      </c>
      <c r="AC121" s="69">
        <f t="shared" si="25"/>
        <v>0</v>
      </c>
      <c r="AD121" s="68">
        <f t="shared" si="26"/>
        <v>0</v>
      </c>
      <c r="AE121" s="69">
        <f t="shared" si="27"/>
        <v>0</v>
      </c>
      <c r="AF121" s="69">
        <f t="shared" si="28"/>
        <v>0</v>
      </c>
      <c r="AG121" s="67">
        <f t="shared" si="29"/>
        <v>0</v>
      </c>
      <c r="AH121" s="69">
        <f t="shared" si="30"/>
        <v>0</v>
      </c>
      <c r="AI121" s="67">
        <f t="shared" si="31"/>
        <v>0</v>
      </c>
    </row>
    <row r="122" ht="15.75" customHeight="1">
      <c r="B122" s="158" t="s">
        <v>196</v>
      </c>
      <c r="C122" s="20"/>
      <c r="D122" s="20"/>
      <c r="E122" s="20"/>
      <c r="F122" s="20"/>
      <c r="G122" s="21"/>
      <c r="H122" s="161" t="str">
        <f t="shared" si="4"/>
        <v/>
      </c>
      <c r="I122" s="67">
        <f t="shared" si="5"/>
        <v>0</v>
      </c>
      <c r="J122" s="68">
        <f t="shared" si="6"/>
        <v>0</v>
      </c>
      <c r="K122" s="68">
        <f t="shared" si="7"/>
        <v>0</v>
      </c>
      <c r="L122" s="69">
        <f t="shared" si="8"/>
        <v>0</v>
      </c>
      <c r="M122" s="69">
        <f t="shared" si="9"/>
        <v>0</v>
      </c>
      <c r="N122" s="69">
        <f t="shared" si="10"/>
        <v>0</v>
      </c>
      <c r="O122" s="67">
        <f t="shared" si="11"/>
        <v>0</v>
      </c>
      <c r="P122" s="68">
        <f t="shared" si="12"/>
        <v>0</v>
      </c>
      <c r="Q122" s="68">
        <f t="shared" si="13"/>
        <v>0</v>
      </c>
      <c r="R122" s="67">
        <f t="shared" si="14"/>
        <v>0</v>
      </c>
      <c r="S122" s="67">
        <f t="shared" si="15"/>
        <v>0</v>
      </c>
      <c r="T122" s="68">
        <f t="shared" si="16"/>
        <v>0</v>
      </c>
      <c r="U122" s="67">
        <f t="shared" si="17"/>
        <v>0</v>
      </c>
      <c r="V122" s="67">
        <f t="shared" si="18"/>
        <v>0</v>
      </c>
      <c r="W122" s="67">
        <f t="shared" si="19"/>
        <v>0</v>
      </c>
      <c r="X122" s="69">
        <f t="shared" si="20"/>
        <v>0</v>
      </c>
      <c r="Y122" s="69">
        <f t="shared" si="21"/>
        <v>0</v>
      </c>
      <c r="Z122" s="69">
        <f t="shared" si="22"/>
        <v>0</v>
      </c>
      <c r="AA122" s="67">
        <f t="shared" si="23"/>
        <v>0</v>
      </c>
      <c r="AB122" s="69">
        <f t="shared" si="24"/>
        <v>0</v>
      </c>
      <c r="AC122" s="69">
        <f t="shared" si="25"/>
        <v>0</v>
      </c>
      <c r="AD122" s="68">
        <f t="shared" si="26"/>
        <v>0</v>
      </c>
      <c r="AE122" s="69">
        <f t="shared" si="27"/>
        <v>0</v>
      </c>
      <c r="AF122" s="69">
        <f t="shared" si="28"/>
        <v>0</v>
      </c>
      <c r="AG122" s="67">
        <f t="shared" si="29"/>
        <v>0</v>
      </c>
      <c r="AH122" s="69">
        <f t="shared" si="30"/>
        <v>0</v>
      </c>
      <c r="AI122" s="67">
        <f t="shared" si="31"/>
        <v>0</v>
      </c>
    </row>
    <row r="123" ht="15.75" customHeight="1">
      <c r="B123" s="158" t="s">
        <v>197</v>
      </c>
      <c r="C123" s="20"/>
      <c r="D123" s="20"/>
      <c r="E123" s="20"/>
      <c r="F123" s="20"/>
      <c r="G123" s="21"/>
      <c r="H123" s="161" t="str">
        <f t="shared" si="4"/>
        <v/>
      </c>
      <c r="I123" s="67">
        <f t="shared" si="5"/>
        <v>0</v>
      </c>
      <c r="J123" s="68">
        <f t="shared" si="6"/>
        <v>0</v>
      </c>
      <c r="K123" s="68">
        <f t="shared" si="7"/>
        <v>0</v>
      </c>
      <c r="L123" s="69">
        <f t="shared" si="8"/>
        <v>0</v>
      </c>
      <c r="M123" s="69">
        <f t="shared" si="9"/>
        <v>0</v>
      </c>
      <c r="N123" s="69">
        <f t="shared" si="10"/>
        <v>0</v>
      </c>
      <c r="O123" s="67">
        <f t="shared" si="11"/>
        <v>0</v>
      </c>
      <c r="P123" s="68">
        <f t="shared" si="12"/>
        <v>0</v>
      </c>
      <c r="Q123" s="68">
        <f t="shared" si="13"/>
        <v>0</v>
      </c>
      <c r="R123" s="67">
        <f t="shared" si="14"/>
        <v>0</v>
      </c>
      <c r="S123" s="67">
        <f t="shared" si="15"/>
        <v>0</v>
      </c>
      <c r="T123" s="68">
        <f t="shared" si="16"/>
        <v>0</v>
      </c>
      <c r="U123" s="67">
        <f t="shared" si="17"/>
        <v>0</v>
      </c>
      <c r="V123" s="67">
        <f t="shared" si="18"/>
        <v>0</v>
      </c>
      <c r="W123" s="67">
        <f t="shared" si="19"/>
        <v>0</v>
      </c>
      <c r="X123" s="69">
        <f t="shared" si="20"/>
        <v>0</v>
      </c>
      <c r="Y123" s="69">
        <f t="shared" si="21"/>
        <v>0</v>
      </c>
      <c r="Z123" s="69">
        <f t="shared" si="22"/>
        <v>0</v>
      </c>
      <c r="AA123" s="67">
        <f t="shared" si="23"/>
        <v>0</v>
      </c>
      <c r="AB123" s="69">
        <f t="shared" si="24"/>
        <v>0</v>
      </c>
      <c r="AC123" s="69">
        <f t="shared" si="25"/>
        <v>0</v>
      </c>
      <c r="AD123" s="68">
        <f t="shared" si="26"/>
        <v>0</v>
      </c>
      <c r="AE123" s="69">
        <f t="shared" si="27"/>
        <v>0</v>
      </c>
      <c r="AF123" s="69">
        <f t="shared" si="28"/>
        <v>0</v>
      </c>
      <c r="AG123" s="67">
        <f t="shared" si="29"/>
        <v>0</v>
      </c>
      <c r="AH123" s="69">
        <f t="shared" si="30"/>
        <v>0</v>
      </c>
      <c r="AI123" s="67">
        <f t="shared" si="31"/>
        <v>0</v>
      </c>
    </row>
    <row r="124" ht="15.75" customHeight="1">
      <c r="B124" s="158" t="s">
        <v>198</v>
      </c>
      <c r="C124" s="20"/>
      <c r="D124" s="20"/>
      <c r="E124" s="20"/>
      <c r="F124" s="20"/>
      <c r="G124" s="21"/>
      <c r="H124" s="161" t="str">
        <f t="shared" si="4"/>
        <v/>
      </c>
      <c r="I124" s="67">
        <f t="shared" si="5"/>
        <v>0</v>
      </c>
      <c r="J124" s="68">
        <f t="shared" si="6"/>
        <v>0</v>
      </c>
      <c r="K124" s="68">
        <f t="shared" si="7"/>
        <v>0</v>
      </c>
      <c r="L124" s="69">
        <f t="shared" si="8"/>
        <v>0</v>
      </c>
      <c r="M124" s="69">
        <f t="shared" si="9"/>
        <v>0</v>
      </c>
      <c r="N124" s="69">
        <f t="shared" si="10"/>
        <v>0</v>
      </c>
      <c r="O124" s="67">
        <f t="shared" si="11"/>
        <v>0</v>
      </c>
      <c r="P124" s="68">
        <f t="shared" si="12"/>
        <v>0</v>
      </c>
      <c r="Q124" s="68">
        <f t="shared" si="13"/>
        <v>0</v>
      </c>
      <c r="R124" s="67">
        <f t="shared" si="14"/>
        <v>0</v>
      </c>
      <c r="S124" s="67">
        <f t="shared" si="15"/>
        <v>0</v>
      </c>
      <c r="T124" s="68">
        <f t="shared" si="16"/>
        <v>0</v>
      </c>
      <c r="U124" s="67">
        <f t="shared" si="17"/>
        <v>0</v>
      </c>
      <c r="V124" s="67">
        <f t="shared" si="18"/>
        <v>0</v>
      </c>
      <c r="W124" s="67">
        <f t="shared" si="19"/>
        <v>0</v>
      </c>
      <c r="X124" s="69">
        <f t="shared" si="20"/>
        <v>0</v>
      </c>
      <c r="Y124" s="69">
        <f t="shared" si="21"/>
        <v>0</v>
      </c>
      <c r="Z124" s="69">
        <f t="shared" si="22"/>
        <v>0</v>
      </c>
      <c r="AA124" s="67">
        <f t="shared" si="23"/>
        <v>0</v>
      </c>
      <c r="AB124" s="69">
        <f t="shared" si="24"/>
        <v>0</v>
      </c>
      <c r="AC124" s="69">
        <f t="shared" si="25"/>
        <v>0</v>
      </c>
      <c r="AD124" s="68">
        <f t="shared" si="26"/>
        <v>0</v>
      </c>
      <c r="AE124" s="69">
        <f t="shared" si="27"/>
        <v>0</v>
      </c>
      <c r="AF124" s="69">
        <f t="shared" si="28"/>
        <v>0</v>
      </c>
      <c r="AG124" s="67">
        <f t="shared" si="29"/>
        <v>0</v>
      </c>
      <c r="AH124" s="69">
        <f t="shared" si="30"/>
        <v>0</v>
      </c>
      <c r="AI124" s="67">
        <f t="shared" si="31"/>
        <v>0</v>
      </c>
    </row>
    <row r="125" ht="15.75" customHeight="1">
      <c r="B125" s="158" t="s">
        <v>200</v>
      </c>
      <c r="C125" s="20"/>
      <c r="D125" s="20"/>
      <c r="E125" s="20"/>
      <c r="F125" s="20"/>
      <c r="G125" s="21"/>
      <c r="H125" s="161" t="str">
        <f t="shared" si="4"/>
        <v/>
      </c>
      <c r="I125" s="67">
        <f t="shared" si="5"/>
        <v>0</v>
      </c>
      <c r="J125" s="68">
        <f t="shared" si="6"/>
        <v>0</v>
      </c>
      <c r="K125" s="68">
        <f t="shared" si="7"/>
        <v>0</v>
      </c>
      <c r="L125" s="69">
        <f t="shared" si="8"/>
        <v>0</v>
      </c>
      <c r="M125" s="69">
        <f t="shared" si="9"/>
        <v>0</v>
      </c>
      <c r="N125" s="69">
        <f t="shared" si="10"/>
        <v>0</v>
      </c>
      <c r="O125" s="67">
        <f t="shared" si="11"/>
        <v>0</v>
      </c>
      <c r="P125" s="68">
        <f t="shared" si="12"/>
        <v>0</v>
      </c>
      <c r="Q125" s="68">
        <f t="shared" si="13"/>
        <v>0</v>
      </c>
      <c r="R125" s="67">
        <f t="shared" si="14"/>
        <v>0</v>
      </c>
      <c r="S125" s="67">
        <f t="shared" si="15"/>
        <v>0</v>
      </c>
      <c r="T125" s="68">
        <f t="shared" si="16"/>
        <v>0</v>
      </c>
      <c r="U125" s="67">
        <f t="shared" si="17"/>
        <v>0</v>
      </c>
      <c r="V125" s="67">
        <f t="shared" si="18"/>
        <v>0</v>
      </c>
      <c r="W125" s="67">
        <f t="shared" si="19"/>
        <v>0</v>
      </c>
      <c r="X125" s="69">
        <f t="shared" si="20"/>
        <v>0</v>
      </c>
      <c r="Y125" s="69">
        <f t="shared" si="21"/>
        <v>0</v>
      </c>
      <c r="Z125" s="69">
        <f t="shared" si="22"/>
        <v>0</v>
      </c>
      <c r="AA125" s="67">
        <f t="shared" si="23"/>
        <v>0</v>
      </c>
      <c r="AB125" s="69">
        <f t="shared" si="24"/>
        <v>0</v>
      </c>
      <c r="AC125" s="69">
        <f t="shared" si="25"/>
        <v>0</v>
      </c>
      <c r="AD125" s="68">
        <f t="shared" si="26"/>
        <v>0</v>
      </c>
      <c r="AE125" s="69">
        <f t="shared" si="27"/>
        <v>0</v>
      </c>
      <c r="AF125" s="69">
        <f t="shared" si="28"/>
        <v>0</v>
      </c>
      <c r="AG125" s="67">
        <f t="shared" si="29"/>
        <v>0</v>
      </c>
      <c r="AH125" s="69">
        <f t="shared" si="30"/>
        <v>0</v>
      </c>
      <c r="AI125" s="67">
        <f t="shared" si="31"/>
        <v>0</v>
      </c>
    </row>
    <row r="126" ht="15.75" customHeight="1">
      <c r="H126" s="162" t="s">
        <v>212</v>
      </c>
      <c r="I126" s="163">
        <f t="shared" ref="I126:AI126" si="32">SUM(I104:I125)</f>
        <v>0</v>
      </c>
      <c r="J126" s="164">
        <f t="shared" si="32"/>
        <v>0</v>
      </c>
      <c r="K126" s="164">
        <f t="shared" si="32"/>
        <v>0</v>
      </c>
      <c r="L126" s="165">
        <f t="shared" si="32"/>
        <v>0</v>
      </c>
      <c r="M126" s="165">
        <f t="shared" si="32"/>
        <v>0</v>
      </c>
      <c r="N126" s="165">
        <f t="shared" si="32"/>
        <v>0</v>
      </c>
      <c r="O126" s="163">
        <f t="shared" si="32"/>
        <v>0</v>
      </c>
      <c r="P126" s="164">
        <f t="shared" si="32"/>
        <v>0</v>
      </c>
      <c r="Q126" s="164">
        <f t="shared" si="32"/>
        <v>0</v>
      </c>
      <c r="R126" s="163">
        <f t="shared" si="32"/>
        <v>0</v>
      </c>
      <c r="S126" s="163">
        <f t="shared" si="32"/>
        <v>0</v>
      </c>
      <c r="T126" s="164">
        <f t="shared" si="32"/>
        <v>0</v>
      </c>
      <c r="U126" s="163">
        <f t="shared" si="32"/>
        <v>0</v>
      </c>
      <c r="V126" s="163">
        <f t="shared" si="32"/>
        <v>0</v>
      </c>
      <c r="W126" s="163">
        <f t="shared" si="32"/>
        <v>0</v>
      </c>
      <c r="X126" s="165">
        <f t="shared" si="32"/>
        <v>0</v>
      </c>
      <c r="Y126" s="165">
        <f t="shared" si="32"/>
        <v>0</v>
      </c>
      <c r="Z126" s="165">
        <f t="shared" si="32"/>
        <v>0</v>
      </c>
      <c r="AA126" s="163">
        <f t="shared" si="32"/>
        <v>0</v>
      </c>
      <c r="AB126" s="165">
        <f t="shared" si="32"/>
        <v>0</v>
      </c>
      <c r="AC126" s="165">
        <f t="shared" si="32"/>
        <v>0</v>
      </c>
      <c r="AD126" s="164">
        <f t="shared" si="32"/>
        <v>0</v>
      </c>
      <c r="AE126" s="165">
        <f t="shared" si="32"/>
        <v>0</v>
      </c>
      <c r="AF126" s="165">
        <f t="shared" si="32"/>
        <v>0</v>
      </c>
      <c r="AG126" s="163">
        <f t="shared" si="32"/>
        <v>0</v>
      </c>
      <c r="AH126" s="165">
        <f t="shared" si="32"/>
        <v>0</v>
      </c>
      <c r="AI126" s="163">
        <f t="shared" si="32"/>
        <v>0</v>
      </c>
    </row>
    <row r="127" ht="15.75" customHeight="1">
      <c r="H127" s="162" t="s">
        <v>213</v>
      </c>
      <c r="I127" s="84" t="str">
        <f t="shared" ref="I127:Q127" si="33">B72</f>
        <v/>
      </c>
      <c r="J127" s="85">
        <f t="shared" si="33"/>
        <v>0</v>
      </c>
      <c r="K127" s="85">
        <f t="shared" si="33"/>
        <v>0</v>
      </c>
      <c r="L127" s="86">
        <f t="shared" si="33"/>
        <v>0</v>
      </c>
      <c r="M127" s="86">
        <f t="shared" si="33"/>
        <v>0</v>
      </c>
      <c r="N127" s="86">
        <f t="shared" si="33"/>
        <v>0</v>
      </c>
      <c r="O127" s="52" t="str">
        <f t="shared" si="33"/>
        <v/>
      </c>
      <c r="P127" s="85" t="str">
        <f t="shared" si="33"/>
        <v>#DIV/0!</v>
      </c>
      <c r="Q127" s="85" t="str">
        <f t="shared" si="33"/>
        <v/>
      </c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</row>
    <row r="128" ht="15.75" customHeight="1">
      <c r="H128" s="162" t="s">
        <v>214</v>
      </c>
      <c r="I128" s="166" t="str">
        <f t="shared" ref="I128:AI128" si="34">((100/I127)*I126)</f>
        <v>#DIV/0!</v>
      </c>
      <c r="J128" s="166" t="str">
        <f t="shared" si="34"/>
        <v>#DIV/0!</v>
      </c>
      <c r="K128" s="166" t="str">
        <f t="shared" si="34"/>
        <v>#DIV/0!</v>
      </c>
      <c r="L128" s="166" t="str">
        <f t="shared" si="34"/>
        <v>#DIV/0!</v>
      </c>
      <c r="M128" s="166" t="str">
        <f t="shared" si="34"/>
        <v>#DIV/0!</v>
      </c>
      <c r="N128" s="166" t="str">
        <f t="shared" si="34"/>
        <v>#DIV/0!</v>
      </c>
      <c r="O128" s="166" t="str">
        <f t="shared" si="34"/>
        <v>#DIV/0!</v>
      </c>
      <c r="P128" s="166" t="str">
        <f t="shared" si="34"/>
        <v>#DIV/0!</v>
      </c>
      <c r="Q128" s="166" t="str">
        <f t="shared" si="34"/>
        <v>#DIV/0!</v>
      </c>
      <c r="R128" s="166" t="str">
        <f t="shared" si="34"/>
        <v>#DIV/0!</v>
      </c>
      <c r="S128" s="166" t="str">
        <f t="shared" si="34"/>
        <v>#DIV/0!</v>
      </c>
      <c r="T128" s="166" t="str">
        <f t="shared" si="34"/>
        <v>#DIV/0!</v>
      </c>
      <c r="U128" s="166" t="str">
        <f t="shared" si="34"/>
        <v>#DIV/0!</v>
      </c>
      <c r="V128" s="166" t="str">
        <f t="shared" si="34"/>
        <v>#DIV/0!</v>
      </c>
      <c r="W128" s="166" t="str">
        <f t="shared" si="34"/>
        <v>#DIV/0!</v>
      </c>
      <c r="X128" s="166" t="str">
        <f t="shared" si="34"/>
        <v>#DIV/0!</v>
      </c>
      <c r="Y128" s="166" t="str">
        <f t="shared" si="34"/>
        <v>#DIV/0!</v>
      </c>
      <c r="Z128" s="166" t="str">
        <f t="shared" si="34"/>
        <v>#DIV/0!</v>
      </c>
      <c r="AA128" s="166" t="str">
        <f t="shared" si="34"/>
        <v>#DIV/0!</v>
      </c>
      <c r="AB128" s="166" t="str">
        <f t="shared" si="34"/>
        <v>#DIV/0!</v>
      </c>
      <c r="AC128" s="166" t="str">
        <f t="shared" si="34"/>
        <v>#DIV/0!</v>
      </c>
      <c r="AD128" s="166" t="str">
        <f t="shared" si="34"/>
        <v>#DIV/0!</v>
      </c>
      <c r="AE128" s="166" t="str">
        <f t="shared" si="34"/>
        <v>#DIV/0!</v>
      </c>
      <c r="AF128" s="166" t="str">
        <f t="shared" si="34"/>
        <v>#DIV/0!</v>
      </c>
      <c r="AG128" s="166" t="str">
        <f t="shared" si="34"/>
        <v>#DIV/0!</v>
      </c>
      <c r="AH128" s="166" t="str">
        <f t="shared" si="34"/>
        <v>#DIV/0!</v>
      </c>
      <c r="AI128" s="166" t="str">
        <f t="shared" si="34"/>
        <v>#DIV/0!</v>
      </c>
    </row>
    <row r="129" ht="15.75" customHeight="1">
      <c r="I129" s="63" t="s">
        <v>97</v>
      </c>
      <c r="J129" s="63" t="s">
        <v>98</v>
      </c>
      <c r="K129" s="63" t="s">
        <v>99</v>
      </c>
      <c r="L129" s="63" t="s">
        <v>100</v>
      </c>
      <c r="M129" s="63" t="s">
        <v>101</v>
      </c>
      <c r="N129" s="63" t="s">
        <v>102</v>
      </c>
      <c r="O129" s="63" t="s">
        <v>103</v>
      </c>
      <c r="P129" s="63" t="s">
        <v>104</v>
      </c>
      <c r="Q129" s="63" t="s">
        <v>105</v>
      </c>
      <c r="R129" s="157" t="s">
        <v>106</v>
      </c>
      <c r="S129" s="157" t="s">
        <v>107</v>
      </c>
      <c r="T129" s="157" t="s">
        <v>108</v>
      </c>
      <c r="U129" s="157" t="s">
        <v>109</v>
      </c>
      <c r="V129" s="157" t="s">
        <v>110</v>
      </c>
      <c r="W129" s="157" t="s">
        <v>111</v>
      </c>
      <c r="X129" s="157" t="s">
        <v>112</v>
      </c>
      <c r="Y129" s="157" t="s">
        <v>113</v>
      </c>
      <c r="Z129" s="157" t="s">
        <v>114</v>
      </c>
      <c r="AA129" s="157" t="s">
        <v>115</v>
      </c>
      <c r="AB129" s="157" t="s">
        <v>116</v>
      </c>
      <c r="AC129" s="157" t="s">
        <v>117</v>
      </c>
      <c r="AD129" s="157" t="s">
        <v>118</v>
      </c>
      <c r="AE129" s="157" t="s">
        <v>119</v>
      </c>
      <c r="AF129" s="157" t="s">
        <v>120</v>
      </c>
      <c r="AG129" s="157" t="s">
        <v>121</v>
      </c>
      <c r="AH129" s="157" t="s">
        <v>122</v>
      </c>
      <c r="AI129" s="157" t="s">
        <v>123</v>
      </c>
    </row>
    <row r="130" ht="15.75" customHeight="1"/>
    <row r="131" ht="15.75" customHeight="1">
      <c r="B131" s="90" t="s">
        <v>314</v>
      </c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1"/>
      <c r="T131" s="61"/>
      <c r="U131" s="61"/>
      <c r="V131" s="61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</row>
    <row r="132" ht="15.75" customHeight="1"/>
    <row r="133" ht="15.75" customHeight="1">
      <c r="I133" s="19" t="s">
        <v>314</v>
      </c>
      <c r="J133" s="20"/>
      <c r="K133" s="20"/>
      <c r="L133" s="20"/>
      <c r="M133" s="20"/>
      <c r="N133" s="21"/>
      <c r="O133" s="19" t="s">
        <v>216</v>
      </c>
      <c r="P133" s="20"/>
      <c r="Q133" s="21"/>
      <c r="S133" s="19" t="s">
        <v>315</v>
      </c>
      <c r="T133" s="20"/>
      <c r="U133" s="21"/>
    </row>
    <row r="134" ht="15.75" customHeight="1">
      <c r="I134" s="23" t="s">
        <v>217</v>
      </c>
      <c r="J134" s="23" t="s">
        <v>218</v>
      </c>
      <c r="K134" s="23" t="s">
        <v>219</v>
      </c>
      <c r="L134" s="23" t="s">
        <v>220</v>
      </c>
      <c r="M134" s="91" t="s">
        <v>221</v>
      </c>
      <c r="N134" s="22"/>
      <c r="O134" s="174" t="s">
        <v>224</v>
      </c>
      <c r="P134" s="21"/>
      <c r="Q134" s="52" t="s">
        <v>223</v>
      </c>
      <c r="S134" s="174" t="s">
        <v>316</v>
      </c>
      <c r="T134" s="21"/>
      <c r="U134" s="52">
        <f>J135/6.25</f>
        <v>0</v>
      </c>
    </row>
    <row r="135" ht="15.75" customHeight="1">
      <c r="I135" s="94" t="s">
        <v>224</v>
      </c>
      <c r="J135" s="95">
        <f>(J126)</f>
        <v>0</v>
      </c>
      <c r="K135" s="96">
        <f>(J135*4)</f>
        <v>0</v>
      </c>
      <c r="L135" s="95" t="str">
        <f>((100/K147)*K135)</f>
        <v>#DIV/0!</v>
      </c>
      <c r="M135" s="113" t="s">
        <v>225</v>
      </c>
      <c r="N135" s="98">
        <f>SUM(J104:J111)</f>
        <v>0</v>
      </c>
      <c r="O135" s="92" t="s">
        <v>226</v>
      </c>
      <c r="P135" s="93"/>
      <c r="Q135" s="52" t="s">
        <v>227</v>
      </c>
      <c r="S135" s="113" t="s">
        <v>317</v>
      </c>
      <c r="T135" s="113"/>
      <c r="U135" s="84">
        <f>K138+K145</f>
        <v>0</v>
      </c>
    </row>
    <row r="136" ht="15.75" customHeight="1">
      <c r="I136" s="99"/>
      <c r="J136" s="99"/>
      <c r="K136" s="99"/>
      <c r="L136" s="99"/>
      <c r="M136" s="113" t="s">
        <v>228</v>
      </c>
      <c r="N136" s="98" t="str">
        <f>((100/J135)*N135)</f>
        <v>#DIV/0!</v>
      </c>
      <c r="O136" s="92" t="s">
        <v>229</v>
      </c>
      <c r="P136" s="93"/>
      <c r="Q136" s="52" t="s">
        <v>230</v>
      </c>
      <c r="S136" s="123" t="s">
        <v>318</v>
      </c>
      <c r="T136" s="123"/>
      <c r="U136" s="409" t="str">
        <f>U135/U134</f>
        <v>#DIV/0!</v>
      </c>
    </row>
    <row r="137" ht="15.75" customHeight="1">
      <c r="I137" s="100"/>
      <c r="J137" s="100"/>
      <c r="K137" s="100"/>
      <c r="L137" s="100"/>
      <c r="M137" s="113" t="s">
        <v>231</v>
      </c>
      <c r="N137" s="101" t="str">
        <f>(J135/J148)</f>
        <v>#DIV/0!</v>
      </c>
      <c r="O137" s="92" t="s">
        <v>232</v>
      </c>
      <c r="P137" s="93"/>
      <c r="Q137" s="52" t="s">
        <v>233</v>
      </c>
      <c r="S137" s="125"/>
      <c r="T137" s="125"/>
      <c r="U137" s="125"/>
    </row>
    <row r="138" ht="15.75" customHeight="1">
      <c r="I138" s="94" t="s">
        <v>234</v>
      </c>
      <c r="J138" s="95">
        <f>(K126)</f>
        <v>0</v>
      </c>
      <c r="K138" s="96">
        <f>(J138*9)</f>
        <v>0</v>
      </c>
      <c r="L138" s="95" t="str">
        <f>((100/K147)*K138)</f>
        <v>#DIV/0!</v>
      </c>
      <c r="M138" s="113" t="s">
        <v>235</v>
      </c>
      <c r="N138" s="101">
        <f>(L126)</f>
        <v>0</v>
      </c>
      <c r="O138" s="92" t="s">
        <v>236</v>
      </c>
      <c r="P138" s="93"/>
      <c r="Q138" s="52" t="s">
        <v>237</v>
      </c>
    </row>
    <row r="139" ht="15.75" customHeight="1">
      <c r="I139" s="99"/>
      <c r="J139" s="99"/>
      <c r="K139" s="99"/>
      <c r="L139" s="99"/>
      <c r="M139" s="113" t="s">
        <v>238</v>
      </c>
      <c r="N139" s="101" t="str">
        <f>((100/K147)*(N138*9))</f>
        <v>#DIV/0!</v>
      </c>
      <c r="O139" s="92" t="s">
        <v>239</v>
      </c>
      <c r="P139" s="93"/>
      <c r="Q139" s="52" t="s">
        <v>240</v>
      </c>
    </row>
    <row r="140" ht="15.75" customHeight="1">
      <c r="I140" s="99"/>
      <c r="J140" s="99"/>
      <c r="K140" s="99"/>
      <c r="L140" s="99"/>
      <c r="M140" s="113" t="s">
        <v>241</v>
      </c>
      <c r="N140" s="101">
        <f>(M126)</f>
        <v>0</v>
      </c>
      <c r="O140" s="92" t="s">
        <v>242</v>
      </c>
      <c r="P140" s="93"/>
      <c r="Q140" s="52" t="s">
        <v>237</v>
      </c>
    </row>
    <row r="141" ht="15.75" customHeight="1">
      <c r="I141" s="99"/>
      <c r="J141" s="99"/>
      <c r="K141" s="99"/>
      <c r="L141" s="99"/>
      <c r="M141" s="113" t="s">
        <v>243</v>
      </c>
      <c r="N141" s="101" t="str">
        <f>((100/K147)*(N140*9))</f>
        <v>#DIV/0!</v>
      </c>
      <c r="O141" s="92" t="s">
        <v>244</v>
      </c>
      <c r="P141" s="93"/>
      <c r="Q141" s="52" t="s">
        <v>245</v>
      </c>
    </row>
    <row r="142" ht="15.75" customHeight="1">
      <c r="I142" s="99"/>
      <c r="J142" s="99"/>
      <c r="K142" s="99"/>
      <c r="L142" s="99"/>
      <c r="M142" s="113" t="s">
        <v>246</v>
      </c>
      <c r="N142" s="101">
        <f>(N126)</f>
        <v>0</v>
      </c>
      <c r="O142" s="92" t="s">
        <v>247</v>
      </c>
      <c r="P142" s="93"/>
      <c r="Q142" s="52" t="s">
        <v>248</v>
      </c>
    </row>
    <row r="143" ht="15.75" customHeight="1">
      <c r="I143" s="99"/>
      <c r="J143" s="99"/>
      <c r="K143" s="99"/>
      <c r="L143" s="99"/>
      <c r="M143" s="113" t="s">
        <v>249</v>
      </c>
      <c r="N143" s="101" t="str">
        <f>((100/K147)*(N142*9))</f>
        <v>#DIV/0!</v>
      </c>
      <c r="O143" s="92" t="s">
        <v>250</v>
      </c>
      <c r="P143" s="93"/>
      <c r="Q143" s="52" t="s">
        <v>251</v>
      </c>
    </row>
    <row r="144" ht="15.75" customHeight="1">
      <c r="I144" s="100"/>
      <c r="J144" s="100"/>
      <c r="K144" s="100"/>
      <c r="L144" s="100"/>
      <c r="M144" s="113" t="s">
        <v>252</v>
      </c>
      <c r="N144" s="102">
        <f>(O126)</f>
        <v>0</v>
      </c>
      <c r="O144" s="92" t="s">
        <v>252</v>
      </c>
      <c r="P144" s="93"/>
      <c r="Q144" s="52" t="s">
        <v>253</v>
      </c>
    </row>
    <row r="145" ht="15.75" customHeight="1">
      <c r="I145" s="94" t="s">
        <v>254</v>
      </c>
      <c r="J145" s="95">
        <f>(P126)</f>
        <v>0</v>
      </c>
      <c r="K145" s="103">
        <f>(J145*4)</f>
        <v>0</v>
      </c>
      <c r="L145" s="95" t="str">
        <f>((100/K147)*K145)</f>
        <v>#DIV/0!</v>
      </c>
      <c r="M145" s="113" t="s">
        <v>255</v>
      </c>
      <c r="N145" s="98">
        <f>SUM(P120)</f>
        <v>0</v>
      </c>
      <c r="O145" s="92" t="s">
        <v>256</v>
      </c>
      <c r="P145" s="93"/>
      <c r="Q145" s="52" t="s">
        <v>257</v>
      </c>
    </row>
    <row r="146" ht="15.75" customHeight="1">
      <c r="I146" s="100"/>
      <c r="J146" s="100"/>
      <c r="K146" s="100"/>
      <c r="L146" s="100"/>
      <c r="M146" s="113" t="s">
        <v>258</v>
      </c>
      <c r="N146" s="98" t="str">
        <f>((100/K147)*(N145*4))</f>
        <v>#DIV/0!</v>
      </c>
      <c r="O146" s="92" t="s">
        <v>259</v>
      </c>
      <c r="P146" s="93"/>
      <c r="Q146" s="52" t="s">
        <v>260</v>
      </c>
    </row>
    <row r="147" ht="15.75" customHeight="1">
      <c r="I147" s="249" t="s">
        <v>261</v>
      </c>
      <c r="J147" s="250"/>
      <c r="K147" s="105">
        <f t="shared" ref="K147:L147" si="35">SUM(K135:K146)</f>
        <v>0</v>
      </c>
      <c r="L147" s="106" t="str">
        <f t="shared" si="35"/>
        <v>#DIV/0!</v>
      </c>
      <c r="M147" s="113" t="s">
        <v>259</v>
      </c>
      <c r="N147" s="107">
        <f>Q126</f>
        <v>0</v>
      </c>
      <c r="O147" s="92" t="s">
        <v>262</v>
      </c>
      <c r="P147" s="93"/>
      <c r="Q147" s="52" t="s">
        <v>263</v>
      </c>
    </row>
    <row r="148" ht="15.75" customHeight="1">
      <c r="I148" s="251" t="s">
        <v>264</v>
      </c>
      <c r="J148" s="106" t="str">
        <f>J67</f>
        <v/>
      </c>
      <c r="K148" s="252"/>
      <c r="L148" s="253"/>
      <c r="M148" s="253"/>
      <c r="N148" s="29"/>
      <c r="O148" s="92" t="s">
        <v>307</v>
      </c>
      <c r="P148" s="93"/>
      <c r="Q148" s="52" t="s">
        <v>308</v>
      </c>
    </row>
    <row r="149" ht="15.75" customHeight="1"/>
    <row r="150" ht="15.75" customHeight="1">
      <c r="B150" s="90" t="s">
        <v>319</v>
      </c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</row>
    <row r="151" ht="15.75" customHeight="1"/>
    <row r="152" ht="15.75" customHeight="1">
      <c r="B152" s="62" t="s">
        <v>95</v>
      </c>
      <c r="C152" s="20"/>
      <c r="D152" s="20"/>
      <c r="E152" s="20"/>
      <c r="F152" s="20"/>
      <c r="G152" s="21"/>
      <c r="H152" s="63" t="s">
        <v>96</v>
      </c>
      <c r="I152" s="63" t="s">
        <v>320</v>
      </c>
      <c r="J152" s="63" t="s">
        <v>321</v>
      </c>
      <c r="K152" s="63" t="s">
        <v>322</v>
      </c>
      <c r="L152" s="63" t="s">
        <v>323</v>
      </c>
      <c r="M152" s="63" t="s">
        <v>324</v>
      </c>
      <c r="N152" s="63" t="s">
        <v>325</v>
      </c>
      <c r="P152" s="190" t="s">
        <v>818</v>
      </c>
      <c r="Q152" s="60"/>
    </row>
    <row r="153" ht="15.75" customHeight="1">
      <c r="B153" s="158" t="s">
        <v>126</v>
      </c>
      <c r="C153" s="20"/>
      <c r="D153" s="20"/>
      <c r="E153" s="20"/>
      <c r="F153" s="20"/>
      <c r="G153" s="21"/>
      <c r="H153" s="161" t="str">
        <f t="shared" ref="H153:H174" si="36">H104</f>
        <v/>
      </c>
      <c r="I153" s="66"/>
      <c r="J153" s="66"/>
      <c r="K153" s="66"/>
      <c r="L153" s="66"/>
      <c r="M153" s="66"/>
      <c r="N153" s="66"/>
      <c r="P153" s="191" t="s">
        <v>819</v>
      </c>
      <c r="Q153" s="60"/>
    </row>
    <row r="154" ht="15.75" customHeight="1">
      <c r="B154" s="158" t="s">
        <v>127</v>
      </c>
      <c r="C154" s="20"/>
      <c r="D154" s="20"/>
      <c r="E154" s="20"/>
      <c r="F154" s="20"/>
      <c r="G154" s="21"/>
      <c r="H154" s="161" t="str">
        <f t="shared" si="36"/>
        <v/>
      </c>
      <c r="I154" s="66"/>
      <c r="J154" s="66"/>
      <c r="K154" s="66"/>
      <c r="L154" s="66"/>
      <c r="M154" s="66"/>
      <c r="N154" s="66"/>
      <c r="P154" s="191" t="s">
        <v>820</v>
      </c>
      <c r="Q154" s="60"/>
    </row>
    <row r="155" ht="15.75" customHeight="1">
      <c r="B155" s="158" t="s">
        <v>128</v>
      </c>
      <c r="C155" s="20"/>
      <c r="D155" s="20"/>
      <c r="E155" s="20"/>
      <c r="F155" s="20"/>
      <c r="G155" s="21"/>
      <c r="H155" s="161" t="str">
        <f t="shared" si="36"/>
        <v/>
      </c>
      <c r="I155" s="66"/>
      <c r="J155" s="66"/>
      <c r="K155" s="66"/>
      <c r="L155" s="66"/>
      <c r="M155" s="66"/>
      <c r="N155" s="66"/>
      <c r="P155" s="191" t="s">
        <v>821</v>
      </c>
      <c r="Q155" s="60"/>
    </row>
    <row r="156" ht="15.75" customHeight="1">
      <c r="B156" s="158" t="s">
        <v>129</v>
      </c>
      <c r="C156" s="20"/>
      <c r="D156" s="20"/>
      <c r="E156" s="20"/>
      <c r="F156" s="20"/>
      <c r="G156" s="21"/>
      <c r="H156" s="161" t="str">
        <f t="shared" si="36"/>
        <v/>
      </c>
      <c r="I156" s="66"/>
      <c r="J156" s="66"/>
      <c r="K156" s="66"/>
      <c r="L156" s="66"/>
      <c r="M156" s="66"/>
      <c r="N156" s="66"/>
      <c r="P156" s="191" t="s">
        <v>822</v>
      </c>
      <c r="Q156" s="60"/>
    </row>
    <row r="157" ht="15.75" customHeight="1">
      <c r="B157" s="408" t="s">
        <v>817</v>
      </c>
      <c r="C157" s="20"/>
      <c r="D157" s="20"/>
      <c r="E157" s="20"/>
      <c r="F157" s="20"/>
      <c r="G157" s="21"/>
      <c r="H157" s="161" t="str">
        <f t="shared" si="36"/>
        <v/>
      </c>
      <c r="I157" s="66"/>
      <c r="J157" s="66"/>
      <c r="K157" s="66"/>
      <c r="L157" s="66"/>
      <c r="M157" s="66"/>
      <c r="N157" s="66"/>
      <c r="P157" s="191" t="s">
        <v>823</v>
      </c>
      <c r="Q157" s="60"/>
    </row>
    <row r="158" ht="15.75" customHeight="1">
      <c r="B158" s="160" t="s">
        <v>138</v>
      </c>
      <c r="C158" s="20"/>
      <c r="D158" s="20"/>
      <c r="E158" s="20"/>
      <c r="F158" s="20"/>
      <c r="G158" s="21"/>
      <c r="H158" s="161" t="str">
        <f t="shared" si="36"/>
        <v/>
      </c>
      <c r="I158" s="66"/>
      <c r="J158" s="66"/>
      <c r="K158" s="66"/>
      <c r="L158" s="66"/>
      <c r="M158" s="66"/>
      <c r="N158" s="66"/>
    </row>
    <row r="159" ht="15.75" customHeight="1">
      <c r="B159" s="160" t="s">
        <v>311</v>
      </c>
      <c r="C159" s="20"/>
      <c r="D159" s="20"/>
      <c r="E159" s="20"/>
      <c r="F159" s="20"/>
      <c r="G159" s="21"/>
      <c r="H159" s="161" t="str">
        <f t="shared" si="36"/>
        <v/>
      </c>
      <c r="I159" s="66"/>
      <c r="J159" s="66"/>
      <c r="K159" s="66"/>
      <c r="L159" s="66"/>
      <c r="M159" s="66"/>
      <c r="N159" s="66"/>
    </row>
    <row r="160" ht="15.75" customHeight="1">
      <c r="B160" s="160" t="s">
        <v>312</v>
      </c>
      <c r="C160" s="20"/>
      <c r="D160" s="20"/>
      <c r="E160" s="20"/>
      <c r="F160" s="20"/>
      <c r="G160" s="21"/>
      <c r="H160" s="161" t="str">
        <f t="shared" si="36"/>
        <v/>
      </c>
      <c r="I160" s="66"/>
      <c r="J160" s="66"/>
      <c r="K160" s="66"/>
      <c r="L160" s="66"/>
      <c r="M160" s="66"/>
      <c r="N160" s="66"/>
    </row>
    <row r="161" ht="15.75" customHeight="1">
      <c r="B161" s="160" t="s">
        <v>153</v>
      </c>
      <c r="C161" s="20"/>
      <c r="D161" s="20"/>
      <c r="E161" s="20"/>
      <c r="F161" s="20"/>
      <c r="G161" s="21"/>
      <c r="H161" s="161" t="str">
        <f t="shared" si="36"/>
        <v/>
      </c>
      <c r="I161" s="66"/>
      <c r="J161" s="66"/>
      <c r="K161" s="66"/>
      <c r="L161" s="66"/>
      <c r="M161" s="66"/>
      <c r="N161" s="66"/>
    </row>
    <row r="162" ht="15.0" customHeight="1">
      <c r="B162" s="158" t="s">
        <v>159</v>
      </c>
      <c r="C162" s="20"/>
      <c r="D162" s="20"/>
      <c r="E162" s="20"/>
      <c r="F162" s="20"/>
      <c r="G162" s="21"/>
      <c r="H162" s="161" t="str">
        <f t="shared" si="36"/>
        <v/>
      </c>
      <c r="I162" s="66"/>
      <c r="J162" s="66"/>
      <c r="K162" s="66"/>
      <c r="L162" s="66"/>
      <c r="M162" s="66"/>
      <c r="N162" s="66"/>
    </row>
    <row r="163" ht="15.75" customHeight="1">
      <c r="B163" s="158" t="s">
        <v>167</v>
      </c>
      <c r="C163" s="20"/>
      <c r="D163" s="20"/>
      <c r="E163" s="20"/>
      <c r="F163" s="20"/>
      <c r="G163" s="21"/>
      <c r="H163" s="161" t="str">
        <f t="shared" si="36"/>
        <v/>
      </c>
      <c r="I163" s="66"/>
      <c r="J163" s="66"/>
      <c r="K163" s="66"/>
      <c r="L163" s="66"/>
      <c r="M163" s="66"/>
      <c r="N163" s="66"/>
    </row>
    <row r="164" ht="15.0" customHeight="1">
      <c r="B164" s="158" t="s">
        <v>313</v>
      </c>
      <c r="C164" s="20"/>
      <c r="D164" s="20"/>
      <c r="E164" s="20"/>
      <c r="F164" s="20"/>
      <c r="G164" s="21"/>
      <c r="H164" s="161" t="str">
        <f t="shared" si="36"/>
        <v/>
      </c>
      <c r="I164" s="66"/>
      <c r="J164" s="66"/>
      <c r="K164" s="66"/>
      <c r="L164" s="66"/>
      <c r="M164" s="66"/>
      <c r="N164" s="66"/>
    </row>
    <row r="165" ht="15.75" customHeight="1">
      <c r="B165" s="160" t="s">
        <v>176</v>
      </c>
      <c r="C165" s="20"/>
      <c r="D165" s="20"/>
      <c r="E165" s="20"/>
      <c r="F165" s="20"/>
      <c r="G165" s="21"/>
      <c r="H165" s="161" t="str">
        <f t="shared" si="36"/>
        <v/>
      </c>
      <c r="I165" s="66"/>
      <c r="J165" s="66"/>
      <c r="K165" s="66"/>
      <c r="L165" s="66"/>
      <c r="M165" s="66"/>
      <c r="N165" s="66"/>
    </row>
    <row r="166" ht="15.75" customHeight="1">
      <c r="B166" s="160" t="s">
        <v>179</v>
      </c>
      <c r="C166" s="20"/>
      <c r="D166" s="20"/>
      <c r="E166" s="20"/>
      <c r="F166" s="20"/>
      <c r="G166" s="21"/>
      <c r="H166" s="161" t="str">
        <f t="shared" si="36"/>
        <v/>
      </c>
      <c r="I166" s="66"/>
      <c r="J166" s="66"/>
      <c r="K166" s="66"/>
      <c r="L166" s="66"/>
      <c r="M166" s="66"/>
      <c r="N166" s="66"/>
    </row>
    <row r="167" ht="15.0" customHeight="1">
      <c r="B167" s="158" t="s">
        <v>184</v>
      </c>
      <c r="C167" s="20"/>
      <c r="D167" s="20"/>
      <c r="E167" s="20"/>
      <c r="F167" s="20"/>
      <c r="G167" s="21"/>
      <c r="H167" s="161" t="str">
        <f t="shared" si="36"/>
        <v/>
      </c>
      <c r="I167" s="66"/>
      <c r="J167" s="66"/>
      <c r="K167" s="66"/>
      <c r="L167" s="66"/>
      <c r="M167" s="66"/>
      <c r="N167" s="66"/>
    </row>
    <row r="168" ht="15.0" customHeight="1">
      <c r="B168" s="158" t="s">
        <v>186</v>
      </c>
      <c r="C168" s="20"/>
      <c r="D168" s="20"/>
      <c r="E168" s="20"/>
      <c r="F168" s="20"/>
      <c r="G168" s="21"/>
      <c r="H168" s="161" t="str">
        <f t="shared" si="36"/>
        <v/>
      </c>
      <c r="I168" s="66"/>
      <c r="J168" s="66"/>
      <c r="K168" s="66"/>
      <c r="L168" s="66"/>
      <c r="M168" s="66"/>
      <c r="N168" s="66"/>
    </row>
    <row r="169" ht="15.75" customHeight="1">
      <c r="B169" s="160" t="s">
        <v>189</v>
      </c>
      <c r="C169" s="20"/>
      <c r="D169" s="20"/>
      <c r="E169" s="20"/>
      <c r="F169" s="20"/>
      <c r="G169" s="21"/>
      <c r="H169" s="161" t="str">
        <f t="shared" si="36"/>
        <v/>
      </c>
      <c r="I169" s="66"/>
      <c r="J169" s="66"/>
      <c r="K169" s="66"/>
      <c r="L169" s="66"/>
      <c r="M169" s="66"/>
      <c r="N169" s="66"/>
    </row>
    <row r="170" ht="15.75" customHeight="1">
      <c r="B170" s="158" t="s">
        <v>195</v>
      </c>
      <c r="C170" s="20"/>
      <c r="D170" s="20"/>
      <c r="E170" s="20"/>
      <c r="F170" s="20"/>
      <c r="G170" s="21"/>
      <c r="H170" s="161" t="str">
        <f t="shared" si="36"/>
        <v/>
      </c>
      <c r="I170" s="66"/>
      <c r="J170" s="66"/>
      <c r="K170" s="66"/>
      <c r="L170" s="66"/>
      <c r="M170" s="66"/>
      <c r="N170" s="66"/>
    </row>
    <row r="171" ht="15.75" customHeight="1">
      <c r="B171" s="158" t="s">
        <v>196</v>
      </c>
      <c r="C171" s="20"/>
      <c r="D171" s="20"/>
      <c r="E171" s="20"/>
      <c r="F171" s="20"/>
      <c r="G171" s="21"/>
      <c r="H171" s="161" t="str">
        <f t="shared" si="36"/>
        <v/>
      </c>
      <c r="I171" s="66"/>
      <c r="J171" s="66"/>
      <c r="K171" s="66"/>
      <c r="L171" s="66"/>
      <c r="M171" s="66"/>
      <c r="N171" s="66"/>
    </row>
    <row r="172" ht="15.75" customHeight="1">
      <c r="B172" s="158" t="s">
        <v>197</v>
      </c>
      <c r="C172" s="20"/>
      <c r="D172" s="20"/>
      <c r="E172" s="20"/>
      <c r="F172" s="20"/>
      <c r="G172" s="21"/>
      <c r="H172" s="161" t="str">
        <f t="shared" si="36"/>
        <v/>
      </c>
      <c r="I172" s="66"/>
      <c r="J172" s="66"/>
      <c r="K172" s="66"/>
      <c r="L172" s="66"/>
      <c r="M172" s="66"/>
      <c r="N172" s="66"/>
    </row>
    <row r="173" ht="15.75" customHeight="1">
      <c r="B173" s="158" t="s">
        <v>198</v>
      </c>
      <c r="C173" s="20"/>
      <c r="D173" s="20"/>
      <c r="E173" s="20"/>
      <c r="F173" s="20"/>
      <c r="G173" s="21"/>
      <c r="H173" s="161" t="str">
        <f t="shared" si="36"/>
        <v/>
      </c>
      <c r="I173" s="66"/>
      <c r="J173" s="66"/>
      <c r="K173" s="66"/>
      <c r="L173" s="66"/>
      <c r="M173" s="66"/>
      <c r="N173" s="66"/>
    </row>
    <row r="174" ht="15.0" customHeight="1">
      <c r="B174" s="158" t="s">
        <v>200</v>
      </c>
      <c r="C174" s="20"/>
      <c r="D174" s="20"/>
      <c r="E174" s="20"/>
      <c r="F174" s="20"/>
      <c r="G174" s="21"/>
      <c r="H174" s="161" t="str">
        <f t="shared" si="36"/>
        <v/>
      </c>
      <c r="I174" s="66"/>
      <c r="J174" s="66"/>
      <c r="K174" s="66"/>
      <c r="L174" s="66"/>
      <c r="M174" s="66"/>
      <c r="N174" s="66"/>
    </row>
    <row r="175" ht="15.75" customHeight="1"/>
    <row r="176" ht="15.75" customHeight="1">
      <c r="B176" s="90" t="s">
        <v>335</v>
      </c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</row>
    <row r="177" ht="15.75" customHeight="1"/>
    <row r="178" ht="15.0" customHeight="1">
      <c r="C178" s="62" t="s">
        <v>336</v>
      </c>
      <c r="D178" s="21"/>
      <c r="E178" s="62" t="s">
        <v>337</v>
      </c>
      <c r="F178" s="21"/>
      <c r="G178" s="62" t="s">
        <v>338</v>
      </c>
      <c r="H178" s="21"/>
      <c r="I178" s="62" t="s">
        <v>339</v>
      </c>
      <c r="J178" s="21"/>
      <c r="K178" s="62" t="s">
        <v>340</v>
      </c>
      <c r="L178" s="21"/>
      <c r="M178" s="62" t="s">
        <v>341</v>
      </c>
      <c r="N178" s="21"/>
    </row>
    <row r="179" ht="15.75" customHeight="1">
      <c r="C179" s="192"/>
      <c r="D179" s="193"/>
      <c r="E179" s="192"/>
      <c r="F179" s="193"/>
      <c r="G179" s="192"/>
      <c r="H179" s="193"/>
      <c r="I179" s="192"/>
      <c r="J179" s="193"/>
      <c r="K179" s="192"/>
      <c r="L179" s="193"/>
      <c r="M179" s="192"/>
      <c r="N179" s="193"/>
      <c r="O179" s="194"/>
    </row>
    <row r="180" ht="15.75" customHeight="1">
      <c r="C180" s="195"/>
      <c r="D180" s="196"/>
      <c r="E180" s="195"/>
      <c r="F180" s="196"/>
      <c r="G180" s="195"/>
      <c r="H180" s="196"/>
      <c r="I180" s="195"/>
      <c r="J180" s="196"/>
      <c r="K180" s="195"/>
      <c r="L180" s="196"/>
      <c r="M180" s="195"/>
      <c r="N180" s="196"/>
      <c r="O180" s="72"/>
    </row>
    <row r="181" ht="15.75" customHeight="1">
      <c r="C181" s="195"/>
      <c r="D181" s="196"/>
      <c r="E181" s="195"/>
      <c r="F181" s="196"/>
      <c r="G181" s="195"/>
      <c r="H181" s="196"/>
      <c r="I181" s="195"/>
      <c r="J181" s="196"/>
      <c r="K181" s="195"/>
      <c r="L181" s="196"/>
      <c r="M181" s="195"/>
      <c r="N181" s="196"/>
      <c r="O181" s="72"/>
    </row>
    <row r="182" ht="15.75" customHeight="1">
      <c r="C182" s="195"/>
      <c r="D182" s="196"/>
      <c r="E182" s="195"/>
      <c r="F182" s="196"/>
      <c r="G182" s="195"/>
      <c r="H182" s="196"/>
      <c r="I182" s="195"/>
      <c r="J182" s="196"/>
      <c r="K182" s="195"/>
      <c r="L182" s="196"/>
      <c r="M182" s="195"/>
      <c r="N182" s="196"/>
      <c r="O182" s="72"/>
    </row>
    <row r="183" ht="15.75" customHeight="1">
      <c r="C183" s="195"/>
      <c r="D183" s="196"/>
      <c r="E183" s="195"/>
      <c r="F183" s="196"/>
      <c r="G183" s="195"/>
      <c r="H183" s="196"/>
      <c r="I183" s="195"/>
      <c r="J183" s="196"/>
      <c r="K183" s="195"/>
      <c r="L183" s="196"/>
      <c r="M183" s="195"/>
      <c r="N183" s="196"/>
      <c r="O183" s="72"/>
    </row>
    <row r="184" ht="15.75" customHeight="1">
      <c r="C184" s="195"/>
      <c r="D184" s="196"/>
      <c r="E184" s="195"/>
      <c r="F184" s="196"/>
      <c r="G184" s="195"/>
      <c r="H184" s="196"/>
      <c r="I184" s="195"/>
      <c r="J184" s="196"/>
      <c r="K184" s="195"/>
      <c r="L184" s="196"/>
      <c r="M184" s="195"/>
      <c r="N184" s="196"/>
      <c r="O184" s="72"/>
    </row>
    <row r="185" ht="15.75" customHeight="1">
      <c r="C185" s="195"/>
      <c r="D185" s="196"/>
      <c r="E185" s="195"/>
      <c r="F185" s="196"/>
      <c r="G185" s="195"/>
      <c r="H185" s="196"/>
      <c r="I185" s="195"/>
      <c r="J185" s="196"/>
      <c r="K185" s="195"/>
      <c r="L185" s="196"/>
      <c r="M185" s="195"/>
      <c r="N185" s="196"/>
    </row>
    <row r="186" ht="15.75" customHeight="1">
      <c r="C186" s="195"/>
      <c r="D186" s="196"/>
      <c r="E186" s="195"/>
      <c r="F186" s="196"/>
      <c r="G186" s="195"/>
      <c r="H186" s="196"/>
      <c r="I186" s="195"/>
      <c r="J186" s="196"/>
      <c r="K186" s="195"/>
      <c r="L186" s="196"/>
      <c r="M186" s="195"/>
      <c r="N186" s="196"/>
    </row>
    <row r="187" ht="15.75" customHeight="1">
      <c r="C187" s="195"/>
      <c r="D187" s="196"/>
      <c r="E187" s="195"/>
      <c r="F187" s="196"/>
      <c r="G187" s="195"/>
      <c r="H187" s="196"/>
      <c r="I187" s="195"/>
      <c r="J187" s="196"/>
      <c r="K187" s="195"/>
      <c r="L187" s="196"/>
      <c r="M187" s="195"/>
      <c r="N187" s="196"/>
    </row>
    <row r="188" ht="15.75" customHeight="1">
      <c r="C188" s="195"/>
      <c r="D188" s="196"/>
      <c r="E188" s="195"/>
      <c r="F188" s="196"/>
      <c r="G188" s="195"/>
      <c r="H188" s="196"/>
      <c r="I188" s="195"/>
      <c r="J188" s="196"/>
      <c r="K188" s="195"/>
      <c r="L188" s="196"/>
      <c r="M188" s="195"/>
      <c r="N188" s="196"/>
    </row>
    <row r="189" ht="15.75" customHeight="1">
      <c r="C189" s="195"/>
      <c r="D189" s="196"/>
      <c r="E189" s="195"/>
      <c r="F189" s="196"/>
      <c r="G189" s="195"/>
      <c r="H189" s="196"/>
      <c r="I189" s="195"/>
      <c r="J189" s="196"/>
      <c r="K189" s="195"/>
      <c r="L189" s="196"/>
      <c r="M189" s="195"/>
      <c r="N189" s="196"/>
    </row>
    <row r="190" ht="15.75" customHeight="1">
      <c r="C190" s="195"/>
      <c r="D190" s="196"/>
      <c r="E190" s="195"/>
      <c r="F190" s="196"/>
      <c r="G190" s="195"/>
      <c r="H190" s="196"/>
      <c r="I190" s="195"/>
      <c r="J190" s="196"/>
      <c r="K190" s="195"/>
      <c r="L190" s="196"/>
      <c r="M190" s="195"/>
      <c r="N190" s="196"/>
    </row>
    <row r="191" ht="15.75" customHeight="1">
      <c r="C191" s="195"/>
      <c r="D191" s="196"/>
      <c r="E191" s="195"/>
      <c r="F191" s="196"/>
      <c r="G191" s="195"/>
      <c r="H191" s="196"/>
      <c r="I191" s="195"/>
      <c r="J191" s="196"/>
      <c r="K191" s="195"/>
      <c r="L191" s="196"/>
      <c r="M191" s="195"/>
      <c r="N191" s="196"/>
    </row>
    <row r="192" ht="15.75" customHeight="1">
      <c r="C192" s="195"/>
      <c r="D192" s="196"/>
      <c r="E192" s="195"/>
      <c r="F192" s="196"/>
      <c r="G192" s="195"/>
      <c r="H192" s="196"/>
      <c r="I192" s="195"/>
      <c r="J192" s="196"/>
      <c r="K192" s="195"/>
      <c r="L192" s="196"/>
      <c r="M192" s="195"/>
      <c r="N192" s="196"/>
    </row>
    <row r="193" ht="15.75" customHeight="1">
      <c r="C193" s="195"/>
      <c r="D193" s="196"/>
      <c r="E193" s="195"/>
      <c r="F193" s="196"/>
      <c r="G193" s="195"/>
      <c r="H193" s="196"/>
      <c r="I193" s="195"/>
      <c r="J193" s="196"/>
      <c r="K193" s="195"/>
      <c r="L193" s="196"/>
      <c r="M193" s="195"/>
      <c r="N193" s="196"/>
    </row>
    <row r="194" ht="15.75" customHeight="1">
      <c r="C194" s="195"/>
      <c r="D194" s="196"/>
      <c r="E194" s="195"/>
      <c r="F194" s="196"/>
      <c r="G194" s="195"/>
      <c r="H194" s="196"/>
      <c r="I194" s="195"/>
      <c r="J194" s="196"/>
      <c r="K194" s="195"/>
      <c r="L194" s="196"/>
      <c r="M194" s="195"/>
      <c r="N194" s="196"/>
    </row>
    <row r="195" ht="15.75" customHeight="1">
      <c r="C195" s="195"/>
      <c r="D195" s="196"/>
      <c r="E195" s="195"/>
      <c r="F195" s="196"/>
      <c r="G195" s="195"/>
      <c r="H195" s="196"/>
      <c r="I195" s="195"/>
      <c r="J195" s="196"/>
      <c r="K195" s="195"/>
      <c r="L195" s="196"/>
      <c r="M195" s="195"/>
      <c r="N195" s="196"/>
    </row>
    <row r="196" ht="15.75" customHeight="1">
      <c r="C196" s="195"/>
      <c r="D196" s="196"/>
      <c r="E196" s="195"/>
      <c r="F196" s="196"/>
      <c r="G196" s="195"/>
      <c r="H196" s="196"/>
      <c r="I196" s="195"/>
      <c r="J196" s="196"/>
      <c r="K196" s="195"/>
      <c r="L196" s="196"/>
      <c r="M196" s="195"/>
      <c r="N196" s="196"/>
    </row>
    <row r="197" ht="15.75" customHeight="1">
      <c r="C197" s="195"/>
      <c r="D197" s="196"/>
      <c r="E197" s="195"/>
      <c r="F197" s="196"/>
      <c r="G197" s="195"/>
      <c r="H197" s="196"/>
      <c r="I197" s="195"/>
      <c r="J197" s="196"/>
      <c r="K197" s="195"/>
      <c r="L197" s="196"/>
      <c r="M197" s="195"/>
      <c r="N197" s="196"/>
    </row>
    <row r="198" ht="15.75" customHeight="1">
      <c r="C198" s="195"/>
      <c r="D198" s="196"/>
      <c r="E198" s="195"/>
      <c r="F198" s="196"/>
      <c r="G198" s="195"/>
      <c r="H198" s="196"/>
      <c r="I198" s="195"/>
      <c r="J198" s="196"/>
      <c r="K198" s="195"/>
      <c r="L198" s="196"/>
      <c r="M198" s="195"/>
      <c r="N198" s="196"/>
    </row>
    <row r="199" ht="15.75" customHeight="1">
      <c r="C199" s="195"/>
      <c r="D199" s="196"/>
      <c r="E199" s="195"/>
      <c r="F199" s="196"/>
      <c r="G199" s="195"/>
      <c r="H199" s="196"/>
      <c r="I199" s="195"/>
      <c r="J199" s="196"/>
      <c r="K199" s="195"/>
      <c r="L199" s="196"/>
      <c r="M199" s="195"/>
      <c r="N199" s="196"/>
    </row>
    <row r="200" ht="15.75" customHeight="1">
      <c r="C200" s="195"/>
      <c r="D200" s="196"/>
      <c r="E200" s="195"/>
      <c r="F200" s="196"/>
      <c r="G200" s="195"/>
      <c r="H200" s="196"/>
      <c r="I200" s="195"/>
      <c r="J200" s="196"/>
      <c r="K200" s="195"/>
      <c r="L200" s="196"/>
      <c r="M200" s="195"/>
      <c r="N200" s="196"/>
    </row>
    <row r="201" ht="15.75" customHeight="1">
      <c r="C201" s="195"/>
      <c r="D201" s="196"/>
      <c r="E201" s="195"/>
      <c r="F201" s="196"/>
      <c r="G201" s="195"/>
      <c r="H201" s="196"/>
      <c r="I201" s="195"/>
      <c r="J201" s="196"/>
      <c r="K201" s="195"/>
      <c r="L201" s="196"/>
      <c r="M201" s="195"/>
      <c r="N201" s="196"/>
    </row>
    <row r="202" ht="15.75" customHeight="1">
      <c r="C202" s="195"/>
      <c r="D202" s="196"/>
      <c r="E202" s="195"/>
      <c r="F202" s="196"/>
      <c r="G202" s="195"/>
      <c r="H202" s="196"/>
      <c r="I202" s="195"/>
      <c r="J202" s="196"/>
      <c r="K202" s="195"/>
      <c r="L202" s="196"/>
      <c r="M202" s="195"/>
      <c r="N202" s="196"/>
    </row>
    <row r="203" ht="15.75" customHeight="1">
      <c r="C203" s="195"/>
      <c r="D203" s="196"/>
      <c r="E203" s="195"/>
      <c r="F203" s="196"/>
      <c r="G203" s="195"/>
      <c r="H203" s="196"/>
      <c r="I203" s="195"/>
      <c r="J203" s="196"/>
      <c r="K203" s="195"/>
      <c r="L203" s="196"/>
      <c r="M203" s="195"/>
      <c r="N203" s="196"/>
    </row>
    <row r="204" ht="15.75" customHeight="1">
      <c r="C204" s="197"/>
      <c r="D204" s="198"/>
      <c r="E204" s="197"/>
      <c r="F204" s="198"/>
      <c r="G204" s="197"/>
      <c r="H204" s="198"/>
      <c r="I204" s="197"/>
      <c r="J204" s="198"/>
      <c r="K204" s="197"/>
      <c r="L204" s="198"/>
      <c r="M204" s="197"/>
      <c r="N204" s="198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8">
    <mergeCell ref="P53:Q53"/>
    <mergeCell ref="P54:Q54"/>
    <mergeCell ref="P55:Q55"/>
    <mergeCell ref="P56:Q56"/>
    <mergeCell ref="P57:Q57"/>
    <mergeCell ref="P58:Q58"/>
    <mergeCell ref="P59:Q59"/>
    <mergeCell ref="P60:Q60"/>
    <mergeCell ref="P61:Q61"/>
    <mergeCell ref="P62:Q62"/>
    <mergeCell ref="P63:Q63"/>
    <mergeCell ref="P64:Q64"/>
    <mergeCell ref="P65:Q65"/>
    <mergeCell ref="P66:Q66"/>
    <mergeCell ref="B2:P2"/>
    <mergeCell ref="B4:C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B20:C20"/>
    <mergeCell ref="B24:C24"/>
    <mergeCell ref="B28:C28"/>
    <mergeCell ref="B41:C41"/>
    <mergeCell ref="B50:Q50"/>
    <mergeCell ref="P52:R52"/>
    <mergeCell ref="I57:I63"/>
    <mergeCell ref="J57:J63"/>
    <mergeCell ref="I64:I65"/>
    <mergeCell ref="J64:J65"/>
    <mergeCell ref="I66:J66"/>
    <mergeCell ref="K57:K63"/>
    <mergeCell ref="L57:L63"/>
    <mergeCell ref="K64:K65"/>
    <mergeCell ref="L64:L65"/>
    <mergeCell ref="I52:N52"/>
    <mergeCell ref="M53:N53"/>
    <mergeCell ref="C54:F63"/>
    <mergeCell ref="I54:I56"/>
    <mergeCell ref="J54:J56"/>
    <mergeCell ref="K54:K56"/>
    <mergeCell ref="L54:L56"/>
    <mergeCell ref="P67:Q67"/>
    <mergeCell ref="B69:Q69"/>
    <mergeCell ref="B74:Q74"/>
    <mergeCell ref="B76:Q76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B93:G93"/>
    <mergeCell ref="B94:G94"/>
    <mergeCell ref="B95:G95"/>
    <mergeCell ref="B96:G96"/>
    <mergeCell ref="B97:G97"/>
    <mergeCell ref="B98:G98"/>
    <mergeCell ref="B99:G99"/>
    <mergeCell ref="B100:G100"/>
    <mergeCell ref="B103:G103"/>
    <mergeCell ref="B104:G104"/>
    <mergeCell ref="B105:G105"/>
    <mergeCell ref="B106:G106"/>
    <mergeCell ref="B107:G107"/>
    <mergeCell ref="B108:G108"/>
    <mergeCell ref="B109:G109"/>
    <mergeCell ref="B110:G110"/>
    <mergeCell ref="B111:G111"/>
    <mergeCell ref="B112:G112"/>
    <mergeCell ref="B113:G113"/>
    <mergeCell ref="B114:G114"/>
    <mergeCell ref="B115:G115"/>
    <mergeCell ref="B116:G116"/>
    <mergeCell ref="B117:G117"/>
    <mergeCell ref="B118:G118"/>
    <mergeCell ref="B119:G119"/>
    <mergeCell ref="B120:G120"/>
    <mergeCell ref="B121:G121"/>
    <mergeCell ref="B122:G122"/>
    <mergeCell ref="B123:G123"/>
    <mergeCell ref="B124:G124"/>
    <mergeCell ref="B125:G125"/>
    <mergeCell ref="B131:R131"/>
    <mergeCell ref="I133:N133"/>
    <mergeCell ref="O133:Q133"/>
    <mergeCell ref="S133:U133"/>
    <mergeCell ref="O134:P134"/>
    <mergeCell ref="S134:T134"/>
    <mergeCell ref="B160:G160"/>
    <mergeCell ref="B161:G161"/>
    <mergeCell ref="B162:G162"/>
    <mergeCell ref="B163:G163"/>
    <mergeCell ref="B164:G164"/>
    <mergeCell ref="B165:G165"/>
    <mergeCell ref="B166:G166"/>
    <mergeCell ref="C179:D204"/>
    <mergeCell ref="E179:F204"/>
    <mergeCell ref="G179:H204"/>
    <mergeCell ref="I179:J204"/>
    <mergeCell ref="K179:L204"/>
    <mergeCell ref="M179:N204"/>
    <mergeCell ref="B167:G167"/>
    <mergeCell ref="B168:G168"/>
    <mergeCell ref="B169:G169"/>
    <mergeCell ref="B170:G170"/>
    <mergeCell ref="B171:G171"/>
    <mergeCell ref="B172:G172"/>
    <mergeCell ref="B173:G173"/>
    <mergeCell ref="I138:I144"/>
    <mergeCell ref="I145:I146"/>
    <mergeCell ref="I135:I137"/>
    <mergeCell ref="J135:J137"/>
    <mergeCell ref="K135:K137"/>
    <mergeCell ref="L135:L137"/>
    <mergeCell ref="J138:J144"/>
    <mergeCell ref="K138:K144"/>
    <mergeCell ref="L138:L144"/>
    <mergeCell ref="P154:Q154"/>
    <mergeCell ref="P155:Q155"/>
    <mergeCell ref="P156:Q156"/>
    <mergeCell ref="P157:Q157"/>
    <mergeCell ref="J145:J146"/>
    <mergeCell ref="K145:K146"/>
    <mergeCell ref="L145:L146"/>
    <mergeCell ref="B150:Q150"/>
    <mergeCell ref="B152:G152"/>
    <mergeCell ref="P152:Q152"/>
    <mergeCell ref="P153:Q153"/>
    <mergeCell ref="B153:G153"/>
    <mergeCell ref="B154:G154"/>
    <mergeCell ref="B155:G155"/>
    <mergeCell ref="B156:G156"/>
    <mergeCell ref="B157:G157"/>
    <mergeCell ref="B158:G158"/>
    <mergeCell ref="B159:G159"/>
    <mergeCell ref="B174:G174"/>
    <mergeCell ref="B176:Q176"/>
    <mergeCell ref="O180:P180"/>
    <mergeCell ref="O181:P181"/>
    <mergeCell ref="O182:P182"/>
    <mergeCell ref="O183:P183"/>
    <mergeCell ref="O184:P184"/>
    <mergeCell ref="C178:D178"/>
    <mergeCell ref="E178:F178"/>
    <mergeCell ref="G178:H178"/>
    <mergeCell ref="I178:J178"/>
    <mergeCell ref="K178:L178"/>
    <mergeCell ref="M178:N178"/>
    <mergeCell ref="O179:P179"/>
  </mergeCells>
  <dataValidations>
    <dataValidation type="list" allowBlank="1" showErrorMessage="1" sqref="C29">
      <formula1>"Hombre,Mujer"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64.0"/>
    <col customWidth="1" min="3" max="35" width="10.71"/>
  </cols>
  <sheetData>
    <row r="2">
      <c r="B2" s="59" t="s">
        <v>310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</row>
    <row r="4">
      <c r="B4" s="410" t="s">
        <v>95</v>
      </c>
      <c r="C4" s="63" t="s">
        <v>96</v>
      </c>
      <c r="D4" s="63" t="s">
        <v>97</v>
      </c>
      <c r="E4" s="63" t="s">
        <v>98</v>
      </c>
      <c r="F4" s="63" t="s">
        <v>99</v>
      </c>
      <c r="G4" s="63" t="s">
        <v>100</v>
      </c>
      <c r="H4" s="63" t="s">
        <v>101</v>
      </c>
      <c r="I4" s="63" t="s">
        <v>102</v>
      </c>
      <c r="J4" s="63" t="s">
        <v>103</v>
      </c>
      <c r="K4" s="63" t="s">
        <v>104</v>
      </c>
      <c r="L4" s="63" t="s">
        <v>105</v>
      </c>
      <c r="M4" s="157" t="s">
        <v>106</v>
      </c>
      <c r="N4" s="157" t="s">
        <v>107</v>
      </c>
      <c r="O4" s="157" t="s">
        <v>108</v>
      </c>
      <c r="P4" s="157" t="s">
        <v>109</v>
      </c>
      <c r="Q4" s="157" t="s">
        <v>110</v>
      </c>
      <c r="R4" s="157" t="s">
        <v>111</v>
      </c>
      <c r="S4" s="157" t="s">
        <v>112</v>
      </c>
      <c r="T4" s="157" t="s">
        <v>113</v>
      </c>
      <c r="U4" s="157" t="s">
        <v>114</v>
      </c>
      <c r="V4" s="157" t="s">
        <v>115</v>
      </c>
      <c r="W4" s="157" t="s">
        <v>116</v>
      </c>
      <c r="X4" s="157" t="s">
        <v>117</v>
      </c>
      <c r="Y4" s="157" t="s">
        <v>118</v>
      </c>
      <c r="Z4" s="157" t="s">
        <v>119</v>
      </c>
      <c r="AA4" s="157" t="s">
        <v>120</v>
      </c>
      <c r="AB4" s="157" t="s">
        <v>121</v>
      </c>
      <c r="AC4" s="157" t="s">
        <v>122</v>
      </c>
      <c r="AD4" s="157" t="s">
        <v>438</v>
      </c>
    </row>
    <row r="5">
      <c r="B5" s="411" t="s">
        <v>126</v>
      </c>
      <c r="C5" s="66"/>
      <c r="D5" s="67">
        <f t="shared" ref="D5:D45" si="1">(E5*4)+(F5*9)+(K5*4)</f>
        <v>139.1</v>
      </c>
      <c r="E5" s="68">
        <v>6.7</v>
      </c>
      <c r="F5" s="68">
        <v>6.7</v>
      </c>
      <c r="G5" s="69">
        <v>4.4</v>
      </c>
      <c r="H5" s="69">
        <v>1.95</v>
      </c>
      <c r="I5" s="69">
        <v>0.49</v>
      </c>
      <c r="J5" s="67">
        <v>26.0</v>
      </c>
      <c r="K5" s="68">
        <v>13.0</v>
      </c>
      <c r="L5" s="68">
        <v>0.0</v>
      </c>
      <c r="M5" s="67">
        <v>236.0</v>
      </c>
      <c r="N5" s="67">
        <v>173.0</v>
      </c>
      <c r="O5" s="68">
        <v>0.2</v>
      </c>
      <c r="P5" s="67">
        <v>96.0</v>
      </c>
      <c r="Q5" s="67">
        <v>330.0</v>
      </c>
      <c r="R5" s="67">
        <v>25.0</v>
      </c>
      <c r="S5" s="69">
        <v>0.89</v>
      </c>
      <c r="T5" s="69">
        <v>0.03</v>
      </c>
      <c r="U5" s="69">
        <v>0.01</v>
      </c>
      <c r="V5" s="67">
        <v>73.0</v>
      </c>
      <c r="W5" s="69">
        <v>0.08</v>
      </c>
      <c r="X5" s="69">
        <v>0.34</v>
      </c>
      <c r="Y5" s="68">
        <v>0.3</v>
      </c>
      <c r="Z5" s="69">
        <v>0.67</v>
      </c>
      <c r="AA5" s="69">
        <v>0.08</v>
      </c>
      <c r="AB5" s="67">
        <v>10.0</v>
      </c>
      <c r="AC5" s="69">
        <v>0.65</v>
      </c>
      <c r="AD5" s="67">
        <v>3.0</v>
      </c>
    </row>
    <row r="6">
      <c r="B6" s="411" t="s">
        <v>127</v>
      </c>
      <c r="C6" s="66"/>
      <c r="D6" s="67">
        <f t="shared" si="1"/>
        <v>94.5</v>
      </c>
      <c r="E6" s="68">
        <v>5.4</v>
      </c>
      <c r="F6" s="68">
        <v>2.1</v>
      </c>
      <c r="G6" s="69">
        <v>0.87</v>
      </c>
      <c r="H6" s="69">
        <v>0.54</v>
      </c>
      <c r="I6" s="69">
        <v>0.35</v>
      </c>
      <c r="J6" s="67">
        <v>5.0</v>
      </c>
      <c r="K6" s="68">
        <v>13.5</v>
      </c>
      <c r="L6" s="68">
        <v>0.8</v>
      </c>
      <c r="M6" s="67">
        <v>153.0</v>
      </c>
      <c r="N6" s="67">
        <v>143.0</v>
      </c>
      <c r="O6" s="68">
        <v>0.4</v>
      </c>
      <c r="P6" s="67">
        <v>72.0</v>
      </c>
      <c r="Q6" s="67">
        <v>268.0</v>
      </c>
      <c r="R6" s="67">
        <v>25.0</v>
      </c>
      <c r="S6" s="69">
        <v>1.24</v>
      </c>
      <c r="T6" s="69">
        <v>0.06</v>
      </c>
      <c r="U6" s="69">
        <v>0.11</v>
      </c>
      <c r="V6" s="67">
        <v>76.0</v>
      </c>
      <c r="W6" s="69">
        <v>0.12</v>
      </c>
      <c r="X6" s="69">
        <v>0.25</v>
      </c>
      <c r="Y6" s="68">
        <v>0.2</v>
      </c>
      <c r="Z6" s="69">
        <v>0.41</v>
      </c>
      <c r="AA6" s="69">
        <v>0.06</v>
      </c>
      <c r="AB6" s="67">
        <v>8.0</v>
      </c>
      <c r="AC6" s="69">
        <v>0.5</v>
      </c>
      <c r="AD6" s="67">
        <v>4.0</v>
      </c>
    </row>
    <row r="7">
      <c r="B7" s="411" t="s">
        <v>128</v>
      </c>
      <c r="C7" s="66"/>
      <c r="D7" s="67">
        <f t="shared" si="1"/>
        <v>82.3</v>
      </c>
      <c r="E7" s="68">
        <v>9.0</v>
      </c>
      <c r="F7" s="68">
        <v>0.7</v>
      </c>
      <c r="G7" s="69">
        <v>0.45</v>
      </c>
      <c r="H7" s="69">
        <v>0.18</v>
      </c>
      <c r="I7" s="69">
        <v>0.03</v>
      </c>
      <c r="J7" s="67">
        <v>6.0</v>
      </c>
      <c r="K7" s="68">
        <v>10.0</v>
      </c>
      <c r="L7" s="68">
        <v>0.0</v>
      </c>
      <c r="M7" s="67">
        <v>256.0</v>
      </c>
      <c r="N7" s="67">
        <v>214.0</v>
      </c>
      <c r="O7" s="68">
        <v>0.1</v>
      </c>
      <c r="P7" s="67">
        <v>101.0</v>
      </c>
      <c r="Q7" s="67">
        <v>340.0</v>
      </c>
      <c r="R7" s="67">
        <v>24.0</v>
      </c>
      <c r="S7" s="69">
        <v>1.05</v>
      </c>
      <c r="T7" s="69">
        <v>0.02</v>
      </c>
      <c r="U7" s="69">
        <v>0.01</v>
      </c>
      <c r="V7" s="67">
        <v>89.0</v>
      </c>
      <c r="W7" s="69">
        <v>0.08</v>
      </c>
      <c r="X7" s="69">
        <v>0.33</v>
      </c>
      <c r="Y7" s="68">
        <v>0.2</v>
      </c>
      <c r="Z7" s="69">
        <v>0.79</v>
      </c>
      <c r="AA7" s="69">
        <v>0.08</v>
      </c>
      <c r="AB7" s="67">
        <v>14.0</v>
      </c>
      <c r="AC7" s="69">
        <v>0.84</v>
      </c>
      <c r="AD7" s="67">
        <v>2.0</v>
      </c>
    </row>
    <row r="8">
      <c r="B8" s="411" t="s">
        <v>129</v>
      </c>
      <c r="C8" s="66"/>
      <c r="D8" s="67">
        <f t="shared" si="1"/>
        <v>170.7</v>
      </c>
      <c r="E8" s="68">
        <v>6.4</v>
      </c>
      <c r="F8" s="68">
        <v>5.9</v>
      </c>
      <c r="G8" s="69">
        <v>3.8</v>
      </c>
      <c r="H8" s="69">
        <v>1.91</v>
      </c>
      <c r="I8" s="69">
        <v>0.63</v>
      </c>
      <c r="J8" s="67">
        <v>22.0</v>
      </c>
      <c r="K8" s="68">
        <v>23.0</v>
      </c>
      <c r="L8" s="68">
        <v>0.4</v>
      </c>
      <c r="M8" s="67">
        <v>258.0</v>
      </c>
      <c r="N8" s="67">
        <v>169.0</v>
      </c>
      <c r="O8" s="68">
        <v>0.3</v>
      </c>
      <c r="P8" s="67">
        <v>115.0</v>
      </c>
      <c r="Q8" s="67">
        <v>334.0</v>
      </c>
      <c r="R8" s="67">
        <v>27.0</v>
      </c>
      <c r="S8" s="69">
        <v>1.03</v>
      </c>
      <c r="T8" s="69">
        <v>0.05</v>
      </c>
      <c r="U8" s="69">
        <v>0.04</v>
      </c>
      <c r="V8" s="67">
        <v>45.0</v>
      </c>
      <c r="W8" s="69">
        <v>0.08</v>
      </c>
      <c r="X8" s="69">
        <v>0.37</v>
      </c>
      <c r="Y8" s="68">
        <v>0.2</v>
      </c>
      <c r="Z8" s="69">
        <v>0.73</v>
      </c>
      <c r="AA8" s="69">
        <v>0.08</v>
      </c>
      <c r="AB8" s="67">
        <v>13.0</v>
      </c>
      <c r="AC8" s="69">
        <v>0.76</v>
      </c>
      <c r="AD8" s="67">
        <v>3.0</v>
      </c>
    </row>
    <row r="9">
      <c r="B9" s="412" t="s">
        <v>132</v>
      </c>
      <c r="C9" s="66"/>
      <c r="D9" s="67">
        <f t="shared" si="1"/>
        <v>50.7</v>
      </c>
      <c r="E9" s="68">
        <v>2.9</v>
      </c>
      <c r="F9" s="68">
        <v>3.1</v>
      </c>
      <c r="G9" s="69">
        <v>2.01</v>
      </c>
      <c r="H9" s="69">
        <v>0.96</v>
      </c>
      <c r="I9" s="69">
        <v>0.18</v>
      </c>
      <c r="J9" s="67">
        <v>12.0</v>
      </c>
      <c r="K9" s="68">
        <v>2.8</v>
      </c>
      <c r="L9" s="68">
        <v>0.0</v>
      </c>
      <c r="M9" s="67">
        <v>93.0</v>
      </c>
      <c r="N9" s="67">
        <v>62.0</v>
      </c>
      <c r="O9" s="68">
        <v>0.1</v>
      </c>
      <c r="P9" s="67">
        <v>57.0</v>
      </c>
      <c r="Q9" s="67">
        <v>57.0</v>
      </c>
      <c r="R9" s="67">
        <v>6.0</v>
      </c>
      <c r="S9" s="69">
        <v>0.38</v>
      </c>
      <c r="T9" s="69">
        <v>0.01</v>
      </c>
      <c r="U9" s="69">
        <v>0.0</v>
      </c>
      <c r="V9" s="67">
        <v>36.0</v>
      </c>
      <c r="W9" s="69">
        <v>0.01</v>
      </c>
      <c r="X9" s="69">
        <v>0.08</v>
      </c>
      <c r="Y9" s="68">
        <v>0.1</v>
      </c>
      <c r="Z9" s="69">
        <v>0.12</v>
      </c>
      <c r="AA9" s="69">
        <v>0.02</v>
      </c>
      <c r="AB9" s="67">
        <v>2.0</v>
      </c>
      <c r="AC9" s="69">
        <v>0.2</v>
      </c>
      <c r="AD9" s="67">
        <v>0.0</v>
      </c>
    </row>
    <row r="10">
      <c r="B10" s="413" t="s">
        <v>138</v>
      </c>
      <c r="C10" s="66"/>
      <c r="D10" s="67">
        <f t="shared" si="1"/>
        <v>77.1</v>
      </c>
      <c r="E10" s="68">
        <v>5.8</v>
      </c>
      <c r="F10" s="68">
        <v>5.5</v>
      </c>
      <c r="G10" s="69">
        <v>2.91</v>
      </c>
      <c r="H10" s="69">
        <v>1.94</v>
      </c>
      <c r="I10" s="69">
        <v>0.41</v>
      </c>
      <c r="J10" s="67">
        <v>40.0</v>
      </c>
      <c r="K10" s="68">
        <v>1.1</v>
      </c>
      <c r="L10" s="68">
        <v>0.0</v>
      </c>
      <c r="M10" s="67">
        <v>95.0</v>
      </c>
      <c r="N10" s="67">
        <v>85.0</v>
      </c>
      <c r="O10" s="68">
        <v>1.1</v>
      </c>
      <c r="P10" s="67">
        <v>211.0</v>
      </c>
      <c r="Q10" s="67">
        <v>52.0</v>
      </c>
      <c r="R10" s="67">
        <v>6.0</v>
      </c>
      <c r="S10" s="69">
        <v>0.65</v>
      </c>
      <c r="T10" s="69">
        <v>0.03</v>
      </c>
      <c r="U10" s="69">
        <v>0.01</v>
      </c>
      <c r="V10" s="67">
        <v>45.0</v>
      </c>
      <c r="W10" s="69">
        <v>0.04</v>
      </c>
      <c r="X10" s="69">
        <v>0.1</v>
      </c>
      <c r="Y10" s="68">
        <v>0.4</v>
      </c>
      <c r="Z10" s="69">
        <v>0.16</v>
      </c>
      <c r="AA10" s="69">
        <v>0.05</v>
      </c>
      <c r="AB10" s="67">
        <v>4.0</v>
      </c>
      <c r="AC10" s="69">
        <v>0.72</v>
      </c>
      <c r="AD10" s="67">
        <v>0.0</v>
      </c>
    </row>
    <row r="11">
      <c r="B11" s="414" t="s">
        <v>140</v>
      </c>
      <c r="C11" s="66"/>
      <c r="D11" s="67">
        <f t="shared" si="1"/>
        <v>52.9</v>
      </c>
      <c r="E11" s="68">
        <v>4.5</v>
      </c>
      <c r="F11" s="68">
        <v>3.7</v>
      </c>
      <c r="G11" s="69">
        <v>1.15</v>
      </c>
      <c r="H11" s="69">
        <v>1.42</v>
      </c>
      <c r="I11" s="69">
        <v>0.49</v>
      </c>
      <c r="J11" s="67">
        <v>180.0</v>
      </c>
      <c r="K11" s="68">
        <v>0.4</v>
      </c>
      <c r="L11" s="68">
        <v>0.0</v>
      </c>
      <c r="M11" s="67">
        <v>19.0</v>
      </c>
      <c r="N11" s="67">
        <v>64.0</v>
      </c>
      <c r="O11" s="68">
        <v>0.6</v>
      </c>
      <c r="P11" s="67">
        <v>46.0</v>
      </c>
      <c r="Q11" s="67">
        <v>46.0</v>
      </c>
      <c r="R11" s="67">
        <v>4.0</v>
      </c>
      <c r="S11" s="69">
        <v>0.4</v>
      </c>
      <c r="T11" s="69">
        <v>0.01</v>
      </c>
      <c r="U11" s="69">
        <v>0.01</v>
      </c>
      <c r="V11" s="67">
        <v>57.0</v>
      </c>
      <c r="W11" s="69">
        <v>0.03</v>
      </c>
      <c r="X11" s="69">
        <v>0.2</v>
      </c>
      <c r="Y11" s="68">
        <v>0.0</v>
      </c>
      <c r="Z11" s="69">
        <v>0.51</v>
      </c>
      <c r="AA11" s="69">
        <v>0.05</v>
      </c>
      <c r="AB11" s="67">
        <v>18.0</v>
      </c>
      <c r="AC11" s="69">
        <v>0.43</v>
      </c>
      <c r="AD11" s="67">
        <v>0.0</v>
      </c>
    </row>
    <row r="12">
      <c r="B12" s="411" t="s">
        <v>143</v>
      </c>
      <c r="C12" s="66"/>
      <c r="D12" s="67">
        <f t="shared" si="1"/>
        <v>108.3</v>
      </c>
      <c r="E12" s="68">
        <v>19.1</v>
      </c>
      <c r="F12" s="68">
        <v>3.1</v>
      </c>
      <c r="G12" s="69">
        <v>0.92</v>
      </c>
      <c r="H12" s="69">
        <v>1.16</v>
      </c>
      <c r="I12" s="69">
        <v>0.53</v>
      </c>
      <c r="J12" s="67">
        <v>50.0</v>
      </c>
      <c r="K12" s="68">
        <v>1.0</v>
      </c>
      <c r="L12" s="68">
        <v>0.3</v>
      </c>
      <c r="M12" s="67">
        <v>22.0</v>
      </c>
      <c r="N12" s="67">
        <v>191.0</v>
      </c>
      <c r="O12" s="68">
        <v>1.5</v>
      </c>
      <c r="P12" s="67">
        <v>72.0</v>
      </c>
      <c r="Q12" s="67">
        <v>325.0</v>
      </c>
      <c r="R12" s="67">
        <v>28.0</v>
      </c>
      <c r="S12" s="69">
        <v>1.81</v>
      </c>
      <c r="T12" s="69">
        <v>0.11</v>
      </c>
      <c r="U12" s="69">
        <v>0.12</v>
      </c>
      <c r="V12" s="67">
        <v>7.0</v>
      </c>
      <c r="W12" s="69">
        <v>0.19</v>
      </c>
      <c r="X12" s="69">
        <v>0.18</v>
      </c>
      <c r="Y12" s="68">
        <v>5.6</v>
      </c>
      <c r="Z12" s="69">
        <v>0.78</v>
      </c>
      <c r="AA12" s="69">
        <v>0.35</v>
      </c>
      <c r="AB12" s="67">
        <v>15.0</v>
      </c>
      <c r="AC12" s="69">
        <v>2.39</v>
      </c>
      <c r="AD12" s="67">
        <v>1.0</v>
      </c>
    </row>
    <row r="13">
      <c r="B13" s="411" t="s">
        <v>146</v>
      </c>
      <c r="C13" s="66"/>
      <c r="D13" s="67">
        <f t="shared" si="1"/>
        <v>49.2</v>
      </c>
      <c r="E13" s="68">
        <v>7.8</v>
      </c>
      <c r="F13" s="68">
        <v>2.0</v>
      </c>
      <c r="G13" s="69">
        <v>0.52</v>
      </c>
      <c r="H13" s="69">
        <v>0.84</v>
      </c>
      <c r="I13" s="69">
        <v>0.35</v>
      </c>
      <c r="J13" s="67">
        <v>21.0</v>
      </c>
      <c r="K13" s="68">
        <v>0.0</v>
      </c>
      <c r="L13" s="68">
        <v>0.0</v>
      </c>
      <c r="M13" s="67">
        <v>7.0</v>
      </c>
      <c r="N13" s="67">
        <v>74.0</v>
      </c>
      <c r="O13" s="68">
        <v>0.4</v>
      </c>
      <c r="P13" s="67">
        <v>19.0</v>
      </c>
      <c r="Q13" s="67">
        <v>108.0</v>
      </c>
      <c r="R13" s="67">
        <v>8.0</v>
      </c>
      <c r="S13" s="69">
        <v>0.55</v>
      </c>
      <c r="T13" s="69">
        <v>0.04</v>
      </c>
      <c r="U13" s="69">
        <v>0.09</v>
      </c>
      <c r="V13" s="67">
        <v>5.0</v>
      </c>
      <c r="W13" s="69">
        <v>0.1</v>
      </c>
      <c r="X13" s="69">
        <v>0.07</v>
      </c>
      <c r="Y13" s="68">
        <v>1.9</v>
      </c>
      <c r="Z13" s="69">
        <v>0.33</v>
      </c>
      <c r="AA13" s="69">
        <v>0.09</v>
      </c>
      <c r="AB13" s="67">
        <v>2.0</v>
      </c>
      <c r="AC13" s="69">
        <v>1.0</v>
      </c>
      <c r="AD13" s="67">
        <v>0.0</v>
      </c>
    </row>
    <row r="14">
      <c r="B14" s="411" t="s">
        <v>149</v>
      </c>
      <c r="C14" s="66"/>
      <c r="D14" s="67">
        <f t="shared" si="1"/>
        <v>138.7</v>
      </c>
      <c r="E14" s="68">
        <v>15.6</v>
      </c>
      <c r="F14" s="68">
        <v>7.9</v>
      </c>
      <c r="G14" s="69">
        <v>2.51</v>
      </c>
      <c r="H14" s="69">
        <v>3.3</v>
      </c>
      <c r="I14" s="69">
        <v>1.25</v>
      </c>
      <c r="J14" s="67">
        <v>137.0</v>
      </c>
      <c r="K14" s="68">
        <v>1.3</v>
      </c>
      <c r="L14" s="68">
        <v>0.0</v>
      </c>
      <c r="M14" s="67">
        <v>37.0</v>
      </c>
      <c r="N14" s="67">
        <v>186.0</v>
      </c>
      <c r="O14" s="68">
        <v>2.5</v>
      </c>
      <c r="P14" s="67">
        <v>101.0</v>
      </c>
      <c r="Q14" s="67">
        <v>234.0</v>
      </c>
      <c r="R14" s="67">
        <v>20.0</v>
      </c>
      <c r="S14" s="69">
        <v>1.87</v>
      </c>
      <c r="T14" s="69">
        <v>0.47</v>
      </c>
      <c r="U14" s="69">
        <v>0.09</v>
      </c>
      <c r="V14" s="67">
        <v>1515.0</v>
      </c>
      <c r="W14" s="69">
        <v>0.07</v>
      </c>
      <c r="X14" s="69">
        <v>0.53</v>
      </c>
      <c r="Y14" s="68">
        <v>4.4</v>
      </c>
      <c r="Z14" s="69">
        <v>1.67</v>
      </c>
      <c r="AA14" s="69">
        <v>0.27</v>
      </c>
      <c r="AB14" s="67">
        <v>87.0</v>
      </c>
      <c r="AC14" s="69">
        <v>10.58</v>
      </c>
      <c r="AD14" s="67">
        <v>6.0</v>
      </c>
    </row>
    <row r="15">
      <c r="B15" s="412" t="s">
        <v>150</v>
      </c>
      <c r="C15" s="66"/>
      <c r="D15" s="67">
        <f t="shared" si="1"/>
        <v>46.8</v>
      </c>
      <c r="E15" s="68">
        <v>6.9</v>
      </c>
      <c r="F15" s="68">
        <v>2.0</v>
      </c>
      <c r="G15" s="69">
        <v>0.78</v>
      </c>
      <c r="H15" s="69">
        <v>0.86</v>
      </c>
      <c r="I15" s="69">
        <v>0.31</v>
      </c>
      <c r="J15" s="67">
        <v>79.0</v>
      </c>
      <c r="K15" s="68">
        <v>0.3</v>
      </c>
      <c r="L15" s="68">
        <v>0.0</v>
      </c>
      <c r="M15" s="67">
        <v>3.0</v>
      </c>
      <c r="N15" s="67">
        <v>57.0</v>
      </c>
      <c r="O15" s="68">
        <v>3.0</v>
      </c>
      <c r="P15" s="67">
        <v>62.0</v>
      </c>
      <c r="Q15" s="67">
        <v>55.0</v>
      </c>
      <c r="R15" s="67">
        <v>6.0</v>
      </c>
      <c r="S15" s="69">
        <v>1.21</v>
      </c>
      <c r="T15" s="69">
        <v>0.25</v>
      </c>
      <c r="U15" s="69">
        <v>0.04</v>
      </c>
      <c r="V15" s="67">
        <v>620.0</v>
      </c>
      <c r="W15" s="69">
        <v>0.02</v>
      </c>
      <c r="X15" s="69">
        <v>0.29</v>
      </c>
      <c r="Y15" s="68">
        <v>1.1</v>
      </c>
      <c r="Z15" s="69">
        <v>0.55</v>
      </c>
      <c r="AA15" s="69">
        <v>0.09</v>
      </c>
      <c r="AB15" s="67">
        <v>39.0</v>
      </c>
      <c r="AC15" s="69">
        <v>4.29</v>
      </c>
      <c r="AD15" s="67">
        <v>2.0</v>
      </c>
    </row>
    <row r="16">
      <c r="B16" s="413" t="s">
        <v>153</v>
      </c>
      <c r="C16" s="66"/>
      <c r="D16" s="67">
        <f t="shared" si="1"/>
        <v>158.1</v>
      </c>
      <c r="E16" s="68">
        <v>9.8</v>
      </c>
      <c r="F16" s="68">
        <v>1.7</v>
      </c>
      <c r="G16" s="69">
        <v>0.25</v>
      </c>
      <c r="H16" s="69">
        <v>0.32</v>
      </c>
      <c r="I16" s="69">
        <v>0.94</v>
      </c>
      <c r="J16" s="67">
        <v>0.0</v>
      </c>
      <c r="K16" s="68">
        <v>25.9</v>
      </c>
      <c r="L16" s="68">
        <v>7.9</v>
      </c>
      <c r="M16" s="67">
        <v>50.0</v>
      </c>
      <c r="N16" s="67">
        <v>167.0</v>
      </c>
      <c r="O16" s="68">
        <v>3.1</v>
      </c>
      <c r="P16" s="67">
        <v>10.0</v>
      </c>
      <c r="Q16" s="67">
        <v>534.0</v>
      </c>
      <c r="R16" s="67">
        <v>62.0</v>
      </c>
      <c r="S16" s="69">
        <v>1.22</v>
      </c>
      <c r="T16" s="69">
        <v>0.28</v>
      </c>
      <c r="U16" s="69">
        <v>0.6</v>
      </c>
      <c r="V16" s="67">
        <v>10.0</v>
      </c>
      <c r="W16" s="69">
        <v>0.2</v>
      </c>
      <c r="X16" s="69">
        <v>0.09</v>
      </c>
      <c r="Y16" s="68">
        <v>0.9</v>
      </c>
      <c r="Z16" s="69">
        <v>0.42</v>
      </c>
      <c r="AA16" s="69">
        <v>0.16</v>
      </c>
      <c r="AB16" s="67">
        <v>142.0</v>
      </c>
      <c r="AC16" s="69">
        <v>0.0</v>
      </c>
      <c r="AD16" s="67">
        <v>4.0</v>
      </c>
    </row>
    <row r="17">
      <c r="B17" s="413" t="s">
        <v>155</v>
      </c>
      <c r="C17" s="66"/>
      <c r="D17" s="67">
        <f t="shared" si="1"/>
        <v>84.96</v>
      </c>
      <c r="E17" s="68">
        <v>5.2</v>
      </c>
      <c r="F17" s="68">
        <v>1.04</v>
      </c>
      <c r="G17" s="69">
        <v>0.14</v>
      </c>
      <c r="H17" s="69">
        <v>0.18</v>
      </c>
      <c r="I17" s="69">
        <v>0.53</v>
      </c>
      <c r="J17" s="67">
        <v>0.0</v>
      </c>
      <c r="K17" s="68">
        <v>13.7</v>
      </c>
      <c r="L17" s="68">
        <v>4.0</v>
      </c>
      <c r="M17" s="67">
        <v>29.0</v>
      </c>
      <c r="N17" s="67">
        <v>92.0</v>
      </c>
      <c r="O17" s="68">
        <v>1.7</v>
      </c>
      <c r="P17" s="67">
        <v>6.0</v>
      </c>
      <c r="Q17" s="67">
        <v>290.0</v>
      </c>
      <c r="R17" s="67">
        <v>34.0</v>
      </c>
      <c r="S17" s="69">
        <v>0.65</v>
      </c>
      <c r="T17" s="69">
        <v>0.15</v>
      </c>
      <c r="U17" s="69">
        <v>0.32</v>
      </c>
      <c r="V17" s="67">
        <v>6.0</v>
      </c>
      <c r="W17" s="69">
        <v>0.1</v>
      </c>
      <c r="X17" s="69">
        <v>0.05</v>
      </c>
      <c r="Y17" s="68">
        <v>0.4</v>
      </c>
      <c r="Z17" s="69">
        <v>0.2</v>
      </c>
      <c r="AA17" s="69">
        <v>0.09</v>
      </c>
      <c r="AB17" s="67">
        <v>79.0</v>
      </c>
      <c r="AC17" s="69">
        <v>0.0</v>
      </c>
      <c r="AD17" s="67">
        <v>2.0</v>
      </c>
    </row>
    <row r="18">
      <c r="B18" s="413" t="s">
        <v>156</v>
      </c>
      <c r="C18" s="66"/>
      <c r="D18" s="67">
        <f t="shared" si="1"/>
        <v>41.5</v>
      </c>
      <c r="E18" s="68">
        <v>2.7</v>
      </c>
      <c r="F18" s="68">
        <v>0.3</v>
      </c>
      <c r="G18" s="69">
        <v>0.03</v>
      </c>
      <c r="H18" s="69">
        <v>0.05</v>
      </c>
      <c r="I18" s="69">
        <v>0.14</v>
      </c>
      <c r="J18" s="67">
        <v>0.0</v>
      </c>
      <c r="K18" s="68">
        <v>7.0</v>
      </c>
      <c r="L18" s="68">
        <v>2.2</v>
      </c>
      <c r="M18" s="67">
        <v>9.0</v>
      </c>
      <c r="N18" s="67">
        <v>48.0</v>
      </c>
      <c r="O18" s="68">
        <v>0.9</v>
      </c>
      <c r="P18" s="67">
        <v>1.0</v>
      </c>
      <c r="Q18" s="67">
        <v>113.0</v>
      </c>
      <c r="R18" s="67">
        <v>13.0</v>
      </c>
      <c r="S18" s="69">
        <v>0.37</v>
      </c>
      <c r="T18" s="69">
        <v>0.08</v>
      </c>
      <c r="U18" s="69">
        <v>0.18</v>
      </c>
      <c r="V18" s="67">
        <v>0.0</v>
      </c>
      <c r="W18" s="69">
        <v>0.05</v>
      </c>
      <c r="X18" s="69">
        <v>0.02</v>
      </c>
      <c r="Y18" s="68">
        <v>0.2</v>
      </c>
      <c r="Z18" s="69">
        <v>0.11</v>
      </c>
      <c r="AA18" s="69">
        <v>0.04</v>
      </c>
      <c r="AB18" s="67">
        <v>47.0</v>
      </c>
      <c r="AC18" s="69">
        <v>0.0</v>
      </c>
      <c r="AD18" s="67">
        <v>0.0</v>
      </c>
    </row>
    <row r="19">
      <c r="B19" s="411" t="s">
        <v>159</v>
      </c>
      <c r="C19" s="66"/>
      <c r="D19" s="67">
        <f t="shared" si="1"/>
        <v>93.8</v>
      </c>
      <c r="E19" s="68">
        <v>2.5</v>
      </c>
      <c r="F19" s="68">
        <v>1.0</v>
      </c>
      <c r="G19" s="69">
        <v>0.24</v>
      </c>
      <c r="H19" s="69">
        <v>0.32</v>
      </c>
      <c r="I19" s="69">
        <v>0.33</v>
      </c>
      <c r="J19" s="67">
        <v>1.0</v>
      </c>
      <c r="K19" s="68">
        <v>18.7</v>
      </c>
      <c r="L19" s="68">
        <v>1.2</v>
      </c>
      <c r="M19" s="67">
        <v>19.0</v>
      </c>
      <c r="N19" s="67">
        <v>47.0</v>
      </c>
      <c r="O19" s="68">
        <v>0.9</v>
      </c>
      <c r="P19" s="67">
        <v>82.0</v>
      </c>
      <c r="Q19" s="67">
        <v>53.0</v>
      </c>
      <c r="R19" s="67">
        <v>13.0</v>
      </c>
      <c r="S19" s="69">
        <v>0.42</v>
      </c>
      <c r="T19" s="69">
        <v>0.05</v>
      </c>
      <c r="U19" s="69">
        <v>0.24</v>
      </c>
      <c r="V19" s="67">
        <v>22.0</v>
      </c>
      <c r="W19" s="69">
        <v>0.11</v>
      </c>
      <c r="X19" s="69">
        <v>0.09</v>
      </c>
      <c r="Y19" s="68">
        <v>1.1</v>
      </c>
      <c r="Z19" s="69">
        <v>0.15</v>
      </c>
      <c r="AA19" s="69">
        <v>0.08</v>
      </c>
      <c r="AB19" s="67">
        <v>38.0</v>
      </c>
      <c r="AC19" s="69">
        <v>0.0</v>
      </c>
      <c r="AD19" s="67">
        <v>2.0</v>
      </c>
    </row>
    <row r="20">
      <c r="B20" s="411" t="s">
        <v>162</v>
      </c>
      <c r="C20" s="66"/>
      <c r="D20" s="67">
        <f t="shared" si="1"/>
        <v>74</v>
      </c>
      <c r="E20" s="68">
        <v>2.0</v>
      </c>
      <c r="F20" s="68">
        <v>0.8</v>
      </c>
      <c r="G20" s="69">
        <v>0.2</v>
      </c>
      <c r="H20" s="69">
        <v>0.26</v>
      </c>
      <c r="I20" s="69">
        <v>0.27</v>
      </c>
      <c r="J20" s="67">
        <v>1.0</v>
      </c>
      <c r="K20" s="68">
        <v>14.7</v>
      </c>
      <c r="L20" s="68">
        <v>0.9</v>
      </c>
      <c r="M20" s="67">
        <v>18.0</v>
      </c>
      <c r="N20" s="67">
        <v>38.0</v>
      </c>
      <c r="O20" s="68">
        <v>0.8</v>
      </c>
      <c r="P20" s="67">
        <v>75.0</v>
      </c>
      <c r="Q20" s="67">
        <v>37.0</v>
      </c>
      <c r="R20" s="67">
        <v>10.0</v>
      </c>
      <c r="S20" s="69">
        <v>0.36</v>
      </c>
      <c r="T20" s="69">
        <v>0.04</v>
      </c>
      <c r="U20" s="69">
        <v>0.19</v>
      </c>
      <c r="V20" s="67">
        <v>20.0</v>
      </c>
      <c r="W20" s="69">
        <v>0.09</v>
      </c>
      <c r="X20" s="69">
        <v>0.08</v>
      </c>
      <c r="Y20" s="68">
        <v>1.0</v>
      </c>
      <c r="Z20" s="69">
        <v>0.12</v>
      </c>
      <c r="AA20" s="69">
        <v>0.06</v>
      </c>
      <c r="AB20" s="67">
        <v>34.0</v>
      </c>
      <c r="AC20" s="69">
        <v>0.0</v>
      </c>
      <c r="AD20" s="67">
        <v>1.0</v>
      </c>
    </row>
    <row r="21" ht="15.75" customHeight="1">
      <c r="B21" s="411" t="s">
        <v>165</v>
      </c>
      <c r="C21" s="66"/>
      <c r="D21" s="67">
        <f t="shared" si="1"/>
        <v>41</v>
      </c>
      <c r="E21" s="68">
        <v>1.3</v>
      </c>
      <c r="F21" s="68">
        <v>0.6</v>
      </c>
      <c r="G21" s="69">
        <v>0.13</v>
      </c>
      <c r="H21" s="69">
        <v>0.18</v>
      </c>
      <c r="I21" s="69">
        <v>0.21</v>
      </c>
      <c r="J21" s="67">
        <v>1.0</v>
      </c>
      <c r="K21" s="68">
        <v>7.6</v>
      </c>
      <c r="L21" s="68">
        <v>0.5</v>
      </c>
      <c r="M21" s="67">
        <v>13.0</v>
      </c>
      <c r="N21" s="67">
        <v>23.0</v>
      </c>
      <c r="O21" s="68">
        <v>0.3</v>
      </c>
      <c r="P21" s="67">
        <v>43.0</v>
      </c>
      <c r="Q21" s="67">
        <v>24.0</v>
      </c>
      <c r="R21" s="67">
        <v>6.0</v>
      </c>
      <c r="S21" s="69">
        <v>0.14</v>
      </c>
      <c r="T21" s="69">
        <v>0.02</v>
      </c>
      <c r="U21" s="69">
        <v>0.11</v>
      </c>
      <c r="V21" s="67">
        <v>1.0</v>
      </c>
      <c r="W21" s="69">
        <v>0.05</v>
      </c>
      <c r="X21" s="69">
        <v>0.03</v>
      </c>
      <c r="Y21" s="68">
        <v>0.4</v>
      </c>
      <c r="Z21" s="69">
        <v>0.09</v>
      </c>
      <c r="AA21" s="69">
        <v>0.01</v>
      </c>
      <c r="AB21" s="67">
        <v>15.0</v>
      </c>
      <c r="AC21" s="69">
        <v>0.0</v>
      </c>
      <c r="AD21" s="67">
        <v>0.0</v>
      </c>
    </row>
    <row r="22" ht="15.75" customHeight="1">
      <c r="B22" s="413" t="s">
        <v>167</v>
      </c>
      <c r="C22" s="66"/>
      <c r="D22" s="67">
        <f t="shared" si="1"/>
        <v>95.7</v>
      </c>
      <c r="E22" s="68">
        <v>1.4</v>
      </c>
      <c r="F22" s="68">
        <v>0.1</v>
      </c>
      <c r="G22" s="69">
        <v>0.05</v>
      </c>
      <c r="H22" s="69">
        <v>0.01</v>
      </c>
      <c r="I22" s="69">
        <v>0.06</v>
      </c>
      <c r="J22" s="67">
        <v>0.0</v>
      </c>
      <c r="K22" s="68">
        <v>22.3</v>
      </c>
      <c r="L22" s="68">
        <v>1.9</v>
      </c>
      <c r="M22" s="67">
        <v>11.0</v>
      </c>
      <c r="N22" s="67">
        <v>40.0</v>
      </c>
      <c r="O22" s="68">
        <v>0.5</v>
      </c>
      <c r="P22" s="67">
        <v>10.0</v>
      </c>
      <c r="Q22" s="67">
        <v>376.0</v>
      </c>
      <c r="R22" s="67">
        <v>20.0</v>
      </c>
      <c r="S22" s="69">
        <v>0.23</v>
      </c>
      <c r="T22" s="69">
        <v>0.13</v>
      </c>
      <c r="U22" s="69">
        <v>0.25</v>
      </c>
      <c r="V22" s="67">
        <v>156.0</v>
      </c>
      <c r="W22" s="69">
        <v>0.05</v>
      </c>
      <c r="X22" s="69">
        <v>0.04</v>
      </c>
      <c r="Y22" s="68">
        <v>0.9</v>
      </c>
      <c r="Z22" s="69">
        <v>0.29</v>
      </c>
      <c r="AA22" s="69">
        <v>0.21</v>
      </c>
      <c r="AB22" s="67">
        <v>13.0</v>
      </c>
      <c r="AC22" s="69">
        <v>0.0</v>
      </c>
      <c r="AD22" s="67">
        <v>28.0</v>
      </c>
    </row>
    <row r="23" ht="15.75" customHeight="1">
      <c r="B23" s="413" t="s">
        <v>169</v>
      </c>
      <c r="C23" s="66"/>
      <c r="D23" s="67">
        <f t="shared" si="1"/>
        <v>65.7</v>
      </c>
      <c r="E23" s="68">
        <v>1.0</v>
      </c>
      <c r="F23" s="68">
        <v>0.1</v>
      </c>
      <c r="G23" s="69">
        <v>0.03</v>
      </c>
      <c r="H23" s="69">
        <v>0.01</v>
      </c>
      <c r="I23" s="69">
        <v>0.04</v>
      </c>
      <c r="J23" s="67">
        <v>0.0</v>
      </c>
      <c r="K23" s="68">
        <v>15.2</v>
      </c>
      <c r="L23" s="68">
        <v>1.3</v>
      </c>
      <c r="M23" s="67">
        <v>8.0</v>
      </c>
      <c r="N23" s="67">
        <v>29.0</v>
      </c>
      <c r="O23" s="68">
        <v>0.4</v>
      </c>
      <c r="P23" s="67">
        <v>7.0</v>
      </c>
      <c r="Q23" s="67">
        <v>264.0</v>
      </c>
      <c r="R23" s="67">
        <v>14.0</v>
      </c>
      <c r="S23" s="69">
        <v>0.17</v>
      </c>
      <c r="T23" s="69">
        <v>0.09</v>
      </c>
      <c r="U23" s="69">
        <v>0.17</v>
      </c>
      <c r="V23" s="67">
        <v>81.0</v>
      </c>
      <c r="W23" s="69">
        <v>0.04</v>
      </c>
      <c r="X23" s="69">
        <v>0.03</v>
      </c>
      <c r="Y23" s="68">
        <v>0.6</v>
      </c>
      <c r="Z23" s="69">
        <v>0.2</v>
      </c>
      <c r="AA23" s="69">
        <v>0.15</v>
      </c>
      <c r="AB23" s="67">
        <v>9.0</v>
      </c>
      <c r="AC23" s="69">
        <v>0.0</v>
      </c>
      <c r="AD23" s="67">
        <v>21.0</v>
      </c>
    </row>
    <row r="24" ht="15.75" customHeight="1">
      <c r="B24" s="413" t="s">
        <v>171</v>
      </c>
      <c r="C24" s="66"/>
      <c r="D24" s="67">
        <f t="shared" si="1"/>
        <v>38</v>
      </c>
      <c r="E24" s="68">
        <v>0.5</v>
      </c>
      <c r="F24" s="68">
        <v>0.0</v>
      </c>
      <c r="G24" s="69">
        <v>0.02</v>
      </c>
      <c r="H24" s="69">
        <v>0.0</v>
      </c>
      <c r="I24" s="69">
        <v>0.02</v>
      </c>
      <c r="J24" s="67">
        <v>0.0</v>
      </c>
      <c r="K24" s="68">
        <v>9.0</v>
      </c>
      <c r="L24" s="68">
        <v>0.8</v>
      </c>
      <c r="M24" s="67">
        <v>3.0</v>
      </c>
      <c r="N24" s="67">
        <v>13.0</v>
      </c>
      <c r="O24" s="68">
        <v>0.2</v>
      </c>
      <c r="P24" s="67">
        <v>2.0</v>
      </c>
      <c r="Q24" s="67">
        <v>153.0</v>
      </c>
      <c r="R24" s="67">
        <v>8.0</v>
      </c>
      <c r="S24" s="69">
        <v>0.07</v>
      </c>
      <c r="T24" s="69">
        <v>0.04</v>
      </c>
      <c r="U24" s="69">
        <v>0.1</v>
      </c>
      <c r="V24" s="67">
        <v>7.0</v>
      </c>
      <c r="W24" s="69">
        <v>0.02</v>
      </c>
      <c r="X24" s="69">
        <v>0.01</v>
      </c>
      <c r="Y24" s="68">
        <v>0.3</v>
      </c>
      <c r="Z24" s="69">
        <v>0.11</v>
      </c>
      <c r="AA24" s="69">
        <v>0.09</v>
      </c>
      <c r="AB24" s="67">
        <v>5.0</v>
      </c>
      <c r="AC24" s="69">
        <v>0.0</v>
      </c>
      <c r="AD24" s="67">
        <v>5.0</v>
      </c>
    </row>
    <row r="25" ht="15.75" customHeight="1">
      <c r="B25" s="412" t="s">
        <v>173</v>
      </c>
      <c r="C25" s="66"/>
      <c r="D25" s="67">
        <f t="shared" si="1"/>
        <v>95.4</v>
      </c>
      <c r="E25" s="68">
        <v>2.0</v>
      </c>
      <c r="F25" s="68">
        <v>0.6</v>
      </c>
      <c r="G25" s="69">
        <v>0.14</v>
      </c>
      <c r="H25" s="69">
        <v>0.16</v>
      </c>
      <c r="I25" s="69">
        <v>0.19</v>
      </c>
      <c r="J25" s="67">
        <v>0.0</v>
      </c>
      <c r="K25" s="68">
        <v>20.5</v>
      </c>
      <c r="L25" s="68">
        <v>1.5</v>
      </c>
      <c r="M25" s="67">
        <v>15.0</v>
      </c>
      <c r="N25" s="67">
        <v>43.0</v>
      </c>
      <c r="O25" s="68">
        <v>0.7</v>
      </c>
      <c r="P25" s="67">
        <v>46.0</v>
      </c>
      <c r="Q25" s="67">
        <v>214.0</v>
      </c>
      <c r="R25" s="67">
        <v>17.0</v>
      </c>
      <c r="S25" s="69">
        <v>0.33</v>
      </c>
      <c r="T25" s="69">
        <v>0.09</v>
      </c>
      <c r="U25" s="69">
        <v>0.24</v>
      </c>
      <c r="V25" s="67">
        <v>89.0</v>
      </c>
      <c r="W25" s="69">
        <v>0.08</v>
      </c>
      <c r="X25" s="69">
        <v>0.07</v>
      </c>
      <c r="Y25" s="68">
        <v>1.0</v>
      </c>
      <c r="Z25" s="69">
        <v>0.22</v>
      </c>
      <c r="AA25" s="69">
        <v>0.15</v>
      </c>
      <c r="AB25" s="67">
        <v>26.0</v>
      </c>
      <c r="AC25" s="69">
        <v>0.0</v>
      </c>
      <c r="AD25" s="67">
        <v>15.0</v>
      </c>
    </row>
    <row r="26" ht="15.75" customHeight="1">
      <c r="B26" s="412" t="s">
        <v>174</v>
      </c>
      <c r="C26" s="66"/>
      <c r="D26" s="67">
        <f t="shared" si="1"/>
        <v>70.5</v>
      </c>
      <c r="E26" s="68">
        <v>1.5</v>
      </c>
      <c r="F26" s="68">
        <v>0.5</v>
      </c>
      <c r="G26" s="69">
        <v>0.12</v>
      </c>
      <c r="H26" s="69">
        <v>0.14</v>
      </c>
      <c r="I26" s="69">
        <v>0.15</v>
      </c>
      <c r="J26" s="67">
        <v>0.0</v>
      </c>
      <c r="K26" s="68">
        <v>15.0</v>
      </c>
      <c r="L26" s="68">
        <v>1.1</v>
      </c>
      <c r="M26" s="67">
        <v>13.0</v>
      </c>
      <c r="N26" s="67">
        <v>34.0</v>
      </c>
      <c r="O26" s="68">
        <v>0.6</v>
      </c>
      <c r="P26" s="67">
        <v>41.0</v>
      </c>
      <c r="Q26" s="67">
        <v>150.0</v>
      </c>
      <c r="R26" s="67">
        <v>12.0</v>
      </c>
      <c r="S26" s="69">
        <v>0.26</v>
      </c>
      <c r="T26" s="69">
        <v>0.07</v>
      </c>
      <c r="U26" s="69">
        <v>0.18</v>
      </c>
      <c r="V26" s="67">
        <v>51.0</v>
      </c>
      <c r="W26" s="69">
        <v>0.07</v>
      </c>
      <c r="X26" s="69">
        <v>0.05</v>
      </c>
      <c r="Y26" s="68">
        <v>0.8</v>
      </c>
      <c r="Z26" s="69">
        <v>0.16</v>
      </c>
      <c r="AA26" s="69">
        <v>0.11</v>
      </c>
      <c r="AB26" s="67">
        <v>22.0</v>
      </c>
      <c r="AC26" s="69">
        <v>0.0</v>
      </c>
      <c r="AD26" s="67">
        <v>11.0</v>
      </c>
    </row>
    <row r="27" ht="15.75" customHeight="1">
      <c r="B27" s="412" t="s">
        <v>175</v>
      </c>
      <c r="C27" s="66"/>
      <c r="D27" s="67">
        <f t="shared" si="1"/>
        <v>39.5</v>
      </c>
      <c r="E27" s="68">
        <v>0.9</v>
      </c>
      <c r="F27" s="68">
        <v>0.3</v>
      </c>
      <c r="G27" s="69">
        <v>0.08</v>
      </c>
      <c r="H27" s="69">
        <v>0.09</v>
      </c>
      <c r="I27" s="69">
        <v>0.11</v>
      </c>
      <c r="J27" s="67">
        <v>0.0</v>
      </c>
      <c r="K27" s="68">
        <v>8.3</v>
      </c>
      <c r="L27" s="68">
        <v>0.6</v>
      </c>
      <c r="M27" s="67">
        <v>8.0</v>
      </c>
      <c r="N27" s="67">
        <v>18.0</v>
      </c>
      <c r="O27" s="68">
        <v>0.2</v>
      </c>
      <c r="P27" s="67">
        <v>23.0</v>
      </c>
      <c r="Q27" s="67">
        <v>89.0</v>
      </c>
      <c r="R27" s="67">
        <v>7.0</v>
      </c>
      <c r="S27" s="69">
        <v>0.11</v>
      </c>
      <c r="T27" s="69">
        <v>0.03</v>
      </c>
      <c r="U27" s="69">
        <v>0.11</v>
      </c>
      <c r="V27" s="67">
        <v>4.0</v>
      </c>
      <c r="W27" s="69">
        <v>0.03</v>
      </c>
      <c r="X27" s="69">
        <v>0.02</v>
      </c>
      <c r="Y27" s="68">
        <v>0.3</v>
      </c>
      <c r="Z27" s="69">
        <v>0.1</v>
      </c>
      <c r="AA27" s="69">
        <v>0.05</v>
      </c>
      <c r="AB27" s="67">
        <v>10.0</v>
      </c>
      <c r="AC27" s="69">
        <v>0.0</v>
      </c>
      <c r="AD27" s="67">
        <v>3.0</v>
      </c>
    </row>
    <row r="28" ht="15.75" customHeight="1">
      <c r="B28" s="413" t="s">
        <v>176</v>
      </c>
      <c r="C28" s="66"/>
      <c r="D28" s="67">
        <f t="shared" si="1"/>
        <v>29.5</v>
      </c>
      <c r="E28" s="68">
        <v>1.2</v>
      </c>
      <c r="F28" s="68">
        <v>0.3</v>
      </c>
      <c r="G28" s="69">
        <v>0.05</v>
      </c>
      <c r="H28" s="69">
        <v>0.03</v>
      </c>
      <c r="I28" s="69">
        <v>0.13</v>
      </c>
      <c r="J28" s="67">
        <v>0.0</v>
      </c>
      <c r="K28" s="68">
        <v>5.5</v>
      </c>
      <c r="L28" s="68">
        <v>1.7</v>
      </c>
      <c r="M28" s="67">
        <v>15.0</v>
      </c>
      <c r="N28" s="67">
        <v>32.0</v>
      </c>
      <c r="O28" s="68">
        <v>0.7</v>
      </c>
      <c r="P28" s="67">
        <v>68.0</v>
      </c>
      <c r="Q28" s="67">
        <v>187.0</v>
      </c>
      <c r="R28" s="67">
        <v>12.0</v>
      </c>
      <c r="S28" s="69">
        <v>0.29</v>
      </c>
      <c r="T28" s="69">
        <v>0.1</v>
      </c>
      <c r="U28" s="69">
        <v>0.16</v>
      </c>
      <c r="V28" s="67">
        <v>136.0</v>
      </c>
      <c r="W28" s="69">
        <v>0.05</v>
      </c>
      <c r="X28" s="69">
        <v>0.06</v>
      </c>
      <c r="Y28" s="68">
        <v>0.8</v>
      </c>
      <c r="Z28" s="69">
        <v>0.37</v>
      </c>
      <c r="AA28" s="69">
        <v>0.09</v>
      </c>
      <c r="AB28" s="67">
        <v>23.0</v>
      </c>
      <c r="AC28" s="69">
        <v>0.0</v>
      </c>
      <c r="AD28" s="67">
        <v>19.0</v>
      </c>
    </row>
    <row r="29" ht="15.75" customHeight="1">
      <c r="B29" s="413" t="s">
        <v>177</v>
      </c>
      <c r="C29" s="66"/>
      <c r="D29" s="67">
        <f t="shared" si="1"/>
        <v>14.5</v>
      </c>
      <c r="E29" s="68">
        <v>0.7</v>
      </c>
      <c r="F29" s="68">
        <v>0.1</v>
      </c>
      <c r="G29" s="69">
        <v>0.02</v>
      </c>
      <c r="H29" s="69">
        <v>0.01</v>
      </c>
      <c r="I29" s="69">
        <v>0.06</v>
      </c>
      <c r="J29" s="67">
        <v>0.0</v>
      </c>
      <c r="K29" s="68">
        <v>2.7</v>
      </c>
      <c r="L29" s="68">
        <v>0.9</v>
      </c>
      <c r="M29" s="67">
        <v>9.0</v>
      </c>
      <c r="N29" s="67">
        <v>15.0</v>
      </c>
      <c r="O29" s="68">
        <v>0.3</v>
      </c>
      <c r="P29" s="67">
        <v>8.0</v>
      </c>
      <c r="Q29" s="67">
        <v>101.0</v>
      </c>
      <c r="R29" s="67">
        <v>7.0</v>
      </c>
      <c r="S29" s="69">
        <v>0.13</v>
      </c>
      <c r="T29" s="69">
        <v>0.04</v>
      </c>
      <c r="U29" s="69">
        <v>0.1</v>
      </c>
      <c r="V29" s="67">
        <v>101.0</v>
      </c>
      <c r="W29" s="69">
        <v>0.02</v>
      </c>
      <c r="X29" s="69">
        <v>0.03</v>
      </c>
      <c r="Y29" s="68">
        <v>0.4</v>
      </c>
      <c r="Z29" s="69">
        <v>0.19</v>
      </c>
      <c r="AA29" s="69">
        <v>0.05</v>
      </c>
      <c r="AB29" s="67">
        <v>14.0</v>
      </c>
      <c r="AC29" s="69">
        <v>0.0</v>
      </c>
      <c r="AD29" s="67">
        <v>11.0</v>
      </c>
    </row>
    <row r="30" ht="15.75" customHeight="1">
      <c r="B30" s="413" t="s">
        <v>179</v>
      </c>
      <c r="C30" s="66"/>
      <c r="D30" s="67">
        <f t="shared" si="1"/>
        <v>59.9</v>
      </c>
      <c r="E30" s="68">
        <v>1.0</v>
      </c>
      <c r="F30" s="68">
        <v>0.3</v>
      </c>
      <c r="G30" s="69">
        <v>0.06</v>
      </c>
      <c r="H30" s="69">
        <v>0.09</v>
      </c>
      <c r="I30" s="69">
        <v>0.11</v>
      </c>
      <c r="J30" s="67">
        <v>0.0</v>
      </c>
      <c r="K30" s="68">
        <v>13.3</v>
      </c>
      <c r="L30" s="68">
        <v>2.6</v>
      </c>
      <c r="M30" s="67">
        <v>21.0</v>
      </c>
      <c r="N30" s="67">
        <v>24.0</v>
      </c>
      <c r="O30" s="68">
        <v>0.5</v>
      </c>
      <c r="P30" s="67">
        <v>4.0</v>
      </c>
      <c r="Q30" s="67">
        <v>244.0</v>
      </c>
      <c r="R30" s="67">
        <v>19.0</v>
      </c>
      <c r="S30" s="69">
        <v>0.14</v>
      </c>
      <c r="T30" s="69">
        <v>0.07</v>
      </c>
      <c r="U30" s="69">
        <v>0.17</v>
      </c>
      <c r="V30" s="67">
        <v>74.0</v>
      </c>
      <c r="W30" s="69">
        <v>0.06</v>
      </c>
      <c r="X30" s="69">
        <v>0.06</v>
      </c>
      <c r="Y30" s="68">
        <v>0.9</v>
      </c>
      <c r="Z30" s="69">
        <v>0.27</v>
      </c>
      <c r="AA30" s="69">
        <v>0.1</v>
      </c>
      <c r="AB30" s="67">
        <v>20.0</v>
      </c>
      <c r="AC30" s="69">
        <v>0.0</v>
      </c>
      <c r="AD30" s="67">
        <v>52.0</v>
      </c>
    </row>
    <row r="31" ht="15.75" customHeight="1">
      <c r="B31" s="413" t="s">
        <v>181</v>
      </c>
      <c r="C31" s="66"/>
      <c r="D31" s="67">
        <f t="shared" si="1"/>
        <v>23.7</v>
      </c>
      <c r="E31" s="68">
        <v>0.3</v>
      </c>
      <c r="F31" s="68">
        <v>0.1</v>
      </c>
      <c r="G31" s="69">
        <v>0.03</v>
      </c>
      <c r="H31" s="69">
        <v>0.02</v>
      </c>
      <c r="I31" s="69">
        <v>0.05</v>
      </c>
      <c r="J31" s="67">
        <v>0.0</v>
      </c>
      <c r="K31" s="68">
        <v>5.4</v>
      </c>
      <c r="L31" s="68">
        <v>1.0</v>
      </c>
      <c r="M31" s="67">
        <v>7.0</v>
      </c>
      <c r="N31" s="67">
        <v>7.0</v>
      </c>
      <c r="O31" s="68">
        <v>0.1</v>
      </c>
      <c r="P31" s="67">
        <v>1.0</v>
      </c>
      <c r="Q31" s="67">
        <v>99.0</v>
      </c>
      <c r="R31" s="67">
        <v>6.0</v>
      </c>
      <c r="S31" s="69">
        <v>0.05</v>
      </c>
      <c r="T31" s="69">
        <v>0.03</v>
      </c>
      <c r="U31" s="69">
        <v>0.09</v>
      </c>
      <c r="V31" s="67">
        <v>31.0</v>
      </c>
      <c r="W31" s="69">
        <v>0.02</v>
      </c>
      <c r="X31" s="69">
        <v>0.02</v>
      </c>
      <c r="Y31" s="68">
        <v>0.3</v>
      </c>
      <c r="Z31" s="69">
        <v>0.1</v>
      </c>
      <c r="AA31" s="69">
        <v>0.05</v>
      </c>
      <c r="AB31" s="67">
        <v>8.0</v>
      </c>
      <c r="AC31" s="69">
        <v>0.0</v>
      </c>
      <c r="AD31" s="67">
        <v>24.0</v>
      </c>
    </row>
    <row r="32" ht="15.75" customHeight="1">
      <c r="B32" s="411" t="s">
        <v>184</v>
      </c>
      <c r="C32" s="66"/>
      <c r="D32" s="67">
        <f t="shared" si="1"/>
        <v>56.4</v>
      </c>
      <c r="E32" s="68">
        <v>1.3</v>
      </c>
      <c r="F32" s="68">
        <v>4.8</v>
      </c>
      <c r="G32" s="69">
        <v>1.15</v>
      </c>
      <c r="H32" s="69">
        <v>2.44</v>
      </c>
      <c r="I32" s="69">
        <v>0.99</v>
      </c>
      <c r="J32" s="67">
        <v>0.0</v>
      </c>
      <c r="K32" s="68">
        <v>2.0</v>
      </c>
      <c r="L32" s="68">
        <v>0.7</v>
      </c>
      <c r="M32" s="67">
        <v>8.0</v>
      </c>
      <c r="N32" s="67">
        <v>34.0</v>
      </c>
      <c r="O32" s="68">
        <v>0.3</v>
      </c>
      <c r="P32" s="67">
        <v>6.0</v>
      </c>
      <c r="Q32" s="67">
        <v>55.0</v>
      </c>
      <c r="R32" s="67">
        <v>16.0</v>
      </c>
      <c r="S32" s="69">
        <v>0.28</v>
      </c>
      <c r="T32" s="69">
        <v>0.1</v>
      </c>
      <c r="U32" s="69">
        <v>0.18</v>
      </c>
      <c r="V32" s="67">
        <v>1.0</v>
      </c>
      <c r="W32" s="69">
        <v>0.03</v>
      </c>
      <c r="X32" s="69">
        <v>0.02</v>
      </c>
      <c r="Y32" s="68">
        <v>0.2</v>
      </c>
      <c r="Z32" s="69">
        <v>0.08</v>
      </c>
      <c r="AA32" s="69">
        <v>0.02</v>
      </c>
      <c r="AB32" s="67">
        <v>5.0</v>
      </c>
      <c r="AC32" s="69">
        <v>0.0</v>
      </c>
      <c r="AD32" s="67">
        <v>0.0</v>
      </c>
    </row>
    <row r="33" ht="15.75" customHeight="1">
      <c r="B33" s="411" t="s">
        <v>186</v>
      </c>
      <c r="C33" s="66"/>
      <c r="D33" s="67">
        <f t="shared" si="1"/>
        <v>58.5</v>
      </c>
      <c r="E33" s="68">
        <v>2.3</v>
      </c>
      <c r="F33" s="68">
        <v>4.1</v>
      </c>
      <c r="G33" s="69">
        <v>0.5</v>
      </c>
      <c r="H33" s="69">
        <v>0.91</v>
      </c>
      <c r="I33" s="69">
        <v>2.48</v>
      </c>
      <c r="J33" s="67">
        <v>0.0</v>
      </c>
      <c r="K33" s="68">
        <v>3.1</v>
      </c>
      <c r="L33" s="68">
        <v>2.1</v>
      </c>
      <c r="M33" s="67">
        <v>50.0</v>
      </c>
      <c r="N33" s="67">
        <v>74.0</v>
      </c>
      <c r="O33" s="68">
        <v>0.9</v>
      </c>
      <c r="P33" s="67">
        <v>2.0</v>
      </c>
      <c r="Q33" s="67">
        <v>78.0</v>
      </c>
      <c r="R33" s="67">
        <v>37.0</v>
      </c>
      <c r="S33" s="69">
        <v>0.58</v>
      </c>
      <c r="T33" s="69">
        <v>0.15</v>
      </c>
      <c r="U33" s="69">
        <v>0.35</v>
      </c>
      <c r="V33" s="67">
        <v>1.0</v>
      </c>
      <c r="W33" s="69">
        <v>0.07</v>
      </c>
      <c r="X33" s="69">
        <v>0.02</v>
      </c>
      <c r="Y33" s="68">
        <v>0.3</v>
      </c>
      <c r="Z33" s="69">
        <v>0.15</v>
      </c>
      <c r="AA33" s="69">
        <v>0.06</v>
      </c>
      <c r="AB33" s="67">
        <v>18.0</v>
      </c>
      <c r="AC33" s="69">
        <v>0.0</v>
      </c>
      <c r="AD33" s="67">
        <v>0.0</v>
      </c>
    </row>
    <row r="34" ht="15.75" customHeight="1">
      <c r="B34" s="413" t="s">
        <v>189</v>
      </c>
      <c r="C34" s="66"/>
      <c r="D34" s="67">
        <f t="shared" si="1"/>
        <v>89.9</v>
      </c>
      <c r="E34" s="68">
        <v>0.9</v>
      </c>
      <c r="F34" s="68">
        <v>1.1</v>
      </c>
      <c r="G34" s="69">
        <v>0.63</v>
      </c>
      <c r="H34" s="69">
        <v>0.33</v>
      </c>
      <c r="I34" s="69">
        <v>0.07</v>
      </c>
      <c r="J34" s="67">
        <v>2.0</v>
      </c>
      <c r="K34" s="68">
        <v>19.1</v>
      </c>
      <c r="L34" s="68">
        <v>0.5</v>
      </c>
      <c r="M34" s="67">
        <v>20.0</v>
      </c>
      <c r="N34" s="67">
        <v>23.0</v>
      </c>
      <c r="O34" s="68">
        <v>0.3</v>
      </c>
      <c r="P34" s="67">
        <v>25.0</v>
      </c>
      <c r="Q34" s="67">
        <v>67.0</v>
      </c>
      <c r="R34" s="67">
        <v>6.0</v>
      </c>
      <c r="S34" s="69">
        <v>0.16</v>
      </c>
      <c r="T34" s="69">
        <v>0.05</v>
      </c>
      <c r="U34" s="69">
        <v>0.16</v>
      </c>
      <c r="V34" s="67">
        <v>10.0</v>
      </c>
      <c r="W34" s="69">
        <v>0.04</v>
      </c>
      <c r="X34" s="69">
        <v>0.07</v>
      </c>
      <c r="Y34" s="68">
        <v>0.2</v>
      </c>
      <c r="Z34" s="69">
        <v>0.08</v>
      </c>
      <c r="AA34" s="69">
        <v>0.02</v>
      </c>
      <c r="AB34" s="67">
        <v>5.0</v>
      </c>
      <c r="AC34" s="69">
        <v>0.04</v>
      </c>
      <c r="AD34" s="67">
        <v>2.0</v>
      </c>
    </row>
    <row r="35" ht="15.75" customHeight="1">
      <c r="B35" s="413" t="s">
        <v>210</v>
      </c>
      <c r="C35" s="66"/>
      <c r="D35" s="67">
        <f t="shared" si="1"/>
        <v>45.1</v>
      </c>
      <c r="E35" s="68">
        <v>0.4</v>
      </c>
      <c r="F35" s="68">
        <v>0.3</v>
      </c>
      <c r="G35" s="69">
        <v>0.14</v>
      </c>
      <c r="H35" s="69">
        <v>0.1</v>
      </c>
      <c r="I35" s="69">
        <v>0.03</v>
      </c>
      <c r="J35" s="67">
        <v>0.0</v>
      </c>
      <c r="K35" s="68">
        <v>10.2</v>
      </c>
      <c r="L35" s="68">
        <v>0.2</v>
      </c>
      <c r="M35" s="67">
        <v>8.0</v>
      </c>
      <c r="N35" s="67">
        <v>12.0</v>
      </c>
      <c r="O35" s="68">
        <v>0.2</v>
      </c>
      <c r="P35" s="67">
        <v>11.0</v>
      </c>
      <c r="Q35" s="67">
        <v>33.0</v>
      </c>
      <c r="R35" s="67">
        <v>4.0</v>
      </c>
      <c r="S35" s="69">
        <v>0.1</v>
      </c>
      <c r="T35" s="69">
        <v>0.2</v>
      </c>
      <c r="U35" s="69">
        <v>0.11</v>
      </c>
      <c r="V35" s="67">
        <v>6.0</v>
      </c>
      <c r="W35" s="69">
        <v>0.02</v>
      </c>
      <c r="X35" s="69">
        <v>0.03</v>
      </c>
      <c r="Y35" s="68">
        <v>0.2</v>
      </c>
      <c r="Z35" s="69">
        <v>0.04</v>
      </c>
      <c r="AA35" s="69">
        <v>0.02</v>
      </c>
      <c r="AB35" s="67">
        <v>2.0</v>
      </c>
      <c r="AC35" s="69">
        <v>0.01</v>
      </c>
      <c r="AD35" s="67">
        <v>1.0</v>
      </c>
    </row>
    <row r="36" ht="15.75" customHeight="1">
      <c r="B36" s="411" t="s">
        <v>195</v>
      </c>
      <c r="C36" s="66"/>
      <c r="D36" s="67">
        <f t="shared" si="1"/>
        <v>41.7</v>
      </c>
      <c r="E36" s="68">
        <v>0.0</v>
      </c>
      <c r="F36" s="68">
        <v>4.5</v>
      </c>
      <c r="G36" s="69">
        <v>0.67</v>
      </c>
      <c r="H36" s="69">
        <v>1.39</v>
      </c>
      <c r="I36" s="69">
        <v>2.71</v>
      </c>
      <c r="J36" s="67">
        <v>1.0</v>
      </c>
      <c r="K36" s="68">
        <v>0.3</v>
      </c>
      <c r="L36" s="68">
        <v>0.0</v>
      </c>
      <c r="M36" s="67">
        <v>1.0</v>
      </c>
      <c r="N36" s="67">
        <v>1.0</v>
      </c>
      <c r="O36" s="68">
        <v>0.0</v>
      </c>
      <c r="P36" s="67">
        <v>27.0</v>
      </c>
      <c r="Q36" s="67">
        <v>2.0</v>
      </c>
      <c r="R36" s="67">
        <v>0.0</v>
      </c>
      <c r="S36" s="69">
        <v>0.01</v>
      </c>
      <c r="T36" s="69">
        <v>0.0</v>
      </c>
      <c r="U36" s="69">
        <v>0.0</v>
      </c>
      <c r="V36" s="67">
        <v>2.0</v>
      </c>
      <c r="W36" s="69">
        <v>0.0</v>
      </c>
      <c r="X36" s="69">
        <v>0.0</v>
      </c>
      <c r="Y36" s="68">
        <v>0.0</v>
      </c>
      <c r="Z36" s="69">
        <v>0.01</v>
      </c>
      <c r="AA36" s="69">
        <v>0.01</v>
      </c>
      <c r="AB36" s="67">
        <v>0.0</v>
      </c>
      <c r="AC36" s="69">
        <v>0.01</v>
      </c>
      <c r="AD36" s="67">
        <v>0.0</v>
      </c>
    </row>
    <row r="37" ht="15.75" customHeight="1">
      <c r="B37" s="411" t="s">
        <v>196</v>
      </c>
      <c r="C37" s="66"/>
      <c r="D37" s="67">
        <f t="shared" si="1"/>
        <v>47</v>
      </c>
      <c r="E37" s="68">
        <v>0.4</v>
      </c>
      <c r="F37" s="68">
        <v>4.6</v>
      </c>
      <c r="G37" s="69">
        <v>0.66</v>
      </c>
      <c r="H37" s="69">
        <v>2.7</v>
      </c>
      <c r="I37" s="69">
        <v>0.96</v>
      </c>
      <c r="J37" s="67">
        <v>0.0</v>
      </c>
      <c r="K37" s="68">
        <v>1.0</v>
      </c>
      <c r="L37" s="68">
        <v>0.6</v>
      </c>
      <c r="M37" s="67">
        <v>7.0</v>
      </c>
      <c r="N37" s="67">
        <v>7.0</v>
      </c>
      <c r="O37" s="68">
        <v>0.2</v>
      </c>
      <c r="P37" s="67">
        <v>55.0</v>
      </c>
      <c r="Q37" s="67">
        <v>49.0</v>
      </c>
      <c r="R37" s="67">
        <v>5.0</v>
      </c>
      <c r="S37" s="69">
        <v>0.07</v>
      </c>
      <c r="T37" s="69">
        <v>0.03</v>
      </c>
      <c r="U37" s="69">
        <v>0.02</v>
      </c>
      <c r="V37" s="67">
        <v>12.0</v>
      </c>
      <c r="W37" s="69">
        <v>0.01</v>
      </c>
      <c r="X37" s="69">
        <v>0.01</v>
      </c>
      <c r="Y37" s="68">
        <v>0.3</v>
      </c>
      <c r="Z37" s="69">
        <v>0.08</v>
      </c>
      <c r="AA37" s="69">
        <v>0.03</v>
      </c>
      <c r="AB37" s="67">
        <v>5.0</v>
      </c>
      <c r="AC37" s="69">
        <v>0.0</v>
      </c>
      <c r="AD37" s="67">
        <v>1.0</v>
      </c>
    </row>
    <row r="38" ht="15.75" customHeight="1">
      <c r="B38" s="411" t="s">
        <v>197</v>
      </c>
      <c r="C38" s="66"/>
      <c r="D38" s="67">
        <f t="shared" si="1"/>
        <v>45.6</v>
      </c>
      <c r="E38" s="68">
        <v>0.3</v>
      </c>
      <c r="F38" s="68">
        <v>4.8</v>
      </c>
      <c r="G38" s="69">
        <v>2.66</v>
      </c>
      <c r="H38" s="69">
        <v>1.57</v>
      </c>
      <c r="I38" s="69">
        <v>0.28</v>
      </c>
      <c r="J38" s="67">
        <v>10.0</v>
      </c>
      <c r="K38" s="68">
        <v>0.3</v>
      </c>
      <c r="L38" s="68">
        <v>0.0</v>
      </c>
      <c r="M38" s="67">
        <v>8.0</v>
      </c>
      <c r="N38" s="67">
        <v>7.0</v>
      </c>
      <c r="O38" s="68">
        <v>0.0</v>
      </c>
      <c r="P38" s="67">
        <v>9.0</v>
      </c>
      <c r="Q38" s="67">
        <v>10.0</v>
      </c>
      <c r="R38" s="67">
        <v>1.0</v>
      </c>
      <c r="S38" s="69">
        <v>0.03</v>
      </c>
      <c r="T38" s="69">
        <v>0.0</v>
      </c>
      <c r="U38" s="69">
        <v>0.0</v>
      </c>
      <c r="V38" s="67">
        <v>31.0</v>
      </c>
      <c r="W38" s="69">
        <v>0.0</v>
      </c>
      <c r="X38" s="69">
        <v>0.01</v>
      </c>
      <c r="Y38" s="68">
        <v>0.0</v>
      </c>
      <c r="Z38" s="69">
        <v>0.03</v>
      </c>
      <c r="AA38" s="69">
        <v>0.0</v>
      </c>
      <c r="AB38" s="67">
        <v>1.0</v>
      </c>
      <c r="AC38" s="69">
        <v>0.03</v>
      </c>
      <c r="AD38" s="67">
        <v>0.0</v>
      </c>
    </row>
    <row r="39" ht="15.75" customHeight="1">
      <c r="B39" s="411" t="s">
        <v>198</v>
      </c>
      <c r="C39" s="66"/>
      <c r="D39" s="67">
        <f t="shared" si="1"/>
        <v>44.6</v>
      </c>
      <c r="E39" s="68">
        <v>0.3</v>
      </c>
      <c r="F39" s="68">
        <v>4.6</v>
      </c>
      <c r="G39" s="69">
        <v>1.33</v>
      </c>
      <c r="H39" s="69">
        <v>1.88</v>
      </c>
      <c r="I39" s="69">
        <v>1.32</v>
      </c>
      <c r="J39" s="67">
        <v>4.0</v>
      </c>
      <c r="K39" s="68">
        <v>0.5</v>
      </c>
      <c r="L39" s="68">
        <v>0.2</v>
      </c>
      <c r="M39" s="67">
        <v>5.0</v>
      </c>
      <c r="N39" s="67">
        <v>5.0</v>
      </c>
      <c r="O39" s="68">
        <v>0.1</v>
      </c>
      <c r="P39" s="67">
        <v>30.0</v>
      </c>
      <c r="Q39" s="67">
        <v>20.0</v>
      </c>
      <c r="R39" s="67">
        <v>2.0</v>
      </c>
      <c r="S39" s="69">
        <v>0.04</v>
      </c>
      <c r="T39" s="69">
        <v>0.01</v>
      </c>
      <c r="U39" s="69">
        <v>0.01</v>
      </c>
      <c r="V39" s="67">
        <v>15.0</v>
      </c>
      <c r="W39" s="69">
        <v>0.0</v>
      </c>
      <c r="X39" s="69">
        <v>0.01</v>
      </c>
      <c r="Y39" s="68">
        <v>0.1</v>
      </c>
      <c r="Z39" s="69">
        <v>0.04</v>
      </c>
      <c r="AA39" s="69">
        <v>0.01</v>
      </c>
      <c r="AB39" s="67">
        <v>2.0</v>
      </c>
      <c r="AC39" s="69">
        <v>0.01</v>
      </c>
      <c r="AD39" s="67">
        <v>0.0</v>
      </c>
    </row>
    <row r="40" ht="15.75" customHeight="1">
      <c r="B40" s="411" t="s">
        <v>200</v>
      </c>
      <c r="C40" s="66"/>
      <c r="D40" s="67">
        <f t="shared" si="1"/>
        <v>39.3</v>
      </c>
      <c r="E40" s="68">
        <v>1.3</v>
      </c>
      <c r="F40" s="68">
        <v>3.3</v>
      </c>
      <c r="G40" s="69">
        <v>1.16</v>
      </c>
      <c r="H40" s="69">
        <v>0.98</v>
      </c>
      <c r="I40" s="69">
        <v>0.89</v>
      </c>
      <c r="J40" s="67">
        <v>6.0</v>
      </c>
      <c r="K40" s="68">
        <v>1.1</v>
      </c>
      <c r="L40" s="68">
        <v>0.0</v>
      </c>
      <c r="M40" s="67">
        <v>16.0</v>
      </c>
      <c r="N40" s="67">
        <v>37.0</v>
      </c>
      <c r="O40" s="68">
        <v>0.0</v>
      </c>
      <c r="P40" s="67">
        <v>125.0</v>
      </c>
      <c r="Q40" s="67">
        <v>19.0</v>
      </c>
      <c r="R40" s="67">
        <v>2.0</v>
      </c>
      <c r="S40" s="69">
        <v>0.12</v>
      </c>
      <c r="T40" s="69">
        <v>0.0</v>
      </c>
      <c r="U40" s="69">
        <v>0.0</v>
      </c>
      <c r="V40" s="67">
        <v>41.0</v>
      </c>
      <c r="W40" s="69">
        <v>0.0</v>
      </c>
      <c r="X40" s="69">
        <v>0.02</v>
      </c>
      <c r="Y40" s="68">
        <v>0.0</v>
      </c>
      <c r="Z40" s="69">
        <v>0.04</v>
      </c>
      <c r="AA40" s="69">
        <v>0.03</v>
      </c>
      <c r="AB40" s="67">
        <v>3.0</v>
      </c>
      <c r="AC40" s="69">
        <v>0.06</v>
      </c>
      <c r="AD40" s="67">
        <v>0.0</v>
      </c>
    </row>
    <row r="41" ht="15.75" customHeight="1">
      <c r="B41" s="413" t="s">
        <v>203</v>
      </c>
      <c r="C41" s="66"/>
      <c r="D41" s="67">
        <f t="shared" si="1"/>
        <v>27</v>
      </c>
      <c r="E41" s="68">
        <v>0.0</v>
      </c>
      <c r="F41" s="68">
        <v>3.0</v>
      </c>
      <c r="G41" s="69">
        <v>0.39</v>
      </c>
      <c r="H41" s="69">
        <v>0.8</v>
      </c>
      <c r="I41" s="69">
        <v>1.68</v>
      </c>
      <c r="J41" s="67">
        <v>0.0</v>
      </c>
      <c r="K41" s="68">
        <v>0.0</v>
      </c>
      <c r="L41" s="68">
        <v>0.0</v>
      </c>
      <c r="M41" s="67">
        <v>0.0</v>
      </c>
      <c r="N41" s="67">
        <v>0.0</v>
      </c>
      <c r="O41" s="68">
        <v>0.0</v>
      </c>
      <c r="P41" s="67">
        <v>0.0</v>
      </c>
      <c r="Q41" s="67">
        <v>0.0</v>
      </c>
      <c r="R41" s="67">
        <v>0.0</v>
      </c>
      <c r="S41" s="69">
        <v>0.0</v>
      </c>
      <c r="T41" s="69">
        <v>0.0</v>
      </c>
      <c r="U41" s="69">
        <v>0.0</v>
      </c>
      <c r="V41" s="67">
        <v>0.0</v>
      </c>
      <c r="W41" s="69">
        <v>0.0</v>
      </c>
      <c r="X41" s="69">
        <v>0.0</v>
      </c>
      <c r="Y41" s="68">
        <v>0.0</v>
      </c>
      <c r="Z41" s="69">
        <v>0.0</v>
      </c>
      <c r="AA41" s="69">
        <v>0.0</v>
      </c>
      <c r="AB41" s="67">
        <v>0.0</v>
      </c>
      <c r="AC41" s="69">
        <v>0.0</v>
      </c>
      <c r="AD41" s="67">
        <v>0.0</v>
      </c>
    </row>
    <row r="42" ht="15.75" customHeight="1">
      <c r="B42" s="413" t="s">
        <v>204</v>
      </c>
      <c r="C42" s="66"/>
      <c r="D42" s="67">
        <f t="shared" si="1"/>
        <v>27.5</v>
      </c>
      <c r="E42" s="68">
        <v>0.3</v>
      </c>
      <c r="F42" s="68">
        <v>2.7</v>
      </c>
      <c r="G42" s="69">
        <v>0.37</v>
      </c>
      <c r="H42" s="69">
        <v>1.72</v>
      </c>
      <c r="I42" s="69">
        <v>0.46</v>
      </c>
      <c r="J42" s="67">
        <v>0.0</v>
      </c>
      <c r="K42" s="68">
        <v>0.5</v>
      </c>
      <c r="L42" s="68">
        <v>0.3</v>
      </c>
      <c r="M42" s="67">
        <v>1.0</v>
      </c>
      <c r="N42" s="67">
        <v>5.0</v>
      </c>
      <c r="O42" s="68">
        <v>0.1</v>
      </c>
      <c r="P42" s="67">
        <v>4.0</v>
      </c>
      <c r="Q42" s="67">
        <v>38.0</v>
      </c>
      <c r="R42" s="67">
        <v>3.0</v>
      </c>
      <c r="S42" s="69">
        <v>0.04</v>
      </c>
      <c r="T42" s="69">
        <v>0.02</v>
      </c>
      <c r="U42" s="69">
        <v>0.02</v>
      </c>
      <c r="V42" s="67">
        <v>3.0</v>
      </c>
      <c r="W42" s="69">
        <v>0.01</v>
      </c>
      <c r="X42" s="69">
        <v>0.01</v>
      </c>
      <c r="Y42" s="68">
        <v>0.2</v>
      </c>
      <c r="Z42" s="69">
        <v>0.06</v>
      </c>
      <c r="AA42" s="69">
        <v>0.02</v>
      </c>
      <c r="AB42" s="67">
        <v>4.0</v>
      </c>
      <c r="AC42" s="69">
        <v>0.0</v>
      </c>
      <c r="AD42" s="67">
        <v>0.0</v>
      </c>
    </row>
    <row r="43" ht="15.75" customHeight="1">
      <c r="B43" s="413" t="s">
        <v>205</v>
      </c>
      <c r="C43" s="66"/>
      <c r="D43" s="67">
        <f t="shared" si="1"/>
        <v>26.8</v>
      </c>
      <c r="E43" s="68">
        <v>0.2</v>
      </c>
      <c r="F43" s="68">
        <v>2.8</v>
      </c>
      <c r="G43" s="69">
        <v>1.66</v>
      </c>
      <c r="H43" s="69">
        <v>0.85</v>
      </c>
      <c r="I43" s="69">
        <v>0.14</v>
      </c>
      <c r="J43" s="67">
        <v>6.0</v>
      </c>
      <c r="K43" s="68">
        <v>0.2</v>
      </c>
      <c r="L43" s="68">
        <v>0.0</v>
      </c>
      <c r="M43" s="67">
        <v>5.0</v>
      </c>
      <c r="N43" s="67">
        <v>5.0</v>
      </c>
      <c r="O43" s="68">
        <v>0.0</v>
      </c>
      <c r="P43" s="67">
        <v>6.0</v>
      </c>
      <c r="Q43" s="67">
        <v>7.0</v>
      </c>
      <c r="R43" s="67">
        <v>1.0</v>
      </c>
      <c r="S43" s="69">
        <v>0.02</v>
      </c>
      <c r="T43" s="69">
        <v>0.0</v>
      </c>
      <c r="U43" s="69">
        <v>0.0</v>
      </c>
      <c r="V43" s="67">
        <v>23.0</v>
      </c>
      <c r="W43" s="69">
        <v>0.0</v>
      </c>
      <c r="X43" s="69">
        <v>0.01</v>
      </c>
      <c r="Y43" s="68">
        <v>0.0</v>
      </c>
      <c r="Z43" s="69">
        <v>0.02</v>
      </c>
      <c r="AA43" s="69">
        <v>0.0</v>
      </c>
      <c r="AB43" s="67">
        <v>1.0</v>
      </c>
      <c r="AC43" s="69">
        <v>0.02</v>
      </c>
      <c r="AD43" s="67">
        <v>0.0</v>
      </c>
    </row>
    <row r="44" ht="15.75" customHeight="1">
      <c r="B44" s="413" t="s">
        <v>206</v>
      </c>
      <c r="C44" s="66"/>
      <c r="D44" s="67">
        <f t="shared" si="1"/>
        <v>26.8</v>
      </c>
      <c r="E44" s="68">
        <v>0.2</v>
      </c>
      <c r="F44" s="68">
        <v>2.8</v>
      </c>
      <c r="G44" s="69">
        <v>0.81</v>
      </c>
      <c r="H44" s="69">
        <v>1.12</v>
      </c>
      <c r="I44" s="69">
        <v>0.76</v>
      </c>
      <c r="J44" s="67">
        <v>2.0</v>
      </c>
      <c r="K44" s="68">
        <v>0.2</v>
      </c>
      <c r="L44" s="68">
        <v>0.1</v>
      </c>
      <c r="M44" s="67">
        <v>2.0</v>
      </c>
      <c r="N44" s="67">
        <v>3.0</v>
      </c>
      <c r="O44" s="68">
        <v>0.0</v>
      </c>
      <c r="P44" s="67">
        <v>3.0</v>
      </c>
      <c r="Q44" s="67">
        <v>15.0</v>
      </c>
      <c r="R44" s="67">
        <v>1.0</v>
      </c>
      <c r="S44" s="69">
        <v>0.02</v>
      </c>
      <c r="T44" s="69">
        <v>0.01</v>
      </c>
      <c r="U44" s="69">
        <v>0.01</v>
      </c>
      <c r="V44" s="67">
        <v>9.0</v>
      </c>
      <c r="W44" s="69">
        <v>0.0</v>
      </c>
      <c r="X44" s="69">
        <v>0.01</v>
      </c>
      <c r="Y44" s="68">
        <v>0.1</v>
      </c>
      <c r="Z44" s="69">
        <v>0.03</v>
      </c>
      <c r="AA44" s="69">
        <v>0.01</v>
      </c>
      <c r="AB44" s="67">
        <v>2.0</v>
      </c>
      <c r="AC44" s="69">
        <v>0.01</v>
      </c>
      <c r="AD44" s="67">
        <v>0.0</v>
      </c>
    </row>
    <row r="45" ht="15.75" customHeight="1">
      <c r="B45" s="162" t="s">
        <v>442</v>
      </c>
      <c r="C45" s="66"/>
      <c r="D45" s="67">
        <f t="shared" si="1"/>
        <v>71.2</v>
      </c>
      <c r="E45" s="68">
        <v>1.0</v>
      </c>
      <c r="F45" s="68">
        <v>4.4</v>
      </c>
      <c r="G45" s="69">
        <v>2.01</v>
      </c>
      <c r="H45" s="69">
        <v>1.66</v>
      </c>
      <c r="I45" s="69">
        <v>0.5</v>
      </c>
      <c r="J45" s="67">
        <v>14.0</v>
      </c>
      <c r="K45" s="68">
        <v>6.9</v>
      </c>
      <c r="L45" s="68">
        <v>0.0</v>
      </c>
      <c r="M45" s="67">
        <v>32.0</v>
      </c>
      <c r="N45" s="67">
        <v>14.0</v>
      </c>
      <c r="O45" s="68">
        <v>0.0</v>
      </c>
      <c r="P45" s="67">
        <v>17.0</v>
      </c>
      <c r="Q45" s="67">
        <v>51.0</v>
      </c>
      <c r="R45" s="67">
        <v>3.0</v>
      </c>
      <c r="S45" s="69">
        <v>0.17</v>
      </c>
      <c r="T45" s="69">
        <v>0.05</v>
      </c>
      <c r="U45" s="69">
        <v>0.03</v>
      </c>
      <c r="V45" s="67">
        <v>64.0</v>
      </c>
      <c r="W45" s="69">
        <v>0.01</v>
      </c>
      <c r="X45" s="69">
        <v>0.04</v>
      </c>
      <c r="Y45" s="68">
        <v>0.2</v>
      </c>
      <c r="Z45" s="69">
        <v>0.22</v>
      </c>
      <c r="AA45" s="69">
        <v>0.01</v>
      </c>
      <c r="AB45" s="67">
        <v>5.0</v>
      </c>
      <c r="AC45" s="69">
        <v>0.05</v>
      </c>
      <c r="AD45" s="67">
        <v>5.0</v>
      </c>
    </row>
    <row r="46" ht="15.75" customHeight="1">
      <c r="B46" s="162" t="s">
        <v>824</v>
      </c>
      <c r="C46" s="66"/>
      <c r="D46" s="67"/>
      <c r="E46" s="68"/>
      <c r="F46" s="68"/>
      <c r="G46" s="69"/>
      <c r="H46" s="69"/>
      <c r="I46" s="69"/>
      <c r="J46" s="67"/>
      <c r="K46" s="68"/>
      <c r="L46" s="68"/>
      <c r="M46" s="67"/>
      <c r="N46" s="67"/>
      <c r="O46" s="68"/>
      <c r="P46" s="67"/>
      <c r="Q46" s="67"/>
      <c r="R46" s="67"/>
      <c r="S46" s="69"/>
      <c r="T46" s="69"/>
      <c r="U46" s="69"/>
      <c r="V46" s="67"/>
      <c r="W46" s="69"/>
      <c r="X46" s="69"/>
      <c r="Y46" s="68"/>
      <c r="Z46" s="69"/>
      <c r="AA46" s="69"/>
      <c r="AB46" s="67"/>
      <c r="AC46" s="69"/>
      <c r="AD46" s="67"/>
    </row>
    <row r="47" ht="15.75" customHeight="1">
      <c r="B47" s="72"/>
    </row>
    <row r="48" ht="15.75" customHeight="1">
      <c r="B48" s="72"/>
    </row>
    <row r="49" ht="15.75" customHeight="1">
      <c r="B49" s="410" t="s">
        <v>95</v>
      </c>
      <c r="C49" s="63" t="s">
        <v>96</v>
      </c>
      <c r="D49" s="63" t="s">
        <v>97</v>
      </c>
      <c r="E49" s="63" t="s">
        <v>98</v>
      </c>
      <c r="F49" s="63" t="s">
        <v>99</v>
      </c>
      <c r="G49" s="63" t="s">
        <v>100</v>
      </c>
      <c r="H49" s="63" t="s">
        <v>101</v>
      </c>
      <c r="I49" s="63" t="s">
        <v>102</v>
      </c>
      <c r="J49" s="63" t="s">
        <v>103</v>
      </c>
      <c r="K49" s="63" t="s">
        <v>104</v>
      </c>
      <c r="L49" s="63" t="s">
        <v>105</v>
      </c>
      <c r="M49" s="157" t="s">
        <v>106</v>
      </c>
      <c r="N49" s="157" t="s">
        <v>107</v>
      </c>
      <c r="O49" s="157" t="s">
        <v>108</v>
      </c>
      <c r="P49" s="157" t="s">
        <v>109</v>
      </c>
      <c r="Q49" s="157" t="s">
        <v>110</v>
      </c>
      <c r="R49" s="157" t="s">
        <v>111</v>
      </c>
      <c r="S49" s="157" t="s">
        <v>112</v>
      </c>
      <c r="T49" s="157" t="s">
        <v>113</v>
      </c>
      <c r="U49" s="157" t="s">
        <v>114</v>
      </c>
      <c r="V49" s="157" t="s">
        <v>115</v>
      </c>
      <c r="W49" s="157" t="s">
        <v>116</v>
      </c>
      <c r="X49" s="157" t="s">
        <v>117</v>
      </c>
      <c r="Y49" s="157" t="s">
        <v>118</v>
      </c>
      <c r="Z49" s="157" t="s">
        <v>119</v>
      </c>
      <c r="AA49" s="157" t="s">
        <v>120</v>
      </c>
      <c r="AB49" s="157" t="s">
        <v>121</v>
      </c>
      <c r="AC49" s="157" t="s">
        <v>122</v>
      </c>
      <c r="AD49" s="157" t="s">
        <v>441</v>
      </c>
    </row>
    <row r="50" ht="15.75" customHeight="1">
      <c r="B50" s="411" t="s">
        <v>126</v>
      </c>
      <c r="C50" s="161" t="str">
        <f t="shared" ref="C50:C91" si="2">C5</f>
        <v/>
      </c>
      <c r="D50" s="67">
        <f t="shared" ref="D50:D91" si="3">(D5*C5)</f>
        <v>0</v>
      </c>
      <c r="E50" s="68">
        <f t="shared" ref="E50:E91" si="4">(E5*C5)</f>
        <v>0</v>
      </c>
      <c r="F50" s="68">
        <f t="shared" ref="F50:F91" si="5">(F5*C5)</f>
        <v>0</v>
      </c>
      <c r="G50" s="69">
        <f t="shared" ref="G50:G91" si="6">(G5*C5)</f>
        <v>0</v>
      </c>
      <c r="H50" s="69">
        <f t="shared" ref="H50:H91" si="7">(H5*C5)</f>
        <v>0</v>
      </c>
      <c r="I50" s="69">
        <f t="shared" ref="I50:I91" si="8">(I5*C5)</f>
        <v>0</v>
      </c>
      <c r="J50" s="67">
        <f t="shared" ref="J50:J91" si="9">(J5*C5)</f>
        <v>0</v>
      </c>
      <c r="K50" s="68">
        <f t="shared" ref="K50:K91" si="10">(K5*C5)</f>
        <v>0</v>
      </c>
      <c r="L50" s="68">
        <f t="shared" ref="L50:L91" si="11">(L5*C5)</f>
        <v>0</v>
      </c>
      <c r="M50" s="67">
        <f t="shared" ref="M50:M91" si="12">(M5*C5)</f>
        <v>0</v>
      </c>
      <c r="N50" s="67">
        <f t="shared" ref="N50:N91" si="13">(N5*C5)</f>
        <v>0</v>
      </c>
      <c r="O50" s="68">
        <f t="shared" ref="O50:O91" si="14">(O5*C5)</f>
        <v>0</v>
      </c>
      <c r="P50" s="67">
        <f t="shared" ref="P50:P91" si="15">(P5*C5)</f>
        <v>0</v>
      </c>
      <c r="Q50" s="67">
        <f t="shared" ref="Q50:Q91" si="16">(Q5*C5)</f>
        <v>0</v>
      </c>
      <c r="R50" s="67">
        <f t="shared" ref="R50:R91" si="17">(R5*C5)</f>
        <v>0</v>
      </c>
      <c r="S50" s="69">
        <f t="shared" ref="S50:S91" si="18">(S5*C5)</f>
        <v>0</v>
      </c>
      <c r="T50" s="69">
        <f t="shared" ref="T50:T91" si="19">(T5*C5)</f>
        <v>0</v>
      </c>
      <c r="U50" s="69">
        <f t="shared" ref="U50:U91" si="20">(U5*C5)</f>
        <v>0</v>
      </c>
      <c r="V50" s="67">
        <f t="shared" ref="V50:V91" si="21">(V5*C5)</f>
        <v>0</v>
      </c>
      <c r="W50" s="69">
        <f t="shared" ref="W50:W91" si="22">(W5*C5)</f>
        <v>0</v>
      </c>
      <c r="X50" s="69">
        <f t="shared" ref="X50:X91" si="23">(X5*C5)</f>
        <v>0</v>
      </c>
      <c r="Y50" s="68">
        <f t="shared" ref="Y50:Y91" si="24">(Y5*C5)</f>
        <v>0</v>
      </c>
      <c r="Z50" s="69">
        <f t="shared" ref="Z50:Z91" si="25">(Z5*C5)</f>
        <v>0</v>
      </c>
      <c r="AA50" s="69">
        <f t="shared" ref="AA50:AA91" si="26">(AA5*C5)</f>
        <v>0</v>
      </c>
      <c r="AB50" s="67">
        <f t="shared" ref="AB50:AB91" si="27">(AB5*C5)</f>
        <v>0</v>
      </c>
      <c r="AC50" s="69">
        <f t="shared" ref="AC50:AC91" si="28">(AC5*C5)</f>
        <v>0</v>
      </c>
      <c r="AD50" s="67">
        <f t="shared" ref="AD50:AD91" si="29">(AD5*C5)</f>
        <v>0</v>
      </c>
    </row>
    <row r="51" ht="15.75" customHeight="1">
      <c r="B51" s="411" t="s">
        <v>127</v>
      </c>
      <c r="C51" s="161" t="str">
        <f t="shared" si="2"/>
        <v/>
      </c>
      <c r="D51" s="67">
        <f t="shared" si="3"/>
        <v>0</v>
      </c>
      <c r="E51" s="68">
        <f t="shared" si="4"/>
        <v>0</v>
      </c>
      <c r="F51" s="68">
        <f t="shared" si="5"/>
        <v>0</v>
      </c>
      <c r="G51" s="69">
        <f t="shared" si="6"/>
        <v>0</v>
      </c>
      <c r="H51" s="69">
        <f t="shared" si="7"/>
        <v>0</v>
      </c>
      <c r="I51" s="69">
        <f t="shared" si="8"/>
        <v>0</v>
      </c>
      <c r="J51" s="67">
        <f t="shared" si="9"/>
        <v>0</v>
      </c>
      <c r="K51" s="68">
        <f t="shared" si="10"/>
        <v>0</v>
      </c>
      <c r="L51" s="68">
        <f t="shared" si="11"/>
        <v>0</v>
      </c>
      <c r="M51" s="67">
        <f t="shared" si="12"/>
        <v>0</v>
      </c>
      <c r="N51" s="67">
        <f t="shared" si="13"/>
        <v>0</v>
      </c>
      <c r="O51" s="68">
        <f t="shared" si="14"/>
        <v>0</v>
      </c>
      <c r="P51" s="67">
        <f t="shared" si="15"/>
        <v>0</v>
      </c>
      <c r="Q51" s="67">
        <f t="shared" si="16"/>
        <v>0</v>
      </c>
      <c r="R51" s="67">
        <f t="shared" si="17"/>
        <v>0</v>
      </c>
      <c r="S51" s="69">
        <f t="shared" si="18"/>
        <v>0</v>
      </c>
      <c r="T51" s="69">
        <f t="shared" si="19"/>
        <v>0</v>
      </c>
      <c r="U51" s="69">
        <f t="shared" si="20"/>
        <v>0</v>
      </c>
      <c r="V51" s="67">
        <f t="shared" si="21"/>
        <v>0</v>
      </c>
      <c r="W51" s="69">
        <f t="shared" si="22"/>
        <v>0</v>
      </c>
      <c r="X51" s="69">
        <f t="shared" si="23"/>
        <v>0</v>
      </c>
      <c r="Y51" s="68">
        <f t="shared" si="24"/>
        <v>0</v>
      </c>
      <c r="Z51" s="69">
        <f t="shared" si="25"/>
        <v>0</v>
      </c>
      <c r="AA51" s="69">
        <f t="shared" si="26"/>
        <v>0</v>
      </c>
      <c r="AB51" s="67">
        <f t="shared" si="27"/>
        <v>0</v>
      </c>
      <c r="AC51" s="69">
        <f t="shared" si="28"/>
        <v>0</v>
      </c>
      <c r="AD51" s="67">
        <f t="shared" si="29"/>
        <v>0</v>
      </c>
    </row>
    <row r="52" ht="15.75" customHeight="1">
      <c r="B52" s="411" t="s">
        <v>128</v>
      </c>
      <c r="C52" s="161" t="str">
        <f t="shared" si="2"/>
        <v/>
      </c>
      <c r="D52" s="67">
        <f t="shared" si="3"/>
        <v>0</v>
      </c>
      <c r="E52" s="68">
        <f t="shared" si="4"/>
        <v>0</v>
      </c>
      <c r="F52" s="68">
        <f t="shared" si="5"/>
        <v>0</v>
      </c>
      <c r="G52" s="69">
        <f t="shared" si="6"/>
        <v>0</v>
      </c>
      <c r="H52" s="69">
        <f t="shared" si="7"/>
        <v>0</v>
      </c>
      <c r="I52" s="69">
        <f t="shared" si="8"/>
        <v>0</v>
      </c>
      <c r="J52" s="67">
        <f t="shared" si="9"/>
        <v>0</v>
      </c>
      <c r="K52" s="68">
        <f t="shared" si="10"/>
        <v>0</v>
      </c>
      <c r="L52" s="68">
        <f t="shared" si="11"/>
        <v>0</v>
      </c>
      <c r="M52" s="67">
        <f t="shared" si="12"/>
        <v>0</v>
      </c>
      <c r="N52" s="67">
        <f t="shared" si="13"/>
        <v>0</v>
      </c>
      <c r="O52" s="68">
        <f t="shared" si="14"/>
        <v>0</v>
      </c>
      <c r="P52" s="67">
        <f t="shared" si="15"/>
        <v>0</v>
      </c>
      <c r="Q52" s="67">
        <f t="shared" si="16"/>
        <v>0</v>
      </c>
      <c r="R52" s="67">
        <f t="shared" si="17"/>
        <v>0</v>
      </c>
      <c r="S52" s="69">
        <f t="shared" si="18"/>
        <v>0</v>
      </c>
      <c r="T52" s="69">
        <f t="shared" si="19"/>
        <v>0</v>
      </c>
      <c r="U52" s="69">
        <f t="shared" si="20"/>
        <v>0</v>
      </c>
      <c r="V52" s="67">
        <f t="shared" si="21"/>
        <v>0</v>
      </c>
      <c r="W52" s="69">
        <f t="shared" si="22"/>
        <v>0</v>
      </c>
      <c r="X52" s="69">
        <f t="shared" si="23"/>
        <v>0</v>
      </c>
      <c r="Y52" s="68">
        <f t="shared" si="24"/>
        <v>0</v>
      </c>
      <c r="Z52" s="69">
        <f t="shared" si="25"/>
        <v>0</v>
      </c>
      <c r="AA52" s="69">
        <f t="shared" si="26"/>
        <v>0</v>
      </c>
      <c r="AB52" s="67">
        <f t="shared" si="27"/>
        <v>0</v>
      </c>
      <c r="AC52" s="69">
        <f t="shared" si="28"/>
        <v>0</v>
      </c>
      <c r="AD52" s="67">
        <f t="shared" si="29"/>
        <v>0</v>
      </c>
    </row>
    <row r="53" ht="15.75" customHeight="1">
      <c r="B53" s="411" t="s">
        <v>129</v>
      </c>
      <c r="C53" s="161" t="str">
        <f t="shared" si="2"/>
        <v/>
      </c>
      <c r="D53" s="67">
        <f t="shared" si="3"/>
        <v>0</v>
      </c>
      <c r="E53" s="68">
        <f t="shared" si="4"/>
        <v>0</v>
      </c>
      <c r="F53" s="68">
        <f t="shared" si="5"/>
        <v>0</v>
      </c>
      <c r="G53" s="69">
        <f t="shared" si="6"/>
        <v>0</v>
      </c>
      <c r="H53" s="69">
        <f t="shared" si="7"/>
        <v>0</v>
      </c>
      <c r="I53" s="69">
        <f t="shared" si="8"/>
        <v>0</v>
      </c>
      <c r="J53" s="67">
        <f t="shared" si="9"/>
        <v>0</v>
      </c>
      <c r="K53" s="68">
        <f t="shared" si="10"/>
        <v>0</v>
      </c>
      <c r="L53" s="68">
        <f t="shared" si="11"/>
        <v>0</v>
      </c>
      <c r="M53" s="67">
        <f t="shared" si="12"/>
        <v>0</v>
      </c>
      <c r="N53" s="67">
        <f t="shared" si="13"/>
        <v>0</v>
      </c>
      <c r="O53" s="68">
        <f t="shared" si="14"/>
        <v>0</v>
      </c>
      <c r="P53" s="67">
        <f t="shared" si="15"/>
        <v>0</v>
      </c>
      <c r="Q53" s="67">
        <f t="shared" si="16"/>
        <v>0</v>
      </c>
      <c r="R53" s="67">
        <f t="shared" si="17"/>
        <v>0</v>
      </c>
      <c r="S53" s="69">
        <f t="shared" si="18"/>
        <v>0</v>
      </c>
      <c r="T53" s="69">
        <f t="shared" si="19"/>
        <v>0</v>
      </c>
      <c r="U53" s="69">
        <f t="shared" si="20"/>
        <v>0</v>
      </c>
      <c r="V53" s="67">
        <f t="shared" si="21"/>
        <v>0</v>
      </c>
      <c r="W53" s="69">
        <f t="shared" si="22"/>
        <v>0</v>
      </c>
      <c r="X53" s="69">
        <f t="shared" si="23"/>
        <v>0</v>
      </c>
      <c r="Y53" s="68">
        <f t="shared" si="24"/>
        <v>0</v>
      </c>
      <c r="Z53" s="69">
        <f t="shared" si="25"/>
        <v>0</v>
      </c>
      <c r="AA53" s="69">
        <f t="shared" si="26"/>
        <v>0</v>
      </c>
      <c r="AB53" s="67">
        <f t="shared" si="27"/>
        <v>0</v>
      </c>
      <c r="AC53" s="69">
        <f t="shared" si="28"/>
        <v>0</v>
      </c>
      <c r="AD53" s="67">
        <f t="shared" si="29"/>
        <v>0</v>
      </c>
    </row>
    <row r="54" ht="15.75" customHeight="1">
      <c r="B54" s="412" t="s">
        <v>132</v>
      </c>
      <c r="C54" s="161" t="str">
        <f t="shared" si="2"/>
        <v/>
      </c>
      <c r="D54" s="67">
        <f t="shared" si="3"/>
        <v>0</v>
      </c>
      <c r="E54" s="68">
        <f t="shared" si="4"/>
        <v>0</v>
      </c>
      <c r="F54" s="68">
        <f t="shared" si="5"/>
        <v>0</v>
      </c>
      <c r="G54" s="69">
        <f t="shared" si="6"/>
        <v>0</v>
      </c>
      <c r="H54" s="69">
        <f t="shared" si="7"/>
        <v>0</v>
      </c>
      <c r="I54" s="69">
        <f t="shared" si="8"/>
        <v>0</v>
      </c>
      <c r="J54" s="67">
        <f t="shared" si="9"/>
        <v>0</v>
      </c>
      <c r="K54" s="68">
        <f t="shared" si="10"/>
        <v>0</v>
      </c>
      <c r="L54" s="68">
        <f t="shared" si="11"/>
        <v>0</v>
      </c>
      <c r="M54" s="67">
        <f t="shared" si="12"/>
        <v>0</v>
      </c>
      <c r="N54" s="67">
        <f t="shared" si="13"/>
        <v>0</v>
      </c>
      <c r="O54" s="68">
        <f t="shared" si="14"/>
        <v>0</v>
      </c>
      <c r="P54" s="67">
        <f t="shared" si="15"/>
        <v>0</v>
      </c>
      <c r="Q54" s="67">
        <f t="shared" si="16"/>
        <v>0</v>
      </c>
      <c r="R54" s="67">
        <f t="shared" si="17"/>
        <v>0</v>
      </c>
      <c r="S54" s="69">
        <f t="shared" si="18"/>
        <v>0</v>
      </c>
      <c r="T54" s="69">
        <f t="shared" si="19"/>
        <v>0</v>
      </c>
      <c r="U54" s="69">
        <f t="shared" si="20"/>
        <v>0</v>
      </c>
      <c r="V54" s="67">
        <f t="shared" si="21"/>
        <v>0</v>
      </c>
      <c r="W54" s="69">
        <f t="shared" si="22"/>
        <v>0</v>
      </c>
      <c r="X54" s="69">
        <f t="shared" si="23"/>
        <v>0</v>
      </c>
      <c r="Y54" s="68">
        <f t="shared" si="24"/>
        <v>0</v>
      </c>
      <c r="Z54" s="69">
        <f t="shared" si="25"/>
        <v>0</v>
      </c>
      <c r="AA54" s="69">
        <f t="shared" si="26"/>
        <v>0</v>
      </c>
      <c r="AB54" s="67">
        <f t="shared" si="27"/>
        <v>0</v>
      </c>
      <c r="AC54" s="69">
        <f t="shared" si="28"/>
        <v>0</v>
      </c>
      <c r="AD54" s="67">
        <f t="shared" si="29"/>
        <v>0</v>
      </c>
    </row>
    <row r="55" ht="15.75" customHeight="1">
      <c r="B55" s="413" t="s">
        <v>138</v>
      </c>
      <c r="C55" s="161" t="str">
        <f t="shared" si="2"/>
        <v/>
      </c>
      <c r="D55" s="67">
        <f t="shared" si="3"/>
        <v>0</v>
      </c>
      <c r="E55" s="68">
        <f t="shared" si="4"/>
        <v>0</v>
      </c>
      <c r="F55" s="68">
        <f t="shared" si="5"/>
        <v>0</v>
      </c>
      <c r="G55" s="69">
        <f t="shared" si="6"/>
        <v>0</v>
      </c>
      <c r="H55" s="69">
        <f t="shared" si="7"/>
        <v>0</v>
      </c>
      <c r="I55" s="69">
        <f t="shared" si="8"/>
        <v>0</v>
      </c>
      <c r="J55" s="67">
        <f t="shared" si="9"/>
        <v>0</v>
      </c>
      <c r="K55" s="68">
        <f t="shared" si="10"/>
        <v>0</v>
      </c>
      <c r="L55" s="68">
        <f t="shared" si="11"/>
        <v>0</v>
      </c>
      <c r="M55" s="67">
        <f t="shared" si="12"/>
        <v>0</v>
      </c>
      <c r="N55" s="67">
        <f t="shared" si="13"/>
        <v>0</v>
      </c>
      <c r="O55" s="68">
        <f t="shared" si="14"/>
        <v>0</v>
      </c>
      <c r="P55" s="67">
        <f t="shared" si="15"/>
        <v>0</v>
      </c>
      <c r="Q55" s="67">
        <f t="shared" si="16"/>
        <v>0</v>
      </c>
      <c r="R55" s="67">
        <f t="shared" si="17"/>
        <v>0</v>
      </c>
      <c r="S55" s="69">
        <f t="shared" si="18"/>
        <v>0</v>
      </c>
      <c r="T55" s="69">
        <f t="shared" si="19"/>
        <v>0</v>
      </c>
      <c r="U55" s="69">
        <f t="shared" si="20"/>
        <v>0</v>
      </c>
      <c r="V55" s="67">
        <f t="shared" si="21"/>
        <v>0</v>
      </c>
      <c r="W55" s="69">
        <f t="shared" si="22"/>
        <v>0</v>
      </c>
      <c r="X55" s="69">
        <f t="shared" si="23"/>
        <v>0</v>
      </c>
      <c r="Y55" s="68">
        <f t="shared" si="24"/>
        <v>0</v>
      </c>
      <c r="Z55" s="69">
        <f t="shared" si="25"/>
        <v>0</v>
      </c>
      <c r="AA55" s="69">
        <f t="shared" si="26"/>
        <v>0</v>
      </c>
      <c r="AB55" s="67">
        <f t="shared" si="27"/>
        <v>0</v>
      </c>
      <c r="AC55" s="69">
        <f t="shared" si="28"/>
        <v>0</v>
      </c>
      <c r="AD55" s="67">
        <f t="shared" si="29"/>
        <v>0</v>
      </c>
    </row>
    <row r="56" ht="15.75" customHeight="1">
      <c r="B56" s="414" t="s">
        <v>140</v>
      </c>
      <c r="C56" s="161" t="str">
        <f t="shared" si="2"/>
        <v/>
      </c>
      <c r="D56" s="67">
        <f t="shared" si="3"/>
        <v>0</v>
      </c>
      <c r="E56" s="68">
        <f t="shared" si="4"/>
        <v>0</v>
      </c>
      <c r="F56" s="68">
        <f t="shared" si="5"/>
        <v>0</v>
      </c>
      <c r="G56" s="69">
        <f t="shared" si="6"/>
        <v>0</v>
      </c>
      <c r="H56" s="69">
        <f t="shared" si="7"/>
        <v>0</v>
      </c>
      <c r="I56" s="69">
        <f t="shared" si="8"/>
        <v>0</v>
      </c>
      <c r="J56" s="67">
        <f t="shared" si="9"/>
        <v>0</v>
      </c>
      <c r="K56" s="68">
        <f t="shared" si="10"/>
        <v>0</v>
      </c>
      <c r="L56" s="68">
        <f t="shared" si="11"/>
        <v>0</v>
      </c>
      <c r="M56" s="67">
        <f t="shared" si="12"/>
        <v>0</v>
      </c>
      <c r="N56" s="67">
        <f t="shared" si="13"/>
        <v>0</v>
      </c>
      <c r="O56" s="68">
        <f t="shared" si="14"/>
        <v>0</v>
      </c>
      <c r="P56" s="67">
        <f t="shared" si="15"/>
        <v>0</v>
      </c>
      <c r="Q56" s="67">
        <f t="shared" si="16"/>
        <v>0</v>
      </c>
      <c r="R56" s="67">
        <f t="shared" si="17"/>
        <v>0</v>
      </c>
      <c r="S56" s="69">
        <f t="shared" si="18"/>
        <v>0</v>
      </c>
      <c r="T56" s="69">
        <f t="shared" si="19"/>
        <v>0</v>
      </c>
      <c r="U56" s="69">
        <f t="shared" si="20"/>
        <v>0</v>
      </c>
      <c r="V56" s="67">
        <f t="shared" si="21"/>
        <v>0</v>
      </c>
      <c r="W56" s="69">
        <f t="shared" si="22"/>
        <v>0</v>
      </c>
      <c r="X56" s="69">
        <f t="shared" si="23"/>
        <v>0</v>
      </c>
      <c r="Y56" s="68">
        <f t="shared" si="24"/>
        <v>0</v>
      </c>
      <c r="Z56" s="69">
        <f t="shared" si="25"/>
        <v>0</v>
      </c>
      <c r="AA56" s="69">
        <f t="shared" si="26"/>
        <v>0</v>
      </c>
      <c r="AB56" s="67">
        <f t="shared" si="27"/>
        <v>0</v>
      </c>
      <c r="AC56" s="69">
        <f t="shared" si="28"/>
        <v>0</v>
      </c>
      <c r="AD56" s="67">
        <f t="shared" si="29"/>
        <v>0</v>
      </c>
    </row>
    <row r="57" ht="15.75" customHeight="1">
      <c r="B57" s="411" t="s">
        <v>143</v>
      </c>
      <c r="C57" s="161" t="str">
        <f t="shared" si="2"/>
        <v/>
      </c>
      <c r="D57" s="67">
        <f t="shared" si="3"/>
        <v>0</v>
      </c>
      <c r="E57" s="68">
        <f t="shared" si="4"/>
        <v>0</v>
      </c>
      <c r="F57" s="68">
        <f t="shared" si="5"/>
        <v>0</v>
      </c>
      <c r="G57" s="69">
        <f t="shared" si="6"/>
        <v>0</v>
      </c>
      <c r="H57" s="69">
        <f t="shared" si="7"/>
        <v>0</v>
      </c>
      <c r="I57" s="69">
        <f t="shared" si="8"/>
        <v>0</v>
      </c>
      <c r="J57" s="67">
        <f t="shared" si="9"/>
        <v>0</v>
      </c>
      <c r="K57" s="68">
        <f t="shared" si="10"/>
        <v>0</v>
      </c>
      <c r="L57" s="68">
        <f t="shared" si="11"/>
        <v>0</v>
      </c>
      <c r="M57" s="67">
        <f t="shared" si="12"/>
        <v>0</v>
      </c>
      <c r="N57" s="67">
        <f t="shared" si="13"/>
        <v>0</v>
      </c>
      <c r="O57" s="68">
        <f t="shared" si="14"/>
        <v>0</v>
      </c>
      <c r="P57" s="67">
        <f t="shared" si="15"/>
        <v>0</v>
      </c>
      <c r="Q57" s="67">
        <f t="shared" si="16"/>
        <v>0</v>
      </c>
      <c r="R57" s="67">
        <f t="shared" si="17"/>
        <v>0</v>
      </c>
      <c r="S57" s="69">
        <f t="shared" si="18"/>
        <v>0</v>
      </c>
      <c r="T57" s="69">
        <f t="shared" si="19"/>
        <v>0</v>
      </c>
      <c r="U57" s="69">
        <f t="shared" si="20"/>
        <v>0</v>
      </c>
      <c r="V57" s="67">
        <f t="shared" si="21"/>
        <v>0</v>
      </c>
      <c r="W57" s="69">
        <f t="shared" si="22"/>
        <v>0</v>
      </c>
      <c r="X57" s="69">
        <f t="shared" si="23"/>
        <v>0</v>
      </c>
      <c r="Y57" s="68">
        <f t="shared" si="24"/>
        <v>0</v>
      </c>
      <c r="Z57" s="69">
        <f t="shared" si="25"/>
        <v>0</v>
      </c>
      <c r="AA57" s="69">
        <f t="shared" si="26"/>
        <v>0</v>
      </c>
      <c r="AB57" s="67">
        <f t="shared" si="27"/>
        <v>0</v>
      </c>
      <c r="AC57" s="69">
        <f t="shared" si="28"/>
        <v>0</v>
      </c>
      <c r="AD57" s="67">
        <f t="shared" si="29"/>
        <v>0</v>
      </c>
    </row>
    <row r="58" ht="15.75" customHeight="1">
      <c r="B58" s="411" t="s">
        <v>146</v>
      </c>
      <c r="C58" s="161" t="str">
        <f t="shared" si="2"/>
        <v/>
      </c>
      <c r="D58" s="67">
        <f t="shared" si="3"/>
        <v>0</v>
      </c>
      <c r="E58" s="68">
        <f t="shared" si="4"/>
        <v>0</v>
      </c>
      <c r="F58" s="68">
        <f t="shared" si="5"/>
        <v>0</v>
      </c>
      <c r="G58" s="69">
        <f t="shared" si="6"/>
        <v>0</v>
      </c>
      <c r="H58" s="69">
        <f t="shared" si="7"/>
        <v>0</v>
      </c>
      <c r="I58" s="69">
        <f t="shared" si="8"/>
        <v>0</v>
      </c>
      <c r="J58" s="67">
        <f t="shared" si="9"/>
        <v>0</v>
      </c>
      <c r="K58" s="68">
        <f t="shared" si="10"/>
        <v>0</v>
      </c>
      <c r="L58" s="68">
        <f t="shared" si="11"/>
        <v>0</v>
      </c>
      <c r="M58" s="67">
        <f t="shared" si="12"/>
        <v>0</v>
      </c>
      <c r="N58" s="67">
        <f t="shared" si="13"/>
        <v>0</v>
      </c>
      <c r="O58" s="68">
        <f t="shared" si="14"/>
        <v>0</v>
      </c>
      <c r="P58" s="67">
        <f t="shared" si="15"/>
        <v>0</v>
      </c>
      <c r="Q58" s="67">
        <f t="shared" si="16"/>
        <v>0</v>
      </c>
      <c r="R58" s="67">
        <f t="shared" si="17"/>
        <v>0</v>
      </c>
      <c r="S58" s="69">
        <f t="shared" si="18"/>
        <v>0</v>
      </c>
      <c r="T58" s="69">
        <f t="shared" si="19"/>
        <v>0</v>
      </c>
      <c r="U58" s="69">
        <f t="shared" si="20"/>
        <v>0</v>
      </c>
      <c r="V58" s="67">
        <f t="shared" si="21"/>
        <v>0</v>
      </c>
      <c r="W58" s="69">
        <f t="shared" si="22"/>
        <v>0</v>
      </c>
      <c r="X58" s="69">
        <f t="shared" si="23"/>
        <v>0</v>
      </c>
      <c r="Y58" s="68">
        <f t="shared" si="24"/>
        <v>0</v>
      </c>
      <c r="Z58" s="69">
        <f t="shared" si="25"/>
        <v>0</v>
      </c>
      <c r="AA58" s="69">
        <f t="shared" si="26"/>
        <v>0</v>
      </c>
      <c r="AB58" s="67">
        <f t="shared" si="27"/>
        <v>0</v>
      </c>
      <c r="AC58" s="69">
        <f t="shared" si="28"/>
        <v>0</v>
      </c>
      <c r="AD58" s="67">
        <f t="shared" si="29"/>
        <v>0</v>
      </c>
    </row>
    <row r="59" ht="15.75" customHeight="1">
      <c r="B59" s="411" t="s">
        <v>149</v>
      </c>
      <c r="C59" s="161" t="str">
        <f t="shared" si="2"/>
        <v/>
      </c>
      <c r="D59" s="67">
        <f t="shared" si="3"/>
        <v>0</v>
      </c>
      <c r="E59" s="68">
        <f t="shared" si="4"/>
        <v>0</v>
      </c>
      <c r="F59" s="68">
        <f t="shared" si="5"/>
        <v>0</v>
      </c>
      <c r="G59" s="69">
        <f t="shared" si="6"/>
        <v>0</v>
      </c>
      <c r="H59" s="69">
        <f t="shared" si="7"/>
        <v>0</v>
      </c>
      <c r="I59" s="69">
        <f t="shared" si="8"/>
        <v>0</v>
      </c>
      <c r="J59" s="67">
        <f t="shared" si="9"/>
        <v>0</v>
      </c>
      <c r="K59" s="68">
        <f t="shared" si="10"/>
        <v>0</v>
      </c>
      <c r="L59" s="68">
        <f t="shared" si="11"/>
        <v>0</v>
      </c>
      <c r="M59" s="67">
        <f t="shared" si="12"/>
        <v>0</v>
      </c>
      <c r="N59" s="67">
        <f t="shared" si="13"/>
        <v>0</v>
      </c>
      <c r="O59" s="68">
        <f t="shared" si="14"/>
        <v>0</v>
      </c>
      <c r="P59" s="67">
        <f t="shared" si="15"/>
        <v>0</v>
      </c>
      <c r="Q59" s="67">
        <f t="shared" si="16"/>
        <v>0</v>
      </c>
      <c r="R59" s="67">
        <f t="shared" si="17"/>
        <v>0</v>
      </c>
      <c r="S59" s="69">
        <f t="shared" si="18"/>
        <v>0</v>
      </c>
      <c r="T59" s="69">
        <f t="shared" si="19"/>
        <v>0</v>
      </c>
      <c r="U59" s="69">
        <f t="shared" si="20"/>
        <v>0</v>
      </c>
      <c r="V59" s="67">
        <f t="shared" si="21"/>
        <v>0</v>
      </c>
      <c r="W59" s="69">
        <f t="shared" si="22"/>
        <v>0</v>
      </c>
      <c r="X59" s="69">
        <f t="shared" si="23"/>
        <v>0</v>
      </c>
      <c r="Y59" s="68">
        <f t="shared" si="24"/>
        <v>0</v>
      </c>
      <c r="Z59" s="69">
        <f t="shared" si="25"/>
        <v>0</v>
      </c>
      <c r="AA59" s="69">
        <f t="shared" si="26"/>
        <v>0</v>
      </c>
      <c r="AB59" s="67">
        <f t="shared" si="27"/>
        <v>0</v>
      </c>
      <c r="AC59" s="69">
        <f t="shared" si="28"/>
        <v>0</v>
      </c>
      <c r="AD59" s="67">
        <f t="shared" si="29"/>
        <v>0</v>
      </c>
    </row>
    <row r="60" ht="15.75" customHeight="1">
      <c r="B60" s="412" t="s">
        <v>150</v>
      </c>
      <c r="C60" s="161" t="str">
        <f t="shared" si="2"/>
        <v/>
      </c>
      <c r="D60" s="67">
        <f t="shared" si="3"/>
        <v>0</v>
      </c>
      <c r="E60" s="68">
        <f t="shared" si="4"/>
        <v>0</v>
      </c>
      <c r="F60" s="68">
        <f t="shared" si="5"/>
        <v>0</v>
      </c>
      <c r="G60" s="69">
        <f t="shared" si="6"/>
        <v>0</v>
      </c>
      <c r="H60" s="69">
        <f t="shared" si="7"/>
        <v>0</v>
      </c>
      <c r="I60" s="69">
        <f t="shared" si="8"/>
        <v>0</v>
      </c>
      <c r="J60" s="67">
        <f t="shared" si="9"/>
        <v>0</v>
      </c>
      <c r="K60" s="68">
        <f t="shared" si="10"/>
        <v>0</v>
      </c>
      <c r="L60" s="68">
        <f t="shared" si="11"/>
        <v>0</v>
      </c>
      <c r="M60" s="67">
        <f t="shared" si="12"/>
        <v>0</v>
      </c>
      <c r="N60" s="67">
        <f t="shared" si="13"/>
        <v>0</v>
      </c>
      <c r="O60" s="68">
        <f t="shared" si="14"/>
        <v>0</v>
      </c>
      <c r="P60" s="67">
        <f t="shared" si="15"/>
        <v>0</v>
      </c>
      <c r="Q60" s="67">
        <f t="shared" si="16"/>
        <v>0</v>
      </c>
      <c r="R60" s="67">
        <f t="shared" si="17"/>
        <v>0</v>
      </c>
      <c r="S60" s="69">
        <f t="shared" si="18"/>
        <v>0</v>
      </c>
      <c r="T60" s="69">
        <f t="shared" si="19"/>
        <v>0</v>
      </c>
      <c r="U60" s="69">
        <f t="shared" si="20"/>
        <v>0</v>
      </c>
      <c r="V60" s="67">
        <f t="shared" si="21"/>
        <v>0</v>
      </c>
      <c r="W60" s="69">
        <f t="shared" si="22"/>
        <v>0</v>
      </c>
      <c r="X60" s="69">
        <f t="shared" si="23"/>
        <v>0</v>
      </c>
      <c r="Y60" s="68">
        <f t="shared" si="24"/>
        <v>0</v>
      </c>
      <c r="Z60" s="69">
        <f t="shared" si="25"/>
        <v>0</v>
      </c>
      <c r="AA60" s="69">
        <f t="shared" si="26"/>
        <v>0</v>
      </c>
      <c r="AB60" s="67">
        <f t="shared" si="27"/>
        <v>0</v>
      </c>
      <c r="AC60" s="69">
        <f t="shared" si="28"/>
        <v>0</v>
      </c>
      <c r="AD60" s="67">
        <f t="shared" si="29"/>
        <v>0</v>
      </c>
    </row>
    <row r="61" ht="15.75" customHeight="1">
      <c r="B61" s="413" t="s">
        <v>153</v>
      </c>
      <c r="C61" s="161" t="str">
        <f t="shared" si="2"/>
        <v/>
      </c>
      <c r="D61" s="67">
        <f t="shared" si="3"/>
        <v>0</v>
      </c>
      <c r="E61" s="68">
        <f t="shared" si="4"/>
        <v>0</v>
      </c>
      <c r="F61" s="68">
        <f t="shared" si="5"/>
        <v>0</v>
      </c>
      <c r="G61" s="69">
        <f t="shared" si="6"/>
        <v>0</v>
      </c>
      <c r="H61" s="69">
        <f t="shared" si="7"/>
        <v>0</v>
      </c>
      <c r="I61" s="69">
        <f t="shared" si="8"/>
        <v>0</v>
      </c>
      <c r="J61" s="67">
        <f t="shared" si="9"/>
        <v>0</v>
      </c>
      <c r="K61" s="68">
        <f t="shared" si="10"/>
        <v>0</v>
      </c>
      <c r="L61" s="68">
        <f t="shared" si="11"/>
        <v>0</v>
      </c>
      <c r="M61" s="67">
        <f t="shared" si="12"/>
        <v>0</v>
      </c>
      <c r="N61" s="67">
        <f t="shared" si="13"/>
        <v>0</v>
      </c>
      <c r="O61" s="68">
        <f t="shared" si="14"/>
        <v>0</v>
      </c>
      <c r="P61" s="67">
        <f t="shared" si="15"/>
        <v>0</v>
      </c>
      <c r="Q61" s="67">
        <f t="shared" si="16"/>
        <v>0</v>
      </c>
      <c r="R61" s="67">
        <f t="shared" si="17"/>
        <v>0</v>
      </c>
      <c r="S61" s="69">
        <f t="shared" si="18"/>
        <v>0</v>
      </c>
      <c r="T61" s="69">
        <f t="shared" si="19"/>
        <v>0</v>
      </c>
      <c r="U61" s="69">
        <f t="shared" si="20"/>
        <v>0</v>
      </c>
      <c r="V61" s="67">
        <f t="shared" si="21"/>
        <v>0</v>
      </c>
      <c r="W61" s="69">
        <f t="shared" si="22"/>
        <v>0</v>
      </c>
      <c r="X61" s="69">
        <f t="shared" si="23"/>
        <v>0</v>
      </c>
      <c r="Y61" s="68">
        <f t="shared" si="24"/>
        <v>0</v>
      </c>
      <c r="Z61" s="69">
        <f t="shared" si="25"/>
        <v>0</v>
      </c>
      <c r="AA61" s="69">
        <f t="shared" si="26"/>
        <v>0</v>
      </c>
      <c r="AB61" s="67">
        <f t="shared" si="27"/>
        <v>0</v>
      </c>
      <c r="AC61" s="69">
        <f t="shared" si="28"/>
        <v>0</v>
      </c>
      <c r="AD61" s="67">
        <f t="shared" si="29"/>
        <v>0</v>
      </c>
    </row>
    <row r="62" ht="15.75" customHeight="1">
      <c r="B62" s="413" t="s">
        <v>155</v>
      </c>
      <c r="C62" s="161" t="str">
        <f t="shared" si="2"/>
        <v/>
      </c>
      <c r="D62" s="67">
        <f t="shared" si="3"/>
        <v>0</v>
      </c>
      <c r="E62" s="68">
        <f t="shared" si="4"/>
        <v>0</v>
      </c>
      <c r="F62" s="68">
        <f t="shared" si="5"/>
        <v>0</v>
      </c>
      <c r="G62" s="69">
        <f t="shared" si="6"/>
        <v>0</v>
      </c>
      <c r="H62" s="69">
        <f t="shared" si="7"/>
        <v>0</v>
      </c>
      <c r="I62" s="69">
        <f t="shared" si="8"/>
        <v>0</v>
      </c>
      <c r="J62" s="67">
        <f t="shared" si="9"/>
        <v>0</v>
      </c>
      <c r="K62" s="68">
        <f t="shared" si="10"/>
        <v>0</v>
      </c>
      <c r="L62" s="68">
        <f t="shared" si="11"/>
        <v>0</v>
      </c>
      <c r="M62" s="67">
        <f t="shared" si="12"/>
        <v>0</v>
      </c>
      <c r="N62" s="67">
        <f t="shared" si="13"/>
        <v>0</v>
      </c>
      <c r="O62" s="68">
        <f t="shared" si="14"/>
        <v>0</v>
      </c>
      <c r="P62" s="67">
        <f t="shared" si="15"/>
        <v>0</v>
      </c>
      <c r="Q62" s="67">
        <f t="shared" si="16"/>
        <v>0</v>
      </c>
      <c r="R62" s="67">
        <f t="shared" si="17"/>
        <v>0</v>
      </c>
      <c r="S62" s="69">
        <f t="shared" si="18"/>
        <v>0</v>
      </c>
      <c r="T62" s="69">
        <f t="shared" si="19"/>
        <v>0</v>
      </c>
      <c r="U62" s="69">
        <f t="shared" si="20"/>
        <v>0</v>
      </c>
      <c r="V62" s="67">
        <f t="shared" si="21"/>
        <v>0</v>
      </c>
      <c r="W62" s="69">
        <f t="shared" si="22"/>
        <v>0</v>
      </c>
      <c r="X62" s="69">
        <f t="shared" si="23"/>
        <v>0</v>
      </c>
      <c r="Y62" s="68">
        <f t="shared" si="24"/>
        <v>0</v>
      </c>
      <c r="Z62" s="69">
        <f t="shared" si="25"/>
        <v>0</v>
      </c>
      <c r="AA62" s="69">
        <f t="shared" si="26"/>
        <v>0</v>
      </c>
      <c r="AB62" s="67">
        <f t="shared" si="27"/>
        <v>0</v>
      </c>
      <c r="AC62" s="69">
        <f t="shared" si="28"/>
        <v>0</v>
      </c>
      <c r="AD62" s="67">
        <f t="shared" si="29"/>
        <v>0</v>
      </c>
    </row>
    <row r="63" ht="15.75" customHeight="1">
      <c r="B63" s="413" t="s">
        <v>156</v>
      </c>
      <c r="C63" s="161" t="str">
        <f t="shared" si="2"/>
        <v/>
      </c>
      <c r="D63" s="67">
        <f t="shared" si="3"/>
        <v>0</v>
      </c>
      <c r="E63" s="68">
        <f t="shared" si="4"/>
        <v>0</v>
      </c>
      <c r="F63" s="68">
        <f t="shared" si="5"/>
        <v>0</v>
      </c>
      <c r="G63" s="69">
        <f t="shared" si="6"/>
        <v>0</v>
      </c>
      <c r="H63" s="69">
        <f t="shared" si="7"/>
        <v>0</v>
      </c>
      <c r="I63" s="69">
        <f t="shared" si="8"/>
        <v>0</v>
      </c>
      <c r="J63" s="67">
        <f t="shared" si="9"/>
        <v>0</v>
      </c>
      <c r="K63" s="68">
        <f t="shared" si="10"/>
        <v>0</v>
      </c>
      <c r="L63" s="68">
        <f t="shared" si="11"/>
        <v>0</v>
      </c>
      <c r="M63" s="67">
        <f t="shared" si="12"/>
        <v>0</v>
      </c>
      <c r="N63" s="67">
        <f t="shared" si="13"/>
        <v>0</v>
      </c>
      <c r="O63" s="68">
        <f t="shared" si="14"/>
        <v>0</v>
      </c>
      <c r="P63" s="67">
        <f t="shared" si="15"/>
        <v>0</v>
      </c>
      <c r="Q63" s="67">
        <f t="shared" si="16"/>
        <v>0</v>
      </c>
      <c r="R63" s="67">
        <f t="shared" si="17"/>
        <v>0</v>
      </c>
      <c r="S63" s="69">
        <f t="shared" si="18"/>
        <v>0</v>
      </c>
      <c r="T63" s="69">
        <f t="shared" si="19"/>
        <v>0</v>
      </c>
      <c r="U63" s="69">
        <f t="shared" si="20"/>
        <v>0</v>
      </c>
      <c r="V63" s="67">
        <f t="shared" si="21"/>
        <v>0</v>
      </c>
      <c r="W63" s="69">
        <f t="shared" si="22"/>
        <v>0</v>
      </c>
      <c r="X63" s="69">
        <f t="shared" si="23"/>
        <v>0</v>
      </c>
      <c r="Y63" s="68">
        <f t="shared" si="24"/>
        <v>0</v>
      </c>
      <c r="Z63" s="69">
        <f t="shared" si="25"/>
        <v>0</v>
      </c>
      <c r="AA63" s="69">
        <f t="shared" si="26"/>
        <v>0</v>
      </c>
      <c r="AB63" s="67">
        <f t="shared" si="27"/>
        <v>0</v>
      </c>
      <c r="AC63" s="69">
        <f t="shared" si="28"/>
        <v>0</v>
      </c>
      <c r="AD63" s="67">
        <f t="shared" si="29"/>
        <v>0</v>
      </c>
    </row>
    <row r="64" ht="15.75" customHeight="1">
      <c r="B64" s="411" t="s">
        <v>159</v>
      </c>
      <c r="C64" s="161" t="str">
        <f t="shared" si="2"/>
        <v/>
      </c>
      <c r="D64" s="67">
        <f t="shared" si="3"/>
        <v>0</v>
      </c>
      <c r="E64" s="68">
        <f t="shared" si="4"/>
        <v>0</v>
      </c>
      <c r="F64" s="68">
        <f t="shared" si="5"/>
        <v>0</v>
      </c>
      <c r="G64" s="69">
        <f t="shared" si="6"/>
        <v>0</v>
      </c>
      <c r="H64" s="69">
        <f t="shared" si="7"/>
        <v>0</v>
      </c>
      <c r="I64" s="69">
        <f t="shared" si="8"/>
        <v>0</v>
      </c>
      <c r="J64" s="67">
        <f t="shared" si="9"/>
        <v>0</v>
      </c>
      <c r="K64" s="68">
        <f t="shared" si="10"/>
        <v>0</v>
      </c>
      <c r="L64" s="68">
        <f t="shared" si="11"/>
        <v>0</v>
      </c>
      <c r="M64" s="67">
        <f t="shared" si="12"/>
        <v>0</v>
      </c>
      <c r="N64" s="67">
        <f t="shared" si="13"/>
        <v>0</v>
      </c>
      <c r="O64" s="68">
        <f t="shared" si="14"/>
        <v>0</v>
      </c>
      <c r="P64" s="67">
        <f t="shared" si="15"/>
        <v>0</v>
      </c>
      <c r="Q64" s="67">
        <f t="shared" si="16"/>
        <v>0</v>
      </c>
      <c r="R64" s="67">
        <f t="shared" si="17"/>
        <v>0</v>
      </c>
      <c r="S64" s="69">
        <f t="shared" si="18"/>
        <v>0</v>
      </c>
      <c r="T64" s="69">
        <f t="shared" si="19"/>
        <v>0</v>
      </c>
      <c r="U64" s="69">
        <f t="shared" si="20"/>
        <v>0</v>
      </c>
      <c r="V64" s="67">
        <f t="shared" si="21"/>
        <v>0</v>
      </c>
      <c r="W64" s="69">
        <f t="shared" si="22"/>
        <v>0</v>
      </c>
      <c r="X64" s="69">
        <f t="shared" si="23"/>
        <v>0</v>
      </c>
      <c r="Y64" s="68">
        <f t="shared" si="24"/>
        <v>0</v>
      </c>
      <c r="Z64" s="69">
        <f t="shared" si="25"/>
        <v>0</v>
      </c>
      <c r="AA64" s="69">
        <f t="shared" si="26"/>
        <v>0</v>
      </c>
      <c r="AB64" s="67">
        <f t="shared" si="27"/>
        <v>0</v>
      </c>
      <c r="AC64" s="69">
        <f t="shared" si="28"/>
        <v>0</v>
      </c>
      <c r="AD64" s="67">
        <f t="shared" si="29"/>
        <v>0</v>
      </c>
    </row>
    <row r="65" ht="15.75" customHeight="1">
      <c r="B65" s="411" t="s">
        <v>162</v>
      </c>
      <c r="C65" s="161" t="str">
        <f t="shared" si="2"/>
        <v/>
      </c>
      <c r="D65" s="67">
        <f t="shared" si="3"/>
        <v>0</v>
      </c>
      <c r="E65" s="68">
        <f t="shared" si="4"/>
        <v>0</v>
      </c>
      <c r="F65" s="68">
        <f t="shared" si="5"/>
        <v>0</v>
      </c>
      <c r="G65" s="69">
        <f t="shared" si="6"/>
        <v>0</v>
      </c>
      <c r="H65" s="69">
        <f t="shared" si="7"/>
        <v>0</v>
      </c>
      <c r="I65" s="69">
        <f t="shared" si="8"/>
        <v>0</v>
      </c>
      <c r="J65" s="67">
        <f t="shared" si="9"/>
        <v>0</v>
      </c>
      <c r="K65" s="68">
        <f t="shared" si="10"/>
        <v>0</v>
      </c>
      <c r="L65" s="68">
        <f t="shared" si="11"/>
        <v>0</v>
      </c>
      <c r="M65" s="67">
        <f t="shared" si="12"/>
        <v>0</v>
      </c>
      <c r="N65" s="67">
        <f t="shared" si="13"/>
        <v>0</v>
      </c>
      <c r="O65" s="68">
        <f t="shared" si="14"/>
        <v>0</v>
      </c>
      <c r="P65" s="67">
        <f t="shared" si="15"/>
        <v>0</v>
      </c>
      <c r="Q65" s="67">
        <f t="shared" si="16"/>
        <v>0</v>
      </c>
      <c r="R65" s="67">
        <f t="shared" si="17"/>
        <v>0</v>
      </c>
      <c r="S65" s="69">
        <f t="shared" si="18"/>
        <v>0</v>
      </c>
      <c r="T65" s="69">
        <f t="shared" si="19"/>
        <v>0</v>
      </c>
      <c r="U65" s="69">
        <f t="shared" si="20"/>
        <v>0</v>
      </c>
      <c r="V65" s="67">
        <f t="shared" si="21"/>
        <v>0</v>
      </c>
      <c r="W65" s="69">
        <f t="shared" si="22"/>
        <v>0</v>
      </c>
      <c r="X65" s="69">
        <f t="shared" si="23"/>
        <v>0</v>
      </c>
      <c r="Y65" s="68">
        <f t="shared" si="24"/>
        <v>0</v>
      </c>
      <c r="Z65" s="69">
        <f t="shared" si="25"/>
        <v>0</v>
      </c>
      <c r="AA65" s="69">
        <f t="shared" si="26"/>
        <v>0</v>
      </c>
      <c r="AB65" s="67">
        <f t="shared" si="27"/>
        <v>0</v>
      </c>
      <c r="AC65" s="69">
        <f t="shared" si="28"/>
        <v>0</v>
      </c>
      <c r="AD65" s="67">
        <f t="shared" si="29"/>
        <v>0</v>
      </c>
    </row>
    <row r="66" ht="15.75" customHeight="1">
      <c r="B66" s="411" t="s">
        <v>165</v>
      </c>
      <c r="C66" s="161" t="str">
        <f t="shared" si="2"/>
        <v/>
      </c>
      <c r="D66" s="67">
        <f t="shared" si="3"/>
        <v>0</v>
      </c>
      <c r="E66" s="68">
        <f t="shared" si="4"/>
        <v>0</v>
      </c>
      <c r="F66" s="68">
        <f t="shared" si="5"/>
        <v>0</v>
      </c>
      <c r="G66" s="69">
        <f t="shared" si="6"/>
        <v>0</v>
      </c>
      <c r="H66" s="69">
        <f t="shared" si="7"/>
        <v>0</v>
      </c>
      <c r="I66" s="69">
        <f t="shared" si="8"/>
        <v>0</v>
      </c>
      <c r="J66" s="67">
        <f t="shared" si="9"/>
        <v>0</v>
      </c>
      <c r="K66" s="68">
        <f t="shared" si="10"/>
        <v>0</v>
      </c>
      <c r="L66" s="68">
        <f t="shared" si="11"/>
        <v>0</v>
      </c>
      <c r="M66" s="67">
        <f t="shared" si="12"/>
        <v>0</v>
      </c>
      <c r="N66" s="67">
        <f t="shared" si="13"/>
        <v>0</v>
      </c>
      <c r="O66" s="68">
        <f t="shared" si="14"/>
        <v>0</v>
      </c>
      <c r="P66" s="67">
        <f t="shared" si="15"/>
        <v>0</v>
      </c>
      <c r="Q66" s="67">
        <f t="shared" si="16"/>
        <v>0</v>
      </c>
      <c r="R66" s="67">
        <f t="shared" si="17"/>
        <v>0</v>
      </c>
      <c r="S66" s="69">
        <f t="shared" si="18"/>
        <v>0</v>
      </c>
      <c r="T66" s="69">
        <f t="shared" si="19"/>
        <v>0</v>
      </c>
      <c r="U66" s="69">
        <f t="shared" si="20"/>
        <v>0</v>
      </c>
      <c r="V66" s="67">
        <f t="shared" si="21"/>
        <v>0</v>
      </c>
      <c r="W66" s="69">
        <f t="shared" si="22"/>
        <v>0</v>
      </c>
      <c r="X66" s="69">
        <f t="shared" si="23"/>
        <v>0</v>
      </c>
      <c r="Y66" s="68">
        <f t="shared" si="24"/>
        <v>0</v>
      </c>
      <c r="Z66" s="69">
        <f t="shared" si="25"/>
        <v>0</v>
      </c>
      <c r="AA66" s="69">
        <f t="shared" si="26"/>
        <v>0</v>
      </c>
      <c r="AB66" s="67">
        <f t="shared" si="27"/>
        <v>0</v>
      </c>
      <c r="AC66" s="69">
        <f t="shared" si="28"/>
        <v>0</v>
      </c>
      <c r="AD66" s="67">
        <f t="shared" si="29"/>
        <v>0</v>
      </c>
    </row>
    <row r="67" ht="15.75" customHeight="1">
      <c r="B67" s="413" t="s">
        <v>167</v>
      </c>
      <c r="C67" s="161" t="str">
        <f t="shared" si="2"/>
        <v/>
      </c>
      <c r="D67" s="67">
        <f t="shared" si="3"/>
        <v>0</v>
      </c>
      <c r="E67" s="68">
        <f t="shared" si="4"/>
        <v>0</v>
      </c>
      <c r="F67" s="68">
        <f t="shared" si="5"/>
        <v>0</v>
      </c>
      <c r="G67" s="69">
        <f t="shared" si="6"/>
        <v>0</v>
      </c>
      <c r="H67" s="69">
        <f t="shared" si="7"/>
        <v>0</v>
      </c>
      <c r="I67" s="69">
        <f t="shared" si="8"/>
        <v>0</v>
      </c>
      <c r="J67" s="67">
        <f t="shared" si="9"/>
        <v>0</v>
      </c>
      <c r="K67" s="68">
        <f t="shared" si="10"/>
        <v>0</v>
      </c>
      <c r="L67" s="68">
        <f t="shared" si="11"/>
        <v>0</v>
      </c>
      <c r="M67" s="67">
        <f t="shared" si="12"/>
        <v>0</v>
      </c>
      <c r="N67" s="67">
        <f t="shared" si="13"/>
        <v>0</v>
      </c>
      <c r="O67" s="68">
        <f t="shared" si="14"/>
        <v>0</v>
      </c>
      <c r="P67" s="67">
        <f t="shared" si="15"/>
        <v>0</v>
      </c>
      <c r="Q67" s="67">
        <f t="shared" si="16"/>
        <v>0</v>
      </c>
      <c r="R67" s="67">
        <f t="shared" si="17"/>
        <v>0</v>
      </c>
      <c r="S67" s="69">
        <f t="shared" si="18"/>
        <v>0</v>
      </c>
      <c r="T67" s="69">
        <f t="shared" si="19"/>
        <v>0</v>
      </c>
      <c r="U67" s="69">
        <f t="shared" si="20"/>
        <v>0</v>
      </c>
      <c r="V67" s="67">
        <f t="shared" si="21"/>
        <v>0</v>
      </c>
      <c r="W67" s="69">
        <f t="shared" si="22"/>
        <v>0</v>
      </c>
      <c r="X67" s="69">
        <f t="shared" si="23"/>
        <v>0</v>
      </c>
      <c r="Y67" s="68">
        <f t="shared" si="24"/>
        <v>0</v>
      </c>
      <c r="Z67" s="69">
        <f t="shared" si="25"/>
        <v>0</v>
      </c>
      <c r="AA67" s="69">
        <f t="shared" si="26"/>
        <v>0</v>
      </c>
      <c r="AB67" s="67">
        <f t="shared" si="27"/>
        <v>0</v>
      </c>
      <c r="AC67" s="69">
        <f t="shared" si="28"/>
        <v>0</v>
      </c>
      <c r="AD67" s="67">
        <f t="shared" si="29"/>
        <v>0</v>
      </c>
    </row>
    <row r="68" ht="15.75" customHeight="1">
      <c r="B68" s="413" t="s">
        <v>169</v>
      </c>
      <c r="C68" s="161" t="str">
        <f t="shared" si="2"/>
        <v/>
      </c>
      <c r="D68" s="67">
        <f t="shared" si="3"/>
        <v>0</v>
      </c>
      <c r="E68" s="68">
        <f t="shared" si="4"/>
        <v>0</v>
      </c>
      <c r="F68" s="68">
        <f t="shared" si="5"/>
        <v>0</v>
      </c>
      <c r="G68" s="69">
        <f t="shared" si="6"/>
        <v>0</v>
      </c>
      <c r="H68" s="69">
        <f t="shared" si="7"/>
        <v>0</v>
      </c>
      <c r="I68" s="69">
        <f t="shared" si="8"/>
        <v>0</v>
      </c>
      <c r="J68" s="67">
        <f t="shared" si="9"/>
        <v>0</v>
      </c>
      <c r="K68" s="68">
        <f t="shared" si="10"/>
        <v>0</v>
      </c>
      <c r="L68" s="68">
        <f t="shared" si="11"/>
        <v>0</v>
      </c>
      <c r="M68" s="67">
        <f t="shared" si="12"/>
        <v>0</v>
      </c>
      <c r="N68" s="67">
        <f t="shared" si="13"/>
        <v>0</v>
      </c>
      <c r="O68" s="68">
        <f t="shared" si="14"/>
        <v>0</v>
      </c>
      <c r="P68" s="67">
        <f t="shared" si="15"/>
        <v>0</v>
      </c>
      <c r="Q68" s="67">
        <f t="shared" si="16"/>
        <v>0</v>
      </c>
      <c r="R68" s="67">
        <f t="shared" si="17"/>
        <v>0</v>
      </c>
      <c r="S68" s="69">
        <f t="shared" si="18"/>
        <v>0</v>
      </c>
      <c r="T68" s="69">
        <f t="shared" si="19"/>
        <v>0</v>
      </c>
      <c r="U68" s="69">
        <f t="shared" si="20"/>
        <v>0</v>
      </c>
      <c r="V68" s="67">
        <f t="shared" si="21"/>
        <v>0</v>
      </c>
      <c r="W68" s="69">
        <f t="shared" si="22"/>
        <v>0</v>
      </c>
      <c r="X68" s="69">
        <f t="shared" si="23"/>
        <v>0</v>
      </c>
      <c r="Y68" s="68">
        <f t="shared" si="24"/>
        <v>0</v>
      </c>
      <c r="Z68" s="69">
        <f t="shared" si="25"/>
        <v>0</v>
      </c>
      <c r="AA68" s="69">
        <f t="shared" si="26"/>
        <v>0</v>
      </c>
      <c r="AB68" s="67">
        <f t="shared" si="27"/>
        <v>0</v>
      </c>
      <c r="AC68" s="69">
        <f t="shared" si="28"/>
        <v>0</v>
      </c>
      <c r="AD68" s="67">
        <f t="shared" si="29"/>
        <v>0</v>
      </c>
    </row>
    <row r="69" ht="15.75" customHeight="1">
      <c r="B69" s="413" t="s">
        <v>171</v>
      </c>
      <c r="C69" s="161" t="str">
        <f t="shared" si="2"/>
        <v/>
      </c>
      <c r="D69" s="67">
        <f t="shared" si="3"/>
        <v>0</v>
      </c>
      <c r="E69" s="68">
        <f t="shared" si="4"/>
        <v>0</v>
      </c>
      <c r="F69" s="68">
        <f t="shared" si="5"/>
        <v>0</v>
      </c>
      <c r="G69" s="69">
        <f t="shared" si="6"/>
        <v>0</v>
      </c>
      <c r="H69" s="69">
        <f t="shared" si="7"/>
        <v>0</v>
      </c>
      <c r="I69" s="69">
        <f t="shared" si="8"/>
        <v>0</v>
      </c>
      <c r="J69" s="67">
        <f t="shared" si="9"/>
        <v>0</v>
      </c>
      <c r="K69" s="68">
        <f t="shared" si="10"/>
        <v>0</v>
      </c>
      <c r="L69" s="68">
        <f t="shared" si="11"/>
        <v>0</v>
      </c>
      <c r="M69" s="67">
        <f t="shared" si="12"/>
        <v>0</v>
      </c>
      <c r="N69" s="67">
        <f t="shared" si="13"/>
        <v>0</v>
      </c>
      <c r="O69" s="68">
        <f t="shared" si="14"/>
        <v>0</v>
      </c>
      <c r="P69" s="67">
        <f t="shared" si="15"/>
        <v>0</v>
      </c>
      <c r="Q69" s="67">
        <f t="shared" si="16"/>
        <v>0</v>
      </c>
      <c r="R69" s="67">
        <f t="shared" si="17"/>
        <v>0</v>
      </c>
      <c r="S69" s="69">
        <f t="shared" si="18"/>
        <v>0</v>
      </c>
      <c r="T69" s="69">
        <f t="shared" si="19"/>
        <v>0</v>
      </c>
      <c r="U69" s="69">
        <f t="shared" si="20"/>
        <v>0</v>
      </c>
      <c r="V69" s="67">
        <f t="shared" si="21"/>
        <v>0</v>
      </c>
      <c r="W69" s="69">
        <f t="shared" si="22"/>
        <v>0</v>
      </c>
      <c r="X69" s="69">
        <f t="shared" si="23"/>
        <v>0</v>
      </c>
      <c r="Y69" s="68">
        <f t="shared" si="24"/>
        <v>0</v>
      </c>
      <c r="Z69" s="69">
        <f t="shared" si="25"/>
        <v>0</v>
      </c>
      <c r="AA69" s="69">
        <f t="shared" si="26"/>
        <v>0</v>
      </c>
      <c r="AB69" s="67">
        <f t="shared" si="27"/>
        <v>0</v>
      </c>
      <c r="AC69" s="69">
        <f t="shared" si="28"/>
        <v>0</v>
      </c>
      <c r="AD69" s="67">
        <f t="shared" si="29"/>
        <v>0</v>
      </c>
    </row>
    <row r="70" ht="15.75" customHeight="1">
      <c r="B70" s="412" t="s">
        <v>173</v>
      </c>
      <c r="C70" s="161" t="str">
        <f t="shared" si="2"/>
        <v/>
      </c>
      <c r="D70" s="67">
        <f t="shared" si="3"/>
        <v>0</v>
      </c>
      <c r="E70" s="68">
        <f t="shared" si="4"/>
        <v>0</v>
      </c>
      <c r="F70" s="68">
        <f t="shared" si="5"/>
        <v>0</v>
      </c>
      <c r="G70" s="69">
        <f t="shared" si="6"/>
        <v>0</v>
      </c>
      <c r="H70" s="69">
        <f t="shared" si="7"/>
        <v>0</v>
      </c>
      <c r="I70" s="69">
        <f t="shared" si="8"/>
        <v>0</v>
      </c>
      <c r="J70" s="67">
        <f t="shared" si="9"/>
        <v>0</v>
      </c>
      <c r="K70" s="68">
        <f t="shared" si="10"/>
        <v>0</v>
      </c>
      <c r="L70" s="68">
        <f t="shared" si="11"/>
        <v>0</v>
      </c>
      <c r="M70" s="67">
        <f t="shared" si="12"/>
        <v>0</v>
      </c>
      <c r="N70" s="67">
        <f t="shared" si="13"/>
        <v>0</v>
      </c>
      <c r="O70" s="68">
        <f t="shared" si="14"/>
        <v>0</v>
      </c>
      <c r="P70" s="67">
        <f t="shared" si="15"/>
        <v>0</v>
      </c>
      <c r="Q70" s="67">
        <f t="shared" si="16"/>
        <v>0</v>
      </c>
      <c r="R70" s="67">
        <f t="shared" si="17"/>
        <v>0</v>
      </c>
      <c r="S70" s="69">
        <f t="shared" si="18"/>
        <v>0</v>
      </c>
      <c r="T70" s="69">
        <f t="shared" si="19"/>
        <v>0</v>
      </c>
      <c r="U70" s="69">
        <f t="shared" si="20"/>
        <v>0</v>
      </c>
      <c r="V70" s="67">
        <f t="shared" si="21"/>
        <v>0</v>
      </c>
      <c r="W70" s="69">
        <f t="shared" si="22"/>
        <v>0</v>
      </c>
      <c r="X70" s="69">
        <f t="shared" si="23"/>
        <v>0</v>
      </c>
      <c r="Y70" s="68">
        <f t="shared" si="24"/>
        <v>0</v>
      </c>
      <c r="Z70" s="69">
        <f t="shared" si="25"/>
        <v>0</v>
      </c>
      <c r="AA70" s="69">
        <f t="shared" si="26"/>
        <v>0</v>
      </c>
      <c r="AB70" s="67">
        <f t="shared" si="27"/>
        <v>0</v>
      </c>
      <c r="AC70" s="69">
        <f t="shared" si="28"/>
        <v>0</v>
      </c>
      <c r="AD70" s="67">
        <f t="shared" si="29"/>
        <v>0</v>
      </c>
    </row>
    <row r="71" ht="15.75" customHeight="1">
      <c r="B71" s="412" t="s">
        <v>174</v>
      </c>
      <c r="C71" s="161" t="str">
        <f t="shared" si="2"/>
        <v/>
      </c>
      <c r="D71" s="67">
        <f t="shared" si="3"/>
        <v>0</v>
      </c>
      <c r="E71" s="68">
        <f t="shared" si="4"/>
        <v>0</v>
      </c>
      <c r="F71" s="68">
        <f t="shared" si="5"/>
        <v>0</v>
      </c>
      <c r="G71" s="69">
        <f t="shared" si="6"/>
        <v>0</v>
      </c>
      <c r="H71" s="69">
        <f t="shared" si="7"/>
        <v>0</v>
      </c>
      <c r="I71" s="69">
        <f t="shared" si="8"/>
        <v>0</v>
      </c>
      <c r="J71" s="67">
        <f t="shared" si="9"/>
        <v>0</v>
      </c>
      <c r="K71" s="68">
        <f t="shared" si="10"/>
        <v>0</v>
      </c>
      <c r="L71" s="68">
        <f t="shared" si="11"/>
        <v>0</v>
      </c>
      <c r="M71" s="67">
        <f t="shared" si="12"/>
        <v>0</v>
      </c>
      <c r="N71" s="67">
        <f t="shared" si="13"/>
        <v>0</v>
      </c>
      <c r="O71" s="68">
        <f t="shared" si="14"/>
        <v>0</v>
      </c>
      <c r="P71" s="67">
        <f t="shared" si="15"/>
        <v>0</v>
      </c>
      <c r="Q71" s="67">
        <f t="shared" si="16"/>
        <v>0</v>
      </c>
      <c r="R71" s="67">
        <f t="shared" si="17"/>
        <v>0</v>
      </c>
      <c r="S71" s="69">
        <f t="shared" si="18"/>
        <v>0</v>
      </c>
      <c r="T71" s="69">
        <f t="shared" si="19"/>
        <v>0</v>
      </c>
      <c r="U71" s="69">
        <f t="shared" si="20"/>
        <v>0</v>
      </c>
      <c r="V71" s="67">
        <f t="shared" si="21"/>
        <v>0</v>
      </c>
      <c r="W71" s="69">
        <f t="shared" si="22"/>
        <v>0</v>
      </c>
      <c r="X71" s="69">
        <f t="shared" si="23"/>
        <v>0</v>
      </c>
      <c r="Y71" s="68">
        <f t="shared" si="24"/>
        <v>0</v>
      </c>
      <c r="Z71" s="69">
        <f t="shared" si="25"/>
        <v>0</v>
      </c>
      <c r="AA71" s="69">
        <f t="shared" si="26"/>
        <v>0</v>
      </c>
      <c r="AB71" s="67">
        <f t="shared" si="27"/>
        <v>0</v>
      </c>
      <c r="AC71" s="69">
        <f t="shared" si="28"/>
        <v>0</v>
      </c>
      <c r="AD71" s="67">
        <f t="shared" si="29"/>
        <v>0</v>
      </c>
    </row>
    <row r="72" ht="15.75" customHeight="1">
      <c r="B72" s="412" t="s">
        <v>175</v>
      </c>
      <c r="C72" s="161" t="str">
        <f t="shared" si="2"/>
        <v/>
      </c>
      <c r="D72" s="67">
        <f t="shared" si="3"/>
        <v>0</v>
      </c>
      <c r="E72" s="68">
        <f t="shared" si="4"/>
        <v>0</v>
      </c>
      <c r="F72" s="68">
        <f t="shared" si="5"/>
        <v>0</v>
      </c>
      <c r="G72" s="69">
        <f t="shared" si="6"/>
        <v>0</v>
      </c>
      <c r="H72" s="69">
        <f t="shared" si="7"/>
        <v>0</v>
      </c>
      <c r="I72" s="69">
        <f t="shared" si="8"/>
        <v>0</v>
      </c>
      <c r="J72" s="67">
        <f t="shared" si="9"/>
        <v>0</v>
      </c>
      <c r="K72" s="68">
        <f t="shared" si="10"/>
        <v>0</v>
      </c>
      <c r="L72" s="68">
        <f t="shared" si="11"/>
        <v>0</v>
      </c>
      <c r="M72" s="67">
        <f t="shared" si="12"/>
        <v>0</v>
      </c>
      <c r="N72" s="67">
        <f t="shared" si="13"/>
        <v>0</v>
      </c>
      <c r="O72" s="68">
        <f t="shared" si="14"/>
        <v>0</v>
      </c>
      <c r="P72" s="67">
        <f t="shared" si="15"/>
        <v>0</v>
      </c>
      <c r="Q72" s="67">
        <f t="shared" si="16"/>
        <v>0</v>
      </c>
      <c r="R72" s="67">
        <f t="shared" si="17"/>
        <v>0</v>
      </c>
      <c r="S72" s="69">
        <f t="shared" si="18"/>
        <v>0</v>
      </c>
      <c r="T72" s="69">
        <f t="shared" si="19"/>
        <v>0</v>
      </c>
      <c r="U72" s="69">
        <f t="shared" si="20"/>
        <v>0</v>
      </c>
      <c r="V72" s="67">
        <f t="shared" si="21"/>
        <v>0</v>
      </c>
      <c r="W72" s="69">
        <f t="shared" si="22"/>
        <v>0</v>
      </c>
      <c r="X72" s="69">
        <f t="shared" si="23"/>
        <v>0</v>
      </c>
      <c r="Y72" s="68">
        <f t="shared" si="24"/>
        <v>0</v>
      </c>
      <c r="Z72" s="69">
        <f t="shared" si="25"/>
        <v>0</v>
      </c>
      <c r="AA72" s="69">
        <f t="shared" si="26"/>
        <v>0</v>
      </c>
      <c r="AB72" s="67">
        <f t="shared" si="27"/>
        <v>0</v>
      </c>
      <c r="AC72" s="69">
        <f t="shared" si="28"/>
        <v>0</v>
      </c>
      <c r="AD72" s="67">
        <f t="shared" si="29"/>
        <v>0</v>
      </c>
    </row>
    <row r="73" ht="15.75" customHeight="1">
      <c r="B73" s="413" t="s">
        <v>176</v>
      </c>
      <c r="C73" s="161" t="str">
        <f t="shared" si="2"/>
        <v/>
      </c>
      <c r="D73" s="67">
        <f t="shared" si="3"/>
        <v>0</v>
      </c>
      <c r="E73" s="68">
        <f t="shared" si="4"/>
        <v>0</v>
      </c>
      <c r="F73" s="68">
        <f t="shared" si="5"/>
        <v>0</v>
      </c>
      <c r="G73" s="69">
        <f t="shared" si="6"/>
        <v>0</v>
      </c>
      <c r="H73" s="69">
        <f t="shared" si="7"/>
        <v>0</v>
      </c>
      <c r="I73" s="69">
        <f t="shared" si="8"/>
        <v>0</v>
      </c>
      <c r="J73" s="67">
        <f t="shared" si="9"/>
        <v>0</v>
      </c>
      <c r="K73" s="68">
        <f t="shared" si="10"/>
        <v>0</v>
      </c>
      <c r="L73" s="68">
        <f t="shared" si="11"/>
        <v>0</v>
      </c>
      <c r="M73" s="67">
        <f t="shared" si="12"/>
        <v>0</v>
      </c>
      <c r="N73" s="67">
        <f t="shared" si="13"/>
        <v>0</v>
      </c>
      <c r="O73" s="68">
        <f t="shared" si="14"/>
        <v>0</v>
      </c>
      <c r="P73" s="67">
        <f t="shared" si="15"/>
        <v>0</v>
      </c>
      <c r="Q73" s="67">
        <f t="shared" si="16"/>
        <v>0</v>
      </c>
      <c r="R73" s="67">
        <f t="shared" si="17"/>
        <v>0</v>
      </c>
      <c r="S73" s="69">
        <f t="shared" si="18"/>
        <v>0</v>
      </c>
      <c r="T73" s="69">
        <f t="shared" si="19"/>
        <v>0</v>
      </c>
      <c r="U73" s="69">
        <f t="shared" si="20"/>
        <v>0</v>
      </c>
      <c r="V73" s="67">
        <f t="shared" si="21"/>
        <v>0</v>
      </c>
      <c r="W73" s="69">
        <f t="shared" si="22"/>
        <v>0</v>
      </c>
      <c r="X73" s="69">
        <f t="shared" si="23"/>
        <v>0</v>
      </c>
      <c r="Y73" s="68">
        <f t="shared" si="24"/>
        <v>0</v>
      </c>
      <c r="Z73" s="69">
        <f t="shared" si="25"/>
        <v>0</v>
      </c>
      <c r="AA73" s="69">
        <f t="shared" si="26"/>
        <v>0</v>
      </c>
      <c r="AB73" s="67">
        <f t="shared" si="27"/>
        <v>0</v>
      </c>
      <c r="AC73" s="69">
        <f t="shared" si="28"/>
        <v>0</v>
      </c>
      <c r="AD73" s="67">
        <f t="shared" si="29"/>
        <v>0</v>
      </c>
    </row>
    <row r="74" ht="15.75" customHeight="1">
      <c r="B74" s="413" t="s">
        <v>177</v>
      </c>
      <c r="C74" s="161" t="str">
        <f t="shared" si="2"/>
        <v/>
      </c>
      <c r="D74" s="67">
        <f t="shared" si="3"/>
        <v>0</v>
      </c>
      <c r="E74" s="68">
        <f t="shared" si="4"/>
        <v>0</v>
      </c>
      <c r="F74" s="68">
        <f t="shared" si="5"/>
        <v>0</v>
      </c>
      <c r="G74" s="69">
        <f t="shared" si="6"/>
        <v>0</v>
      </c>
      <c r="H74" s="69">
        <f t="shared" si="7"/>
        <v>0</v>
      </c>
      <c r="I74" s="69">
        <f t="shared" si="8"/>
        <v>0</v>
      </c>
      <c r="J74" s="67">
        <f t="shared" si="9"/>
        <v>0</v>
      </c>
      <c r="K74" s="68">
        <f t="shared" si="10"/>
        <v>0</v>
      </c>
      <c r="L74" s="68">
        <f t="shared" si="11"/>
        <v>0</v>
      </c>
      <c r="M74" s="67">
        <f t="shared" si="12"/>
        <v>0</v>
      </c>
      <c r="N74" s="67">
        <f t="shared" si="13"/>
        <v>0</v>
      </c>
      <c r="O74" s="68">
        <f t="shared" si="14"/>
        <v>0</v>
      </c>
      <c r="P74" s="67">
        <f t="shared" si="15"/>
        <v>0</v>
      </c>
      <c r="Q74" s="67">
        <f t="shared" si="16"/>
        <v>0</v>
      </c>
      <c r="R74" s="67">
        <f t="shared" si="17"/>
        <v>0</v>
      </c>
      <c r="S74" s="69">
        <f t="shared" si="18"/>
        <v>0</v>
      </c>
      <c r="T74" s="69">
        <f t="shared" si="19"/>
        <v>0</v>
      </c>
      <c r="U74" s="69">
        <f t="shared" si="20"/>
        <v>0</v>
      </c>
      <c r="V74" s="67">
        <f t="shared" si="21"/>
        <v>0</v>
      </c>
      <c r="W74" s="69">
        <f t="shared" si="22"/>
        <v>0</v>
      </c>
      <c r="X74" s="69">
        <f t="shared" si="23"/>
        <v>0</v>
      </c>
      <c r="Y74" s="68">
        <f t="shared" si="24"/>
        <v>0</v>
      </c>
      <c r="Z74" s="69">
        <f t="shared" si="25"/>
        <v>0</v>
      </c>
      <c r="AA74" s="69">
        <f t="shared" si="26"/>
        <v>0</v>
      </c>
      <c r="AB74" s="67">
        <f t="shared" si="27"/>
        <v>0</v>
      </c>
      <c r="AC74" s="69">
        <f t="shared" si="28"/>
        <v>0</v>
      </c>
      <c r="AD74" s="67">
        <f t="shared" si="29"/>
        <v>0</v>
      </c>
    </row>
    <row r="75" ht="15.75" customHeight="1">
      <c r="B75" s="413" t="s">
        <v>179</v>
      </c>
      <c r="C75" s="161" t="str">
        <f t="shared" si="2"/>
        <v/>
      </c>
      <c r="D75" s="67">
        <f t="shared" si="3"/>
        <v>0</v>
      </c>
      <c r="E75" s="68">
        <f t="shared" si="4"/>
        <v>0</v>
      </c>
      <c r="F75" s="68">
        <f t="shared" si="5"/>
        <v>0</v>
      </c>
      <c r="G75" s="69">
        <f t="shared" si="6"/>
        <v>0</v>
      </c>
      <c r="H75" s="69">
        <f t="shared" si="7"/>
        <v>0</v>
      </c>
      <c r="I75" s="69">
        <f t="shared" si="8"/>
        <v>0</v>
      </c>
      <c r="J75" s="67">
        <f t="shared" si="9"/>
        <v>0</v>
      </c>
      <c r="K75" s="68">
        <f t="shared" si="10"/>
        <v>0</v>
      </c>
      <c r="L75" s="68">
        <f t="shared" si="11"/>
        <v>0</v>
      </c>
      <c r="M75" s="67">
        <f t="shared" si="12"/>
        <v>0</v>
      </c>
      <c r="N75" s="67">
        <f t="shared" si="13"/>
        <v>0</v>
      </c>
      <c r="O75" s="68">
        <f t="shared" si="14"/>
        <v>0</v>
      </c>
      <c r="P75" s="67">
        <f t="shared" si="15"/>
        <v>0</v>
      </c>
      <c r="Q75" s="67">
        <f t="shared" si="16"/>
        <v>0</v>
      </c>
      <c r="R75" s="67">
        <f t="shared" si="17"/>
        <v>0</v>
      </c>
      <c r="S75" s="69">
        <f t="shared" si="18"/>
        <v>0</v>
      </c>
      <c r="T75" s="69">
        <f t="shared" si="19"/>
        <v>0</v>
      </c>
      <c r="U75" s="69">
        <f t="shared" si="20"/>
        <v>0</v>
      </c>
      <c r="V75" s="67">
        <f t="shared" si="21"/>
        <v>0</v>
      </c>
      <c r="W75" s="69">
        <f t="shared" si="22"/>
        <v>0</v>
      </c>
      <c r="X75" s="69">
        <f t="shared" si="23"/>
        <v>0</v>
      </c>
      <c r="Y75" s="68">
        <f t="shared" si="24"/>
        <v>0</v>
      </c>
      <c r="Z75" s="69">
        <f t="shared" si="25"/>
        <v>0</v>
      </c>
      <c r="AA75" s="69">
        <f t="shared" si="26"/>
        <v>0</v>
      </c>
      <c r="AB75" s="67">
        <f t="shared" si="27"/>
        <v>0</v>
      </c>
      <c r="AC75" s="69">
        <f t="shared" si="28"/>
        <v>0</v>
      </c>
      <c r="AD75" s="67">
        <f t="shared" si="29"/>
        <v>0</v>
      </c>
    </row>
    <row r="76" ht="15.75" customHeight="1">
      <c r="B76" s="413" t="s">
        <v>181</v>
      </c>
      <c r="C76" s="161" t="str">
        <f t="shared" si="2"/>
        <v/>
      </c>
      <c r="D76" s="67">
        <f t="shared" si="3"/>
        <v>0</v>
      </c>
      <c r="E76" s="68">
        <f t="shared" si="4"/>
        <v>0</v>
      </c>
      <c r="F76" s="68">
        <f t="shared" si="5"/>
        <v>0</v>
      </c>
      <c r="G76" s="69">
        <f t="shared" si="6"/>
        <v>0</v>
      </c>
      <c r="H76" s="69">
        <f t="shared" si="7"/>
        <v>0</v>
      </c>
      <c r="I76" s="69">
        <f t="shared" si="8"/>
        <v>0</v>
      </c>
      <c r="J76" s="67">
        <f t="shared" si="9"/>
        <v>0</v>
      </c>
      <c r="K76" s="68">
        <f t="shared" si="10"/>
        <v>0</v>
      </c>
      <c r="L76" s="68">
        <f t="shared" si="11"/>
        <v>0</v>
      </c>
      <c r="M76" s="67">
        <f t="shared" si="12"/>
        <v>0</v>
      </c>
      <c r="N76" s="67">
        <f t="shared" si="13"/>
        <v>0</v>
      </c>
      <c r="O76" s="68">
        <f t="shared" si="14"/>
        <v>0</v>
      </c>
      <c r="P76" s="67">
        <f t="shared" si="15"/>
        <v>0</v>
      </c>
      <c r="Q76" s="67">
        <f t="shared" si="16"/>
        <v>0</v>
      </c>
      <c r="R76" s="67">
        <f t="shared" si="17"/>
        <v>0</v>
      </c>
      <c r="S76" s="69">
        <f t="shared" si="18"/>
        <v>0</v>
      </c>
      <c r="T76" s="69">
        <f t="shared" si="19"/>
        <v>0</v>
      </c>
      <c r="U76" s="69">
        <f t="shared" si="20"/>
        <v>0</v>
      </c>
      <c r="V76" s="67">
        <f t="shared" si="21"/>
        <v>0</v>
      </c>
      <c r="W76" s="69">
        <f t="shared" si="22"/>
        <v>0</v>
      </c>
      <c r="X76" s="69">
        <f t="shared" si="23"/>
        <v>0</v>
      </c>
      <c r="Y76" s="68">
        <f t="shared" si="24"/>
        <v>0</v>
      </c>
      <c r="Z76" s="69">
        <f t="shared" si="25"/>
        <v>0</v>
      </c>
      <c r="AA76" s="69">
        <f t="shared" si="26"/>
        <v>0</v>
      </c>
      <c r="AB76" s="67">
        <f t="shared" si="27"/>
        <v>0</v>
      </c>
      <c r="AC76" s="69">
        <f t="shared" si="28"/>
        <v>0</v>
      </c>
      <c r="AD76" s="67">
        <f t="shared" si="29"/>
        <v>0</v>
      </c>
    </row>
    <row r="77" ht="15.75" customHeight="1">
      <c r="B77" s="411" t="s">
        <v>184</v>
      </c>
      <c r="C77" s="161" t="str">
        <f t="shared" si="2"/>
        <v/>
      </c>
      <c r="D77" s="67">
        <f t="shared" si="3"/>
        <v>0</v>
      </c>
      <c r="E77" s="68">
        <f t="shared" si="4"/>
        <v>0</v>
      </c>
      <c r="F77" s="68">
        <f t="shared" si="5"/>
        <v>0</v>
      </c>
      <c r="G77" s="69">
        <f t="shared" si="6"/>
        <v>0</v>
      </c>
      <c r="H77" s="69">
        <f t="shared" si="7"/>
        <v>0</v>
      </c>
      <c r="I77" s="69">
        <f t="shared" si="8"/>
        <v>0</v>
      </c>
      <c r="J77" s="67">
        <f t="shared" si="9"/>
        <v>0</v>
      </c>
      <c r="K77" s="68">
        <f t="shared" si="10"/>
        <v>0</v>
      </c>
      <c r="L77" s="68">
        <f t="shared" si="11"/>
        <v>0</v>
      </c>
      <c r="M77" s="67">
        <f t="shared" si="12"/>
        <v>0</v>
      </c>
      <c r="N77" s="67">
        <f t="shared" si="13"/>
        <v>0</v>
      </c>
      <c r="O77" s="68">
        <f t="shared" si="14"/>
        <v>0</v>
      </c>
      <c r="P77" s="67">
        <f t="shared" si="15"/>
        <v>0</v>
      </c>
      <c r="Q77" s="67">
        <f t="shared" si="16"/>
        <v>0</v>
      </c>
      <c r="R77" s="67">
        <f t="shared" si="17"/>
        <v>0</v>
      </c>
      <c r="S77" s="69">
        <f t="shared" si="18"/>
        <v>0</v>
      </c>
      <c r="T77" s="69">
        <f t="shared" si="19"/>
        <v>0</v>
      </c>
      <c r="U77" s="69">
        <f t="shared" si="20"/>
        <v>0</v>
      </c>
      <c r="V77" s="67">
        <f t="shared" si="21"/>
        <v>0</v>
      </c>
      <c r="W77" s="69">
        <f t="shared" si="22"/>
        <v>0</v>
      </c>
      <c r="X77" s="69">
        <f t="shared" si="23"/>
        <v>0</v>
      </c>
      <c r="Y77" s="68">
        <f t="shared" si="24"/>
        <v>0</v>
      </c>
      <c r="Z77" s="69">
        <f t="shared" si="25"/>
        <v>0</v>
      </c>
      <c r="AA77" s="69">
        <f t="shared" si="26"/>
        <v>0</v>
      </c>
      <c r="AB77" s="67">
        <f t="shared" si="27"/>
        <v>0</v>
      </c>
      <c r="AC77" s="69">
        <f t="shared" si="28"/>
        <v>0</v>
      </c>
      <c r="AD77" s="67">
        <f t="shared" si="29"/>
        <v>0</v>
      </c>
    </row>
    <row r="78" ht="15.75" customHeight="1">
      <c r="B78" s="411" t="s">
        <v>186</v>
      </c>
      <c r="C78" s="161" t="str">
        <f t="shared" si="2"/>
        <v/>
      </c>
      <c r="D78" s="67">
        <f t="shared" si="3"/>
        <v>0</v>
      </c>
      <c r="E78" s="68">
        <f t="shared" si="4"/>
        <v>0</v>
      </c>
      <c r="F78" s="68">
        <f t="shared" si="5"/>
        <v>0</v>
      </c>
      <c r="G78" s="69">
        <f t="shared" si="6"/>
        <v>0</v>
      </c>
      <c r="H78" s="69">
        <f t="shared" si="7"/>
        <v>0</v>
      </c>
      <c r="I78" s="69">
        <f t="shared" si="8"/>
        <v>0</v>
      </c>
      <c r="J78" s="67">
        <f t="shared" si="9"/>
        <v>0</v>
      </c>
      <c r="K78" s="68">
        <f t="shared" si="10"/>
        <v>0</v>
      </c>
      <c r="L78" s="68">
        <f t="shared" si="11"/>
        <v>0</v>
      </c>
      <c r="M78" s="67">
        <f t="shared" si="12"/>
        <v>0</v>
      </c>
      <c r="N78" s="67">
        <f t="shared" si="13"/>
        <v>0</v>
      </c>
      <c r="O78" s="68">
        <f t="shared" si="14"/>
        <v>0</v>
      </c>
      <c r="P78" s="67">
        <f t="shared" si="15"/>
        <v>0</v>
      </c>
      <c r="Q78" s="67">
        <f t="shared" si="16"/>
        <v>0</v>
      </c>
      <c r="R78" s="67">
        <f t="shared" si="17"/>
        <v>0</v>
      </c>
      <c r="S78" s="69">
        <f t="shared" si="18"/>
        <v>0</v>
      </c>
      <c r="T78" s="69">
        <f t="shared" si="19"/>
        <v>0</v>
      </c>
      <c r="U78" s="69">
        <f t="shared" si="20"/>
        <v>0</v>
      </c>
      <c r="V78" s="67">
        <f t="shared" si="21"/>
        <v>0</v>
      </c>
      <c r="W78" s="69">
        <f t="shared" si="22"/>
        <v>0</v>
      </c>
      <c r="X78" s="69">
        <f t="shared" si="23"/>
        <v>0</v>
      </c>
      <c r="Y78" s="68">
        <f t="shared" si="24"/>
        <v>0</v>
      </c>
      <c r="Z78" s="69">
        <f t="shared" si="25"/>
        <v>0</v>
      </c>
      <c r="AA78" s="69">
        <f t="shared" si="26"/>
        <v>0</v>
      </c>
      <c r="AB78" s="67">
        <f t="shared" si="27"/>
        <v>0</v>
      </c>
      <c r="AC78" s="69">
        <f t="shared" si="28"/>
        <v>0</v>
      </c>
      <c r="AD78" s="67">
        <f t="shared" si="29"/>
        <v>0</v>
      </c>
    </row>
    <row r="79" ht="15.75" customHeight="1">
      <c r="B79" s="413" t="s">
        <v>189</v>
      </c>
      <c r="C79" s="161" t="str">
        <f t="shared" si="2"/>
        <v/>
      </c>
      <c r="D79" s="67">
        <f t="shared" si="3"/>
        <v>0</v>
      </c>
      <c r="E79" s="68">
        <f t="shared" si="4"/>
        <v>0</v>
      </c>
      <c r="F79" s="68">
        <f t="shared" si="5"/>
        <v>0</v>
      </c>
      <c r="G79" s="69">
        <f t="shared" si="6"/>
        <v>0</v>
      </c>
      <c r="H79" s="69">
        <f t="shared" si="7"/>
        <v>0</v>
      </c>
      <c r="I79" s="69">
        <f t="shared" si="8"/>
        <v>0</v>
      </c>
      <c r="J79" s="67">
        <f t="shared" si="9"/>
        <v>0</v>
      </c>
      <c r="K79" s="68">
        <f t="shared" si="10"/>
        <v>0</v>
      </c>
      <c r="L79" s="68">
        <f t="shared" si="11"/>
        <v>0</v>
      </c>
      <c r="M79" s="67">
        <f t="shared" si="12"/>
        <v>0</v>
      </c>
      <c r="N79" s="67">
        <f t="shared" si="13"/>
        <v>0</v>
      </c>
      <c r="O79" s="68">
        <f t="shared" si="14"/>
        <v>0</v>
      </c>
      <c r="P79" s="67">
        <f t="shared" si="15"/>
        <v>0</v>
      </c>
      <c r="Q79" s="67">
        <f t="shared" si="16"/>
        <v>0</v>
      </c>
      <c r="R79" s="67">
        <f t="shared" si="17"/>
        <v>0</v>
      </c>
      <c r="S79" s="69">
        <f t="shared" si="18"/>
        <v>0</v>
      </c>
      <c r="T79" s="69">
        <f t="shared" si="19"/>
        <v>0</v>
      </c>
      <c r="U79" s="69">
        <f t="shared" si="20"/>
        <v>0</v>
      </c>
      <c r="V79" s="67">
        <f t="shared" si="21"/>
        <v>0</v>
      </c>
      <c r="W79" s="69">
        <f t="shared" si="22"/>
        <v>0</v>
      </c>
      <c r="X79" s="69">
        <f t="shared" si="23"/>
        <v>0</v>
      </c>
      <c r="Y79" s="68">
        <f t="shared" si="24"/>
        <v>0</v>
      </c>
      <c r="Z79" s="69">
        <f t="shared" si="25"/>
        <v>0</v>
      </c>
      <c r="AA79" s="69">
        <f t="shared" si="26"/>
        <v>0</v>
      </c>
      <c r="AB79" s="67">
        <f t="shared" si="27"/>
        <v>0</v>
      </c>
      <c r="AC79" s="69">
        <f t="shared" si="28"/>
        <v>0</v>
      </c>
      <c r="AD79" s="67">
        <f t="shared" si="29"/>
        <v>0</v>
      </c>
    </row>
    <row r="80" ht="15.75" customHeight="1">
      <c r="B80" s="413" t="s">
        <v>210</v>
      </c>
      <c r="C80" s="161" t="str">
        <f t="shared" si="2"/>
        <v/>
      </c>
      <c r="D80" s="67">
        <f t="shared" si="3"/>
        <v>0</v>
      </c>
      <c r="E80" s="68">
        <f t="shared" si="4"/>
        <v>0</v>
      </c>
      <c r="F80" s="68">
        <f t="shared" si="5"/>
        <v>0</v>
      </c>
      <c r="G80" s="69">
        <f t="shared" si="6"/>
        <v>0</v>
      </c>
      <c r="H80" s="69">
        <f t="shared" si="7"/>
        <v>0</v>
      </c>
      <c r="I80" s="69">
        <f t="shared" si="8"/>
        <v>0</v>
      </c>
      <c r="J80" s="67">
        <f t="shared" si="9"/>
        <v>0</v>
      </c>
      <c r="K80" s="68">
        <f t="shared" si="10"/>
        <v>0</v>
      </c>
      <c r="L80" s="68">
        <f t="shared" si="11"/>
        <v>0</v>
      </c>
      <c r="M80" s="67">
        <f t="shared" si="12"/>
        <v>0</v>
      </c>
      <c r="N80" s="67">
        <f t="shared" si="13"/>
        <v>0</v>
      </c>
      <c r="O80" s="68">
        <f t="shared" si="14"/>
        <v>0</v>
      </c>
      <c r="P80" s="67">
        <f t="shared" si="15"/>
        <v>0</v>
      </c>
      <c r="Q80" s="67">
        <f t="shared" si="16"/>
        <v>0</v>
      </c>
      <c r="R80" s="67">
        <f t="shared" si="17"/>
        <v>0</v>
      </c>
      <c r="S80" s="69">
        <f t="shared" si="18"/>
        <v>0</v>
      </c>
      <c r="T80" s="69">
        <f t="shared" si="19"/>
        <v>0</v>
      </c>
      <c r="U80" s="69">
        <f t="shared" si="20"/>
        <v>0</v>
      </c>
      <c r="V80" s="67">
        <f t="shared" si="21"/>
        <v>0</v>
      </c>
      <c r="W80" s="69">
        <f t="shared" si="22"/>
        <v>0</v>
      </c>
      <c r="X80" s="69">
        <f t="shared" si="23"/>
        <v>0</v>
      </c>
      <c r="Y80" s="68">
        <f t="shared" si="24"/>
        <v>0</v>
      </c>
      <c r="Z80" s="69">
        <f t="shared" si="25"/>
        <v>0</v>
      </c>
      <c r="AA80" s="69">
        <f t="shared" si="26"/>
        <v>0</v>
      </c>
      <c r="AB80" s="67">
        <f t="shared" si="27"/>
        <v>0</v>
      </c>
      <c r="AC80" s="69">
        <f t="shared" si="28"/>
        <v>0</v>
      </c>
      <c r="AD80" s="67">
        <f t="shared" si="29"/>
        <v>0</v>
      </c>
    </row>
    <row r="81" ht="15.75" customHeight="1">
      <c r="B81" s="411" t="s">
        <v>195</v>
      </c>
      <c r="C81" s="161" t="str">
        <f t="shared" si="2"/>
        <v/>
      </c>
      <c r="D81" s="67">
        <f t="shared" si="3"/>
        <v>0</v>
      </c>
      <c r="E81" s="68">
        <f t="shared" si="4"/>
        <v>0</v>
      </c>
      <c r="F81" s="68">
        <f t="shared" si="5"/>
        <v>0</v>
      </c>
      <c r="G81" s="69">
        <f t="shared" si="6"/>
        <v>0</v>
      </c>
      <c r="H81" s="69">
        <f t="shared" si="7"/>
        <v>0</v>
      </c>
      <c r="I81" s="69">
        <f t="shared" si="8"/>
        <v>0</v>
      </c>
      <c r="J81" s="67">
        <f t="shared" si="9"/>
        <v>0</v>
      </c>
      <c r="K81" s="68">
        <f t="shared" si="10"/>
        <v>0</v>
      </c>
      <c r="L81" s="68">
        <f t="shared" si="11"/>
        <v>0</v>
      </c>
      <c r="M81" s="67">
        <f t="shared" si="12"/>
        <v>0</v>
      </c>
      <c r="N81" s="67">
        <f t="shared" si="13"/>
        <v>0</v>
      </c>
      <c r="O81" s="68">
        <f t="shared" si="14"/>
        <v>0</v>
      </c>
      <c r="P81" s="67">
        <f t="shared" si="15"/>
        <v>0</v>
      </c>
      <c r="Q81" s="67">
        <f t="shared" si="16"/>
        <v>0</v>
      </c>
      <c r="R81" s="67">
        <f t="shared" si="17"/>
        <v>0</v>
      </c>
      <c r="S81" s="69">
        <f t="shared" si="18"/>
        <v>0</v>
      </c>
      <c r="T81" s="69">
        <f t="shared" si="19"/>
        <v>0</v>
      </c>
      <c r="U81" s="69">
        <f t="shared" si="20"/>
        <v>0</v>
      </c>
      <c r="V81" s="67">
        <f t="shared" si="21"/>
        <v>0</v>
      </c>
      <c r="W81" s="69">
        <f t="shared" si="22"/>
        <v>0</v>
      </c>
      <c r="X81" s="69">
        <f t="shared" si="23"/>
        <v>0</v>
      </c>
      <c r="Y81" s="68">
        <f t="shared" si="24"/>
        <v>0</v>
      </c>
      <c r="Z81" s="69">
        <f t="shared" si="25"/>
        <v>0</v>
      </c>
      <c r="AA81" s="69">
        <f t="shared" si="26"/>
        <v>0</v>
      </c>
      <c r="AB81" s="67">
        <f t="shared" si="27"/>
        <v>0</v>
      </c>
      <c r="AC81" s="69">
        <f t="shared" si="28"/>
        <v>0</v>
      </c>
      <c r="AD81" s="67">
        <f t="shared" si="29"/>
        <v>0</v>
      </c>
    </row>
    <row r="82" ht="15.75" customHeight="1">
      <c r="B82" s="411" t="s">
        <v>196</v>
      </c>
      <c r="C82" s="161" t="str">
        <f t="shared" si="2"/>
        <v/>
      </c>
      <c r="D82" s="67">
        <f t="shared" si="3"/>
        <v>0</v>
      </c>
      <c r="E82" s="68">
        <f t="shared" si="4"/>
        <v>0</v>
      </c>
      <c r="F82" s="68">
        <f t="shared" si="5"/>
        <v>0</v>
      </c>
      <c r="G82" s="69">
        <f t="shared" si="6"/>
        <v>0</v>
      </c>
      <c r="H82" s="69">
        <f t="shared" si="7"/>
        <v>0</v>
      </c>
      <c r="I82" s="69">
        <f t="shared" si="8"/>
        <v>0</v>
      </c>
      <c r="J82" s="67">
        <f t="shared" si="9"/>
        <v>0</v>
      </c>
      <c r="K82" s="68">
        <f t="shared" si="10"/>
        <v>0</v>
      </c>
      <c r="L82" s="68">
        <f t="shared" si="11"/>
        <v>0</v>
      </c>
      <c r="M82" s="67">
        <f t="shared" si="12"/>
        <v>0</v>
      </c>
      <c r="N82" s="67">
        <f t="shared" si="13"/>
        <v>0</v>
      </c>
      <c r="O82" s="68">
        <f t="shared" si="14"/>
        <v>0</v>
      </c>
      <c r="P82" s="67">
        <f t="shared" si="15"/>
        <v>0</v>
      </c>
      <c r="Q82" s="67">
        <f t="shared" si="16"/>
        <v>0</v>
      </c>
      <c r="R82" s="67">
        <f t="shared" si="17"/>
        <v>0</v>
      </c>
      <c r="S82" s="69">
        <f t="shared" si="18"/>
        <v>0</v>
      </c>
      <c r="T82" s="69">
        <f t="shared" si="19"/>
        <v>0</v>
      </c>
      <c r="U82" s="69">
        <f t="shared" si="20"/>
        <v>0</v>
      </c>
      <c r="V82" s="67">
        <f t="shared" si="21"/>
        <v>0</v>
      </c>
      <c r="W82" s="69">
        <f t="shared" si="22"/>
        <v>0</v>
      </c>
      <c r="X82" s="69">
        <f t="shared" si="23"/>
        <v>0</v>
      </c>
      <c r="Y82" s="68">
        <f t="shared" si="24"/>
        <v>0</v>
      </c>
      <c r="Z82" s="69">
        <f t="shared" si="25"/>
        <v>0</v>
      </c>
      <c r="AA82" s="69">
        <f t="shared" si="26"/>
        <v>0</v>
      </c>
      <c r="AB82" s="67">
        <f t="shared" si="27"/>
        <v>0</v>
      </c>
      <c r="AC82" s="69">
        <f t="shared" si="28"/>
        <v>0</v>
      </c>
      <c r="AD82" s="67">
        <f t="shared" si="29"/>
        <v>0</v>
      </c>
    </row>
    <row r="83" ht="15.75" customHeight="1">
      <c r="B83" s="411" t="s">
        <v>197</v>
      </c>
      <c r="C83" s="161" t="str">
        <f t="shared" si="2"/>
        <v/>
      </c>
      <c r="D83" s="67">
        <f t="shared" si="3"/>
        <v>0</v>
      </c>
      <c r="E83" s="68">
        <f t="shared" si="4"/>
        <v>0</v>
      </c>
      <c r="F83" s="68">
        <f t="shared" si="5"/>
        <v>0</v>
      </c>
      <c r="G83" s="69">
        <f t="shared" si="6"/>
        <v>0</v>
      </c>
      <c r="H83" s="69">
        <f t="shared" si="7"/>
        <v>0</v>
      </c>
      <c r="I83" s="69">
        <f t="shared" si="8"/>
        <v>0</v>
      </c>
      <c r="J83" s="67">
        <f t="shared" si="9"/>
        <v>0</v>
      </c>
      <c r="K83" s="68">
        <f t="shared" si="10"/>
        <v>0</v>
      </c>
      <c r="L83" s="68">
        <f t="shared" si="11"/>
        <v>0</v>
      </c>
      <c r="M83" s="67">
        <f t="shared" si="12"/>
        <v>0</v>
      </c>
      <c r="N83" s="67">
        <f t="shared" si="13"/>
        <v>0</v>
      </c>
      <c r="O83" s="68">
        <f t="shared" si="14"/>
        <v>0</v>
      </c>
      <c r="P83" s="67">
        <f t="shared" si="15"/>
        <v>0</v>
      </c>
      <c r="Q83" s="67">
        <f t="shared" si="16"/>
        <v>0</v>
      </c>
      <c r="R83" s="67">
        <f t="shared" si="17"/>
        <v>0</v>
      </c>
      <c r="S83" s="69">
        <f t="shared" si="18"/>
        <v>0</v>
      </c>
      <c r="T83" s="69">
        <f t="shared" si="19"/>
        <v>0</v>
      </c>
      <c r="U83" s="69">
        <f t="shared" si="20"/>
        <v>0</v>
      </c>
      <c r="V83" s="67">
        <f t="shared" si="21"/>
        <v>0</v>
      </c>
      <c r="W83" s="69">
        <f t="shared" si="22"/>
        <v>0</v>
      </c>
      <c r="X83" s="69">
        <f t="shared" si="23"/>
        <v>0</v>
      </c>
      <c r="Y83" s="68">
        <f t="shared" si="24"/>
        <v>0</v>
      </c>
      <c r="Z83" s="69">
        <f t="shared" si="25"/>
        <v>0</v>
      </c>
      <c r="AA83" s="69">
        <f t="shared" si="26"/>
        <v>0</v>
      </c>
      <c r="AB83" s="67">
        <f t="shared" si="27"/>
        <v>0</v>
      </c>
      <c r="AC83" s="69">
        <f t="shared" si="28"/>
        <v>0</v>
      </c>
      <c r="AD83" s="67">
        <f t="shared" si="29"/>
        <v>0</v>
      </c>
    </row>
    <row r="84" ht="15.75" customHeight="1">
      <c r="B84" s="411" t="s">
        <v>198</v>
      </c>
      <c r="C84" s="161" t="str">
        <f t="shared" si="2"/>
        <v/>
      </c>
      <c r="D84" s="67">
        <f t="shared" si="3"/>
        <v>0</v>
      </c>
      <c r="E84" s="68">
        <f t="shared" si="4"/>
        <v>0</v>
      </c>
      <c r="F84" s="68">
        <f t="shared" si="5"/>
        <v>0</v>
      </c>
      <c r="G84" s="69">
        <f t="shared" si="6"/>
        <v>0</v>
      </c>
      <c r="H84" s="69">
        <f t="shared" si="7"/>
        <v>0</v>
      </c>
      <c r="I84" s="69">
        <f t="shared" si="8"/>
        <v>0</v>
      </c>
      <c r="J84" s="67">
        <f t="shared" si="9"/>
        <v>0</v>
      </c>
      <c r="K84" s="68">
        <f t="shared" si="10"/>
        <v>0</v>
      </c>
      <c r="L84" s="68">
        <f t="shared" si="11"/>
        <v>0</v>
      </c>
      <c r="M84" s="67">
        <f t="shared" si="12"/>
        <v>0</v>
      </c>
      <c r="N84" s="67">
        <f t="shared" si="13"/>
        <v>0</v>
      </c>
      <c r="O84" s="68">
        <f t="shared" si="14"/>
        <v>0</v>
      </c>
      <c r="P84" s="67">
        <f t="shared" si="15"/>
        <v>0</v>
      </c>
      <c r="Q84" s="67">
        <f t="shared" si="16"/>
        <v>0</v>
      </c>
      <c r="R84" s="67">
        <f t="shared" si="17"/>
        <v>0</v>
      </c>
      <c r="S84" s="69">
        <f t="shared" si="18"/>
        <v>0</v>
      </c>
      <c r="T84" s="69">
        <f t="shared" si="19"/>
        <v>0</v>
      </c>
      <c r="U84" s="69">
        <f t="shared" si="20"/>
        <v>0</v>
      </c>
      <c r="V84" s="67">
        <f t="shared" si="21"/>
        <v>0</v>
      </c>
      <c r="W84" s="69">
        <f t="shared" si="22"/>
        <v>0</v>
      </c>
      <c r="X84" s="69">
        <f t="shared" si="23"/>
        <v>0</v>
      </c>
      <c r="Y84" s="68">
        <f t="shared" si="24"/>
        <v>0</v>
      </c>
      <c r="Z84" s="69">
        <f t="shared" si="25"/>
        <v>0</v>
      </c>
      <c r="AA84" s="69">
        <f t="shared" si="26"/>
        <v>0</v>
      </c>
      <c r="AB84" s="67">
        <f t="shared" si="27"/>
        <v>0</v>
      </c>
      <c r="AC84" s="69">
        <f t="shared" si="28"/>
        <v>0</v>
      </c>
      <c r="AD84" s="67">
        <f t="shared" si="29"/>
        <v>0</v>
      </c>
    </row>
    <row r="85" ht="15.75" customHeight="1">
      <c r="B85" s="411" t="s">
        <v>200</v>
      </c>
      <c r="C85" s="161" t="str">
        <f t="shared" si="2"/>
        <v/>
      </c>
      <c r="D85" s="67">
        <f t="shared" si="3"/>
        <v>0</v>
      </c>
      <c r="E85" s="68">
        <f t="shared" si="4"/>
        <v>0</v>
      </c>
      <c r="F85" s="68">
        <f t="shared" si="5"/>
        <v>0</v>
      </c>
      <c r="G85" s="69">
        <f t="shared" si="6"/>
        <v>0</v>
      </c>
      <c r="H85" s="69">
        <f t="shared" si="7"/>
        <v>0</v>
      </c>
      <c r="I85" s="69">
        <f t="shared" si="8"/>
        <v>0</v>
      </c>
      <c r="J85" s="67">
        <f t="shared" si="9"/>
        <v>0</v>
      </c>
      <c r="K85" s="68">
        <f t="shared" si="10"/>
        <v>0</v>
      </c>
      <c r="L85" s="68">
        <f t="shared" si="11"/>
        <v>0</v>
      </c>
      <c r="M85" s="67">
        <f t="shared" si="12"/>
        <v>0</v>
      </c>
      <c r="N85" s="67">
        <f t="shared" si="13"/>
        <v>0</v>
      </c>
      <c r="O85" s="68">
        <f t="shared" si="14"/>
        <v>0</v>
      </c>
      <c r="P85" s="67">
        <f t="shared" si="15"/>
        <v>0</v>
      </c>
      <c r="Q85" s="67">
        <f t="shared" si="16"/>
        <v>0</v>
      </c>
      <c r="R85" s="67">
        <f t="shared" si="17"/>
        <v>0</v>
      </c>
      <c r="S85" s="69">
        <f t="shared" si="18"/>
        <v>0</v>
      </c>
      <c r="T85" s="69">
        <f t="shared" si="19"/>
        <v>0</v>
      </c>
      <c r="U85" s="69">
        <f t="shared" si="20"/>
        <v>0</v>
      </c>
      <c r="V85" s="67">
        <f t="shared" si="21"/>
        <v>0</v>
      </c>
      <c r="W85" s="69">
        <f t="shared" si="22"/>
        <v>0</v>
      </c>
      <c r="X85" s="69">
        <f t="shared" si="23"/>
        <v>0</v>
      </c>
      <c r="Y85" s="68">
        <f t="shared" si="24"/>
        <v>0</v>
      </c>
      <c r="Z85" s="69">
        <f t="shared" si="25"/>
        <v>0</v>
      </c>
      <c r="AA85" s="69">
        <f t="shared" si="26"/>
        <v>0</v>
      </c>
      <c r="AB85" s="67">
        <f t="shared" si="27"/>
        <v>0</v>
      </c>
      <c r="AC85" s="69">
        <f t="shared" si="28"/>
        <v>0</v>
      </c>
      <c r="AD85" s="67">
        <f t="shared" si="29"/>
        <v>0</v>
      </c>
    </row>
    <row r="86" ht="15.75" customHeight="1">
      <c r="B86" s="413" t="s">
        <v>203</v>
      </c>
      <c r="C86" s="161" t="str">
        <f t="shared" si="2"/>
        <v/>
      </c>
      <c r="D86" s="67">
        <f t="shared" si="3"/>
        <v>0</v>
      </c>
      <c r="E86" s="68">
        <f t="shared" si="4"/>
        <v>0</v>
      </c>
      <c r="F86" s="68">
        <f t="shared" si="5"/>
        <v>0</v>
      </c>
      <c r="G86" s="69">
        <f t="shared" si="6"/>
        <v>0</v>
      </c>
      <c r="H86" s="69">
        <f t="shared" si="7"/>
        <v>0</v>
      </c>
      <c r="I86" s="69">
        <f t="shared" si="8"/>
        <v>0</v>
      </c>
      <c r="J86" s="67">
        <f t="shared" si="9"/>
        <v>0</v>
      </c>
      <c r="K86" s="68">
        <f t="shared" si="10"/>
        <v>0</v>
      </c>
      <c r="L86" s="68">
        <f t="shared" si="11"/>
        <v>0</v>
      </c>
      <c r="M86" s="67">
        <f t="shared" si="12"/>
        <v>0</v>
      </c>
      <c r="N86" s="67">
        <f t="shared" si="13"/>
        <v>0</v>
      </c>
      <c r="O86" s="68">
        <f t="shared" si="14"/>
        <v>0</v>
      </c>
      <c r="P86" s="67">
        <f t="shared" si="15"/>
        <v>0</v>
      </c>
      <c r="Q86" s="67">
        <f t="shared" si="16"/>
        <v>0</v>
      </c>
      <c r="R86" s="67">
        <f t="shared" si="17"/>
        <v>0</v>
      </c>
      <c r="S86" s="69">
        <f t="shared" si="18"/>
        <v>0</v>
      </c>
      <c r="T86" s="69">
        <f t="shared" si="19"/>
        <v>0</v>
      </c>
      <c r="U86" s="69">
        <f t="shared" si="20"/>
        <v>0</v>
      </c>
      <c r="V86" s="67">
        <f t="shared" si="21"/>
        <v>0</v>
      </c>
      <c r="W86" s="69">
        <f t="shared" si="22"/>
        <v>0</v>
      </c>
      <c r="X86" s="69">
        <f t="shared" si="23"/>
        <v>0</v>
      </c>
      <c r="Y86" s="68">
        <f t="shared" si="24"/>
        <v>0</v>
      </c>
      <c r="Z86" s="69">
        <f t="shared" si="25"/>
        <v>0</v>
      </c>
      <c r="AA86" s="69">
        <f t="shared" si="26"/>
        <v>0</v>
      </c>
      <c r="AB86" s="67">
        <f t="shared" si="27"/>
        <v>0</v>
      </c>
      <c r="AC86" s="69">
        <f t="shared" si="28"/>
        <v>0</v>
      </c>
      <c r="AD86" s="67">
        <f t="shared" si="29"/>
        <v>0</v>
      </c>
    </row>
    <row r="87" ht="15.75" customHeight="1">
      <c r="B87" s="413" t="s">
        <v>204</v>
      </c>
      <c r="C87" s="161" t="str">
        <f t="shared" si="2"/>
        <v/>
      </c>
      <c r="D87" s="67">
        <f t="shared" si="3"/>
        <v>0</v>
      </c>
      <c r="E87" s="68">
        <f t="shared" si="4"/>
        <v>0</v>
      </c>
      <c r="F87" s="68">
        <f t="shared" si="5"/>
        <v>0</v>
      </c>
      <c r="G87" s="69">
        <f t="shared" si="6"/>
        <v>0</v>
      </c>
      <c r="H87" s="69">
        <f t="shared" si="7"/>
        <v>0</v>
      </c>
      <c r="I87" s="69">
        <f t="shared" si="8"/>
        <v>0</v>
      </c>
      <c r="J87" s="67">
        <f t="shared" si="9"/>
        <v>0</v>
      </c>
      <c r="K87" s="68">
        <f t="shared" si="10"/>
        <v>0</v>
      </c>
      <c r="L87" s="68">
        <f t="shared" si="11"/>
        <v>0</v>
      </c>
      <c r="M87" s="67">
        <f t="shared" si="12"/>
        <v>0</v>
      </c>
      <c r="N87" s="67">
        <f t="shared" si="13"/>
        <v>0</v>
      </c>
      <c r="O87" s="68">
        <f t="shared" si="14"/>
        <v>0</v>
      </c>
      <c r="P87" s="67">
        <f t="shared" si="15"/>
        <v>0</v>
      </c>
      <c r="Q87" s="67">
        <f t="shared" si="16"/>
        <v>0</v>
      </c>
      <c r="R87" s="67">
        <f t="shared" si="17"/>
        <v>0</v>
      </c>
      <c r="S87" s="69">
        <f t="shared" si="18"/>
        <v>0</v>
      </c>
      <c r="T87" s="69">
        <f t="shared" si="19"/>
        <v>0</v>
      </c>
      <c r="U87" s="69">
        <f t="shared" si="20"/>
        <v>0</v>
      </c>
      <c r="V87" s="67">
        <f t="shared" si="21"/>
        <v>0</v>
      </c>
      <c r="W87" s="69">
        <f t="shared" si="22"/>
        <v>0</v>
      </c>
      <c r="X87" s="69">
        <f t="shared" si="23"/>
        <v>0</v>
      </c>
      <c r="Y87" s="68">
        <f t="shared" si="24"/>
        <v>0</v>
      </c>
      <c r="Z87" s="69">
        <f t="shared" si="25"/>
        <v>0</v>
      </c>
      <c r="AA87" s="69">
        <f t="shared" si="26"/>
        <v>0</v>
      </c>
      <c r="AB87" s="67">
        <f t="shared" si="27"/>
        <v>0</v>
      </c>
      <c r="AC87" s="69">
        <f t="shared" si="28"/>
        <v>0</v>
      </c>
      <c r="AD87" s="67">
        <f t="shared" si="29"/>
        <v>0</v>
      </c>
    </row>
    <row r="88" ht="15.75" customHeight="1">
      <c r="B88" s="413" t="s">
        <v>205</v>
      </c>
      <c r="C88" s="161" t="str">
        <f t="shared" si="2"/>
        <v/>
      </c>
      <c r="D88" s="67">
        <f t="shared" si="3"/>
        <v>0</v>
      </c>
      <c r="E88" s="68">
        <f t="shared" si="4"/>
        <v>0</v>
      </c>
      <c r="F88" s="68">
        <f t="shared" si="5"/>
        <v>0</v>
      </c>
      <c r="G88" s="69">
        <f t="shared" si="6"/>
        <v>0</v>
      </c>
      <c r="H88" s="69">
        <f t="shared" si="7"/>
        <v>0</v>
      </c>
      <c r="I88" s="69">
        <f t="shared" si="8"/>
        <v>0</v>
      </c>
      <c r="J88" s="67">
        <f t="shared" si="9"/>
        <v>0</v>
      </c>
      <c r="K88" s="68">
        <f t="shared" si="10"/>
        <v>0</v>
      </c>
      <c r="L88" s="68">
        <f t="shared" si="11"/>
        <v>0</v>
      </c>
      <c r="M88" s="67">
        <f t="shared" si="12"/>
        <v>0</v>
      </c>
      <c r="N88" s="67">
        <f t="shared" si="13"/>
        <v>0</v>
      </c>
      <c r="O88" s="68">
        <f t="shared" si="14"/>
        <v>0</v>
      </c>
      <c r="P88" s="67">
        <f t="shared" si="15"/>
        <v>0</v>
      </c>
      <c r="Q88" s="67">
        <f t="shared" si="16"/>
        <v>0</v>
      </c>
      <c r="R88" s="67">
        <f t="shared" si="17"/>
        <v>0</v>
      </c>
      <c r="S88" s="69">
        <f t="shared" si="18"/>
        <v>0</v>
      </c>
      <c r="T88" s="69">
        <f t="shared" si="19"/>
        <v>0</v>
      </c>
      <c r="U88" s="69">
        <f t="shared" si="20"/>
        <v>0</v>
      </c>
      <c r="V88" s="67">
        <f t="shared" si="21"/>
        <v>0</v>
      </c>
      <c r="W88" s="69">
        <f t="shared" si="22"/>
        <v>0</v>
      </c>
      <c r="X88" s="69">
        <f t="shared" si="23"/>
        <v>0</v>
      </c>
      <c r="Y88" s="68">
        <f t="shared" si="24"/>
        <v>0</v>
      </c>
      <c r="Z88" s="69">
        <f t="shared" si="25"/>
        <v>0</v>
      </c>
      <c r="AA88" s="69">
        <f t="shared" si="26"/>
        <v>0</v>
      </c>
      <c r="AB88" s="67">
        <f t="shared" si="27"/>
        <v>0</v>
      </c>
      <c r="AC88" s="69">
        <f t="shared" si="28"/>
        <v>0</v>
      </c>
      <c r="AD88" s="67">
        <f t="shared" si="29"/>
        <v>0</v>
      </c>
    </row>
    <row r="89" ht="15.75" customHeight="1">
      <c r="B89" s="413" t="s">
        <v>206</v>
      </c>
      <c r="C89" s="161" t="str">
        <f t="shared" si="2"/>
        <v/>
      </c>
      <c r="D89" s="67">
        <f t="shared" si="3"/>
        <v>0</v>
      </c>
      <c r="E89" s="68">
        <f t="shared" si="4"/>
        <v>0</v>
      </c>
      <c r="F89" s="68">
        <f t="shared" si="5"/>
        <v>0</v>
      </c>
      <c r="G89" s="69">
        <f t="shared" si="6"/>
        <v>0</v>
      </c>
      <c r="H89" s="69">
        <f t="shared" si="7"/>
        <v>0</v>
      </c>
      <c r="I89" s="69">
        <f t="shared" si="8"/>
        <v>0</v>
      </c>
      <c r="J89" s="67">
        <f t="shared" si="9"/>
        <v>0</v>
      </c>
      <c r="K89" s="68">
        <f t="shared" si="10"/>
        <v>0</v>
      </c>
      <c r="L89" s="68">
        <f t="shared" si="11"/>
        <v>0</v>
      </c>
      <c r="M89" s="67">
        <f t="shared" si="12"/>
        <v>0</v>
      </c>
      <c r="N89" s="67">
        <f t="shared" si="13"/>
        <v>0</v>
      </c>
      <c r="O89" s="68">
        <f t="shared" si="14"/>
        <v>0</v>
      </c>
      <c r="P89" s="67">
        <f t="shared" si="15"/>
        <v>0</v>
      </c>
      <c r="Q89" s="67">
        <f t="shared" si="16"/>
        <v>0</v>
      </c>
      <c r="R89" s="67">
        <f t="shared" si="17"/>
        <v>0</v>
      </c>
      <c r="S89" s="69">
        <f t="shared" si="18"/>
        <v>0</v>
      </c>
      <c r="T89" s="69">
        <f t="shared" si="19"/>
        <v>0</v>
      </c>
      <c r="U89" s="69">
        <f t="shared" si="20"/>
        <v>0</v>
      </c>
      <c r="V89" s="67">
        <f t="shared" si="21"/>
        <v>0</v>
      </c>
      <c r="W89" s="69">
        <f t="shared" si="22"/>
        <v>0</v>
      </c>
      <c r="X89" s="69">
        <f t="shared" si="23"/>
        <v>0</v>
      </c>
      <c r="Y89" s="68">
        <f t="shared" si="24"/>
        <v>0</v>
      </c>
      <c r="Z89" s="69">
        <f t="shared" si="25"/>
        <v>0</v>
      </c>
      <c r="AA89" s="69">
        <f t="shared" si="26"/>
        <v>0</v>
      </c>
      <c r="AB89" s="67">
        <f t="shared" si="27"/>
        <v>0</v>
      </c>
      <c r="AC89" s="69">
        <f t="shared" si="28"/>
        <v>0</v>
      </c>
      <c r="AD89" s="67">
        <f t="shared" si="29"/>
        <v>0</v>
      </c>
    </row>
    <row r="90" ht="15.75" customHeight="1">
      <c r="B90" s="162" t="s">
        <v>442</v>
      </c>
      <c r="C90" s="161" t="str">
        <f t="shared" si="2"/>
        <v/>
      </c>
      <c r="D90" s="67">
        <f t="shared" si="3"/>
        <v>0</v>
      </c>
      <c r="E90" s="68">
        <f t="shared" si="4"/>
        <v>0</v>
      </c>
      <c r="F90" s="68">
        <f t="shared" si="5"/>
        <v>0</v>
      </c>
      <c r="G90" s="69">
        <f t="shared" si="6"/>
        <v>0</v>
      </c>
      <c r="H90" s="69">
        <f t="shared" si="7"/>
        <v>0</v>
      </c>
      <c r="I90" s="69">
        <f t="shared" si="8"/>
        <v>0</v>
      </c>
      <c r="J90" s="67">
        <f t="shared" si="9"/>
        <v>0</v>
      </c>
      <c r="K90" s="68">
        <f t="shared" si="10"/>
        <v>0</v>
      </c>
      <c r="L90" s="68">
        <f t="shared" si="11"/>
        <v>0</v>
      </c>
      <c r="M90" s="67">
        <f t="shared" si="12"/>
        <v>0</v>
      </c>
      <c r="N90" s="67">
        <f t="shared" si="13"/>
        <v>0</v>
      </c>
      <c r="O90" s="68">
        <f t="shared" si="14"/>
        <v>0</v>
      </c>
      <c r="P90" s="67">
        <f t="shared" si="15"/>
        <v>0</v>
      </c>
      <c r="Q90" s="67">
        <f t="shared" si="16"/>
        <v>0</v>
      </c>
      <c r="R90" s="67">
        <f t="shared" si="17"/>
        <v>0</v>
      </c>
      <c r="S90" s="69">
        <f t="shared" si="18"/>
        <v>0</v>
      </c>
      <c r="T90" s="69">
        <f t="shared" si="19"/>
        <v>0</v>
      </c>
      <c r="U90" s="69">
        <f t="shared" si="20"/>
        <v>0</v>
      </c>
      <c r="V90" s="67">
        <f t="shared" si="21"/>
        <v>0</v>
      </c>
      <c r="W90" s="69">
        <f t="shared" si="22"/>
        <v>0</v>
      </c>
      <c r="X90" s="69">
        <f t="shared" si="23"/>
        <v>0</v>
      </c>
      <c r="Y90" s="68">
        <f t="shared" si="24"/>
        <v>0</v>
      </c>
      <c r="Z90" s="69">
        <f t="shared" si="25"/>
        <v>0</v>
      </c>
      <c r="AA90" s="69">
        <f t="shared" si="26"/>
        <v>0</v>
      </c>
      <c r="AB90" s="67">
        <f t="shared" si="27"/>
        <v>0</v>
      </c>
      <c r="AC90" s="69">
        <f t="shared" si="28"/>
        <v>0</v>
      </c>
      <c r="AD90" s="67">
        <f t="shared" si="29"/>
        <v>0</v>
      </c>
    </row>
    <row r="91" ht="15.75" customHeight="1">
      <c r="B91" s="162" t="s">
        <v>825</v>
      </c>
      <c r="C91" s="161" t="str">
        <f t="shared" si="2"/>
        <v/>
      </c>
      <c r="D91" s="67">
        <f t="shared" si="3"/>
        <v>0</v>
      </c>
      <c r="E91" s="68">
        <f t="shared" si="4"/>
        <v>0</v>
      </c>
      <c r="F91" s="68">
        <f t="shared" si="5"/>
        <v>0</v>
      </c>
      <c r="G91" s="69">
        <f t="shared" si="6"/>
        <v>0</v>
      </c>
      <c r="H91" s="69">
        <f t="shared" si="7"/>
        <v>0</v>
      </c>
      <c r="I91" s="69">
        <f t="shared" si="8"/>
        <v>0</v>
      </c>
      <c r="J91" s="67">
        <f t="shared" si="9"/>
        <v>0</v>
      </c>
      <c r="K91" s="68">
        <f t="shared" si="10"/>
        <v>0</v>
      </c>
      <c r="L91" s="68">
        <f t="shared" si="11"/>
        <v>0</v>
      </c>
      <c r="M91" s="67">
        <f t="shared" si="12"/>
        <v>0</v>
      </c>
      <c r="N91" s="67">
        <f t="shared" si="13"/>
        <v>0</v>
      </c>
      <c r="O91" s="68">
        <f t="shared" si="14"/>
        <v>0</v>
      </c>
      <c r="P91" s="67">
        <f t="shared" si="15"/>
        <v>0</v>
      </c>
      <c r="Q91" s="67">
        <f t="shared" si="16"/>
        <v>0</v>
      </c>
      <c r="R91" s="67">
        <f t="shared" si="17"/>
        <v>0</v>
      </c>
      <c r="S91" s="69">
        <f t="shared" si="18"/>
        <v>0</v>
      </c>
      <c r="T91" s="69">
        <f t="shared" si="19"/>
        <v>0</v>
      </c>
      <c r="U91" s="69">
        <f t="shared" si="20"/>
        <v>0</v>
      </c>
      <c r="V91" s="67">
        <f t="shared" si="21"/>
        <v>0</v>
      </c>
      <c r="W91" s="69">
        <f t="shared" si="22"/>
        <v>0</v>
      </c>
      <c r="X91" s="69">
        <f t="shared" si="23"/>
        <v>0</v>
      </c>
      <c r="Y91" s="68">
        <f t="shared" si="24"/>
        <v>0</v>
      </c>
      <c r="Z91" s="69">
        <f t="shared" si="25"/>
        <v>0</v>
      </c>
      <c r="AA91" s="69">
        <f t="shared" si="26"/>
        <v>0</v>
      </c>
      <c r="AB91" s="67">
        <f t="shared" si="27"/>
        <v>0</v>
      </c>
      <c r="AC91" s="69">
        <f t="shared" si="28"/>
        <v>0</v>
      </c>
      <c r="AD91" s="67">
        <f t="shared" si="29"/>
        <v>0</v>
      </c>
    </row>
    <row r="92" ht="15.75" customHeight="1">
      <c r="C92" s="341" t="s">
        <v>212</v>
      </c>
      <c r="D92" s="163">
        <f t="shared" ref="D92:AD92" si="30">SUM(D50:D91)</f>
        <v>0</v>
      </c>
      <c r="E92" s="164">
        <f t="shared" si="30"/>
        <v>0</v>
      </c>
      <c r="F92" s="164">
        <f t="shared" si="30"/>
        <v>0</v>
      </c>
      <c r="G92" s="165">
        <f t="shared" si="30"/>
        <v>0</v>
      </c>
      <c r="H92" s="165">
        <f t="shared" si="30"/>
        <v>0</v>
      </c>
      <c r="I92" s="165">
        <f t="shared" si="30"/>
        <v>0</v>
      </c>
      <c r="J92" s="163">
        <f t="shared" si="30"/>
        <v>0</v>
      </c>
      <c r="K92" s="164">
        <f t="shared" si="30"/>
        <v>0</v>
      </c>
      <c r="L92" s="164">
        <f t="shared" si="30"/>
        <v>0</v>
      </c>
      <c r="M92" s="163">
        <f t="shared" si="30"/>
        <v>0</v>
      </c>
      <c r="N92" s="163">
        <f t="shared" si="30"/>
        <v>0</v>
      </c>
      <c r="O92" s="164">
        <f t="shared" si="30"/>
        <v>0</v>
      </c>
      <c r="P92" s="163">
        <f t="shared" si="30"/>
        <v>0</v>
      </c>
      <c r="Q92" s="163">
        <f t="shared" si="30"/>
        <v>0</v>
      </c>
      <c r="R92" s="163">
        <f t="shared" si="30"/>
        <v>0</v>
      </c>
      <c r="S92" s="165">
        <f t="shared" si="30"/>
        <v>0</v>
      </c>
      <c r="T92" s="165">
        <f t="shared" si="30"/>
        <v>0</v>
      </c>
      <c r="U92" s="165">
        <f t="shared" si="30"/>
        <v>0</v>
      </c>
      <c r="V92" s="163">
        <f t="shared" si="30"/>
        <v>0</v>
      </c>
      <c r="W92" s="165">
        <f t="shared" si="30"/>
        <v>0</v>
      </c>
      <c r="X92" s="165">
        <f t="shared" si="30"/>
        <v>0</v>
      </c>
      <c r="Y92" s="164">
        <f t="shared" si="30"/>
        <v>0</v>
      </c>
      <c r="Z92" s="165">
        <f t="shared" si="30"/>
        <v>0</v>
      </c>
      <c r="AA92" s="165">
        <f t="shared" si="30"/>
        <v>0</v>
      </c>
      <c r="AB92" s="163">
        <f t="shared" si="30"/>
        <v>0</v>
      </c>
      <c r="AC92" s="165">
        <f t="shared" si="30"/>
        <v>0</v>
      </c>
      <c r="AD92" s="163">
        <f t="shared" si="30"/>
        <v>0</v>
      </c>
    </row>
    <row r="93" ht="15.75" customHeight="1">
      <c r="C93" s="341" t="s">
        <v>213</v>
      </c>
      <c r="D93" s="85"/>
      <c r="E93" s="52"/>
      <c r="F93" s="85"/>
      <c r="G93" s="86"/>
      <c r="H93" s="86"/>
      <c r="I93" s="86"/>
      <c r="J93" s="52"/>
      <c r="K93" s="85"/>
      <c r="L93" s="85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</row>
    <row r="94" ht="15.75" customHeight="1">
      <c r="C94" s="341" t="s">
        <v>214</v>
      </c>
      <c r="D94" s="166" t="str">
        <f t="shared" ref="D94:AD94" si="31">((100/D93)*D92)</f>
        <v>#DIV/0!</v>
      </c>
      <c r="E94" s="166" t="str">
        <f t="shared" si="31"/>
        <v>#DIV/0!</v>
      </c>
      <c r="F94" s="166" t="str">
        <f t="shared" si="31"/>
        <v>#DIV/0!</v>
      </c>
      <c r="G94" s="166" t="str">
        <f t="shared" si="31"/>
        <v>#DIV/0!</v>
      </c>
      <c r="H94" s="166" t="str">
        <f t="shared" si="31"/>
        <v>#DIV/0!</v>
      </c>
      <c r="I94" s="166" t="str">
        <f t="shared" si="31"/>
        <v>#DIV/0!</v>
      </c>
      <c r="J94" s="166" t="str">
        <f t="shared" si="31"/>
        <v>#DIV/0!</v>
      </c>
      <c r="K94" s="166" t="str">
        <f t="shared" si="31"/>
        <v>#DIV/0!</v>
      </c>
      <c r="L94" s="166" t="str">
        <f t="shared" si="31"/>
        <v>#DIV/0!</v>
      </c>
      <c r="M94" s="166" t="str">
        <f t="shared" si="31"/>
        <v>#DIV/0!</v>
      </c>
      <c r="N94" s="166" t="str">
        <f t="shared" si="31"/>
        <v>#DIV/0!</v>
      </c>
      <c r="O94" s="166" t="str">
        <f t="shared" si="31"/>
        <v>#DIV/0!</v>
      </c>
      <c r="P94" s="166" t="str">
        <f t="shared" si="31"/>
        <v>#DIV/0!</v>
      </c>
      <c r="Q94" s="166" t="str">
        <f t="shared" si="31"/>
        <v>#DIV/0!</v>
      </c>
      <c r="R94" s="166" t="str">
        <f t="shared" si="31"/>
        <v>#DIV/0!</v>
      </c>
      <c r="S94" s="166" t="str">
        <f t="shared" si="31"/>
        <v>#DIV/0!</v>
      </c>
      <c r="T94" s="166" t="str">
        <f t="shared" si="31"/>
        <v>#DIV/0!</v>
      </c>
      <c r="U94" s="166" t="str">
        <f t="shared" si="31"/>
        <v>#DIV/0!</v>
      </c>
      <c r="V94" s="166" t="str">
        <f t="shared" si="31"/>
        <v>#DIV/0!</v>
      </c>
      <c r="W94" s="166" t="str">
        <f t="shared" si="31"/>
        <v>#DIV/0!</v>
      </c>
      <c r="X94" s="166" t="str">
        <f t="shared" si="31"/>
        <v>#DIV/0!</v>
      </c>
      <c r="Y94" s="166" t="str">
        <f t="shared" si="31"/>
        <v>#DIV/0!</v>
      </c>
      <c r="Z94" s="166" t="str">
        <f t="shared" si="31"/>
        <v>#DIV/0!</v>
      </c>
      <c r="AA94" s="166" t="str">
        <f t="shared" si="31"/>
        <v>#DIV/0!</v>
      </c>
      <c r="AB94" s="166" t="str">
        <f t="shared" si="31"/>
        <v>#DIV/0!</v>
      </c>
      <c r="AC94" s="166" t="str">
        <f t="shared" si="31"/>
        <v>#DIV/0!</v>
      </c>
      <c r="AD94" s="166" t="str">
        <f t="shared" si="31"/>
        <v>#DIV/0!</v>
      </c>
    </row>
    <row r="95" ht="15.75" customHeight="1">
      <c r="D95" s="63" t="s">
        <v>97</v>
      </c>
      <c r="E95" s="63" t="s">
        <v>98</v>
      </c>
      <c r="F95" s="63" t="s">
        <v>99</v>
      </c>
      <c r="G95" s="63" t="s">
        <v>100</v>
      </c>
      <c r="H95" s="63" t="s">
        <v>101</v>
      </c>
      <c r="I95" s="63" t="s">
        <v>102</v>
      </c>
      <c r="J95" s="63" t="s">
        <v>103</v>
      </c>
      <c r="K95" s="63" t="s">
        <v>104</v>
      </c>
      <c r="L95" s="63" t="s">
        <v>105</v>
      </c>
      <c r="M95" s="157" t="s">
        <v>106</v>
      </c>
      <c r="N95" s="157" t="s">
        <v>107</v>
      </c>
      <c r="O95" s="157" t="s">
        <v>108</v>
      </c>
      <c r="P95" s="157" t="s">
        <v>109</v>
      </c>
      <c r="Q95" s="157" t="s">
        <v>110</v>
      </c>
      <c r="R95" s="157" t="s">
        <v>111</v>
      </c>
      <c r="S95" s="157" t="s">
        <v>112</v>
      </c>
      <c r="T95" s="157" t="s">
        <v>113</v>
      </c>
      <c r="U95" s="157" t="s">
        <v>114</v>
      </c>
      <c r="V95" s="157" t="s">
        <v>115</v>
      </c>
      <c r="W95" s="157" t="s">
        <v>116</v>
      </c>
      <c r="X95" s="157" t="s">
        <v>117</v>
      </c>
      <c r="Y95" s="157" t="s">
        <v>118</v>
      </c>
      <c r="Z95" s="157" t="s">
        <v>119</v>
      </c>
      <c r="AA95" s="157" t="s">
        <v>120</v>
      </c>
      <c r="AB95" s="157" t="s">
        <v>121</v>
      </c>
      <c r="AC95" s="157" t="s">
        <v>122</v>
      </c>
      <c r="AD95" s="157" t="s">
        <v>438</v>
      </c>
    </row>
    <row r="96" ht="15.75" customHeight="1"/>
    <row r="97" ht="15.75" customHeight="1">
      <c r="B97" s="90" t="s">
        <v>314</v>
      </c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1"/>
      <c r="O97" s="61"/>
      <c r="P97" s="61"/>
      <c r="Q97" s="61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</row>
    <row r="98" ht="15.75" customHeight="1"/>
    <row r="99" ht="15.75" customHeight="1">
      <c r="D99" s="19" t="s">
        <v>314</v>
      </c>
      <c r="E99" s="20"/>
      <c r="F99" s="20"/>
      <c r="G99" s="20"/>
      <c r="H99" s="20"/>
      <c r="I99" s="21"/>
      <c r="J99" s="19" t="s">
        <v>216</v>
      </c>
      <c r="K99" s="20"/>
      <c r="L99" s="21"/>
      <c r="N99" s="19" t="s">
        <v>315</v>
      </c>
      <c r="O99" s="20"/>
      <c r="P99" s="21"/>
    </row>
    <row r="100" ht="15.75" customHeight="1">
      <c r="D100" s="23" t="s">
        <v>217</v>
      </c>
      <c r="E100" s="23" t="s">
        <v>218</v>
      </c>
      <c r="F100" s="23" t="s">
        <v>219</v>
      </c>
      <c r="G100" s="23" t="s">
        <v>220</v>
      </c>
      <c r="H100" s="91" t="s">
        <v>221</v>
      </c>
      <c r="I100" s="22"/>
      <c r="J100" s="92" t="s">
        <v>224</v>
      </c>
      <c r="K100" s="93"/>
      <c r="L100" s="52" t="s">
        <v>223</v>
      </c>
      <c r="N100" s="174" t="s">
        <v>316</v>
      </c>
      <c r="O100" s="21"/>
      <c r="P100" s="52">
        <f>E101/6.25</f>
        <v>0</v>
      </c>
    </row>
    <row r="101" ht="15.75" customHeight="1">
      <c r="D101" s="94" t="s">
        <v>224</v>
      </c>
      <c r="E101" s="95">
        <f>(E92)</f>
        <v>0</v>
      </c>
      <c r="F101" s="96">
        <f>(E101*4)</f>
        <v>0</v>
      </c>
      <c r="G101" s="95" t="str">
        <f>((100/F113)*F101)</f>
        <v>#DIV/0!</v>
      </c>
      <c r="H101" s="113" t="s">
        <v>225</v>
      </c>
      <c r="I101" s="98">
        <f>SUM(E50:E60,E90)</f>
        <v>0</v>
      </c>
      <c r="J101" s="92" t="s">
        <v>226</v>
      </c>
      <c r="K101" s="93"/>
      <c r="L101" s="52" t="s">
        <v>227</v>
      </c>
      <c r="N101" s="113" t="s">
        <v>317</v>
      </c>
      <c r="O101" s="113"/>
      <c r="P101" s="84">
        <f>F104+F111</f>
        <v>0</v>
      </c>
    </row>
    <row r="102" ht="15.75" customHeight="1">
      <c r="D102" s="99"/>
      <c r="E102" s="99"/>
      <c r="F102" s="99"/>
      <c r="G102" s="99"/>
      <c r="H102" s="113" t="s">
        <v>228</v>
      </c>
      <c r="I102" s="98" t="str">
        <f>((100/E101)*I101)</f>
        <v>#DIV/0!</v>
      </c>
      <c r="J102" s="92" t="s">
        <v>229</v>
      </c>
      <c r="K102" s="93"/>
      <c r="L102" s="52" t="s">
        <v>230</v>
      </c>
      <c r="N102" s="113" t="s">
        <v>318</v>
      </c>
      <c r="O102" s="113"/>
      <c r="P102" s="84" t="str">
        <f>P101/P100</f>
        <v>#DIV/0!</v>
      </c>
    </row>
    <row r="103" ht="15.75" customHeight="1">
      <c r="D103" s="100"/>
      <c r="E103" s="100"/>
      <c r="F103" s="100"/>
      <c r="G103" s="100"/>
      <c r="H103" s="113" t="s">
        <v>231</v>
      </c>
      <c r="I103" s="101" t="str">
        <f>(E101/E114)</f>
        <v>#DIV/0!</v>
      </c>
      <c r="J103" s="92" t="s">
        <v>232</v>
      </c>
      <c r="K103" s="93"/>
      <c r="L103" s="52" t="s">
        <v>233</v>
      </c>
      <c r="N103" s="113" t="s">
        <v>54</v>
      </c>
      <c r="O103" s="113"/>
      <c r="P103" s="52" t="str">
        <f>IF(P102&gt;180,"Adecuado","Inadecuado")</f>
        <v>#DIV/0!</v>
      </c>
    </row>
    <row r="104" ht="15.75" customHeight="1">
      <c r="D104" s="94" t="s">
        <v>234</v>
      </c>
      <c r="E104" s="95">
        <f>(F92)</f>
        <v>0</v>
      </c>
      <c r="F104" s="96">
        <f>(E104*9)</f>
        <v>0</v>
      </c>
      <c r="G104" s="95" t="str">
        <f>((100/F113)*F104)</f>
        <v>#DIV/0!</v>
      </c>
      <c r="H104" s="113" t="s">
        <v>235</v>
      </c>
      <c r="I104" s="101">
        <f>(G92)</f>
        <v>0</v>
      </c>
      <c r="J104" s="92" t="s">
        <v>236</v>
      </c>
      <c r="K104" s="93"/>
      <c r="L104" s="52" t="s">
        <v>237</v>
      </c>
    </row>
    <row r="105" ht="15.75" customHeight="1">
      <c r="D105" s="99"/>
      <c r="E105" s="99"/>
      <c r="F105" s="99"/>
      <c r="G105" s="99"/>
      <c r="H105" s="113" t="s">
        <v>238</v>
      </c>
      <c r="I105" s="101" t="str">
        <f>((100/F113)*(I104*9))</f>
        <v>#DIV/0!</v>
      </c>
      <c r="J105" s="92" t="s">
        <v>239</v>
      </c>
      <c r="K105" s="93"/>
      <c r="L105" s="52" t="s">
        <v>240</v>
      </c>
    </row>
    <row r="106" ht="15.75" customHeight="1">
      <c r="D106" s="99"/>
      <c r="E106" s="99"/>
      <c r="F106" s="99"/>
      <c r="G106" s="99"/>
      <c r="H106" s="113" t="s">
        <v>241</v>
      </c>
      <c r="I106" s="101">
        <f>(H92)</f>
        <v>0</v>
      </c>
      <c r="J106" s="92" t="s">
        <v>242</v>
      </c>
      <c r="K106" s="93"/>
      <c r="L106" s="52" t="s">
        <v>237</v>
      </c>
    </row>
    <row r="107" ht="15.75" customHeight="1">
      <c r="D107" s="99"/>
      <c r="E107" s="99"/>
      <c r="F107" s="99"/>
      <c r="G107" s="99"/>
      <c r="H107" s="113" t="s">
        <v>243</v>
      </c>
      <c r="I107" s="101" t="str">
        <f>((100/F113)*(I106*9))</f>
        <v>#DIV/0!</v>
      </c>
      <c r="J107" s="92" t="s">
        <v>244</v>
      </c>
      <c r="K107" s="93"/>
      <c r="L107" s="52" t="s">
        <v>245</v>
      </c>
    </row>
    <row r="108" ht="15.75" customHeight="1">
      <c r="D108" s="99"/>
      <c r="E108" s="99"/>
      <c r="F108" s="99"/>
      <c r="G108" s="99"/>
      <c r="H108" s="113" t="s">
        <v>246</v>
      </c>
      <c r="I108" s="101">
        <f>(I92)</f>
        <v>0</v>
      </c>
      <c r="J108" s="92" t="s">
        <v>247</v>
      </c>
      <c r="K108" s="93"/>
      <c r="L108" s="52" t="s">
        <v>248</v>
      </c>
    </row>
    <row r="109" ht="15.75" customHeight="1">
      <c r="D109" s="99"/>
      <c r="E109" s="99"/>
      <c r="F109" s="99"/>
      <c r="G109" s="99"/>
      <c r="H109" s="113" t="s">
        <v>249</v>
      </c>
      <c r="I109" s="101" t="str">
        <f>((100/F113)*(I108*9))</f>
        <v>#DIV/0!</v>
      </c>
      <c r="J109" s="92" t="s">
        <v>250</v>
      </c>
      <c r="K109" s="93"/>
      <c r="L109" s="52" t="s">
        <v>251</v>
      </c>
    </row>
    <row r="110" ht="15.75" customHeight="1">
      <c r="D110" s="100"/>
      <c r="E110" s="100"/>
      <c r="F110" s="100"/>
      <c r="G110" s="100"/>
      <c r="H110" s="113" t="s">
        <v>252</v>
      </c>
      <c r="I110" s="102">
        <f>(J92)</f>
        <v>0</v>
      </c>
      <c r="J110" s="92" t="s">
        <v>252</v>
      </c>
      <c r="K110" s="93"/>
      <c r="L110" s="52" t="s">
        <v>253</v>
      </c>
    </row>
    <row r="111" ht="15.75" customHeight="1">
      <c r="D111" s="94" t="s">
        <v>254</v>
      </c>
      <c r="E111" s="95">
        <f>(K92)</f>
        <v>0</v>
      </c>
      <c r="F111" s="103">
        <f>(E111*4)</f>
        <v>0</v>
      </c>
      <c r="G111" s="95" t="str">
        <f>((100/F113)*F111)</f>
        <v>#DIV/0!</v>
      </c>
      <c r="H111" s="113" t="s">
        <v>255</v>
      </c>
      <c r="I111" s="98">
        <f>SUM(K79:K80)</f>
        <v>0</v>
      </c>
      <c r="J111" s="92" t="s">
        <v>256</v>
      </c>
      <c r="K111" s="93"/>
      <c r="L111" s="52" t="s">
        <v>257</v>
      </c>
    </row>
    <row r="112" ht="15.75" customHeight="1">
      <c r="D112" s="100"/>
      <c r="E112" s="100"/>
      <c r="F112" s="100"/>
      <c r="G112" s="100"/>
      <c r="H112" s="113" t="s">
        <v>258</v>
      </c>
      <c r="I112" s="98" t="str">
        <f>((100/F113)*(I111*4))</f>
        <v>#DIV/0!</v>
      </c>
      <c r="J112" s="92" t="s">
        <v>259</v>
      </c>
      <c r="K112" s="93"/>
      <c r="L112" s="52" t="s">
        <v>260</v>
      </c>
    </row>
    <row r="113" ht="15.75" customHeight="1">
      <c r="D113" s="249" t="s">
        <v>261</v>
      </c>
      <c r="E113" s="250"/>
      <c r="F113" s="105">
        <f t="shared" ref="F113:G113" si="32">SUM(F101:F112)</f>
        <v>0</v>
      </c>
      <c r="G113" s="106" t="str">
        <f t="shared" si="32"/>
        <v>#DIV/0!</v>
      </c>
      <c r="H113" s="113" t="s">
        <v>259</v>
      </c>
      <c r="I113" s="107">
        <f>L92</f>
        <v>0</v>
      </c>
      <c r="J113" s="92" t="s">
        <v>262</v>
      </c>
      <c r="K113" s="93"/>
      <c r="L113" s="52" t="s">
        <v>263</v>
      </c>
    </row>
    <row r="114" ht="15.75" customHeight="1">
      <c r="D114" s="251" t="s">
        <v>264</v>
      </c>
      <c r="E114" s="109"/>
      <c r="F114" s="252"/>
      <c r="G114" s="253"/>
      <c r="H114" s="253"/>
      <c r="I114" s="29"/>
      <c r="J114" s="92" t="s">
        <v>307</v>
      </c>
      <c r="K114" s="93"/>
      <c r="L114" s="52" t="s">
        <v>308</v>
      </c>
    </row>
    <row r="115" ht="15.75" customHeight="1"/>
    <row r="116" ht="15.75" customHeight="1">
      <c r="B116" s="90" t="s">
        <v>319</v>
      </c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</row>
    <row r="117" ht="15.75" customHeight="1"/>
    <row r="118" ht="15.75" customHeight="1">
      <c r="B118" s="415" t="s">
        <v>95</v>
      </c>
      <c r="C118" s="63" t="s">
        <v>96</v>
      </c>
      <c r="D118" s="63" t="s">
        <v>320</v>
      </c>
      <c r="E118" s="63" t="s">
        <v>321</v>
      </c>
      <c r="F118" s="63" t="s">
        <v>322</v>
      </c>
      <c r="G118" s="63" t="s">
        <v>323</v>
      </c>
      <c r="H118" s="63" t="s">
        <v>324</v>
      </c>
      <c r="I118" s="63" t="s">
        <v>325</v>
      </c>
    </row>
    <row r="119" ht="15.75" customHeight="1">
      <c r="B119" s="411" t="s">
        <v>126</v>
      </c>
      <c r="C119" s="161" t="str">
        <f t="shared" ref="C119:C160" si="33">C50</f>
        <v/>
      </c>
      <c r="D119" s="66"/>
      <c r="E119" s="66"/>
      <c r="F119" s="66"/>
      <c r="G119" s="66"/>
      <c r="H119" s="66"/>
      <c r="I119" s="66"/>
      <c r="K119" s="190" t="s">
        <v>826</v>
      </c>
      <c r="L119" s="60"/>
    </row>
    <row r="120" ht="15.75" customHeight="1">
      <c r="B120" s="411" t="s">
        <v>127</v>
      </c>
      <c r="C120" s="161" t="str">
        <f t="shared" si="33"/>
        <v/>
      </c>
      <c r="D120" s="66"/>
      <c r="E120" s="66"/>
      <c r="F120" s="66"/>
      <c r="G120" s="66"/>
      <c r="H120" s="66"/>
      <c r="I120" s="66"/>
      <c r="K120" s="191" t="s">
        <v>827</v>
      </c>
      <c r="L120" s="60"/>
    </row>
    <row r="121" ht="15.75" customHeight="1">
      <c r="B121" s="411" t="s">
        <v>128</v>
      </c>
      <c r="C121" s="161" t="str">
        <f t="shared" si="33"/>
        <v/>
      </c>
      <c r="D121" s="66"/>
      <c r="E121" s="66"/>
      <c r="F121" s="66"/>
      <c r="G121" s="66"/>
      <c r="H121" s="66"/>
      <c r="I121" s="66"/>
      <c r="K121" s="191" t="s">
        <v>828</v>
      </c>
      <c r="L121" s="60"/>
    </row>
    <row r="122" ht="15.75" customHeight="1">
      <c r="B122" s="411" t="s">
        <v>129</v>
      </c>
      <c r="C122" s="161" t="str">
        <f t="shared" si="33"/>
        <v/>
      </c>
      <c r="D122" s="66"/>
      <c r="E122" s="66"/>
      <c r="F122" s="66"/>
      <c r="G122" s="66"/>
      <c r="H122" s="66"/>
      <c r="I122" s="66"/>
      <c r="K122" s="191" t="s">
        <v>829</v>
      </c>
      <c r="L122" s="60"/>
    </row>
    <row r="123" ht="15.75" customHeight="1">
      <c r="B123" s="412" t="s">
        <v>132</v>
      </c>
      <c r="C123" s="161" t="str">
        <f t="shared" si="33"/>
        <v/>
      </c>
      <c r="D123" s="66"/>
      <c r="E123" s="66"/>
      <c r="F123" s="66"/>
      <c r="G123" s="66"/>
      <c r="H123" s="66"/>
      <c r="I123" s="66"/>
      <c r="K123" s="191" t="s">
        <v>830</v>
      </c>
      <c r="L123" s="60"/>
    </row>
    <row r="124" ht="15.75" customHeight="1">
      <c r="B124" s="413" t="s">
        <v>138</v>
      </c>
      <c r="C124" s="161" t="str">
        <f t="shared" si="33"/>
        <v/>
      </c>
      <c r="D124" s="66"/>
      <c r="E124" s="66"/>
      <c r="F124" s="66"/>
      <c r="G124" s="66"/>
      <c r="H124" s="66"/>
      <c r="I124" s="66"/>
      <c r="K124" s="191" t="s">
        <v>831</v>
      </c>
      <c r="L124" s="60"/>
    </row>
    <row r="125" ht="15.75" customHeight="1">
      <c r="B125" s="414" t="s">
        <v>140</v>
      </c>
      <c r="C125" s="161" t="str">
        <f t="shared" si="33"/>
        <v/>
      </c>
      <c r="D125" s="66"/>
      <c r="E125" s="66"/>
      <c r="F125" s="66"/>
      <c r="G125" s="66"/>
      <c r="H125" s="66"/>
      <c r="I125" s="66"/>
      <c r="K125" s="194"/>
      <c r="L125" s="194"/>
    </row>
    <row r="126" ht="15.75" customHeight="1">
      <c r="B126" s="411" t="s">
        <v>143</v>
      </c>
      <c r="C126" s="161" t="str">
        <f t="shared" si="33"/>
        <v/>
      </c>
      <c r="D126" s="66"/>
      <c r="E126" s="66"/>
      <c r="F126" s="66"/>
      <c r="G126" s="66"/>
      <c r="H126" s="66"/>
      <c r="I126" s="66"/>
      <c r="K126" s="194"/>
      <c r="L126" s="194"/>
    </row>
    <row r="127" ht="15.75" customHeight="1">
      <c r="B127" s="411" t="s">
        <v>146</v>
      </c>
      <c r="C127" s="161" t="str">
        <f t="shared" si="33"/>
        <v/>
      </c>
      <c r="D127" s="66"/>
      <c r="E127" s="66"/>
      <c r="F127" s="66"/>
      <c r="G127" s="66"/>
      <c r="H127" s="66"/>
      <c r="I127" s="66"/>
      <c r="K127" s="194"/>
      <c r="L127" s="194"/>
    </row>
    <row r="128" ht="15.75" customHeight="1">
      <c r="B128" s="411" t="s">
        <v>149</v>
      </c>
      <c r="C128" s="161" t="str">
        <f t="shared" si="33"/>
        <v/>
      </c>
      <c r="D128" s="66"/>
      <c r="E128" s="66"/>
      <c r="F128" s="66"/>
      <c r="G128" s="66"/>
      <c r="H128" s="66"/>
      <c r="I128" s="66"/>
      <c r="K128" s="194"/>
      <c r="L128" s="194"/>
    </row>
    <row r="129" ht="15.75" customHeight="1">
      <c r="B129" s="412" t="s">
        <v>150</v>
      </c>
      <c r="C129" s="161" t="str">
        <f t="shared" si="33"/>
        <v/>
      </c>
      <c r="D129" s="66"/>
      <c r="E129" s="66"/>
      <c r="F129" s="66"/>
      <c r="G129" s="66"/>
      <c r="H129" s="66"/>
      <c r="I129" s="66"/>
      <c r="K129" s="194"/>
      <c r="L129" s="194"/>
    </row>
    <row r="130" ht="15.75" customHeight="1">
      <c r="B130" s="413" t="s">
        <v>153</v>
      </c>
      <c r="C130" s="161" t="str">
        <f t="shared" si="33"/>
        <v/>
      </c>
      <c r="D130" s="66"/>
      <c r="E130" s="66"/>
      <c r="F130" s="66"/>
      <c r="G130" s="66"/>
      <c r="H130" s="66"/>
      <c r="I130" s="66"/>
      <c r="K130" s="194"/>
      <c r="L130" s="194"/>
    </row>
    <row r="131" ht="15.75" customHeight="1">
      <c r="B131" s="413" t="s">
        <v>155</v>
      </c>
      <c r="C131" s="161" t="str">
        <f t="shared" si="33"/>
        <v/>
      </c>
      <c r="D131" s="66"/>
      <c r="E131" s="66"/>
      <c r="F131" s="66"/>
      <c r="G131" s="66"/>
      <c r="H131" s="66"/>
      <c r="I131" s="66"/>
      <c r="K131" s="194"/>
      <c r="L131" s="194"/>
    </row>
    <row r="132" ht="15.75" customHeight="1">
      <c r="B132" s="413" t="s">
        <v>156</v>
      </c>
      <c r="C132" s="161" t="str">
        <f t="shared" si="33"/>
        <v/>
      </c>
      <c r="D132" s="66"/>
      <c r="E132" s="66"/>
      <c r="F132" s="66"/>
      <c r="G132" s="66"/>
      <c r="H132" s="66"/>
      <c r="I132" s="66"/>
      <c r="K132" s="194"/>
      <c r="L132" s="194"/>
    </row>
    <row r="133" ht="15.75" customHeight="1">
      <c r="B133" s="411" t="s">
        <v>159</v>
      </c>
      <c r="C133" s="161" t="str">
        <f t="shared" si="33"/>
        <v/>
      </c>
      <c r="D133" s="66"/>
      <c r="E133" s="66"/>
      <c r="F133" s="66"/>
      <c r="G133" s="66"/>
      <c r="H133" s="66"/>
      <c r="I133" s="66"/>
      <c r="K133" s="194"/>
      <c r="L133" s="194"/>
    </row>
    <row r="134" ht="15.75" customHeight="1">
      <c r="B134" s="411" t="s">
        <v>162</v>
      </c>
      <c r="C134" s="161" t="str">
        <f t="shared" si="33"/>
        <v/>
      </c>
      <c r="D134" s="66"/>
      <c r="E134" s="66"/>
      <c r="F134" s="66"/>
      <c r="G134" s="66"/>
      <c r="H134" s="66"/>
      <c r="I134" s="66"/>
      <c r="K134" s="194"/>
      <c r="L134" s="194"/>
    </row>
    <row r="135" ht="15.75" customHeight="1">
      <c r="B135" s="411" t="s">
        <v>165</v>
      </c>
      <c r="C135" s="161" t="str">
        <f t="shared" si="33"/>
        <v/>
      </c>
      <c r="D135" s="66"/>
      <c r="E135" s="66"/>
      <c r="F135" s="66"/>
      <c r="G135" s="66"/>
      <c r="H135" s="66"/>
      <c r="I135" s="66"/>
      <c r="K135" s="194"/>
      <c r="L135" s="194"/>
    </row>
    <row r="136" ht="15.75" customHeight="1">
      <c r="B136" s="413" t="s">
        <v>167</v>
      </c>
      <c r="C136" s="161" t="str">
        <f t="shared" si="33"/>
        <v/>
      </c>
      <c r="D136" s="66"/>
      <c r="E136" s="66"/>
      <c r="F136" s="66"/>
      <c r="G136" s="66"/>
      <c r="H136" s="66"/>
      <c r="I136" s="66"/>
      <c r="K136" s="194"/>
      <c r="L136" s="194"/>
    </row>
    <row r="137" ht="15.75" customHeight="1">
      <c r="B137" s="413" t="s">
        <v>169</v>
      </c>
      <c r="C137" s="161" t="str">
        <f t="shared" si="33"/>
        <v/>
      </c>
      <c r="D137" s="66"/>
      <c r="E137" s="66"/>
      <c r="F137" s="66"/>
      <c r="G137" s="66"/>
      <c r="H137" s="66"/>
      <c r="I137" s="66"/>
      <c r="K137" s="194"/>
      <c r="L137" s="194"/>
    </row>
    <row r="138" ht="15.75" customHeight="1">
      <c r="B138" s="413" t="s">
        <v>171</v>
      </c>
      <c r="C138" s="161" t="str">
        <f t="shared" si="33"/>
        <v/>
      </c>
      <c r="D138" s="66"/>
      <c r="E138" s="66"/>
      <c r="F138" s="66"/>
      <c r="G138" s="66"/>
      <c r="H138" s="66"/>
      <c r="I138" s="66"/>
      <c r="K138" s="194"/>
      <c r="L138" s="194"/>
    </row>
    <row r="139" ht="15.75" customHeight="1">
      <c r="B139" s="412" t="s">
        <v>173</v>
      </c>
      <c r="C139" s="161" t="str">
        <f t="shared" si="33"/>
        <v/>
      </c>
      <c r="D139" s="66"/>
      <c r="E139" s="66"/>
      <c r="F139" s="66"/>
      <c r="G139" s="66"/>
      <c r="H139" s="66"/>
      <c r="I139" s="66"/>
      <c r="K139" s="194"/>
      <c r="L139" s="194"/>
    </row>
    <row r="140" ht="15.75" customHeight="1">
      <c r="B140" s="412" t="s">
        <v>174</v>
      </c>
      <c r="C140" s="161" t="str">
        <f t="shared" si="33"/>
        <v/>
      </c>
      <c r="D140" s="66"/>
      <c r="E140" s="66"/>
      <c r="F140" s="66"/>
      <c r="G140" s="66"/>
      <c r="H140" s="66"/>
      <c r="I140" s="66"/>
    </row>
    <row r="141" ht="15.75" customHeight="1">
      <c r="B141" s="412" t="s">
        <v>175</v>
      </c>
      <c r="C141" s="161" t="str">
        <f t="shared" si="33"/>
        <v/>
      </c>
      <c r="D141" s="66"/>
      <c r="E141" s="66"/>
      <c r="F141" s="66"/>
      <c r="G141" s="66"/>
      <c r="H141" s="66"/>
      <c r="I141" s="66"/>
    </row>
    <row r="142" ht="15.75" customHeight="1">
      <c r="B142" s="413" t="s">
        <v>176</v>
      </c>
      <c r="C142" s="161" t="str">
        <f t="shared" si="33"/>
        <v/>
      </c>
      <c r="D142" s="66"/>
      <c r="E142" s="66"/>
      <c r="F142" s="66"/>
      <c r="G142" s="66"/>
      <c r="H142" s="66"/>
      <c r="I142" s="66"/>
    </row>
    <row r="143" ht="15.75" customHeight="1">
      <c r="B143" s="413" t="s">
        <v>177</v>
      </c>
      <c r="C143" s="161" t="str">
        <f t="shared" si="33"/>
        <v/>
      </c>
      <c r="D143" s="66"/>
      <c r="E143" s="66"/>
      <c r="F143" s="66"/>
      <c r="G143" s="66"/>
      <c r="H143" s="66"/>
      <c r="I143" s="66"/>
    </row>
    <row r="144" ht="15.75" customHeight="1">
      <c r="B144" s="413" t="s">
        <v>179</v>
      </c>
      <c r="C144" s="161" t="str">
        <f t="shared" si="33"/>
        <v/>
      </c>
      <c r="D144" s="66"/>
      <c r="E144" s="66"/>
      <c r="F144" s="66"/>
      <c r="G144" s="66"/>
      <c r="H144" s="66"/>
      <c r="I144" s="66"/>
    </row>
    <row r="145" ht="15.75" customHeight="1">
      <c r="B145" s="413" t="s">
        <v>181</v>
      </c>
      <c r="C145" s="161" t="str">
        <f t="shared" si="33"/>
        <v/>
      </c>
      <c r="D145" s="66"/>
      <c r="E145" s="66"/>
      <c r="F145" s="66"/>
      <c r="G145" s="66"/>
      <c r="H145" s="66"/>
      <c r="I145" s="66"/>
    </row>
    <row r="146" ht="15.75" customHeight="1">
      <c r="B146" s="411" t="s">
        <v>184</v>
      </c>
      <c r="C146" s="161" t="str">
        <f t="shared" si="33"/>
        <v/>
      </c>
      <c r="D146" s="66"/>
      <c r="E146" s="66"/>
      <c r="F146" s="66"/>
      <c r="G146" s="66"/>
      <c r="H146" s="66"/>
      <c r="I146" s="66"/>
    </row>
    <row r="147" ht="15.75" customHeight="1">
      <c r="B147" s="411" t="s">
        <v>186</v>
      </c>
      <c r="C147" s="161" t="str">
        <f t="shared" si="33"/>
        <v/>
      </c>
      <c r="D147" s="66"/>
      <c r="E147" s="66"/>
      <c r="F147" s="66"/>
      <c r="G147" s="66"/>
      <c r="H147" s="66"/>
      <c r="I147" s="66"/>
    </row>
    <row r="148" ht="15.75" customHeight="1">
      <c r="B148" s="413" t="s">
        <v>189</v>
      </c>
      <c r="C148" s="161" t="str">
        <f t="shared" si="33"/>
        <v/>
      </c>
      <c r="D148" s="66"/>
      <c r="E148" s="66"/>
      <c r="F148" s="66"/>
      <c r="G148" s="66"/>
      <c r="H148" s="66"/>
      <c r="I148" s="66"/>
    </row>
    <row r="149" ht="15.75" customHeight="1">
      <c r="B149" s="413" t="s">
        <v>210</v>
      </c>
      <c r="C149" s="161" t="str">
        <f t="shared" si="33"/>
        <v/>
      </c>
      <c r="D149" s="66"/>
      <c r="E149" s="66"/>
      <c r="F149" s="66"/>
      <c r="G149" s="66"/>
      <c r="H149" s="66"/>
      <c r="I149" s="66"/>
    </row>
    <row r="150" ht="15.75" customHeight="1">
      <c r="B150" s="411" t="s">
        <v>195</v>
      </c>
      <c r="C150" s="161" t="str">
        <f t="shared" si="33"/>
        <v/>
      </c>
      <c r="D150" s="66"/>
      <c r="E150" s="66"/>
      <c r="F150" s="66"/>
      <c r="G150" s="66"/>
      <c r="H150" s="66"/>
      <c r="I150" s="66"/>
    </row>
    <row r="151" ht="15.75" customHeight="1">
      <c r="B151" s="411" t="s">
        <v>196</v>
      </c>
      <c r="C151" s="161" t="str">
        <f t="shared" si="33"/>
        <v/>
      </c>
      <c r="D151" s="66"/>
      <c r="E151" s="66"/>
      <c r="F151" s="66"/>
      <c r="G151" s="66"/>
      <c r="H151" s="66"/>
      <c r="I151" s="66"/>
    </row>
    <row r="152" ht="15.75" customHeight="1">
      <c r="B152" s="411" t="s">
        <v>197</v>
      </c>
      <c r="C152" s="161" t="str">
        <f t="shared" si="33"/>
        <v/>
      </c>
      <c r="D152" s="66"/>
      <c r="E152" s="66"/>
      <c r="F152" s="66"/>
      <c r="G152" s="66"/>
      <c r="H152" s="66"/>
      <c r="I152" s="66"/>
    </row>
    <row r="153" ht="15.75" customHeight="1">
      <c r="B153" s="411" t="s">
        <v>198</v>
      </c>
      <c r="C153" s="161" t="str">
        <f t="shared" si="33"/>
        <v/>
      </c>
      <c r="D153" s="66"/>
      <c r="E153" s="66"/>
      <c r="F153" s="66"/>
      <c r="G153" s="66"/>
      <c r="H153" s="66"/>
      <c r="I153" s="66"/>
    </row>
    <row r="154" ht="15.75" customHeight="1">
      <c r="B154" s="411" t="s">
        <v>200</v>
      </c>
      <c r="C154" s="161" t="str">
        <f t="shared" si="33"/>
        <v/>
      </c>
      <c r="D154" s="66"/>
      <c r="E154" s="66"/>
      <c r="F154" s="66"/>
      <c r="G154" s="66"/>
      <c r="H154" s="66"/>
      <c r="I154" s="66"/>
    </row>
    <row r="155" ht="15.75" customHeight="1">
      <c r="B155" s="413" t="s">
        <v>203</v>
      </c>
      <c r="C155" s="161" t="str">
        <f t="shared" si="33"/>
        <v/>
      </c>
      <c r="D155" s="66"/>
      <c r="E155" s="66"/>
      <c r="F155" s="66"/>
      <c r="G155" s="66"/>
      <c r="H155" s="66"/>
      <c r="I155" s="66"/>
    </row>
    <row r="156" ht="15.75" customHeight="1">
      <c r="B156" s="413" t="s">
        <v>204</v>
      </c>
      <c r="C156" s="161" t="str">
        <f t="shared" si="33"/>
        <v/>
      </c>
      <c r="D156" s="66"/>
      <c r="E156" s="66"/>
      <c r="F156" s="66"/>
      <c r="G156" s="66"/>
      <c r="H156" s="66"/>
      <c r="I156" s="66"/>
    </row>
    <row r="157" ht="15.75" customHeight="1">
      <c r="B157" s="413" t="s">
        <v>205</v>
      </c>
      <c r="C157" s="161" t="str">
        <f t="shared" si="33"/>
        <v/>
      </c>
      <c r="D157" s="66"/>
      <c r="E157" s="66"/>
      <c r="F157" s="66"/>
      <c r="G157" s="66"/>
      <c r="H157" s="66"/>
      <c r="I157" s="66"/>
    </row>
    <row r="158" ht="15.75" customHeight="1">
      <c r="B158" s="413" t="s">
        <v>206</v>
      </c>
      <c r="C158" s="161" t="str">
        <f t="shared" si="33"/>
        <v/>
      </c>
      <c r="D158" s="66"/>
      <c r="E158" s="66"/>
      <c r="F158" s="66"/>
      <c r="G158" s="66"/>
      <c r="H158" s="66"/>
      <c r="I158" s="66"/>
    </row>
    <row r="159" ht="15.75" customHeight="1">
      <c r="B159" s="162" t="s">
        <v>442</v>
      </c>
      <c r="C159" s="161" t="str">
        <f t="shared" si="33"/>
        <v/>
      </c>
      <c r="D159" s="66"/>
      <c r="E159" s="66"/>
      <c r="F159" s="66"/>
      <c r="G159" s="66"/>
      <c r="H159" s="66"/>
      <c r="I159" s="66"/>
    </row>
    <row r="160" ht="15.75" customHeight="1">
      <c r="B160" s="162" t="s">
        <v>825</v>
      </c>
      <c r="C160" s="161" t="str">
        <f t="shared" si="33"/>
        <v/>
      </c>
      <c r="D160" s="66"/>
      <c r="E160" s="66"/>
      <c r="F160" s="66"/>
      <c r="G160" s="66"/>
      <c r="H160" s="66"/>
      <c r="I160" s="66"/>
    </row>
    <row r="161" ht="15.75" customHeight="1"/>
    <row r="162" ht="15.75" customHeight="1">
      <c r="B162" s="90" t="s">
        <v>335</v>
      </c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</row>
    <row r="163" ht="15.75" customHeight="1"/>
    <row r="164" ht="15.75" customHeight="1">
      <c r="C164" s="62" t="s">
        <v>336</v>
      </c>
      <c r="D164" s="21"/>
      <c r="E164" s="62" t="s">
        <v>337</v>
      </c>
      <c r="F164" s="21"/>
      <c r="G164" s="62" t="s">
        <v>338</v>
      </c>
      <c r="H164" s="21"/>
      <c r="I164" s="62" t="s">
        <v>339</v>
      </c>
      <c r="J164" s="21"/>
      <c r="K164" s="62" t="s">
        <v>340</v>
      </c>
      <c r="L164" s="21"/>
      <c r="M164" s="62" t="s">
        <v>341</v>
      </c>
      <c r="N164" s="21"/>
    </row>
    <row r="165" ht="15.75" customHeight="1">
      <c r="C165" s="192"/>
      <c r="D165" s="193"/>
      <c r="E165" s="192"/>
      <c r="F165" s="193"/>
      <c r="G165" s="192"/>
      <c r="H165" s="193"/>
      <c r="I165" s="192"/>
      <c r="J165" s="193"/>
      <c r="K165" s="192"/>
      <c r="L165" s="193"/>
      <c r="M165" s="192"/>
      <c r="N165" s="193"/>
      <c r="O165" s="194"/>
    </row>
    <row r="166" ht="15.75" customHeight="1">
      <c r="C166" s="195"/>
      <c r="D166" s="196"/>
      <c r="E166" s="195"/>
      <c r="F166" s="196"/>
      <c r="G166" s="195"/>
      <c r="H166" s="196"/>
      <c r="I166" s="195"/>
      <c r="J166" s="196"/>
      <c r="K166" s="195"/>
      <c r="L166" s="196"/>
      <c r="M166" s="195"/>
      <c r="N166" s="196"/>
      <c r="O166" s="72"/>
    </row>
    <row r="167" ht="15.75" customHeight="1">
      <c r="C167" s="195"/>
      <c r="D167" s="196"/>
      <c r="E167" s="195"/>
      <c r="F167" s="196"/>
      <c r="G167" s="195"/>
      <c r="H167" s="196"/>
      <c r="I167" s="195"/>
      <c r="J167" s="196"/>
      <c r="K167" s="195"/>
      <c r="L167" s="196"/>
      <c r="M167" s="195"/>
      <c r="N167" s="196"/>
      <c r="O167" s="72"/>
    </row>
    <row r="168" ht="15.75" customHeight="1">
      <c r="C168" s="195"/>
      <c r="D168" s="196"/>
      <c r="E168" s="195"/>
      <c r="F168" s="196"/>
      <c r="G168" s="195"/>
      <c r="H168" s="196"/>
      <c r="I168" s="195"/>
      <c r="J168" s="196"/>
      <c r="K168" s="195"/>
      <c r="L168" s="196"/>
      <c r="M168" s="195"/>
      <c r="N168" s="196"/>
      <c r="O168" s="72"/>
    </row>
    <row r="169" ht="15.75" customHeight="1">
      <c r="C169" s="195"/>
      <c r="D169" s="196"/>
      <c r="E169" s="195"/>
      <c r="F169" s="196"/>
      <c r="G169" s="195"/>
      <c r="H169" s="196"/>
      <c r="I169" s="195"/>
      <c r="J169" s="196"/>
      <c r="K169" s="195"/>
      <c r="L169" s="196"/>
      <c r="M169" s="195"/>
      <c r="N169" s="196"/>
      <c r="O169" s="72"/>
    </row>
    <row r="170" ht="15.75" customHeight="1">
      <c r="C170" s="195"/>
      <c r="D170" s="196"/>
      <c r="E170" s="195"/>
      <c r="F170" s="196"/>
      <c r="G170" s="195"/>
      <c r="H170" s="196"/>
      <c r="I170" s="195"/>
      <c r="J170" s="196"/>
      <c r="K170" s="195"/>
      <c r="L170" s="196"/>
      <c r="M170" s="195"/>
      <c r="N170" s="196"/>
      <c r="O170" s="72"/>
    </row>
    <row r="171" ht="15.75" customHeight="1">
      <c r="C171" s="195"/>
      <c r="D171" s="196"/>
      <c r="E171" s="195"/>
      <c r="F171" s="196"/>
      <c r="G171" s="195"/>
      <c r="H171" s="196"/>
      <c r="I171" s="195"/>
      <c r="J171" s="196"/>
      <c r="K171" s="195"/>
      <c r="L171" s="196"/>
      <c r="M171" s="195"/>
      <c r="N171" s="196"/>
    </row>
    <row r="172" ht="15.75" customHeight="1">
      <c r="C172" s="195"/>
      <c r="D172" s="196"/>
      <c r="E172" s="195"/>
      <c r="F172" s="196"/>
      <c r="G172" s="195"/>
      <c r="H172" s="196"/>
      <c r="I172" s="195"/>
      <c r="J172" s="196"/>
      <c r="K172" s="195"/>
      <c r="L172" s="196"/>
      <c r="M172" s="195"/>
      <c r="N172" s="196"/>
    </row>
    <row r="173" ht="15.75" customHeight="1">
      <c r="C173" s="195"/>
      <c r="D173" s="196"/>
      <c r="E173" s="195"/>
      <c r="F173" s="196"/>
      <c r="G173" s="195"/>
      <c r="H173" s="196"/>
      <c r="I173" s="195"/>
      <c r="J173" s="196"/>
      <c r="K173" s="195"/>
      <c r="L173" s="196"/>
      <c r="M173" s="195"/>
      <c r="N173" s="196"/>
    </row>
    <row r="174" ht="15.75" customHeight="1">
      <c r="C174" s="195"/>
      <c r="D174" s="196"/>
      <c r="E174" s="195"/>
      <c r="F174" s="196"/>
      <c r="G174" s="195"/>
      <c r="H174" s="196"/>
      <c r="I174" s="195"/>
      <c r="J174" s="196"/>
      <c r="K174" s="195"/>
      <c r="L174" s="196"/>
      <c r="M174" s="195"/>
      <c r="N174" s="196"/>
    </row>
    <row r="175" ht="15.75" customHeight="1">
      <c r="C175" s="195"/>
      <c r="D175" s="196"/>
      <c r="E175" s="195"/>
      <c r="F175" s="196"/>
      <c r="G175" s="195"/>
      <c r="H175" s="196"/>
      <c r="I175" s="195"/>
      <c r="J175" s="196"/>
      <c r="K175" s="195"/>
      <c r="L175" s="196"/>
      <c r="M175" s="195"/>
      <c r="N175" s="196"/>
    </row>
    <row r="176" ht="15.75" customHeight="1">
      <c r="C176" s="195"/>
      <c r="D176" s="196"/>
      <c r="E176" s="195"/>
      <c r="F176" s="196"/>
      <c r="G176" s="195"/>
      <c r="H176" s="196"/>
      <c r="I176" s="195"/>
      <c r="J176" s="196"/>
      <c r="K176" s="195"/>
      <c r="L176" s="196"/>
      <c r="M176" s="195"/>
      <c r="N176" s="196"/>
    </row>
    <row r="177" ht="15.75" customHeight="1">
      <c r="C177" s="195"/>
      <c r="D177" s="196"/>
      <c r="E177" s="195"/>
      <c r="F177" s="196"/>
      <c r="G177" s="195"/>
      <c r="H177" s="196"/>
      <c r="I177" s="195"/>
      <c r="J177" s="196"/>
      <c r="K177" s="195"/>
      <c r="L177" s="196"/>
      <c r="M177" s="195"/>
      <c r="N177" s="196"/>
    </row>
    <row r="178" ht="15.75" customHeight="1">
      <c r="C178" s="195"/>
      <c r="D178" s="196"/>
      <c r="E178" s="195"/>
      <c r="F178" s="196"/>
      <c r="G178" s="195"/>
      <c r="H178" s="196"/>
      <c r="I178" s="195"/>
      <c r="J178" s="196"/>
      <c r="K178" s="195"/>
      <c r="L178" s="196"/>
      <c r="M178" s="195"/>
      <c r="N178" s="196"/>
    </row>
    <row r="179" ht="15.75" customHeight="1">
      <c r="C179" s="195"/>
      <c r="D179" s="196"/>
      <c r="E179" s="195"/>
      <c r="F179" s="196"/>
      <c r="G179" s="195"/>
      <c r="H179" s="196"/>
      <c r="I179" s="195"/>
      <c r="J179" s="196"/>
      <c r="K179" s="195"/>
      <c r="L179" s="196"/>
      <c r="M179" s="195"/>
      <c r="N179" s="196"/>
    </row>
    <row r="180" ht="15.75" customHeight="1">
      <c r="C180" s="195"/>
      <c r="D180" s="196"/>
      <c r="E180" s="195"/>
      <c r="F180" s="196"/>
      <c r="G180" s="195"/>
      <c r="H180" s="196"/>
      <c r="I180" s="195"/>
      <c r="J180" s="196"/>
      <c r="K180" s="195"/>
      <c r="L180" s="196"/>
      <c r="M180" s="195"/>
      <c r="N180" s="196"/>
    </row>
    <row r="181" ht="15.75" customHeight="1">
      <c r="C181" s="195"/>
      <c r="D181" s="196"/>
      <c r="E181" s="195"/>
      <c r="F181" s="196"/>
      <c r="G181" s="195"/>
      <c r="H181" s="196"/>
      <c r="I181" s="195"/>
      <c r="J181" s="196"/>
      <c r="K181" s="195"/>
      <c r="L181" s="196"/>
      <c r="M181" s="195"/>
      <c r="N181" s="196"/>
    </row>
    <row r="182" ht="15.75" customHeight="1">
      <c r="C182" s="195"/>
      <c r="D182" s="196"/>
      <c r="E182" s="195"/>
      <c r="F182" s="196"/>
      <c r="G182" s="195"/>
      <c r="H182" s="196"/>
      <c r="I182" s="195"/>
      <c r="J182" s="196"/>
      <c r="K182" s="195"/>
      <c r="L182" s="196"/>
      <c r="M182" s="195"/>
      <c r="N182" s="196"/>
    </row>
    <row r="183" ht="15.75" customHeight="1">
      <c r="C183" s="195"/>
      <c r="D183" s="196"/>
      <c r="E183" s="195"/>
      <c r="F183" s="196"/>
      <c r="G183" s="195"/>
      <c r="H183" s="196"/>
      <c r="I183" s="195"/>
      <c r="J183" s="196"/>
      <c r="K183" s="195"/>
      <c r="L183" s="196"/>
      <c r="M183" s="195"/>
      <c r="N183" s="196"/>
    </row>
    <row r="184" ht="15.75" customHeight="1">
      <c r="C184" s="195"/>
      <c r="D184" s="196"/>
      <c r="E184" s="195"/>
      <c r="F184" s="196"/>
      <c r="G184" s="195"/>
      <c r="H184" s="196"/>
      <c r="I184" s="195"/>
      <c r="J184" s="196"/>
      <c r="K184" s="195"/>
      <c r="L184" s="196"/>
      <c r="M184" s="195"/>
      <c r="N184" s="196"/>
    </row>
    <row r="185" ht="15.75" customHeight="1">
      <c r="C185" s="195"/>
      <c r="D185" s="196"/>
      <c r="E185" s="195"/>
      <c r="F185" s="196"/>
      <c r="G185" s="195"/>
      <c r="H185" s="196"/>
      <c r="I185" s="195"/>
      <c r="J185" s="196"/>
      <c r="K185" s="195"/>
      <c r="L185" s="196"/>
      <c r="M185" s="195"/>
      <c r="N185" s="196"/>
    </row>
    <row r="186" ht="15.75" customHeight="1">
      <c r="C186" s="195"/>
      <c r="D186" s="196"/>
      <c r="E186" s="195"/>
      <c r="F186" s="196"/>
      <c r="G186" s="195"/>
      <c r="H186" s="196"/>
      <c r="I186" s="195"/>
      <c r="J186" s="196"/>
      <c r="K186" s="195"/>
      <c r="L186" s="196"/>
      <c r="M186" s="195"/>
      <c r="N186" s="196"/>
    </row>
    <row r="187" ht="15.75" customHeight="1">
      <c r="C187" s="195"/>
      <c r="D187" s="196"/>
      <c r="E187" s="195"/>
      <c r="F187" s="196"/>
      <c r="G187" s="195"/>
      <c r="H187" s="196"/>
      <c r="I187" s="195"/>
      <c r="J187" s="196"/>
      <c r="K187" s="195"/>
      <c r="L187" s="196"/>
      <c r="M187" s="195"/>
      <c r="N187" s="196"/>
    </row>
    <row r="188" ht="15.75" customHeight="1">
      <c r="C188" s="195"/>
      <c r="D188" s="196"/>
      <c r="E188" s="195"/>
      <c r="F188" s="196"/>
      <c r="G188" s="195"/>
      <c r="H188" s="196"/>
      <c r="I188" s="195"/>
      <c r="J188" s="196"/>
      <c r="K188" s="195"/>
      <c r="L188" s="196"/>
      <c r="M188" s="195"/>
      <c r="N188" s="196"/>
    </row>
    <row r="189" ht="15.75" customHeight="1">
      <c r="C189" s="195"/>
      <c r="D189" s="196"/>
      <c r="E189" s="195"/>
      <c r="F189" s="196"/>
      <c r="G189" s="195"/>
      <c r="H189" s="196"/>
      <c r="I189" s="195"/>
      <c r="J189" s="196"/>
      <c r="K189" s="195"/>
      <c r="L189" s="196"/>
      <c r="M189" s="195"/>
      <c r="N189" s="196"/>
    </row>
    <row r="190" ht="15.75" customHeight="1">
      <c r="C190" s="197"/>
      <c r="D190" s="198"/>
      <c r="E190" s="197"/>
      <c r="F190" s="198"/>
      <c r="G190" s="197"/>
      <c r="H190" s="198"/>
      <c r="I190" s="197"/>
      <c r="J190" s="198"/>
      <c r="K190" s="197"/>
      <c r="L190" s="198"/>
      <c r="M190" s="197"/>
      <c r="N190" s="198"/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B2:L2"/>
    <mergeCell ref="B97:M97"/>
    <mergeCell ref="D99:I99"/>
    <mergeCell ref="J99:L99"/>
    <mergeCell ref="N99:P99"/>
    <mergeCell ref="N100:O100"/>
    <mergeCell ref="D101:D103"/>
    <mergeCell ref="G101:G103"/>
    <mergeCell ref="E101:E103"/>
    <mergeCell ref="F101:F103"/>
    <mergeCell ref="D104:D110"/>
    <mergeCell ref="E104:E110"/>
    <mergeCell ref="F104:F110"/>
    <mergeCell ref="G104:G110"/>
    <mergeCell ref="D111:D112"/>
    <mergeCell ref="G111:G112"/>
    <mergeCell ref="E111:E112"/>
    <mergeCell ref="F111:F112"/>
    <mergeCell ref="B116:Q116"/>
    <mergeCell ref="K119:L119"/>
    <mergeCell ref="K120:L120"/>
    <mergeCell ref="K121:L121"/>
    <mergeCell ref="K122:L122"/>
    <mergeCell ref="K164:L164"/>
    <mergeCell ref="M164:N164"/>
    <mergeCell ref="C165:D190"/>
    <mergeCell ref="E165:F190"/>
    <mergeCell ref="G165:H190"/>
    <mergeCell ref="I165:J190"/>
    <mergeCell ref="K165:L190"/>
    <mergeCell ref="M165:N190"/>
    <mergeCell ref="O165:P165"/>
    <mergeCell ref="O166:P166"/>
    <mergeCell ref="O167:P167"/>
    <mergeCell ref="O168:P168"/>
    <mergeCell ref="O169:P169"/>
    <mergeCell ref="O170:P170"/>
    <mergeCell ref="K123:L123"/>
    <mergeCell ref="K124:L124"/>
    <mergeCell ref="B162:Q162"/>
    <mergeCell ref="C164:D164"/>
    <mergeCell ref="E164:F164"/>
    <mergeCell ref="G164:H164"/>
    <mergeCell ref="I164:J16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3.86"/>
    <col customWidth="1" min="3" max="4" width="10.71"/>
    <col customWidth="1" min="5" max="5" width="12.57"/>
    <col customWidth="1" min="6" max="8" width="10.71"/>
    <col customWidth="1" min="9" max="9" width="16.86"/>
    <col customWidth="1" min="10" max="10" width="13.0"/>
    <col customWidth="1" min="11" max="11" width="15.86"/>
    <col customWidth="1" min="12" max="12" width="13.43"/>
    <col customWidth="1" min="13" max="13" width="13.86"/>
    <col customWidth="1" min="14" max="15" width="10.71"/>
    <col customWidth="1" min="16" max="16" width="12.86"/>
    <col customWidth="1" min="17" max="18" width="10.71"/>
  </cols>
  <sheetData>
    <row r="2">
      <c r="B2" s="258" t="s">
        <v>832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201"/>
      <c r="N2" s="201"/>
      <c r="O2" s="201"/>
      <c r="P2" s="201"/>
      <c r="Q2" s="201"/>
      <c r="R2" s="201"/>
    </row>
    <row r="4">
      <c r="B4" s="19" t="s">
        <v>833</v>
      </c>
      <c r="C4" s="20"/>
      <c r="D4" s="20"/>
      <c r="E4" s="20"/>
      <c r="F4" s="21"/>
      <c r="H4" s="19" t="s">
        <v>834</v>
      </c>
      <c r="I4" s="20"/>
      <c r="J4" s="20"/>
      <c r="K4" s="20"/>
      <c r="L4" s="21"/>
    </row>
    <row r="5">
      <c r="B5" s="416" t="s">
        <v>32</v>
      </c>
      <c r="C5" s="21"/>
      <c r="E5" s="417" t="s">
        <v>33</v>
      </c>
      <c r="F5" s="21"/>
      <c r="H5" s="416" t="s">
        <v>32</v>
      </c>
      <c r="I5" s="20"/>
      <c r="J5" s="418"/>
      <c r="K5" s="419" t="s">
        <v>33</v>
      </c>
      <c r="L5" s="21"/>
    </row>
    <row r="6">
      <c r="B6" s="113" t="s">
        <v>835</v>
      </c>
      <c r="C6" s="32" t="s">
        <v>836</v>
      </c>
      <c r="D6" s="420"/>
      <c r="E6" s="421" t="s">
        <v>835</v>
      </c>
      <c r="F6" s="113" t="s">
        <v>836</v>
      </c>
      <c r="H6" s="113" t="s">
        <v>835</v>
      </c>
      <c r="I6" s="32" t="s">
        <v>836</v>
      </c>
      <c r="J6" s="420"/>
      <c r="K6" s="421" t="s">
        <v>835</v>
      </c>
      <c r="L6" s="113" t="s">
        <v>836</v>
      </c>
    </row>
    <row r="7">
      <c r="B7" s="52" t="s">
        <v>274</v>
      </c>
      <c r="C7" s="380"/>
      <c r="D7" s="420"/>
      <c r="E7" s="400" t="s">
        <v>274</v>
      </c>
      <c r="F7" s="64"/>
      <c r="H7" s="52" t="s">
        <v>837</v>
      </c>
      <c r="I7" s="380"/>
      <c r="J7" s="420"/>
      <c r="K7" s="400" t="s">
        <v>838</v>
      </c>
      <c r="L7" s="64"/>
    </row>
    <row r="8">
      <c r="B8" s="52" t="s">
        <v>837</v>
      </c>
      <c r="C8" s="380"/>
      <c r="D8" s="420"/>
      <c r="E8" s="400" t="s">
        <v>838</v>
      </c>
      <c r="F8" s="64"/>
      <c r="H8" s="52" t="s">
        <v>839</v>
      </c>
      <c r="I8" s="380"/>
      <c r="J8" s="420"/>
      <c r="K8" s="400" t="s">
        <v>840</v>
      </c>
      <c r="L8" s="64"/>
    </row>
    <row r="9">
      <c r="B9" s="52" t="s">
        <v>839</v>
      </c>
      <c r="C9" s="380"/>
      <c r="D9" s="420"/>
      <c r="E9" s="400" t="s">
        <v>840</v>
      </c>
      <c r="F9" s="64"/>
      <c r="H9" s="52" t="s">
        <v>841</v>
      </c>
      <c r="I9" s="380"/>
      <c r="J9" s="420"/>
      <c r="K9" s="400" t="s">
        <v>841</v>
      </c>
      <c r="L9" s="64"/>
    </row>
    <row r="10">
      <c r="B10" s="52" t="s">
        <v>841</v>
      </c>
      <c r="C10" s="380"/>
      <c r="D10" s="420"/>
      <c r="E10" s="400" t="s">
        <v>841</v>
      </c>
      <c r="F10" s="64"/>
      <c r="H10" s="52" t="s">
        <v>842</v>
      </c>
      <c r="I10" s="232">
        <f>SUM(I7:I9)</f>
        <v>0</v>
      </c>
      <c r="J10" s="420"/>
      <c r="K10" s="400" t="s">
        <v>843</v>
      </c>
      <c r="L10" s="52">
        <f>SUM(L7:L9)</f>
        <v>0</v>
      </c>
    </row>
    <row r="11">
      <c r="B11" s="52" t="s">
        <v>774</v>
      </c>
      <c r="C11" s="232">
        <f>SUM(C8:C10)</f>
        <v>0</v>
      </c>
      <c r="D11" s="420"/>
      <c r="E11" s="400" t="s">
        <v>774</v>
      </c>
      <c r="F11" s="52">
        <f>SUM(F8:F10)</f>
        <v>0</v>
      </c>
      <c r="H11" s="52" t="s">
        <v>62</v>
      </c>
      <c r="I11" s="422">
        <f>(0.2568*I10)-(0.0004*(I10*I10))+5.5458</f>
        <v>5.5458</v>
      </c>
      <c r="J11" s="420"/>
      <c r="K11" s="400" t="s">
        <v>62</v>
      </c>
      <c r="L11" s="423">
        <f>(0.4446*L10)-(0.0012*(L10*L10))+6.7066</f>
        <v>6.7066</v>
      </c>
    </row>
    <row r="12">
      <c r="B12" s="52" t="s">
        <v>844</v>
      </c>
      <c r="C12" s="424">
        <f>1.10938-(0.0008267*C11)+(0.0000016*(C11*C11))-(0.0002574*C7)</f>
        <v>1.10938</v>
      </c>
      <c r="D12" s="420"/>
      <c r="E12" s="400" t="s">
        <v>844</v>
      </c>
      <c r="F12" s="425">
        <f>1.099421-(0.0009929*F11)+(0.0000023*(F11*F11))-(0.0001392*F7)</f>
        <v>1.099421</v>
      </c>
    </row>
    <row r="13">
      <c r="B13" s="52" t="s">
        <v>845</v>
      </c>
      <c r="C13" s="86">
        <f>((495/C12)-450)</f>
        <v>-3.804827922</v>
      </c>
      <c r="E13" s="52" t="s">
        <v>845</v>
      </c>
      <c r="F13" s="86">
        <f>((495/F12)-450)</f>
        <v>0.2369883784</v>
      </c>
    </row>
    <row r="15">
      <c r="B15" s="258" t="s">
        <v>846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201"/>
      <c r="N15" s="201"/>
      <c r="O15" s="201"/>
      <c r="P15" s="201"/>
      <c r="Q15" s="201"/>
      <c r="R15" s="201"/>
    </row>
    <row r="17">
      <c r="B17" s="19" t="s">
        <v>847</v>
      </c>
      <c r="C17" s="21"/>
      <c r="I17" s="19" t="s">
        <v>848</v>
      </c>
      <c r="J17" s="20"/>
      <c r="K17" s="20"/>
      <c r="L17" s="21"/>
    </row>
    <row r="18">
      <c r="B18" s="113" t="s">
        <v>835</v>
      </c>
      <c r="C18" s="113" t="s">
        <v>836</v>
      </c>
      <c r="I18" s="426" t="s">
        <v>32</v>
      </c>
      <c r="J18" s="205"/>
      <c r="K18" s="417" t="s">
        <v>33</v>
      </c>
      <c r="L18" s="21"/>
    </row>
    <row r="19">
      <c r="B19" s="52" t="s">
        <v>849</v>
      </c>
      <c r="C19" s="64"/>
      <c r="E19" s="16" t="s">
        <v>850</v>
      </c>
      <c r="F19" s="2"/>
      <c r="G19" s="2"/>
      <c r="I19" s="113" t="s">
        <v>851</v>
      </c>
      <c r="J19" s="113" t="s">
        <v>836</v>
      </c>
      <c r="K19" s="113" t="s">
        <v>851</v>
      </c>
      <c r="L19" s="113" t="s">
        <v>836</v>
      </c>
    </row>
    <row r="20">
      <c r="B20" s="52" t="s">
        <v>838</v>
      </c>
      <c r="C20" s="64"/>
      <c r="E20" s="3"/>
      <c r="I20" s="52" t="s">
        <v>19</v>
      </c>
      <c r="J20" s="64"/>
      <c r="K20" s="52" t="s">
        <v>19</v>
      </c>
      <c r="L20" s="64"/>
    </row>
    <row r="21" ht="15.75" customHeight="1">
      <c r="B21" s="52" t="s">
        <v>852</v>
      </c>
      <c r="C21" s="64"/>
      <c r="E21" s="3"/>
      <c r="I21" s="52" t="s">
        <v>20</v>
      </c>
      <c r="J21" s="64"/>
      <c r="K21" s="52" t="s">
        <v>20</v>
      </c>
      <c r="L21" s="64"/>
    </row>
    <row r="22" ht="15.75" customHeight="1">
      <c r="B22" s="52" t="s">
        <v>853</v>
      </c>
      <c r="C22" s="64"/>
      <c r="E22" s="3"/>
      <c r="I22" s="52" t="s">
        <v>22</v>
      </c>
      <c r="J22" s="64"/>
      <c r="K22" s="52" t="s">
        <v>22</v>
      </c>
      <c r="L22" s="64"/>
    </row>
    <row r="23" ht="15.75" customHeight="1">
      <c r="B23" s="52" t="s">
        <v>774</v>
      </c>
      <c r="C23" s="52">
        <f>SUM(C19:C22)</f>
        <v>0</v>
      </c>
      <c r="E23" s="3"/>
      <c r="I23" s="52" t="s">
        <v>854</v>
      </c>
      <c r="J23" s="64"/>
      <c r="K23" s="52" t="s">
        <v>854</v>
      </c>
      <c r="L23" s="64"/>
    </row>
    <row r="24" ht="15.75" customHeight="1">
      <c r="B24" s="52" t="s">
        <v>324</v>
      </c>
      <c r="C24" s="427"/>
      <c r="E24" s="3"/>
      <c r="I24" s="52" t="s">
        <v>855</v>
      </c>
      <c r="J24" s="64"/>
      <c r="K24" s="52" t="s">
        <v>855</v>
      </c>
      <c r="L24" s="64"/>
    </row>
    <row r="25" ht="15.75" customHeight="1">
      <c r="B25" s="52" t="s">
        <v>842</v>
      </c>
      <c r="C25" s="427"/>
      <c r="E25" s="3"/>
      <c r="I25" s="52" t="s">
        <v>768</v>
      </c>
      <c r="J25" s="64"/>
      <c r="K25" s="52" t="s">
        <v>768</v>
      </c>
      <c r="L25" s="64"/>
    </row>
    <row r="26" ht="15.75" customHeight="1">
      <c r="B26" s="32"/>
      <c r="C26" s="421"/>
      <c r="I26" s="52" t="s">
        <v>770</v>
      </c>
      <c r="J26" s="64"/>
      <c r="K26" s="52" t="s">
        <v>770</v>
      </c>
      <c r="L26" s="64"/>
    </row>
    <row r="27" ht="15.75" customHeight="1">
      <c r="B27" s="52" t="s">
        <v>844</v>
      </c>
      <c r="C27" s="425" t="str">
        <f>C24-(C25*LOG10(C23))</f>
        <v>#NUM!</v>
      </c>
      <c r="I27" s="52" t="s">
        <v>856</v>
      </c>
      <c r="J27" s="64"/>
      <c r="K27" s="52" t="s">
        <v>856</v>
      </c>
      <c r="L27" s="64"/>
    </row>
    <row r="28" ht="15.75" customHeight="1">
      <c r="B28" s="52" t="s">
        <v>845</v>
      </c>
      <c r="C28" s="86" t="str">
        <f>((495/C27)-450)</f>
        <v>#NUM!</v>
      </c>
      <c r="I28" s="52" t="s">
        <v>774</v>
      </c>
      <c r="J28" s="52">
        <f>SUM(J24:J27)</f>
        <v>0</v>
      </c>
      <c r="K28" s="52" t="s">
        <v>774</v>
      </c>
      <c r="L28" s="52">
        <f>SUM(L24:L27)</f>
        <v>0</v>
      </c>
    </row>
    <row r="29" ht="15.75" customHeight="1">
      <c r="I29" s="52" t="s">
        <v>805</v>
      </c>
      <c r="J29" s="113" t="str">
        <f>((23.66*(LOG10(J28)))+(0.04*J20)-(0.036*J21)-(0.109*J22)+(0.272*J23)-26.41)</f>
        <v>#NUM!</v>
      </c>
      <c r="K29" s="52" t="s">
        <v>805</v>
      </c>
      <c r="L29" s="113" t="str">
        <f>((23.871*(LOG10(L28)))+(0.019*L20)-(0.022*L21)-(0.118*L22)+(0.249*L23)-16.782)</f>
        <v>#NUM!</v>
      </c>
    </row>
    <row r="30" ht="15.75" customHeight="1">
      <c r="I30" s="19" t="s">
        <v>857</v>
      </c>
      <c r="J30" s="20"/>
      <c r="K30" s="20"/>
      <c r="L30" s="21"/>
      <c r="M30" s="5"/>
    </row>
    <row r="31" ht="15.75" customHeight="1">
      <c r="B31" s="428" t="s">
        <v>275</v>
      </c>
      <c r="C31" s="113" t="s">
        <v>858</v>
      </c>
      <c r="D31" s="113" t="s">
        <v>859</v>
      </c>
      <c r="E31" s="113" t="s">
        <v>860</v>
      </c>
      <c r="F31" s="113" t="s">
        <v>861</v>
      </c>
      <c r="G31" s="113" t="s">
        <v>862</v>
      </c>
      <c r="I31" s="416" t="s">
        <v>32</v>
      </c>
      <c r="J31" s="21"/>
      <c r="K31" s="417" t="s">
        <v>33</v>
      </c>
      <c r="L31" s="21"/>
    </row>
    <row r="32" ht="15.75" customHeight="1">
      <c r="B32" s="113" t="s">
        <v>324</v>
      </c>
      <c r="C32" s="427">
        <v>1.162</v>
      </c>
      <c r="D32" s="64">
        <v>1.1631</v>
      </c>
      <c r="E32" s="64">
        <v>1.1422</v>
      </c>
      <c r="F32" s="427">
        <v>1.162</v>
      </c>
      <c r="G32" s="64">
        <v>1.1715</v>
      </c>
      <c r="I32" s="113" t="s">
        <v>851</v>
      </c>
      <c r="J32" s="113" t="s">
        <v>836</v>
      </c>
      <c r="K32" s="113" t="s">
        <v>851</v>
      </c>
      <c r="L32" s="113" t="s">
        <v>836</v>
      </c>
    </row>
    <row r="33" ht="15.75" customHeight="1">
      <c r="B33" s="113" t="s">
        <v>842</v>
      </c>
      <c r="C33" s="427">
        <v>0.063</v>
      </c>
      <c r="D33" s="64">
        <v>0.0632</v>
      </c>
      <c r="E33" s="64">
        <v>0.0544</v>
      </c>
      <c r="F33" s="427">
        <v>0.07</v>
      </c>
      <c r="G33" s="64">
        <v>0.0779</v>
      </c>
      <c r="I33" s="52" t="s">
        <v>19</v>
      </c>
      <c r="J33" s="64"/>
      <c r="K33" s="52" t="s">
        <v>19</v>
      </c>
      <c r="L33" s="64"/>
    </row>
    <row r="34" ht="15.75" customHeight="1">
      <c r="I34" s="52" t="s">
        <v>20</v>
      </c>
      <c r="J34" s="64"/>
      <c r="K34" s="52" t="s">
        <v>20</v>
      </c>
      <c r="L34" s="64"/>
    </row>
    <row r="35" ht="15.75" customHeight="1">
      <c r="B35" s="429" t="s">
        <v>276</v>
      </c>
      <c r="C35" s="113" t="s">
        <v>858</v>
      </c>
      <c r="D35" s="113" t="s">
        <v>859</v>
      </c>
      <c r="E35" s="113" t="s">
        <v>860</v>
      </c>
      <c r="F35" s="113" t="s">
        <v>861</v>
      </c>
      <c r="G35" s="113" t="s">
        <v>862</v>
      </c>
      <c r="I35" s="52" t="s">
        <v>22</v>
      </c>
      <c r="J35" s="64"/>
      <c r="K35" s="52" t="s">
        <v>22</v>
      </c>
      <c r="L35" s="64"/>
    </row>
    <row r="36" ht="15.75" customHeight="1">
      <c r="B36" s="113" t="s">
        <v>324</v>
      </c>
      <c r="C36" s="64">
        <v>1.1549</v>
      </c>
      <c r="D36" s="64">
        <v>1.1599</v>
      </c>
      <c r="E36" s="64">
        <v>1.1423</v>
      </c>
      <c r="F36" s="64">
        <v>1.1333</v>
      </c>
      <c r="G36" s="64">
        <v>1.1339</v>
      </c>
      <c r="I36" s="52" t="s">
        <v>854</v>
      </c>
      <c r="J36" s="64"/>
      <c r="K36" s="52" t="s">
        <v>854</v>
      </c>
      <c r="L36" s="64"/>
    </row>
    <row r="37" ht="15.75" customHeight="1">
      <c r="B37" s="113" t="s">
        <v>842</v>
      </c>
      <c r="C37" s="64">
        <v>0.0678</v>
      </c>
      <c r="D37" s="64">
        <v>0.0717</v>
      </c>
      <c r="E37" s="64">
        <v>0.0632</v>
      </c>
      <c r="F37" s="64">
        <v>0.0612</v>
      </c>
      <c r="G37" s="64">
        <v>0.0645</v>
      </c>
      <c r="I37" s="52" t="s">
        <v>855</v>
      </c>
      <c r="J37" s="64"/>
      <c r="K37" s="52" t="s">
        <v>855</v>
      </c>
      <c r="L37" s="64"/>
    </row>
    <row r="38" ht="16.5" customHeight="1">
      <c r="I38" s="52" t="s">
        <v>768</v>
      </c>
      <c r="J38" s="64"/>
      <c r="K38" s="52" t="s">
        <v>768</v>
      </c>
      <c r="L38" s="64"/>
    </row>
    <row r="39" ht="15.75" customHeight="1">
      <c r="B39" s="19" t="s">
        <v>863</v>
      </c>
      <c r="C39" s="20"/>
      <c r="D39" s="21"/>
      <c r="I39" s="52" t="s">
        <v>770</v>
      </c>
      <c r="J39" s="64"/>
      <c r="K39" s="52" t="s">
        <v>770</v>
      </c>
      <c r="L39" s="64"/>
    </row>
    <row r="40" ht="15.75" customHeight="1">
      <c r="B40" s="52"/>
      <c r="C40" s="428" t="s">
        <v>32</v>
      </c>
      <c r="D40" s="429" t="s">
        <v>33</v>
      </c>
      <c r="I40" s="52" t="s">
        <v>856</v>
      </c>
      <c r="J40" s="64"/>
      <c r="K40" s="52" t="s">
        <v>856</v>
      </c>
      <c r="L40" s="64"/>
    </row>
    <row r="41" ht="15.75" customHeight="1">
      <c r="B41" s="52" t="s">
        <v>35</v>
      </c>
      <c r="C41" s="430" t="s">
        <v>36</v>
      </c>
      <c r="D41" s="52" t="s">
        <v>37</v>
      </c>
      <c r="I41" s="52" t="s">
        <v>774</v>
      </c>
      <c r="J41" s="52">
        <f>SUM(J37:J40)</f>
        <v>0</v>
      </c>
      <c r="K41" s="52" t="s">
        <v>774</v>
      </c>
      <c r="L41" s="52">
        <f>SUM(L37:L40)</f>
        <v>0</v>
      </c>
    </row>
    <row r="42" ht="15.75" customHeight="1">
      <c r="B42" s="52" t="s">
        <v>39</v>
      </c>
      <c r="C42" s="52" t="s">
        <v>40</v>
      </c>
      <c r="D42" s="52" t="s">
        <v>41</v>
      </c>
      <c r="I42" s="52" t="s">
        <v>805</v>
      </c>
      <c r="J42" s="113" t="str">
        <f>(22.702*(LOG10(J41)))+(0.065*J33)+(0.043*J34)-(0.08*J35)+(0.156*J36)-26.806</f>
        <v>#NUM!</v>
      </c>
      <c r="K42" s="52" t="s">
        <v>805</v>
      </c>
      <c r="L42" s="113" t="str">
        <f>(20.867*(LOG10(L41)))+(0.052*L33)+(0.14*L34)-(0.152*L35)+(0.149*L36)-8.227</f>
        <v>#NUM!</v>
      </c>
    </row>
    <row r="43" ht="15.75" customHeight="1">
      <c r="B43" s="52" t="s">
        <v>43</v>
      </c>
      <c r="C43" s="52" t="s">
        <v>44</v>
      </c>
      <c r="D43" s="52" t="s">
        <v>45</v>
      </c>
    </row>
    <row r="44" ht="15.75" customHeight="1"/>
    <row r="45" ht="15.75" customHeight="1">
      <c r="B45" s="258" t="s">
        <v>215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201"/>
      <c r="N45" s="201"/>
      <c r="O45" s="201"/>
      <c r="P45" s="201"/>
      <c r="Q45" s="201"/>
      <c r="R45" s="201"/>
    </row>
    <row r="46" ht="15.75" customHeight="1"/>
    <row r="47" ht="15.75" customHeight="1">
      <c r="B47" s="376" t="s">
        <v>217</v>
      </c>
      <c r="C47" s="376" t="s">
        <v>218</v>
      </c>
      <c r="D47" s="376" t="s">
        <v>219</v>
      </c>
      <c r="E47" s="376" t="s">
        <v>220</v>
      </c>
      <c r="F47" s="19" t="s">
        <v>221</v>
      </c>
      <c r="G47" s="21"/>
    </row>
    <row r="48" ht="15.75" customHeight="1">
      <c r="B48" s="94" t="s">
        <v>224</v>
      </c>
      <c r="C48" s="228"/>
      <c r="D48" s="96">
        <f>(C48*4)</f>
        <v>0</v>
      </c>
      <c r="E48" s="95" t="str">
        <f>((100/D60)*D48)</f>
        <v>#DIV/0!</v>
      </c>
      <c r="F48" s="113" t="s">
        <v>225</v>
      </c>
      <c r="G48" s="227"/>
    </row>
    <row r="49" ht="15.75" customHeight="1">
      <c r="B49" s="99"/>
      <c r="C49" s="99"/>
      <c r="D49" s="99"/>
      <c r="E49" s="99"/>
      <c r="F49" s="113" t="s">
        <v>228</v>
      </c>
      <c r="G49" s="431" t="str">
        <f>((100/C48)*G48)</f>
        <v>#DIV/0!</v>
      </c>
    </row>
    <row r="50" ht="15.75" customHeight="1">
      <c r="B50" s="100"/>
      <c r="C50" s="100"/>
      <c r="D50" s="100"/>
      <c r="E50" s="100"/>
      <c r="F50" s="113" t="s">
        <v>231</v>
      </c>
      <c r="G50" s="137" t="str">
        <f>(C48/C61)</f>
        <v>#DIV/0!</v>
      </c>
    </row>
    <row r="51" ht="15.75" customHeight="1">
      <c r="B51" s="94" t="s">
        <v>234</v>
      </c>
      <c r="C51" s="228"/>
      <c r="D51" s="96">
        <f>(C51*9)</f>
        <v>0</v>
      </c>
      <c r="E51" s="95" t="str">
        <f>((100/D60)*D51)</f>
        <v>#DIV/0!</v>
      </c>
      <c r="F51" s="113" t="s">
        <v>235</v>
      </c>
      <c r="G51" s="432"/>
    </row>
    <row r="52" ht="15.75" customHeight="1">
      <c r="B52" s="99"/>
      <c r="C52" s="99"/>
      <c r="D52" s="99"/>
      <c r="E52" s="99"/>
      <c r="F52" s="113" t="s">
        <v>238</v>
      </c>
      <c r="G52" s="137" t="str">
        <f>((100/D60)*(G51*9))</f>
        <v>#DIV/0!</v>
      </c>
    </row>
    <row r="53" ht="15.75" customHeight="1">
      <c r="B53" s="99"/>
      <c r="C53" s="99"/>
      <c r="D53" s="99"/>
      <c r="E53" s="99"/>
      <c r="F53" s="113" t="s">
        <v>241</v>
      </c>
      <c r="G53" s="432"/>
    </row>
    <row r="54" ht="15.75" customHeight="1">
      <c r="B54" s="99"/>
      <c r="C54" s="99"/>
      <c r="D54" s="99"/>
      <c r="E54" s="99"/>
      <c r="F54" s="113" t="s">
        <v>243</v>
      </c>
      <c r="G54" s="137" t="str">
        <f>((100/D60)*(G53*9))</f>
        <v>#DIV/0!</v>
      </c>
    </row>
    <row r="55" ht="15.75" customHeight="1">
      <c r="B55" s="99"/>
      <c r="C55" s="99"/>
      <c r="D55" s="99"/>
      <c r="E55" s="99"/>
      <c r="F55" s="113" t="s">
        <v>246</v>
      </c>
      <c r="G55" s="432"/>
    </row>
    <row r="56" ht="15.75" customHeight="1">
      <c r="B56" s="99"/>
      <c r="C56" s="99"/>
      <c r="D56" s="99"/>
      <c r="E56" s="99"/>
      <c r="F56" s="113" t="s">
        <v>249</v>
      </c>
      <c r="G56" s="137" t="str">
        <f>((100/D60)*(G55*9))</f>
        <v>#DIV/0!</v>
      </c>
    </row>
    <row r="57" ht="15.75" customHeight="1">
      <c r="B57" s="100"/>
      <c r="C57" s="100"/>
      <c r="D57" s="100"/>
      <c r="E57" s="100"/>
      <c r="F57" s="113" t="s">
        <v>252</v>
      </c>
      <c r="G57" s="433"/>
    </row>
    <row r="58" ht="15.75" customHeight="1">
      <c r="B58" s="94" t="s">
        <v>254</v>
      </c>
      <c r="C58" s="228"/>
      <c r="D58" s="103">
        <f>(C58*4)</f>
        <v>0</v>
      </c>
      <c r="E58" s="95" t="str">
        <f>((100/D60)*D58)</f>
        <v>#DIV/0!</v>
      </c>
      <c r="F58" s="113" t="s">
        <v>255</v>
      </c>
      <c r="G58" s="227"/>
    </row>
    <row r="59" ht="15.75" customHeight="1">
      <c r="B59" s="100"/>
      <c r="C59" s="100"/>
      <c r="D59" s="100"/>
      <c r="E59" s="100"/>
      <c r="F59" s="113" t="s">
        <v>258</v>
      </c>
      <c r="G59" s="431" t="str">
        <f>((100/D60)*(G58*4))</f>
        <v>#DIV/0!</v>
      </c>
    </row>
    <row r="60" ht="15.75" customHeight="1">
      <c r="B60" s="104" t="s">
        <v>261</v>
      </c>
      <c r="C60" s="21"/>
      <c r="D60" s="105">
        <f t="shared" ref="D60:E60" si="1">SUM(D48:D59)</f>
        <v>0</v>
      </c>
      <c r="E60" s="106" t="str">
        <f t="shared" si="1"/>
        <v>#DIV/0!</v>
      </c>
      <c r="F60" s="113" t="s">
        <v>259</v>
      </c>
      <c r="G60" s="227"/>
    </row>
    <row r="61" ht="15.75" customHeight="1">
      <c r="B61" s="108" t="s">
        <v>264</v>
      </c>
      <c r="C61" s="109"/>
    </row>
    <row r="62" ht="15.75" customHeight="1"/>
    <row r="63" ht="15.75" customHeight="1">
      <c r="B63" s="258" t="s">
        <v>72</v>
      </c>
      <c r="C63" s="60"/>
      <c r="D63" s="60"/>
      <c r="E63" s="60"/>
      <c r="F63" s="60"/>
      <c r="G63" s="60"/>
      <c r="H63" s="60"/>
      <c r="I63" s="60"/>
      <c r="J63" s="60"/>
      <c r="K63" s="60"/>
      <c r="L63" s="60"/>
    </row>
    <row r="64" ht="15.75" customHeight="1"/>
    <row r="65" ht="15.75" customHeight="1">
      <c r="B65" s="434" t="s">
        <v>864</v>
      </c>
      <c r="C65" s="435" t="s">
        <v>865</v>
      </c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1"/>
    </row>
    <row r="66" ht="15.75" customHeight="1">
      <c r="B66" s="434" t="s">
        <v>866</v>
      </c>
      <c r="C66" s="435" t="s">
        <v>867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1"/>
    </row>
    <row r="67" ht="15.75" customHeight="1">
      <c r="B67" s="434" t="s">
        <v>868</v>
      </c>
      <c r="C67" s="435" t="s">
        <v>869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1"/>
    </row>
    <row r="68" ht="15.75" customHeight="1">
      <c r="B68" s="434" t="s">
        <v>870</v>
      </c>
      <c r="C68" s="435" t="s">
        <v>871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1"/>
    </row>
    <row r="69" ht="15.75" customHeight="1">
      <c r="B69" s="434" t="s">
        <v>872</v>
      </c>
      <c r="C69" s="435" t="s">
        <v>873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1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2:L2"/>
    <mergeCell ref="B4:F4"/>
    <mergeCell ref="H4:L4"/>
    <mergeCell ref="B5:C5"/>
    <mergeCell ref="E5:F5"/>
    <mergeCell ref="H5:I5"/>
    <mergeCell ref="K5:L5"/>
    <mergeCell ref="B15:L15"/>
    <mergeCell ref="B17:C17"/>
    <mergeCell ref="I17:L17"/>
    <mergeCell ref="I18:J18"/>
    <mergeCell ref="K18:L18"/>
    <mergeCell ref="E19:G25"/>
    <mergeCell ref="I30:L30"/>
    <mergeCell ref="I31:J31"/>
    <mergeCell ref="K31:L31"/>
    <mergeCell ref="B39:D39"/>
    <mergeCell ref="B45:L45"/>
    <mergeCell ref="F47:G47"/>
    <mergeCell ref="B48:B50"/>
    <mergeCell ref="C48:C50"/>
    <mergeCell ref="C58:C59"/>
    <mergeCell ref="D58:D59"/>
    <mergeCell ref="B58:B59"/>
    <mergeCell ref="B60:C60"/>
    <mergeCell ref="B63:L63"/>
    <mergeCell ref="C65:R65"/>
    <mergeCell ref="C66:R66"/>
    <mergeCell ref="C67:R67"/>
    <mergeCell ref="C68:R68"/>
    <mergeCell ref="C69:R69"/>
    <mergeCell ref="D48:D50"/>
    <mergeCell ref="E48:E50"/>
    <mergeCell ref="B51:B57"/>
    <mergeCell ref="C51:C57"/>
    <mergeCell ref="D51:D57"/>
    <mergeCell ref="E51:E57"/>
    <mergeCell ref="E58:E59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6.14"/>
    <col customWidth="1" min="3" max="12" width="10.71"/>
    <col customWidth="1" min="13" max="13" width="6.0"/>
    <col customWidth="1" min="14" max="15" width="10.71"/>
  </cols>
  <sheetData>
    <row r="2" ht="15.0" customHeight="1">
      <c r="B2" s="436" t="s">
        <v>874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5.0" customHeight="1">
      <c r="B3" s="3"/>
    </row>
    <row r="5" ht="15.0" customHeight="1">
      <c r="B5" s="437"/>
      <c r="C5" s="437"/>
      <c r="D5" s="437"/>
      <c r="E5" s="437"/>
      <c r="F5" s="437"/>
      <c r="G5" s="437"/>
      <c r="H5" s="437"/>
      <c r="I5" s="437"/>
      <c r="J5" s="437"/>
      <c r="K5" s="437"/>
      <c r="L5" s="437"/>
      <c r="M5" s="437"/>
    </row>
    <row r="6" ht="15.0" customHeight="1">
      <c r="B6" s="437"/>
      <c r="C6" s="437"/>
      <c r="D6" s="437"/>
      <c r="E6" s="437"/>
      <c r="F6" s="437"/>
      <c r="G6" s="437"/>
      <c r="H6" s="437"/>
      <c r="I6" s="437"/>
      <c r="J6" s="437"/>
      <c r="K6" s="437"/>
      <c r="L6" s="437"/>
      <c r="M6" s="437"/>
    </row>
    <row r="7" ht="15.0" customHeight="1">
      <c r="B7" s="437"/>
      <c r="C7" s="438" t="s">
        <v>875</v>
      </c>
      <c r="D7" s="2"/>
      <c r="E7" s="2"/>
      <c r="F7" s="2"/>
      <c r="G7" s="2"/>
      <c r="H7" s="2"/>
      <c r="I7" s="2"/>
      <c r="J7" s="2"/>
      <c r="K7" s="2"/>
      <c r="L7" s="2"/>
      <c r="M7" s="437"/>
    </row>
    <row r="8" ht="15.0" customHeight="1">
      <c r="B8" s="437"/>
      <c r="C8" s="3"/>
      <c r="M8" s="437"/>
    </row>
    <row r="9" ht="15.0" customHeight="1">
      <c r="B9" s="437"/>
      <c r="C9" s="3"/>
      <c r="M9" s="437"/>
    </row>
    <row r="10" ht="15.0" customHeight="1">
      <c r="B10" s="437"/>
      <c r="C10" s="3"/>
      <c r="M10" s="437"/>
    </row>
    <row r="11" ht="15.0" customHeight="1">
      <c r="B11" s="437"/>
      <c r="C11" s="3"/>
      <c r="M11" s="437"/>
    </row>
    <row r="12" ht="15.0" customHeight="1">
      <c r="B12" s="437"/>
      <c r="C12" s="3"/>
      <c r="M12" s="437"/>
    </row>
    <row r="13" ht="15.0" customHeight="1">
      <c r="B13" s="437"/>
      <c r="C13" s="3"/>
      <c r="M13" s="437"/>
    </row>
    <row r="14" ht="15.0" customHeight="1">
      <c r="B14" s="437"/>
      <c r="C14" s="3"/>
      <c r="M14" s="437"/>
      <c r="O14" s="439"/>
    </row>
    <row r="15" ht="15.0" customHeight="1">
      <c r="B15" s="437"/>
      <c r="C15" s="3"/>
      <c r="M15" s="437"/>
    </row>
    <row r="16" ht="15.0" customHeight="1">
      <c r="B16" s="437"/>
      <c r="C16" s="3"/>
      <c r="M16" s="437"/>
    </row>
    <row r="17" ht="15.0" customHeight="1">
      <c r="B17" s="437"/>
      <c r="C17" s="3"/>
      <c r="M17" s="437"/>
    </row>
    <row r="18" ht="15.0" customHeight="1">
      <c r="B18" s="437"/>
      <c r="C18" s="3"/>
      <c r="M18" s="437"/>
    </row>
    <row r="19" ht="15.0" customHeight="1">
      <c r="B19" s="437"/>
      <c r="C19" s="3"/>
      <c r="M19" s="437"/>
    </row>
    <row r="20" ht="15.0" customHeight="1">
      <c r="B20" s="437"/>
      <c r="C20" s="3"/>
      <c r="M20" s="437"/>
    </row>
    <row r="21" ht="15.0" customHeight="1">
      <c r="B21" s="437"/>
      <c r="C21" s="3"/>
      <c r="M21" s="437"/>
    </row>
    <row r="22" ht="15.0" customHeight="1">
      <c r="B22" s="437"/>
      <c r="C22" s="3"/>
      <c r="M22" s="437"/>
    </row>
    <row r="23" ht="15.0" customHeight="1">
      <c r="B23" s="437"/>
      <c r="C23" s="3"/>
      <c r="M23" s="437"/>
    </row>
    <row r="24" ht="15.0" customHeight="1">
      <c r="B24" s="437"/>
      <c r="C24" s="3"/>
      <c r="M24" s="437"/>
    </row>
    <row r="25" ht="15.0" customHeight="1">
      <c r="B25" s="437"/>
      <c r="C25" s="3"/>
      <c r="M25" s="437"/>
    </row>
    <row r="26" ht="15.0" customHeight="1">
      <c r="B26" s="437"/>
      <c r="C26" s="3"/>
      <c r="M26" s="437"/>
    </row>
    <row r="27" ht="15.0" customHeight="1">
      <c r="B27" s="437"/>
      <c r="C27" s="3"/>
      <c r="M27" s="437"/>
    </row>
    <row r="28" ht="15.0" customHeight="1">
      <c r="B28" s="437"/>
      <c r="C28" s="3"/>
      <c r="M28" s="437"/>
    </row>
    <row r="29" ht="15.0" customHeight="1">
      <c r="B29" s="437"/>
      <c r="C29" s="3"/>
      <c r="M29" s="437"/>
    </row>
    <row r="30" ht="15.0" customHeight="1">
      <c r="B30" s="437"/>
      <c r="C30" s="3"/>
      <c r="M30" s="437"/>
    </row>
    <row r="31" ht="15.0" customHeight="1">
      <c r="B31" s="437"/>
      <c r="C31" s="3"/>
      <c r="M31" s="437"/>
    </row>
    <row r="32" ht="15.0" customHeight="1">
      <c r="B32" s="437"/>
      <c r="C32" s="3"/>
      <c r="M32" s="437"/>
    </row>
    <row r="33" ht="15.0" customHeight="1">
      <c r="B33" s="437"/>
      <c r="C33" s="3"/>
      <c r="M33" s="437"/>
    </row>
    <row r="34" ht="15.0" customHeight="1">
      <c r="B34" s="437"/>
      <c r="C34" s="3"/>
      <c r="M34" s="437"/>
    </row>
    <row r="35" ht="15.0" customHeight="1">
      <c r="B35" s="437"/>
      <c r="C35" s="3"/>
      <c r="M35" s="437"/>
    </row>
    <row r="36" ht="15.0" customHeight="1">
      <c r="B36" s="437"/>
      <c r="C36" s="3"/>
      <c r="M36" s="437"/>
    </row>
    <row r="37" ht="15.0" customHeight="1">
      <c r="B37" s="437"/>
      <c r="C37" s="3"/>
      <c r="M37" s="437"/>
    </row>
    <row r="38" ht="15.0" customHeight="1">
      <c r="B38" s="437"/>
      <c r="C38" s="3"/>
      <c r="M38" s="437"/>
    </row>
    <row r="39" ht="15.0" customHeight="1">
      <c r="B39" s="437"/>
      <c r="C39" s="3"/>
      <c r="M39" s="437"/>
    </row>
    <row r="40" ht="15.0" customHeight="1">
      <c r="B40" s="437"/>
      <c r="C40" s="3"/>
      <c r="M40" s="437"/>
    </row>
    <row r="41" ht="15.0" customHeight="1">
      <c r="B41" s="437"/>
      <c r="C41" s="3"/>
      <c r="M41" s="437"/>
    </row>
    <row r="42" ht="15.0" customHeight="1">
      <c r="B42" s="437"/>
      <c r="C42" s="3"/>
      <c r="M42" s="437"/>
    </row>
    <row r="43" ht="15.0" customHeight="1">
      <c r="B43" s="437"/>
      <c r="C43" s="3"/>
      <c r="M43" s="437"/>
    </row>
    <row r="44" ht="15.0" customHeight="1">
      <c r="B44" s="437"/>
      <c r="C44" s="3"/>
      <c r="M44" s="437"/>
    </row>
    <row r="45" ht="15.0" customHeight="1">
      <c r="B45" s="437"/>
      <c r="C45" s="3"/>
      <c r="M45" s="437"/>
    </row>
    <row r="46" ht="15.0" customHeight="1">
      <c r="B46" s="437"/>
      <c r="C46" s="3"/>
      <c r="M46" s="437"/>
    </row>
    <row r="47" ht="15.0" customHeight="1">
      <c r="B47" s="437"/>
      <c r="C47" s="3"/>
      <c r="M47" s="437"/>
    </row>
    <row r="48" ht="15.0" customHeight="1">
      <c r="B48" s="437"/>
      <c r="C48" s="3"/>
      <c r="M48" s="437"/>
    </row>
    <row r="49" ht="15.0" customHeight="1">
      <c r="B49" s="437"/>
      <c r="C49" s="3"/>
      <c r="M49" s="437"/>
    </row>
    <row r="50" ht="15.0" customHeight="1">
      <c r="B50" s="437"/>
      <c r="C50" s="3"/>
      <c r="M50" s="437"/>
    </row>
    <row r="51" ht="15.0" customHeight="1">
      <c r="B51" s="437"/>
      <c r="C51" s="3"/>
      <c r="M51" s="437"/>
    </row>
    <row r="52" ht="15.0" customHeight="1">
      <c r="B52" s="437"/>
      <c r="C52" s="3"/>
      <c r="M52" s="437"/>
    </row>
    <row r="53" ht="15.0" customHeight="1">
      <c r="B53" s="437"/>
      <c r="C53" s="3"/>
      <c r="M53" s="437"/>
    </row>
    <row r="54" ht="15.0" customHeight="1">
      <c r="B54" s="437"/>
      <c r="C54" s="3"/>
      <c r="M54" s="437"/>
    </row>
    <row r="55" ht="15.0" customHeight="1">
      <c r="B55" s="437"/>
      <c r="C55" s="3"/>
      <c r="M55" s="437"/>
    </row>
    <row r="56" ht="15.0" customHeight="1">
      <c r="B56" s="437"/>
      <c r="C56" s="3"/>
      <c r="M56" s="437"/>
    </row>
    <row r="57" ht="15.0" customHeight="1">
      <c r="B57" s="437"/>
      <c r="C57" s="3"/>
      <c r="M57" s="437"/>
    </row>
    <row r="58" ht="15.0" customHeight="1">
      <c r="B58" s="437"/>
      <c r="C58" s="3"/>
      <c r="M58" s="437"/>
    </row>
    <row r="59" ht="15.0" customHeight="1">
      <c r="B59" s="437"/>
      <c r="C59" s="3"/>
      <c r="M59" s="437"/>
    </row>
    <row r="60" ht="15.0" customHeight="1">
      <c r="B60" s="437"/>
      <c r="C60" s="3"/>
      <c r="M60" s="437"/>
    </row>
    <row r="61" ht="15.0" customHeight="1">
      <c r="B61" s="437"/>
      <c r="C61" s="3"/>
      <c r="M61" s="437"/>
    </row>
    <row r="62" ht="15.0" customHeight="1">
      <c r="B62" s="437"/>
      <c r="C62" s="3"/>
      <c r="M62" s="437"/>
    </row>
    <row r="63" ht="15.0" customHeight="1">
      <c r="B63" s="437"/>
      <c r="C63" s="3"/>
      <c r="M63" s="437"/>
    </row>
    <row r="64" ht="15.0" customHeight="1">
      <c r="B64" s="437"/>
      <c r="C64" s="3"/>
      <c r="M64" s="437"/>
    </row>
    <row r="65" ht="15.0" customHeight="1">
      <c r="B65" s="437"/>
      <c r="C65" s="3"/>
      <c r="M65" s="437"/>
    </row>
    <row r="66" ht="15.0" customHeight="1">
      <c r="B66" s="437"/>
      <c r="C66" s="3"/>
      <c r="M66" s="437"/>
    </row>
    <row r="67" ht="15.0" customHeight="1">
      <c r="B67" s="437"/>
      <c r="C67" s="3"/>
      <c r="M67" s="437"/>
    </row>
    <row r="68" ht="15.0" customHeight="1">
      <c r="B68" s="437"/>
      <c r="C68" s="437"/>
      <c r="D68" s="437"/>
      <c r="E68" s="437"/>
      <c r="F68" s="437"/>
      <c r="G68" s="437"/>
      <c r="H68" s="437"/>
      <c r="I68" s="437"/>
      <c r="J68" s="437"/>
      <c r="K68" s="437"/>
      <c r="L68" s="437"/>
      <c r="M68" s="437"/>
    </row>
    <row r="69" ht="15.0" customHeight="1">
      <c r="B69" s="437"/>
      <c r="C69" s="437"/>
      <c r="D69" s="437"/>
      <c r="E69" s="437"/>
      <c r="F69" s="437"/>
      <c r="G69" s="437"/>
      <c r="H69" s="437"/>
      <c r="I69" s="437"/>
      <c r="J69" s="437"/>
      <c r="K69" s="437"/>
      <c r="L69" s="437"/>
      <c r="M69" s="437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M3"/>
    <mergeCell ref="C7:L67"/>
  </mergeCells>
  <printOptions/>
  <pageMargins bottom="0.75" footer="0.0" header="0.0" left="0.7" right="0.7" top="0.75"/>
  <pageSetup orientation="landscape"/>
  <drawing r:id="rId1"/>
</worksheet>
</file>