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defaultThemeVersion="124226"/>
  <mc:AlternateContent xmlns:mc="http://schemas.openxmlformats.org/markup-compatibility/2006">
    <mc:Choice Requires="x15">
      <x15ac:absPath xmlns:x15ac="http://schemas.microsoft.com/office/spreadsheetml/2010/11/ac" url="C:\Users\conde_000\OneDrive - IESE Business School - University of Navarra\MiM\Business analytics R\Iberdrola\"/>
    </mc:Choice>
  </mc:AlternateContent>
  <xr:revisionPtr revIDLastSave="3563" documentId="8_{442491D3-7C59-4383-B489-647200125070}" xr6:coauthVersionLast="45" xr6:coauthVersionMax="45" xr10:uidLastSave="{53F32C09-8D00-4D0B-92D5-DE7FB01E3FBA}"/>
  <bookViews>
    <workbookView xWindow="-120" yWindow="-120" windowWidth="20730" windowHeight="11160" firstSheet="1" activeTab="3" xr2:uid="{00000000-000D-0000-FFFF-FFFF00000000}"/>
  </bookViews>
  <sheets>
    <sheet name="CB_DATA_" sheetId="5" state="veryHidden" r:id="rId1"/>
    <sheet name="Appendix 1 Castelbuono" sheetId="7" r:id="rId2"/>
    <sheet name="Appendix 2 &amp; 3" sheetId="8" r:id="rId3"/>
    <sheet name="Appendix 4" sheetId="10" r:id="rId4"/>
  </sheets>
  <definedNames>
    <definedName name="CB_08e34201676f46dfb25092ae82756fc6" localSheetId="1" hidden="1">'Appendix 1 Castelbuono'!$Q$3</definedName>
    <definedName name="CB_09b6d3b8c2344b3b9dea5787525b091d" localSheetId="2" hidden="1">'Appendix 2 &amp; 3'!$J$53</definedName>
    <definedName name="CB_0e167564c4964d7bbac8b47370f6d918" localSheetId="2" hidden="1">'Appendix 2 &amp; 3'!$J$50</definedName>
    <definedName name="CB_29af3c5003254ea3881e30689047a68f" localSheetId="1" hidden="1">'Appendix 1 Castelbuono'!$R$10</definedName>
    <definedName name="CB_2d82b87b3d3240d583c6658ba4af8d4d" localSheetId="1" hidden="1">'Appendix 1 Castelbuono'!$B$22</definedName>
    <definedName name="CB_40e1821e072b46f9a0dcdea488ab523a" localSheetId="1" hidden="1">'Appendix 1 Castelbuono'!$B$14</definedName>
    <definedName name="CB_413e2084e4214e15b300bdaf500ac8d0" localSheetId="2" hidden="1">'Appendix 2 &amp; 3'!$J$60</definedName>
    <definedName name="CB_49c138a4c74e47069d0c9d50949e528a" localSheetId="2" hidden="1">'Appendix 2 &amp; 3'!$J$61</definedName>
    <definedName name="CB_55492627abf746b39756bf4c0596187f" localSheetId="2" hidden="1">'Appendix 2 &amp; 3'!$J$51</definedName>
    <definedName name="CB_5dccaba153694e03b9bfc8605a220261" localSheetId="2" hidden="1">'Appendix 2 &amp; 3'!$J$57</definedName>
    <definedName name="CB_6c108553d3fc4c0ca985f002df73997c" localSheetId="1" hidden="1">'Appendix 1 Castelbuono'!$R$12</definedName>
    <definedName name="CB_6e75d94b40a441b981e859e2fb63fe7b" localSheetId="1" hidden="1">'Appendix 1 Castelbuono'!$Q$2</definedName>
    <definedName name="CB_7d7a324499df43e2af63de365a07360e" localSheetId="1" hidden="1">'Appendix 1 Castelbuono'!$B$16</definedName>
    <definedName name="CB_7ffed11db0284f46830402c5b14c1837" localSheetId="1" hidden="1">'Appendix 1 Castelbuono'!$B$13</definedName>
    <definedName name="CB_a48e55505c864c4cb23a162758660600" localSheetId="2" hidden="1">'Appendix 2 &amp; 3'!$J$52</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"'637093395700189169"</definedName>
    <definedName name="CB_Block_00000000000000000000000000000001" localSheetId="2" hidden="1">"'637093395700970413"</definedName>
    <definedName name="CB_Block_00000000000000000000000000000001" localSheetId="0" hidden="1">"'637093395699251559"</definedName>
    <definedName name="CB_Block_00000000000000000000000000000003" localSheetId="1" hidden="1">"'11.1.4100.0"</definedName>
    <definedName name="CB_Block_00000000000000000000000000000003" localSheetId="2" hidden="1">"'11.1.4100.0"</definedName>
    <definedName name="CB_BlockExt_00000000000000000000000000000003" localSheetId="1" hidden="1">"'11.1.2.4.000"</definedName>
    <definedName name="CB_BlockExt_00000000000000000000000000000003" localSheetId="2" hidden="1">"'11.1.2.4.000"</definedName>
    <definedName name="CB_cb9d462616b64b6bb5c0409d16a7188b" localSheetId="2" hidden="1">'Appendix 2 &amp; 3'!$K$58</definedName>
    <definedName name="CB_cf766c7c5ae345098647830a14b14085" localSheetId="0" hidden="1">#N/A</definedName>
    <definedName name="CB_fd66b3832fd24660adb889823bcc8d9a" localSheetId="2" hidden="1">'Appendix 2 &amp; 3'!$J$59</definedName>
    <definedName name="CBCR_1978dc39d2ca476d9afe3aee7dd6b430" localSheetId="2" hidden="1">'Appendix 2 &amp; 3'!$O$50:$P$74</definedName>
    <definedName name="CBCR_1ffb6d00fafd4cd79a2d1a0b1d7c842d" localSheetId="2" hidden="1">'Appendix 2 &amp; 3'!$O$50:$P$74</definedName>
    <definedName name="CBCR_6277d52e29d4439ea9cf78fe628c89ba" localSheetId="2" hidden="1">'Appendix 2 &amp; 3'!$S$3:$T$31</definedName>
    <definedName name="CBCR_7da932eed17844399414f59aa44f681b" localSheetId="2" hidden="1">'Appendix 2 &amp; 3'!$F$50:$G$92</definedName>
    <definedName name="CBCR_8df0d130a9554bf890ee6e11f71694c2" localSheetId="2" hidden="1">'Appendix 2 &amp; 3'!$F$50:$G$92</definedName>
    <definedName name="CBCR_8f0c59c8e0444560954400d5c203a086" localSheetId="2" hidden="1">'Appendix 2 &amp; 3'!$S$3:$T$31</definedName>
    <definedName name="CBWorkbookPriority" localSheetId="0" hidden="1">-110525661</definedName>
    <definedName name="CBx_3feb514f637e4f85a85090b5c3436516" localSheetId="0" hidden="1">"'Appendix 1 Castelbuono'!$A$1"</definedName>
    <definedName name="CBx_5890de36dbe44cf7ba336d4fe5da02fe" localSheetId="0" hidden="1">"'Appendix 2 &amp; 3'!$A$1"</definedName>
    <definedName name="CBx_e463e467ca7646dabef0ab96f47268ad" localSheetId="0" hidden="1">"'CB_DATA_'!$A$1"</definedName>
    <definedName name="CBx_Sheet_Guid" localSheetId="1" hidden="1">"'3feb514f-637e-4f85-a850-90b5c3436516"</definedName>
    <definedName name="CBx_Sheet_Guid" localSheetId="2" hidden="1">"'5890de36-dbe4-4cf7-ba33-6d4fe5da02fe"</definedName>
    <definedName name="CBx_Sheet_Guid" localSheetId="0" hidden="1">"'e463e467-ca76-46da-bef0-ab96f47268ad"</definedName>
    <definedName name="CBx_SheetRef" localSheetId="1" hidden="1">CB_DATA_!$B$14</definedName>
    <definedName name="CBx_SheetRef" localSheetId="2" hidden="1">CB_DATA_!$C$14</definedName>
    <definedName name="CBx_SheetRef" localSheetId="0" hidden="1">CB_DATA_!$A$14</definedName>
    <definedName name="CBx_StorageType" localSheetId="1" hidden="1">2</definedName>
    <definedName name="CBx_StorageType" localSheetId="2" hidden="1">2</definedName>
    <definedName name="CBx_StorageType" localSheetId="0" hidden="1">2</definedName>
  </definedNames>
  <calcPr calcId="191029" concurrentCalc="0" concurrentManualCount="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 i="10" l="1"/>
  <c r="B19" i="10"/>
  <c r="C19" i="7"/>
  <c r="C20" i="7"/>
  <c r="C23" i="7"/>
  <c r="K62" i="8"/>
  <c r="K58" i="8"/>
  <c r="K61" i="8"/>
  <c r="K53" i="8"/>
  <c r="K51" i="8"/>
  <c r="J61" i="8"/>
  <c r="J62" i="8"/>
  <c r="J58" i="8"/>
  <c r="D19" i="7"/>
  <c r="D20" i="7"/>
  <c r="D23" i="7"/>
  <c r="D24" i="7"/>
  <c r="D28" i="7"/>
  <c r="D29" i="7"/>
  <c r="D30" i="7"/>
  <c r="D31" i="7"/>
  <c r="D25" i="7"/>
  <c r="D26" i="7"/>
  <c r="D27" i="7"/>
  <c r="D32" i="7"/>
  <c r="D33" i="7"/>
  <c r="D36" i="7"/>
  <c r="D38" i="7"/>
  <c r="D39" i="7"/>
  <c r="D40" i="7"/>
  <c r="D45" i="7"/>
  <c r="D46" i="7"/>
  <c r="D47" i="7"/>
  <c r="C24" i="7"/>
  <c r="C45" i="7"/>
  <c r="C28" i="7"/>
  <c r="C29" i="7"/>
  <c r="C30" i="7"/>
  <c r="C31" i="7"/>
  <c r="C46" i="7"/>
  <c r="C47" i="7"/>
  <c r="D48" i="7"/>
  <c r="D41" i="7"/>
  <c r="D44" i="7"/>
  <c r="E19" i="7"/>
  <c r="E20" i="7"/>
  <c r="E23" i="7"/>
  <c r="E24" i="7"/>
  <c r="E28" i="7"/>
  <c r="E29" i="7"/>
  <c r="E30" i="7"/>
  <c r="E31" i="7"/>
  <c r="E25" i="7"/>
  <c r="E26" i="7"/>
  <c r="E27" i="7"/>
  <c r="E32" i="7"/>
  <c r="E33" i="7"/>
  <c r="E36" i="7"/>
  <c r="E38" i="7"/>
  <c r="E39" i="7"/>
  <c r="E40" i="7"/>
  <c r="E45" i="7"/>
  <c r="E46" i="7"/>
  <c r="E47" i="7"/>
  <c r="E48" i="7"/>
  <c r="E41" i="7"/>
  <c r="E44" i="7"/>
  <c r="F19" i="7"/>
  <c r="F20" i="7"/>
  <c r="F23" i="7"/>
  <c r="F24" i="7"/>
  <c r="F28" i="7"/>
  <c r="F29" i="7"/>
  <c r="F30" i="7"/>
  <c r="F31" i="7"/>
  <c r="F25" i="7"/>
  <c r="F26" i="7"/>
  <c r="F27" i="7"/>
  <c r="F32" i="7"/>
  <c r="F33" i="7"/>
  <c r="F36" i="7"/>
  <c r="F38" i="7"/>
  <c r="F39" i="7"/>
  <c r="F40" i="7"/>
  <c r="F45" i="7"/>
  <c r="F46" i="7"/>
  <c r="F47" i="7"/>
  <c r="F48" i="7"/>
  <c r="F41" i="7"/>
  <c r="F44" i="7"/>
  <c r="G19" i="7"/>
  <c r="G20" i="7"/>
  <c r="G23" i="7"/>
  <c r="G24" i="7"/>
  <c r="G28" i="7"/>
  <c r="G29" i="7"/>
  <c r="G30" i="7"/>
  <c r="G31" i="7"/>
  <c r="G25" i="7"/>
  <c r="G26" i="7"/>
  <c r="G27" i="7"/>
  <c r="G32" i="7"/>
  <c r="G33" i="7"/>
  <c r="G36" i="7"/>
  <c r="G38" i="7"/>
  <c r="G39" i="7"/>
  <c r="G40" i="7"/>
  <c r="G45" i="7"/>
  <c r="G46" i="7"/>
  <c r="G47" i="7"/>
  <c r="G48" i="7"/>
  <c r="G41" i="7"/>
  <c r="G44" i="7"/>
  <c r="H19" i="7"/>
  <c r="H20" i="7"/>
  <c r="H23" i="7"/>
  <c r="H24" i="7"/>
  <c r="H28" i="7"/>
  <c r="H29" i="7"/>
  <c r="H30" i="7"/>
  <c r="H31" i="7"/>
  <c r="H25" i="7"/>
  <c r="H26" i="7"/>
  <c r="H27" i="7"/>
  <c r="H32" i="7"/>
  <c r="H33" i="7"/>
  <c r="H36" i="7"/>
  <c r="H38" i="7"/>
  <c r="H39" i="7"/>
  <c r="H40" i="7"/>
  <c r="H45" i="7"/>
  <c r="H46" i="7"/>
  <c r="H47" i="7"/>
  <c r="H48" i="7"/>
  <c r="H41" i="7"/>
  <c r="H44" i="7"/>
  <c r="I19" i="7"/>
  <c r="I20" i="7"/>
  <c r="I23" i="7"/>
  <c r="I24" i="7"/>
  <c r="I28" i="7"/>
  <c r="I29" i="7"/>
  <c r="I30" i="7"/>
  <c r="I31" i="7"/>
  <c r="I25" i="7"/>
  <c r="I26" i="7"/>
  <c r="I27" i="7"/>
  <c r="I32" i="7"/>
  <c r="I33" i="7"/>
  <c r="I36" i="7"/>
  <c r="I38" i="7"/>
  <c r="I39" i="7"/>
  <c r="I40" i="7"/>
  <c r="I45" i="7"/>
  <c r="I46" i="7"/>
  <c r="I47" i="7"/>
  <c r="I48" i="7"/>
  <c r="I41" i="7"/>
  <c r="I44" i="7"/>
  <c r="J19" i="7"/>
  <c r="J20" i="7"/>
  <c r="J23" i="7"/>
  <c r="J24" i="7"/>
  <c r="J28" i="7"/>
  <c r="J29" i="7"/>
  <c r="J30" i="7"/>
  <c r="J31" i="7"/>
  <c r="J25" i="7"/>
  <c r="J26" i="7"/>
  <c r="J27" i="7"/>
  <c r="J32" i="7"/>
  <c r="J33" i="7"/>
  <c r="J36" i="7"/>
  <c r="J38" i="7"/>
  <c r="J39" i="7"/>
  <c r="J40" i="7"/>
  <c r="J45" i="7"/>
  <c r="J46" i="7"/>
  <c r="J47" i="7"/>
  <c r="J48" i="7"/>
  <c r="J41" i="7"/>
  <c r="J44" i="7"/>
  <c r="K19" i="7"/>
  <c r="K20" i="7"/>
  <c r="K23" i="7"/>
  <c r="K24" i="7"/>
  <c r="K28" i="7"/>
  <c r="K29" i="7"/>
  <c r="K30" i="7"/>
  <c r="K31" i="7"/>
  <c r="K25" i="7"/>
  <c r="K26" i="7"/>
  <c r="K27" i="7"/>
  <c r="K32" i="7"/>
  <c r="K33" i="7"/>
  <c r="K36" i="7"/>
  <c r="K38" i="7"/>
  <c r="K39" i="7"/>
  <c r="K40" i="7"/>
  <c r="K45" i="7"/>
  <c r="K46" i="7"/>
  <c r="K47" i="7"/>
  <c r="K48" i="7"/>
  <c r="K41" i="7"/>
  <c r="K44" i="7"/>
  <c r="L19" i="7"/>
  <c r="L20" i="7"/>
  <c r="L23" i="7"/>
  <c r="L24" i="7"/>
  <c r="L28" i="7"/>
  <c r="L29" i="7"/>
  <c r="L30" i="7"/>
  <c r="L31" i="7"/>
  <c r="L25" i="7"/>
  <c r="L26" i="7"/>
  <c r="L27" i="7"/>
  <c r="L32" i="7"/>
  <c r="L33" i="7"/>
  <c r="L36" i="7"/>
  <c r="L38" i="7"/>
  <c r="L39" i="7"/>
  <c r="L40" i="7"/>
  <c r="L45" i="7"/>
  <c r="L46" i="7"/>
  <c r="L47" i="7"/>
  <c r="L48" i="7"/>
  <c r="L41" i="7"/>
  <c r="L44" i="7"/>
  <c r="M19" i="7"/>
  <c r="M20" i="7"/>
  <c r="M23" i="7"/>
  <c r="M24" i="7"/>
  <c r="M28" i="7"/>
  <c r="M29" i="7"/>
  <c r="M30" i="7"/>
  <c r="M31" i="7"/>
  <c r="M25" i="7"/>
  <c r="M26" i="7"/>
  <c r="M27" i="7"/>
  <c r="M32" i="7"/>
  <c r="M33" i="7"/>
  <c r="M36" i="7"/>
  <c r="M38" i="7"/>
  <c r="M39" i="7"/>
  <c r="M40" i="7"/>
  <c r="M45" i="7"/>
  <c r="M46" i="7"/>
  <c r="M47" i="7"/>
  <c r="M48" i="7"/>
  <c r="M41" i="7"/>
  <c r="M44" i="7"/>
  <c r="N19" i="7"/>
  <c r="N20" i="7"/>
  <c r="N23" i="7"/>
  <c r="N24" i="7"/>
  <c r="N28" i="7"/>
  <c r="N29" i="7"/>
  <c r="N30" i="7"/>
  <c r="N31" i="7"/>
  <c r="N25" i="7"/>
  <c r="N26" i="7"/>
  <c r="N27" i="7"/>
  <c r="N32" i="7"/>
  <c r="N33" i="7"/>
  <c r="N36" i="7"/>
  <c r="N38" i="7"/>
  <c r="N39" i="7"/>
  <c r="N40" i="7"/>
  <c r="N45" i="7"/>
  <c r="N46" i="7"/>
  <c r="N47" i="7"/>
  <c r="N48" i="7"/>
  <c r="N41" i="7"/>
  <c r="N44" i="7"/>
  <c r="O19" i="7"/>
  <c r="O20" i="7"/>
  <c r="O23" i="7"/>
  <c r="O24" i="7"/>
  <c r="O28" i="7"/>
  <c r="O29" i="7"/>
  <c r="O30" i="7"/>
  <c r="O31" i="7"/>
  <c r="O25" i="7"/>
  <c r="O26" i="7"/>
  <c r="O27" i="7"/>
  <c r="O32" i="7"/>
  <c r="O33" i="7"/>
  <c r="O36" i="7"/>
  <c r="O38" i="7"/>
  <c r="O39" i="7"/>
  <c r="O40" i="7"/>
  <c r="O45" i="7"/>
  <c r="O46" i="7"/>
  <c r="O47" i="7"/>
  <c r="O48" i="7"/>
  <c r="O41" i="7"/>
  <c r="O44" i="7"/>
  <c r="P19" i="7"/>
  <c r="P20" i="7"/>
  <c r="P23" i="7"/>
  <c r="P24" i="7"/>
  <c r="P28" i="7"/>
  <c r="P29" i="7"/>
  <c r="P30" i="7"/>
  <c r="P31" i="7"/>
  <c r="P25" i="7"/>
  <c r="P26" i="7"/>
  <c r="P27" i="7"/>
  <c r="P32" i="7"/>
  <c r="P33" i="7"/>
  <c r="P36" i="7"/>
  <c r="P38" i="7"/>
  <c r="P39" i="7"/>
  <c r="P40" i="7"/>
  <c r="P45" i="7"/>
  <c r="P46" i="7"/>
  <c r="P47" i="7"/>
  <c r="P48" i="7"/>
  <c r="P41" i="7"/>
  <c r="P44" i="7"/>
  <c r="Q19" i="7"/>
  <c r="Q20" i="7"/>
  <c r="Q23" i="7"/>
  <c r="Q24" i="7"/>
  <c r="Q28" i="7"/>
  <c r="Q29" i="7"/>
  <c r="Q30" i="7"/>
  <c r="Q31" i="7"/>
  <c r="Q25" i="7"/>
  <c r="Q26" i="7"/>
  <c r="Q27" i="7"/>
  <c r="Q32" i="7"/>
  <c r="Q33" i="7"/>
  <c r="Q36" i="7"/>
  <c r="Q38" i="7"/>
  <c r="Q39" i="7"/>
  <c r="Q40" i="7"/>
  <c r="Q45" i="7"/>
  <c r="Q46" i="7"/>
  <c r="Q47" i="7"/>
  <c r="Q48" i="7"/>
  <c r="Q41" i="7"/>
  <c r="Q44" i="7"/>
  <c r="R19" i="7"/>
  <c r="R20" i="7"/>
  <c r="R23" i="7"/>
  <c r="R24" i="7"/>
  <c r="R28" i="7"/>
  <c r="R29" i="7"/>
  <c r="R30" i="7"/>
  <c r="R31" i="7"/>
  <c r="R25" i="7"/>
  <c r="R26" i="7"/>
  <c r="R27" i="7"/>
  <c r="R32" i="7"/>
  <c r="R33" i="7"/>
  <c r="R36" i="7"/>
  <c r="R38" i="7"/>
  <c r="R39" i="7"/>
  <c r="R40" i="7"/>
  <c r="R45" i="7"/>
  <c r="R46" i="7"/>
  <c r="R47" i="7"/>
  <c r="R48" i="7"/>
  <c r="R41" i="7"/>
  <c r="R44" i="7"/>
  <c r="S19" i="7"/>
  <c r="S20" i="7"/>
  <c r="S23" i="7"/>
  <c r="S24" i="7"/>
  <c r="S28" i="7"/>
  <c r="S29" i="7"/>
  <c r="S30" i="7"/>
  <c r="S31" i="7"/>
  <c r="S25" i="7"/>
  <c r="S26" i="7"/>
  <c r="S27" i="7"/>
  <c r="S32" i="7"/>
  <c r="S33" i="7"/>
  <c r="S36" i="7"/>
  <c r="S38" i="7"/>
  <c r="S39" i="7"/>
  <c r="S40" i="7"/>
  <c r="S45" i="7"/>
  <c r="S46" i="7"/>
  <c r="S47" i="7"/>
  <c r="S48" i="7"/>
  <c r="S41" i="7"/>
  <c r="S44" i="7"/>
  <c r="T19" i="7"/>
  <c r="T20" i="7"/>
  <c r="T23" i="7"/>
  <c r="T24" i="7"/>
  <c r="T28" i="7"/>
  <c r="T29" i="7"/>
  <c r="T30" i="7"/>
  <c r="T31" i="7"/>
  <c r="T25" i="7"/>
  <c r="T26" i="7"/>
  <c r="T27" i="7"/>
  <c r="T32" i="7"/>
  <c r="T33" i="7"/>
  <c r="T36" i="7"/>
  <c r="T38" i="7"/>
  <c r="T39" i="7"/>
  <c r="T40" i="7"/>
  <c r="T45" i="7"/>
  <c r="T46" i="7"/>
  <c r="T47" i="7"/>
  <c r="T48" i="7"/>
  <c r="T41" i="7"/>
  <c r="T44" i="7"/>
  <c r="U19" i="7"/>
  <c r="U20" i="7"/>
  <c r="U23" i="7"/>
  <c r="U24" i="7"/>
  <c r="U28" i="7"/>
  <c r="U29" i="7"/>
  <c r="U30" i="7"/>
  <c r="U31" i="7"/>
  <c r="U25" i="7"/>
  <c r="U26" i="7"/>
  <c r="U27" i="7"/>
  <c r="U32" i="7"/>
  <c r="U33" i="7"/>
  <c r="U36" i="7"/>
  <c r="U38" i="7"/>
  <c r="U39" i="7"/>
  <c r="U40" i="7"/>
  <c r="U45" i="7"/>
  <c r="U46" i="7"/>
  <c r="U47" i="7"/>
  <c r="U48" i="7"/>
  <c r="U41" i="7"/>
  <c r="U44" i="7"/>
  <c r="R12" i="7"/>
  <c r="C32" i="7"/>
  <c r="C33" i="7"/>
  <c r="C36" i="7"/>
  <c r="C38" i="7"/>
  <c r="C39" i="7"/>
  <c r="C40" i="7"/>
  <c r="C48" i="7"/>
  <c r="C41" i="7"/>
  <c r="C44" i="7"/>
  <c r="R10" i="7"/>
  <c r="J54" i="8"/>
  <c r="J55"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T3" i="8"/>
  <c r="R46" i="8"/>
  <c r="R45" i="8"/>
  <c r="R44" i="8"/>
  <c r="R43" i="8"/>
  <c r="R42" i="8"/>
  <c r="R41" i="8"/>
  <c r="R40" i="8"/>
  <c r="R39" i="8"/>
  <c r="R38" i="8"/>
  <c r="R37" i="8"/>
  <c r="R36" i="8"/>
  <c r="R35" i="8"/>
  <c r="R34" i="8"/>
  <c r="R33" i="8"/>
  <c r="R32" i="8"/>
  <c r="R31" i="8"/>
  <c r="R30" i="8"/>
  <c r="R29" i="8"/>
  <c r="R28" i="8"/>
  <c r="R27" i="8"/>
  <c r="R26" i="8"/>
  <c r="R25" i="8"/>
  <c r="R24" i="8"/>
  <c r="R23" i="8"/>
  <c r="R22" i="8"/>
  <c r="R21" i="8"/>
  <c r="R20" i="8"/>
  <c r="R19" i="8"/>
  <c r="R18" i="8"/>
  <c r="R17" i="8"/>
  <c r="R16" i="8"/>
  <c r="R15" i="8"/>
  <c r="R14" i="8"/>
  <c r="R13" i="8"/>
  <c r="R12" i="8"/>
  <c r="R11" i="8"/>
  <c r="R10" i="8"/>
  <c r="R9" i="8"/>
  <c r="R8" i="8"/>
  <c r="R7" i="8"/>
  <c r="R6" i="8"/>
  <c r="R5" i="8"/>
  <c r="R4" i="8"/>
  <c r="R3" i="8"/>
  <c r="P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5" i="8"/>
  <c r="Q4" i="8"/>
  <c r="Q3" i="8"/>
  <c r="L98" i="8"/>
  <c r="M97" i="8"/>
  <c r="M96" i="8"/>
  <c r="M95" i="8"/>
  <c r="M94" i="8"/>
  <c r="N94" i="8"/>
  <c r="P72" i="8"/>
  <c r="M93" i="8"/>
  <c r="M92" i="8"/>
  <c r="M91" i="8"/>
  <c r="M90" i="8"/>
  <c r="N90" i="8"/>
  <c r="P69" i="8"/>
  <c r="M89" i="8"/>
  <c r="M88" i="8"/>
  <c r="M87" i="8"/>
  <c r="M86" i="8"/>
  <c r="N86" i="8"/>
  <c r="M85" i="8"/>
  <c r="M84" i="8"/>
  <c r="M83" i="8"/>
  <c r="M82" i="8"/>
  <c r="N82" i="8"/>
  <c r="M81" i="8"/>
  <c r="M80" i="8"/>
  <c r="M79" i="8"/>
  <c r="M78" i="8"/>
  <c r="N78" i="8"/>
  <c r="M77" i="8"/>
  <c r="M76" i="8"/>
  <c r="M75" i="8"/>
  <c r="M74" i="8"/>
  <c r="N74" i="8"/>
  <c r="M73" i="8"/>
  <c r="M72" i="8"/>
  <c r="M71" i="8"/>
  <c r="M70" i="8"/>
  <c r="N70" i="8"/>
  <c r="M69" i="8"/>
  <c r="M68" i="8"/>
  <c r="M67" i="8"/>
  <c r="M66" i="8"/>
  <c r="N66" i="8"/>
  <c r="P54" i="8"/>
  <c r="M65" i="8"/>
  <c r="M64" i="8"/>
  <c r="M63" i="8"/>
  <c r="M62" i="8"/>
  <c r="N62" i="8"/>
  <c r="M61" i="8"/>
  <c r="M60" i="8"/>
  <c r="M59" i="8"/>
  <c r="M58" i="8"/>
  <c r="N58" i="8"/>
  <c r="M57" i="8"/>
  <c r="M56" i="8"/>
  <c r="M55" i="8"/>
  <c r="M54" i="8"/>
  <c r="N54" i="8"/>
  <c r="M53" i="8"/>
  <c r="M52" i="8"/>
  <c r="M51" i="8"/>
  <c r="M50" i="8"/>
  <c r="N50" i="8"/>
  <c r="C97" i="8"/>
  <c r="C11" i="5"/>
  <c r="D96" i="8"/>
  <c r="D95" i="8"/>
  <c r="D94" i="8"/>
  <c r="D93" i="8"/>
  <c r="D92" i="8"/>
  <c r="D91" i="8"/>
  <c r="D90" i="8"/>
  <c r="D89" i="8"/>
  <c r="D88" i="8"/>
  <c r="D87" i="8"/>
  <c r="D86" i="8"/>
  <c r="D85" i="8"/>
  <c r="D84" i="8"/>
  <c r="D83" i="8"/>
  <c r="D82" i="8"/>
  <c r="D81" i="8"/>
  <c r="D80" i="8"/>
  <c r="D79" i="8"/>
  <c r="D78" i="8"/>
  <c r="D77" i="8"/>
  <c r="D76" i="8"/>
  <c r="D75" i="8"/>
  <c r="D74" i="8"/>
  <c r="D73" i="8"/>
  <c r="D72" i="8"/>
  <c r="D71" i="8"/>
  <c r="D70" i="8"/>
  <c r="E70" i="8"/>
  <c r="D69" i="8"/>
  <c r="D68" i="8"/>
  <c r="D67" i="8"/>
  <c r="D66" i="8"/>
  <c r="E66" i="8"/>
  <c r="D65" i="8"/>
  <c r="D64" i="8"/>
  <c r="D63" i="8"/>
  <c r="D62" i="8"/>
  <c r="E62" i="8"/>
  <c r="D61" i="8"/>
  <c r="D60" i="8"/>
  <c r="D59" i="8"/>
  <c r="D58" i="8"/>
  <c r="E58" i="8"/>
  <c r="D57" i="8"/>
  <c r="D56" i="8"/>
  <c r="D55" i="8"/>
  <c r="D54" i="8"/>
  <c r="E54" i="8"/>
  <c r="D53" i="8"/>
  <c r="D52" i="8"/>
  <c r="D51" i="8"/>
  <c r="D50" i="8"/>
  <c r="E50" i="8"/>
  <c r="A11" i="5"/>
  <c r="B11" i="5"/>
  <c r="N4"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3" i="8"/>
  <c r="E52" i="8"/>
  <c r="E56" i="8"/>
  <c r="E60" i="8"/>
  <c r="E64" i="8"/>
  <c r="E68" i="8"/>
  <c r="E72" i="8"/>
  <c r="E76" i="8"/>
  <c r="E80" i="8"/>
  <c r="E84" i="8"/>
  <c r="E53" i="8"/>
  <c r="E57" i="8"/>
  <c r="E61" i="8"/>
  <c r="G60" i="8"/>
  <c r="E65" i="8"/>
  <c r="E69" i="8"/>
  <c r="E73" i="8"/>
  <c r="E51" i="8"/>
  <c r="E55" i="8"/>
  <c r="E59" i="8"/>
  <c r="G83" i="8"/>
  <c r="E63" i="8"/>
  <c r="E67" i="8"/>
  <c r="E71" i="8"/>
  <c r="E75" i="8"/>
  <c r="E79" i="8"/>
  <c r="E83" i="8"/>
  <c r="E87" i="8"/>
  <c r="E91" i="8"/>
  <c r="E95" i="8"/>
  <c r="E88" i="8"/>
  <c r="E92" i="8"/>
  <c r="E96" i="8"/>
  <c r="N51" i="8"/>
  <c r="N55" i="8"/>
  <c r="N59" i="8"/>
  <c r="P52" i="8"/>
  <c r="N63" i="8"/>
  <c r="N67" i="8"/>
  <c r="P55" i="8"/>
  <c r="N71" i="8"/>
  <c r="N75" i="8"/>
  <c r="P59" i="8"/>
  <c r="N79" i="8"/>
  <c r="P62" i="8"/>
  <c r="N83" i="8"/>
  <c r="N87" i="8"/>
  <c r="P66" i="8"/>
  <c r="N91" i="8"/>
  <c r="N95" i="8"/>
  <c r="P73" i="8"/>
  <c r="N52" i="8"/>
  <c r="N56" i="8"/>
  <c r="N60" i="8"/>
  <c r="N64" i="8"/>
  <c r="P53" i="8"/>
  <c r="N68" i="8"/>
  <c r="P57" i="8"/>
  <c r="N72" i="8"/>
  <c r="P58" i="8"/>
  <c r="N76" i="8"/>
  <c r="P60" i="8"/>
  <c r="N80" i="8"/>
  <c r="P63" i="8"/>
  <c r="N84" i="8"/>
  <c r="P64" i="8"/>
  <c r="N88" i="8"/>
  <c r="P67" i="8"/>
  <c r="N92" i="8"/>
  <c r="P71" i="8"/>
  <c r="N96" i="8"/>
  <c r="N53" i="8"/>
  <c r="N57" i="8"/>
  <c r="P51" i="8"/>
  <c r="N61" i="8"/>
  <c r="N65" i="8"/>
  <c r="N69" i="8"/>
  <c r="P56" i="8"/>
  <c r="N73" i="8"/>
  <c r="N77" i="8"/>
  <c r="P61" i="8"/>
  <c r="N81" i="8"/>
  <c r="N85" i="8"/>
  <c r="P65" i="8"/>
  <c r="N89" i="8"/>
  <c r="P68" i="8"/>
  <c r="N93" i="8"/>
  <c r="P70" i="8"/>
  <c r="N97" i="8"/>
  <c r="E77" i="8"/>
  <c r="E81" i="8"/>
  <c r="G77" i="8"/>
  <c r="E85" i="8"/>
  <c r="E89" i="8"/>
  <c r="E93" i="8"/>
  <c r="E74" i="8"/>
  <c r="E78" i="8"/>
  <c r="E82" i="8"/>
  <c r="E86" i="8"/>
  <c r="E90" i="8"/>
  <c r="E94" i="8"/>
  <c r="N49" i="8"/>
  <c r="C35" i="7"/>
  <c r="C25" i="7"/>
  <c r="B10" i="7"/>
  <c r="C43" i="7"/>
  <c r="G3" i="7"/>
  <c r="B46" i="7"/>
  <c r="B45" i="7"/>
  <c r="U42" i="7"/>
  <c r="T42" i="7"/>
  <c r="S42" i="7"/>
  <c r="R42" i="7"/>
  <c r="Q42" i="7"/>
  <c r="P42" i="7"/>
  <c r="O42" i="7"/>
  <c r="U37" i="7"/>
  <c r="T37" i="7"/>
  <c r="S37" i="7"/>
  <c r="R37" i="7"/>
  <c r="Q37" i="7"/>
  <c r="P37" i="7"/>
  <c r="O37" i="7"/>
  <c r="U35" i="7"/>
  <c r="T35" i="7"/>
  <c r="S35" i="7"/>
  <c r="R35" i="7"/>
  <c r="Q35" i="7"/>
  <c r="P35" i="7"/>
  <c r="O35" i="7"/>
  <c r="N35" i="7"/>
  <c r="M35" i="7"/>
  <c r="L35" i="7"/>
  <c r="K35" i="7"/>
  <c r="J35" i="7"/>
  <c r="I35" i="7"/>
  <c r="H35" i="7"/>
  <c r="G35" i="7"/>
  <c r="F35" i="7"/>
  <c r="E35" i="7"/>
  <c r="D35" i="7"/>
  <c r="U34" i="7"/>
  <c r="T34" i="7"/>
  <c r="S34" i="7"/>
  <c r="R34" i="7"/>
  <c r="Q34" i="7"/>
  <c r="P34" i="7"/>
  <c r="C27" i="7"/>
  <c r="C26" i="7"/>
  <c r="M8" i="7"/>
  <c r="J34" i="7"/>
  <c r="M34" i="7"/>
  <c r="I34" i="7"/>
  <c r="H34" i="7"/>
  <c r="K34" i="7"/>
  <c r="G90" i="8"/>
  <c r="O34" i="7"/>
  <c r="D34" i="7"/>
  <c r="G6" i="7"/>
  <c r="N34" i="7"/>
  <c r="C34" i="7"/>
  <c r="G34" i="7"/>
  <c r="L34" i="7"/>
  <c r="E34" i="7"/>
  <c r="F34" i="7"/>
  <c r="G9" i="7"/>
  <c r="G13" i="7"/>
  <c r="G8" i="7"/>
  <c r="H51" i="7"/>
  <c r="H37" i="7"/>
  <c r="C50" i="7"/>
  <c r="L51" i="7"/>
  <c r="L37" i="7"/>
  <c r="I51" i="7"/>
  <c r="I37" i="7"/>
  <c r="H50" i="7"/>
  <c r="H52" i="7"/>
  <c r="H42" i="7"/>
  <c r="E51" i="7"/>
  <c r="E37" i="7"/>
  <c r="G51" i="7"/>
  <c r="G37" i="7"/>
  <c r="D50" i="7"/>
  <c r="I50" i="7"/>
  <c r="K50" i="7"/>
  <c r="F50" i="7"/>
  <c r="M50" i="7"/>
  <c r="G50" i="7"/>
  <c r="C51" i="7"/>
  <c r="C37" i="7"/>
  <c r="F51" i="7"/>
  <c r="F37" i="7"/>
  <c r="K51" i="7"/>
  <c r="K37" i="7"/>
  <c r="D51" i="7"/>
  <c r="D37" i="7"/>
  <c r="M51" i="7"/>
  <c r="M37" i="7"/>
  <c r="J51" i="7"/>
  <c r="J37" i="7"/>
  <c r="E50" i="7"/>
  <c r="J50" i="7"/>
  <c r="N51" i="7"/>
  <c r="N37" i="7"/>
  <c r="L50" i="7"/>
  <c r="L52" i="7"/>
  <c r="L42" i="7"/>
  <c r="N50" i="7"/>
  <c r="N52" i="7"/>
  <c r="N42" i="7"/>
  <c r="E52" i="7"/>
  <c r="E42" i="7"/>
  <c r="M52" i="7"/>
  <c r="M42" i="7"/>
  <c r="D52" i="7"/>
  <c r="D42" i="7"/>
  <c r="F52" i="7"/>
  <c r="F42" i="7"/>
  <c r="K52" i="7"/>
  <c r="K42" i="7"/>
  <c r="C52" i="7"/>
  <c r="J52" i="7"/>
  <c r="J42" i="7"/>
  <c r="G52" i="7"/>
  <c r="G42" i="7"/>
  <c r="I52" i="7"/>
  <c r="I42" i="7"/>
  <c r="C53" i="7"/>
  <c r="D53" i="7"/>
  <c r="E53" i="7"/>
  <c r="F53" i="7"/>
  <c r="G53" i="7"/>
  <c r="H53" i="7"/>
  <c r="I53" i="7"/>
  <c r="J53" i="7"/>
  <c r="K53" i="7"/>
  <c r="L53" i="7"/>
  <c r="M53" i="7"/>
  <c r="N53" i="7"/>
  <c r="C4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Antonio Conde</author>
  </authors>
  <commentList>
    <comment ref="Q2" authorId="0" shapeId="0" xr:uid="{76028AD9-579A-42A6-BCAB-47AEE57FADEB}">
      <text>
        <r>
          <rPr>
            <b/>
            <sz val="9"/>
            <color indexed="81"/>
            <rFont val="Tahoma"/>
            <family val="2"/>
          </rPr>
          <t>Suposición</t>
        </r>
        <r>
          <rPr>
            <sz val="9"/>
            <color indexed="81"/>
            <rFont val="Tahoma"/>
            <family val="2"/>
          </rPr>
          <t>: Q2
  Distribución Uniforme
  Mínimo = 1%
  Máximo = 3%</t>
        </r>
      </text>
    </comment>
    <comment ref="Q3" authorId="0" shapeId="0" xr:uid="{035112EA-BDCC-4E6B-B819-7341A1822DA4}">
      <text>
        <r>
          <rPr>
            <b/>
            <sz val="9"/>
            <color indexed="81"/>
            <rFont val="Tahoma"/>
            <family val="2"/>
          </rPr>
          <t>Suposición</t>
        </r>
        <r>
          <rPr>
            <sz val="9"/>
            <color indexed="81"/>
            <rFont val="Tahoma"/>
            <family val="2"/>
          </rPr>
          <t>: Q3
  Distribución Uniforme
  Mínimo = 6%
  Máximo = 8%</t>
        </r>
      </text>
    </comment>
    <comment ref="R10" authorId="0" shapeId="0" xr:uid="{DAAD0535-D8F6-4F8C-83A1-7A7620D6D154}">
      <text>
        <r>
          <rPr>
            <b/>
            <sz val="9"/>
            <color indexed="81"/>
            <rFont val="Tahoma"/>
            <family val="2"/>
          </rPr>
          <t>Previsión</t>
        </r>
        <r>
          <rPr>
            <sz val="9"/>
            <color indexed="81"/>
            <rFont val="Tahoma"/>
            <family val="2"/>
          </rPr>
          <t>: Lorenzo</t>
        </r>
      </text>
    </comment>
    <comment ref="R12" authorId="0" shapeId="0" xr:uid="{F1E15B87-CDD3-4869-BC95-89DA02988132}">
      <text>
        <r>
          <rPr>
            <b/>
            <sz val="9"/>
            <color indexed="81"/>
            <rFont val="Tahoma"/>
            <family val="2"/>
          </rPr>
          <t>Previsión</t>
        </r>
        <r>
          <rPr>
            <sz val="9"/>
            <color indexed="81"/>
            <rFont val="Tahoma"/>
            <family val="2"/>
          </rPr>
          <t>: Iberdrola</t>
        </r>
      </text>
    </comment>
    <comment ref="B13" authorId="0" shapeId="0" xr:uid="{5F7C5744-9293-4BBC-922E-DCB2C503BE79}">
      <text>
        <r>
          <rPr>
            <b/>
            <sz val="9"/>
            <color indexed="81"/>
            <rFont val="Tahoma"/>
            <family val="2"/>
          </rPr>
          <t>Suposición</t>
        </r>
        <r>
          <rPr>
            <sz val="9"/>
            <color indexed="81"/>
            <rFont val="Tahoma"/>
            <family val="2"/>
          </rPr>
          <t>: Installed capacity wind turbine (MW)
  Distribución Uniforme
  Mínimo = 1.4
  Máximo = 1.5</t>
        </r>
      </text>
    </comment>
    <comment ref="B14" authorId="0" shapeId="0" xr:uid="{221DE070-22C9-4F59-BC3C-7C97F329A6FF}">
      <text>
        <r>
          <rPr>
            <b/>
            <sz val="9"/>
            <color indexed="81"/>
            <rFont val="Tahoma"/>
            <family val="2"/>
          </rPr>
          <t>Suposición</t>
        </r>
        <r>
          <rPr>
            <sz val="9"/>
            <color indexed="81"/>
            <rFont val="Tahoma"/>
            <family val="2"/>
          </rPr>
          <t>: Annual operating hours
  Distribución Uniforme
  Mínimo = 1,300
  Máximo = 5,900</t>
        </r>
      </text>
    </comment>
    <comment ref="B16" authorId="0" shapeId="0" xr:uid="{8475331C-E937-4423-A1EF-8C7948FBD1C0}">
      <text>
        <r>
          <rPr>
            <b/>
            <sz val="9"/>
            <color indexed="81"/>
            <rFont val="Tahoma"/>
            <family val="2"/>
          </rPr>
          <t>Suposición</t>
        </r>
        <r>
          <rPr>
            <sz val="9"/>
            <color indexed="81"/>
            <rFont val="Tahoma"/>
            <family val="2"/>
          </rPr>
          <t>: Price of electricity + GC (€/MWh)
  Distribución Uniforme
  Mínimo = 75.00
  Máximo = 82.00</t>
        </r>
      </text>
    </comment>
    <comment ref="B22" authorId="0" shapeId="0" xr:uid="{C9EE27BA-4BCF-4F2E-839D-C2A84F869181}">
      <text>
        <r>
          <rPr>
            <b/>
            <sz val="9"/>
            <color indexed="81"/>
            <rFont val="Tahoma"/>
            <family val="2"/>
          </rPr>
          <t>Suposición</t>
        </r>
        <r>
          <rPr>
            <sz val="9"/>
            <color indexed="81"/>
            <rFont val="Tahoma"/>
            <family val="2"/>
          </rPr>
          <t>: Cost of deviations (€/MWh)
  Distribución Normal
  Media = 10.00
  Desv est = 3.30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 Antonio Conde</author>
  </authors>
  <commentList>
    <comment ref="J50" authorId="0" shapeId="0" xr:uid="{693DCF6C-85BD-42D0-B091-204F36948ACA}">
      <text>
        <r>
          <rPr>
            <b/>
            <sz val="9"/>
            <color indexed="81"/>
            <rFont val="Tahoma"/>
            <family val="2"/>
          </rPr>
          <t>Suposición</t>
        </r>
        <r>
          <rPr>
            <sz val="9"/>
            <color indexed="81"/>
            <rFont val="Tahoma"/>
            <family val="2"/>
          </rPr>
          <t>: Forecast
  Distribución Personalizada</t>
        </r>
      </text>
    </comment>
    <comment ref="J51" authorId="0" shapeId="0" xr:uid="{D594CCA5-6661-4198-8E4A-B6BF58F9AA44}">
      <text>
        <r>
          <rPr>
            <b/>
            <sz val="9"/>
            <color indexed="81"/>
            <rFont val="Tahoma"/>
            <family val="2"/>
          </rPr>
          <t>Variable de decisión</t>
        </r>
        <r>
          <rPr>
            <sz val="9"/>
            <color indexed="81"/>
            <rFont val="Tahoma"/>
            <family val="2"/>
          </rPr>
          <t>: Production
  Tipo = Continuo
  Mínimo = 0.00
  Máximo = 18.40</t>
        </r>
      </text>
    </comment>
    <comment ref="J52" authorId="0" shapeId="0" xr:uid="{D84721C0-12C8-476B-BC84-6A4BD8F21CC9}">
      <text>
        <r>
          <rPr>
            <b/>
            <sz val="9"/>
            <color indexed="81"/>
            <rFont val="Tahoma"/>
            <family val="2"/>
          </rPr>
          <t>Suposición</t>
        </r>
        <r>
          <rPr>
            <sz val="9"/>
            <color indexed="81"/>
            <rFont val="Tahoma"/>
            <family val="2"/>
          </rPr>
          <t>: Market price
  Distribución Personalizada</t>
        </r>
      </text>
    </comment>
    <comment ref="J53" authorId="0" shapeId="0" xr:uid="{03D5D93A-C584-4D98-8DAB-D31F562B2ECA}">
      <text>
        <r>
          <rPr>
            <b/>
            <sz val="9"/>
            <color indexed="81"/>
            <rFont val="Tahoma"/>
            <family val="2"/>
          </rPr>
          <t>Suposición</t>
        </r>
        <r>
          <rPr>
            <sz val="9"/>
            <color indexed="81"/>
            <rFont val="Tahoma"/>
            <family val="2"/>
          </rPr>
          <t>: Deviation price
  Distribución Personalizada</t>
        </r>
      </text>
    </comment>
    <comment ref="J57" authorId="0" shapeId="0" xr:uid="{4736FF0E-B72A-4DD2-B7D3-0CFD7C678F88}">
      <text>
        <r>
          <rPr>
            <b/>
            <sz val="9"/>
            <color indexed="81"/>
            <rFont val="Tahoma"/>
            <family val="2"/>
          </rPr>
          <t>Suposición</t>
        </r>
        <r>
          <rPr>
            <sz val="9"/>
            <color indexed="81"/>
            <rFont val="Tahoma"/>
            <family val="2"/>
          </rPr>
          <t>: Forecast (J57)
  Distribución Personalizada</t>
        </r>
      </text>
    </comment>
    <comment ref="K58" authorId="0" shapeId="0" xr:uid="{FB393004-EB7D-4825-AD13-9FDD70FA9802}">
      <text>
        <r>
          <rPr>
            <b/>
            <sz val="9"/>
            <color indexed="81"/>
            <rFont val="Tahoma"/>
            <family val="2"/>
          </rPr>
          <t>Previsión</t>
        </r>
        <r>
          <rPr>
            <sz val="9"/>
            <color indexed="81"/>
            <rFont val="Tahoma"/>
            <family val="2"/>
          </rPr>
          <t>: Mwh dif</t>
        </r>
      </text>
    </comment>
    <comment ref="J59" authorId="0" shapeId="0" xr:uid="{F8CD5D2D-340B-4F66-9B82-93E59EEEE7EA}">
      <text>
        <r>
          <rPr>
            <b/>
            <sz val="9"/>
            <color indexed="81"/>
            <rFont val="Tahoma"/>
            <family val="2"/>
          </rPr>
          <t>Suposición</t>
        </r>
        <r>
          <rPr>
            <sz val="9"/>
            <color indexed="81"/>
            <rFont val="Tahoma"/>
            <family val="2"/>
          </rPr>
          <t>: Market price (J59)
  Distribución Personalizada</t>
        </r>
      </text>
    </comment>
    <comment ref="J60" authorId="0" shapeId="0" xr:uid="{C1A0D494-1072-473E-A2F5-3EC7C15EBE0F}">
      <text>
        <r>
          <rPr>
            <b/>
            <sz val="9"/>
            <color indexed="81"/>
            <rFont val="Tahoma"/>
            <family val="2"/>
          </rPr>
          <t>Suposición</t>
        </r>
        <r>
          <rPr>
            <sz val="9"/>
            <color indexed="81"/>
            <rFont val="Tahoma"/>
            <family val="2"/>
          </rPr>
          <t>: Deviation price (J60)
  Distribución Personalizada</t>
        </r>
      </text>
    </comment>
    <comment ref="J61" authorId="0" shapeId="0" xr:uid="{6AEB0DF9-449B-4609-8234-1F869946E622}">
      <text>
        <r>
          <rPr>
            <b/>
            <sz val="9"/>
            <color indexed="81"/>
            <rFont val="Tahoma"/>
            <family val="2"/>
          </rPr>
          <t>Previsión</t>
        </r>
        <r>
          <rPr>
            <sz val="9"/>
            <color indexed="81"/>
            <rFont val="Tahoma"/>
            <family val="2"/>
          </rPr>
          <t>: Deviation cost 18</t>
        </r>
      </text>
    </comment>
  </commentList>
</comments>
</file>

<file path=xl/sharedStrings.xml><?xml version="1.0" encoding="utf-8"?>
<sst xmlns="http://schemas.openxmlformats.org/spreadsheetml/2006/main" count="175" uniqueCount="143">
  <si>
    <t>TOTAL</t>
  </si>
  <si>
    <t>(k€)</t>
  </si>
  <si>
    <t>EBIT</t>
  </si>
  <si>
    <t>EBITDA</t>
  </si>
  <si>
    <t>CFI</t>
  </si>
  <si>
    <t>CFF</t>
  </si>
  <si>
    <t>CFO</t>
  </si>
  <si>
    <t xml:space="preserve"> </t>
  </si>
  <si>
    <t>(€)</t>
  </si>
  <si>
    <t>CASH-FLOW</t>
  </si>
  <si>
    <t>(Mwh)</t>
  </si>
  <si>
    <t>(€/MWh)</t>
  </si>
  <si>
    <t>Sicilia</t>
  </si>
  <si>
    <t>08/08/12-30/09/12</t>
  </si>
  <si>
    <t>ACACIAS</t>
  </si>
  <si>
    <t>CASTANIA</t>
  </si>
  <si>
    <t>LANCEDO</t>
  </si>
  <si>
    <t>NERGA</t>
  </si>
  <si>
    <t>FIORE</t>
  </si>
  <si>
    <t>CHIESA</t>
  </si>
  <si>
    <t>CUZZA</t>
  </si>
  <si>
    <t>FOLIO</t>
  </si>
  <si>
    <t xml:space="preserve"> (€/MWh) </t>
  </si>
  <si>
    <t xml:space="preserve">  '000 €</t>
  </si>
  <si>
    <t>Budget of wind farm</t>
  </si>
  <si>
    <t>Construction permit</t>
  </si>
  <si>
    <t>Promotion and management</t>
  </si>
  <si>
    <t>Civil work</t>
  </si>
  <si>
    <t>Electrical facilities</t>
  </si>
  <si>
    <t>Wind turbines</t>
  </si>
  <si>
    <t>Interconnections</t>
  </si>
  <si>
    <t>Setting up the special-purpose vehicle</t>
  </si>
  <si>
    <t>TOTAL + VAT</t>
  </si>
  <si>
    <t>Parameters</t>
  </si>
  <si>
    <t>Number of wind turbines</t>
  </si>
  <si>
    <t>Annual operating hours</t>
  </si>
  <si>
    <t>Installed capacity wind turbine (MW)</t>
  </si>
  <si>
    <t>Distribution and transfer losses</t>
  </si>
  <si>
    <t>Price of electricity + GC (€/MWh)</t>
  </si>
  <si>
    <t>Appendix 1. Castelbuono Wind Farm</t>
  </si>
  <si>
    <t>Investments</t>
  </si>
  <si>
    <t>Tangible fixed assets</t>
  </si>
  <si>
    <t>VAT</t>
  </si>
  <si>
    <t>Minimum cash balance</t>
  </si>
  <si>
    <t>Financing</t>
  </si>
  <si>
    <t>Capital resources</t>
  </si>
  <si>
    <t>Senior debt</t>
  </si>
  <si>
    <t>Years</t>
  </si>
  <si>
    <t>PV</t>
  </si>
  <si>
    <t>Interest rate</t>
  </si>
  <si>
    <t>Project expenditure</t>
  </si>
  <si>
    <t>Maintenance of the wind turbine</t>
  </si>
  <si>
    <t>Maintenance of the substation</t>
  </si>
  <si>
    <t>Administratio and management</t>
  </si>
  <si>
    <t>Operating expenses</t>
  </si>
  <si>
    <t>Insurance</t>
  </si>
  <si>
    <t>Taxes (€/MW installed)</t>
  </si>
  <si>
    <t>Lease of land</t>
  </si>
  <si>
    <t>Provision for abandonment costs</t>
  </si>
  <si>
    <t>Depreciation of fixed assets (years)</t>
  </si>
  <si>
    <t>Working capital</t>
  </si>
  <si>
    <t>Payment to suppliers</t>
  </si>
  <si>
    <t>Payment from ustomers</t>
  </si>
  <si>
    <t>Cash</t>
  </si>
  <si>
    <t>Inflation</t>
  </si>
  <si>
    <t>Discount rate</t>
  </si>
  <si>
    <t>Energy generated (MWh)</t>
  </si>
  <si>
    <t>Average price of electricity (€/MWh)</t>
  </si>
  <si>
    <t>Variation of the average price (€/MWh)</t>
  </si>
  <si>
    <t>Cost of deviations (€/MWh)</t>
  </si>
  <si>
    <t>Income from electricity generation (k€)</t>
  </si>
  <si>
    <t>TOTAL INCOME</t>
  </si>
  <si>
    <t>Administration and management</t>
  </si>
  <si>
    <t>Municipal taxes</t>
  </si>
  <si>
    <t xml:space="preserve">Maintenance of the wind turbines (k€) </t>
  </si>
  <si>
    <t>Maintenance of the substation (k€)</t>
  </si>
  <si>
    <t>Total operating expenses</t>
  </si>
  <si>
    <t>Depreciation</t>
  </si>
  <si>
    <t>Provision for abdandonment costs</t>
  </si>
  <si>
    <t>Financial expenses</t>
  </si>
  <si>
    <t>EBT</t>
  </si>
  <si>
    <t>Taxes</t>
  </si>
  <si>
    <t>Net profit</t>
  </si>
  <si>
    <t>Change in working capital</t>
  </si>
  <si>
    <t>Receivables (days)</t>
  </si>
  <si>
    <t>Payments (days)</t>
  </si>
  <si>
    <t>Debt payment</t>
  </si>
  <si>
    <t>Interests</t>
  </si>
  <si>
    <t>Cumulative repaid principal</t>
  </si>
  <si>
    <t xml:space="preserve">Principal </t>
  </si>
  <si>
    <t>PV Lorenzo '12</t>
  </si>
  <si>
    <t>PV Iberdrola '13</t>
  </si>
  <si>
    <t>Appendix 2: Forecast and Hourly Production (Castelbuono Wind Farm)</t>
  </si>
  <si>
    <t>Date</t>
  </si>
  <si>
    <t>Time</t>
  </si>
  <si>
    <t>Forecast</t>
  </si>
  <si>
    <t>Production</t>
  </si>
  <si>
    <t>Appendix 3: Italian Market Price and Hourly Deviation Price (Sicily)</t>
  </si>
  <si>
    <t>Daily market price</t>
  </si>
  <si>
    <t>Deviation price</t>
  </si>
  <si>
    <t>Region</t>
  </si>
  <si>
    <t>Period</t>
  </si>
  <si>
    <t># hours</t>
  </si>
  <si>
    <t># macrozone hours +</t>
  </si>
  <si>
    <t>Macrozone probability +*</t>
  </si>
  <si>
    <t>*Probability of overproduction</t>
  </si>
  <si>
    <t>Production (MWh)</t>
  </si>
  <si>
    <t>ABS deviation (MWh)</t>
  </si>
  <si>
    <t>Deviation / production (%)</t>
  </si>
  <si>
    <t>Extra cost of deviations (€)</t>
  </si>
  <si>
    <t>Deviation premium (€/MWh)</t>
  </si>
  <si>
    <t>Appendix 4: Deviation Premium in Italian Wind Farms</t>
  </si>
  <si>
    <t>Cost of deviations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</si>
  <si>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</si>
  <si>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</si>
  <si>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</si>
  <si>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</si>
  <si>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</si>
  <si>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</si>
  <si>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</si>
  <si>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</si>
  <si>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</si>
  <si>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</si>
  <si>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</si>
  <si>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</si>
  <si>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3feb514f-637e-4f85-a850-90b5c3436516</t>
  </si>
  <si>
    <t>CB_Block_7.0.0.0:1</t>
  </si>
  <si>
    <t>Decisioneering:7.0.0.0</t>
  </si>
  <si>
    <t>CB_Block_0</t>
  </si>
  <si>
    <t>㜸〱敤㕣㕢㙣ㅣ㔷ㄹ摥㌳摥㕤敦慣敤搸㡤㤳戶㈹愵㌵昴〶㜵㜰攳戴愶ㄴ〸挱㤷收搲㍡戱ㅢ㍢㈹〸慡捤㜸昷㑣㍣捤捥㡣㍢㌳敢挴愵㔲㈳㘸㈹㠸㥢挴㑤ㄴち㔴㔵㔵㠹ㄷ㉥㐲㉡搷ㄷ〴ㄲ〸ㄵ㠹〷㜸㐰攲愱㈰〴て㔴㈸ㄲㄲ攲〱〹扥敦捣捣敥捣摡㍢㜶户㉤戸挸愷摤摦㘷捥㙤捥㌹晦昵晣晦㤹攴㐴㉥㤷晢㌷ㄲ晦㌲攵㤹戹㜶㘱捤て愴㍤㌶敤搶敢戲ㅡ㔸慥攳㡦㑤㝡㥥戱㌶㙢昹㐱てㅡㄴ㉢ㄶ敡晤㐲挵户ㅥ㤶愵捡慡昴㝣㌴㉡攴㜲愵㤲慥愱㥥㠳昰㌷ㄴ㍦攸散搵㥦〷㔸㥣㥥㥡㕢㝡㄰愳㉥〴慥㈷昷㡦㥣〹晢ㅥㅡㅦㅦㅢㅦ扢㘳晣挰㠱戱〳晢㐷愶ㅢ昵愰攱挹㐳㡥㙣〴㥥㔱摦㍦㌲摦㔸慡㕢搵㝢攵摡愲㝢㕥㍡㠷攴搲㠱摢㤷㡣㍢摥㌱㝥挷挴㠴㜹搷㕤敦攸挷慢㜳㈷愷愷收㍤㘹晡慦搲㤸〵㑥昹㡥ㄹ㔹戵戸㌶㈹㍤换㌹㌷㌶㍤㠵晦ㄳ昳挷搳㥤㘳ぢ换㔲〶㝣戵昴愴㔳㤵扥㡥㡥㝤昶愴敦㌷散ㄵ㙥㥥㙥ㅦ挱㔲慢㠶ㅦㄴ散㘹㔹慦敢㜶㍣㙡挹㥥挳摥搵㡤戵㝥㝢㐱㍡扥ㄵ㔸慢㔶戰㔶戴ㄷ㌱㔰㙤挰㍥敤换㔳㠶㜳㑥㥥㌴㙣㔹戰㡦㌶慣㕡㍥㑣戹㥥㕢攲㈱㤲ㄳ㔳换ㅦ㥢昴敤改㘵挳㔳㌳昲戹㌱ㄹ㙤㡦㜸搵㜴摢ㅢ㍡㡦换愹慢㌷㜰捣㥢㍡户㐳捤ㄹ挳㙢戶ㅣ敤摣㌲㕡㝣㝡〶户㜵㙥㥦搸愳㜴㥦户㜶敥愳戶㌲摤㕡昴㐵昴慤㜶ㄴ㡢搱㡢〴扤〴㈵〲㈲㔰㉦ㄳ昴ㄱ昴〳㠸晣摦挱㈵挹㡥慣搲㉡㠶㔶㔹搲㉡㔵慤㔲搳㉡㔲慢㤸㕡攵㥣㔶㔹搶㉡㤶㔶㜹㔰慢㥣㐷㥢㌸㤵㝡㝢戵㈸改㈳户㍣㍦昱挰愵搹㘷昷扣㌴昱昸㍦㕥晡㘱晦㉥㌴扡㉦㥡搴㡣㘷㕣〰愹戵愸昸攰ㄸ㜸㘲㉢㕣〱愶㌰㈷捣㍢捤昱昱摡挴〱攳㜶愳挰㘵㘵㈰㍦㐵㈸㐳㘸摢㙦摥㙦㌹㌵昷㠲挲摤戵㔳㠶㉦㕢ㅢ㌷ㅡ搵㑤戹つ愷收扦㘱攳捡㠵挰〸攴㌵敤㜵慤㐱搶㜵㕢〰㕢㐹㕦扤敦扡昶㙥㘷㡣㝡㐳㑥㕥戴挲敡㌷戶㔵摢昳㥥扢搴戹昶㠸㈷ㅦ㙡搶慥㥢搱㈴㠴摡慡ㅡ㝢摤㉡挳慡㜰㕥㈳搳换慥㉦ㅤ㌵扤㔱㝢摥慡㥥㤷摥㠲愴㐸㤴㌵戵搴扤慣㡡戸㝥㜴捥挱㐲挱慤戵㌷㈷㑢捤扢㉦〶㘰㘶㔹挳㝣㔷愴ㄷ慣㉤ㅡ㑢㜵㜹㘵慡㐹昸㑥㔴散㑢ㄵㅦ㜱慢つ㝦摡㜵〲捦慤愷㙢㈶㙢慢〶㈴㑤敤㠴㕢㤳昹㝣㑥〹〵〸摣㥥ㅥ㈱㜲户㜶收〵㠵㠸〴㡡挹挸㔷愷挹㙥散ㄴ㔶㠷㔵搴㈵㘹㔲扢㜱㤳挱㌸㕦㈵㘳㌲㌸㌰戱㈶敡て扥昴㉤㥢っ摢挴摣㙢摢㔸搳㠶愳搵摦扤㉡㥤攰㤸攱搴敡搲换搴㝥㠲㌳搲〷〱ち㤷㈱㄰㍡敥ㅥ㔵㥤戸㈸搶ちㄷ慣㕡戰㕣㕣㤶搶戹攵〰㘵搰㤰愵ㄲ户㜶㕤搲慦㐰㤱扥㥢㘰ㄸ愰㕣捥ㄵ昷戰㔱戱㡣㤴㉢㔰㍡㘵昰㜲㑡㤰戳㕦㡡㤷晢捤㈳㔶㍤㤰愱㔰ㅥ㌴㠱㤱㔰慢㈹昴つ㤰㐴㍤愳ㅡ㉡㡣㍤收㌴愸搴戰㥣㘰慤挵户敢戸㈴㈴愲ㅤ㔹戰敤㘴〱㐵㐱㕡ㅥ㘴昰ㅡ㠸愶㑤ㅡ㘴㌷㑥㄰ㄱ搹㈰㐳戳㘳攴㌴㤱戱㝤㠶㡣㐰晢㈴ㄱ戲昵㠱捥㌲㠲挴扥㥥㐸搹愹㈳㍦敥㐸戳㡤㙣昹㔰㥡敤挵挶改㔷ㄲ㕣㐵㜰㌵挱㍥〰昱㘷㐸㌸㑡㌹攴搳㐹㝦〳㥥昵㙢〹摥〸〰昹愴㔳收㐴愲㡡㌶搴㔶散㐸戶ㅢ㠰㥤慣㡣攲㔰ㄴ搱㌲㙥摡㤹〳戶㐲㜴㘴㜵㙥て㕤㥢㔷㍡昶收捥戴㤹㕣づ㈹㌲愳㘹㜲慤㥢㌴㑤㙥〴㥢㜶愹户慥㐷㔷㝤㠴攰㑤〰㘵晤捤㠴㔰㉥㌴㜸户㘶搱搳愴㝣㕤㤸㐵愱㌱搴愵㠲㡦〸㤹㐷㠰っ㈱户敥昸戲㘳㐳搳ㅣㅣ㌵㕦昷㌶昴晥捥晣ㅤ㈱扤㑤㙦敥攸ㅤ晡㡢㕥愶ㄵ㝤〳搸㑢晣扥愳㡥戹〹搵晡捤〴户〰戴改ㄸ㥥扥㕦慥愷㐰㤹挵㜶〲㜳扢改㜵㔱㔶敥攲摡㡡㔴ㅡ愸摦㕣㌴扣㜳㌲㠰〷攳昸っ㙣㘱搷昳㘴ㅤ㠷摡㥡㉡攰昹攵慡㜴愱㝦挴㜳㙤㤶敦搸挸晥敢㐲㌱攴昳㕡㑦慥捤㐶捥戰㌵ㄳ㍥愷〴攵㔰〷摦摥㔹㐸㈴㍡愵挹㡢晤戲捦㤷㍢㤲愴ぢ㐹昲㔶㙣慢㝥㉢〰愴㠴昸㙤㐷㠹戲㥦捤摥愶㥡愵㉤㔶㝡昸㌲㑥㈷㙤㍥挴㜵㜲愴㉦㜴搸㑥挱㝦攰て搸ぢ㤶摤ㄴㄶ㝤昶扣昴慡昰㉤㔸㜵㔹づ摤戲ㄴ㌵㍢戲攲㜵㈲㉢㝡㝡搶㥤愷㌳晣㙢㡡㑥摡愴㐴㈶户㘷㔶㘶㥣挵㕢㐴㐵㌷㈴㠵㑡㠶㙢愸㈹㠱㐸㜹㙣扢㈳㘲扡㄰㌱户㘱攳昴〳〴攳〴〷〱ち扦㠲愴搹敡挶㌳ㅣ搶扢㑡㤷㜶愵㤲㉢ㄱつ捡㐵昸㐲㐷㘱㌵挱搷扣㥤攰㑥㠰㌶昳㠷づ挸っ㐲㔴㈸㑦㄰愲ち㘳㤸㘷㉣㜹㠱㌴戰换㐴㘰㘹扡攱〷慥捤挸搲㠰㌹攳㥥㜴㠳ㄹ换㕦㐱㈴㙡搸㡣㌲昷㉦㑢〷搴攵挱昶㘹㉢㜳㔷㔶㘴㑤㌷ㄷ摣〶㐴摢昱㤹敤㜰㌰挷㜶挰㤶㔴㘷㜳㑤㈰㜵㜷㍥挶㄰〲㍢慤晣慤昴挶㙥挹晢捤㐳摦㘰㙢㐷ㄷ慤愰㉥晢捣㤰改㤸㉦㤹搸㐵㐴づ㙡扤收攲戲㈷攵捣㠰㜹搴戳㙡㜵换㤱㐴〶㙣㑣〶敢㘶攵㌹㐴〹收㕤挶〰㕤㘷挰㕣昴っ挷㕦㌱ㄸ㔰㕣摢㥤㝡㔲㘱㤱㠲㌹㘵㌹㍥㕥愳戰挸晣愰戹戰散㕥㐰挴戶㘱㍢㐷㡤ㄵ㝦㕢㘰㠵㐴ㅦ㈶㠵ㅡ愱〹㑤ㄳ㈵慤搴㉤㝥㜸㈰捦攵挸㝢㜹〲㠵慢㕣㠱㍥昳っ敤㑤扢㍥㡡搱搰㑥攷㥣晡ㄱ㍤㙡ㄶ昶㘴㑡㘱㜲慡㝥ㄷ晢扣ㄳ攰㥥愳愷㡦户㈲㜳慦㈸㘶㕤愰㤷㍦㐳挶㉢戲㘸〶㐲攸愳摢ㄵ㤲ち换㐸㌹攰㐰㘰㥣㑦敤攴㔷㌶㔵ㅢ㔲摦慥㔶昶〸㈲㐹晤收慣戱㈴敢㠸㐷摢㐶戰㉢㝣愰ㄹ㙢ㅢ㜵㍦慡㥢㜶㙤摢㈰㘹㤱㉣ㄷ慡〶㈹㜸戲ㄱ戸㈷㉣㐷㌷〱ㄴ晤㐵㐵挶㐵ㄴㄹㄷ㔵㔱扦㜹㡡愱㐱㤵攷㔸敥㌹挳戳㠲㘵摢慡㤶昸挰昰摤戶愰㐹㌰㌹㈵㙦㥣㘲㤹㌱搲㘶捤㥦㠶挹收㡦〱摤㘳㤰愳摣㍡愲ㅦ㤴慢㠹㈲晥ㄳ㕤㍡㤶㈰㘰㤴愷㔴㝦㌷㐶㉢愸摢ㄱ㄰㌹㉡㕤㡥敦㘰㕣㝥ㄴ㈵愱㄰㈲搶㌳㐸〴㕥挱㠴㤰愷㡢扢㘸㥥㜶慣〰搸㈳挶㡥㔸挱㡣て㤴〳㈰慢㡥户搷㈸慣㈶㍡㡤㌶戵挲昵敢慢㔲㙡攲扡昵昵㐹扤㜱攳〶搵愱㐶㐹㈸㤲捤ㅡ㈹捤戲挱ㅣ户㤳慡ㄱ㑡㜱挷摡㐶㘴戹㑤㕢晢㑥㈹昲ちㄴ㤳愲㤹㥣晥ㅥ㐵㈸〸昴㐶㍡㡡㍥晢㙣昲㐸㐴㙣㘸〳㤴愹愷挲戲㠱㈸㈴㜸ㅣ搷㑥㙡戲ㅣ㍤㠱扦㜷㐵搹戹㐶㤰慡㌱㉥づ㐷㌵㤳昵晡㥣〳㉢愱㙡㜸戵㙤挲搲㔸㕢愸㘱ㄴ㜷㜶慢晤挳敤㑤㌰㘲挴㠶っ㡢㘴昸㠱挱㠶㘰慥㐴㐴㤵搶搹〰户扡㔹㕣攲搳〹㘹㌸ち〳ぢ㐱㙤㐶慥㉡㌳慣㘵挹て慢づ捤搳愲㤲愳扡㌹戹攴㐳愵〷㤴攳㔱㑥㌱戸㙥㥥愲㕢ち㤷ㄸ㈰㜶愳摣㝣㌵㐰㘸户㌹〰㑦〶摢〷㍢搸㤱㌰㜴㐲敢㡣ㄲ戴㤸㐱戸改㐵㤰㜷扡挴㈸〴愹愹搲摦づ㡢㉦㍦挹昴㡤挳戹㌸ㄳ㌱ㄱ挳㕤ㄹ搶〳㤰㥢㡣㑣㤲㡢㠶攳㠰㜹㈸搹㤴搰敡㡦换㘸㘲っ搰攴昳〲摣攲㘱㉣㙢㤰㙣㔳挷㍤户挰㠲㌶慤慦敤㌲㡦㍢搵㝡愳㈶㤵㉡㡥㘵戵搲挸摢〲㕦敡ち㘰挸㑤ㄹ晢ㄲ㙤捡㜱ㅣ愵戸㘴㈲愹㝢扢㕢㍦㡣敥㑡挸㘱㡣㔰昵㌱〰㤹攱㤶㔳〱戱㜵昷ㄴ㘸ㅦ敥㙥㕤㘰㔰㤷攷㈰搲搶ㄵ㔱㤶捤攲㍥㕥㌳㡡慣戸㉤搱㙣搶㥤㜵㘹戳㈷㡡㡥㔹㘱搱戶挰ㄱ搶ㄹち扣㘲ㄱ挶㐸㤷摣挱㐱㜲㤷愳攸敥攵㐷搵㘳敥㌲㔰愱㌰㈰ㄸ攳攵㈹㈸㠷㕤〵㈳搱攰搶㕡㔶户㘰昴㤷㤶户㍥〹㈰ㄸ〶愶㐱㡢㤶愱㠱㌳㡤晣收〶捥昵㘸㤵ㄱ㈱㑤〶㔳ㄹ愳ㅣ㠶挳ㅥ㐸〳㌷昱㈰扤攸㐲〹〵㝢搴挵戰昸㙥攲愸㡤㈳㤰敢㕤搹㔶㌸㙦〴戸晥攲散㙢㉢㥥慣搵㘸敥挲㍦户㉤戰㡡慢ㅢ愱㌹扡愷敤㔲㤶㕡ㄳ敤扢ㅢ摡㉡愲换㠲〷㘷挶㡥ㄹ㐱㜵㜹㈱㔸ぢ㉦㙥㜵㑢ㄲ㠵ㅦ挳ㅦ戱攱摢㘹㌳攷ㅤ㕥㐴㕤攵摥㤷捦㍢敥〵㐷捤慢攰昳搶ㅦ㈸〴㔷㈸㝢㌹挹㜲敥摦昸㑦㈵㉤㔷昸ㄱ㐶摣捡戴㌹㐰换㐱挲㜱搴扤换㔰ㅡ㡣攰㌱㠳㑥㘰扢㌷㙦つ㤰㑥昶戴搱㠹ㄲ〴㍢㠴攲㥣㝢搵〸㐵晣㄰㘸㈵戱㠴㐷㜲散昹㜳㘰㝤昱〳㤴㄰攱扣摡ㄱ〹昲㌷㘵愳㑥〹昲攸㡡〷㝢晤晦㘰㈹收收つ搹改扦挰捣攲晢敤㈸扡㡥㈸晡㕥㠴㈲㕥㈸っ㔱㈴㜸つ㐴昱敦㍤挸挴愹挰昰散换ち㠴㜳㑤㍢〷搰搷晣挲敦晦昰〰㍡ㅢㄱ㠷愲ㅢ㠴摡㙥挲㜳搳㐴攸㔹㘷㈲㌰㜸慦㑣㠴ㄳ挸〸㐶昱㐳ㄳ㈱昲㠱捣愱㘰㜳ㄳ㠱戱扤っ㐳㌰ㄱ㙡㑤戸㌵㜸〲扢搲愶㝦散ㄸ㉥摥㑡ㅦ昱㝣㈸㉤㝦ㅡㅥ愹慢搶ㄷ捦ㅢ㥥㘱敦㔳攵㐷㍤〹㘵收㉤攲㈶户敡挲ㅥ搷㙣㔸愳㍡㙤攰慢㠸扤散㍢晥㤴慤摤㕦〷愶挲ㄴ扡敦㐵㐹ㄴ㕦㠱愷㐴昰摣㤰晢搰㥥㙦ㅥ晤挳挳㡦ㅤ收㙤戵㠸㔶ぢ户㈲摦㑤挸㥥昶〴㠲扡㠹㡢㈲㝢昹㘱捥〹㝣愲㘴慤搴攵㤴攱㈹㉢挸搷敤㌸ㅢㄲ㕥㠲㌰㐳攲摢づ㈶㈶敥㍤㠴㈶收㔸㥢扢㔳㝤搸愴㕣㠴㘳㠹㠹㉢㥦㕥ㅣ㌶ㄴㅤㄵ㔹㤷搶㘶攱摢㔰㐵㉦㜳㈲㘹㉢㤱愷㑥㈶㈱扥搵慥敢㈶愸敢挲㠳っ挳晥戱㤴㐲晣㠱ㄴ㤲㍣挸昰㐲㠰㤲㔲愷㤰㈹摣〶㤰ㄱ㔹㙢て昱搲ㅦ戰㈳〴㘴昳搲㕦㤷ㅦ戱㘰ㄷ㠱挵搸ㄷ摦敤㠹㤶戶㘸慣㥡ㄸ慡㔵㌶捤〲㌲敡昰挲㠲昱戸㌴㘵改ㅣ㐴改㤶摤㔱㝣挹㠰ㅤ〶摥㐲挶㉥搸昴戵㤵敤扢㥤〶㙥㝥㐰捦ㄴ㤵挲㜰㜶戳ㄸ〷㔲ㄵ愳ぢ㥢㤶挳㈲挲挱㌰摢散搴ㄷ㔵㐱㘷㌹晢㜰㉡㐵昰㡦㕦ち戱㝥戴㌵昴摥昶ㅡ敡㌸愷ㄷぢ攴て昶搷㜵ㄹ㡣㡤户㤲㘳㈰㘱户搴慡ㄴ㕥て㍦㡤㉥㕣㜴㑥攸慤慣㝡ㄶㄳ昸ㄳ㜳㔶㡦戶㑥晦㌳㝡慤㌸敢っ㝢㌳㡣㥤搲晦敦㐳挱愶晡㕦㌰昶愶㄰昹晥㈸挳㠷〲攳㈷㥢㠶㙣戸㈳昰㙣㈳㜸愳づ挶扡捡㌲攴ㅤ收ㄶ昰昱㙡㔸慤㈴㌸晣㕥昹昶慢ㄱ捤扥戴㙤晢㍡ち㐰挶㠶ち捦㐱〴㜵散㥦㤶㕢ㅣ㡤愹昸〱㠰㍤㈷慣慡攷晡慥ㄹ㡣㉣㈰攸㍢挲㙦捦㑣搸㍣㤳攲搹㜶愱㜶〳㜶愲晦〱昴㌹㌹〷㠱㝤㔲〶慦㔶㉣㤲㤱㠵慤㐵㌲㜸㙣ㄸ㑡㠴㤷愸ㅤ晣㉢捣晢ㅡ㐶ㅤ㥦慥捥挱搷ㄹ戰㘸㕢㈸扢搰攳摣㝥㐳㠳㕢㠷㍢㕡昷挲ㅦ㈴敢㘳〸㡥愹㈵㝣攰〱敥㙢晢ㅥ愴摢㐶㙢昳搹戲㍢㥦㕢戹昰っ㜰扡戵户愴㐹㠶敦攴ㄷ挹㘵扤㐲㠸㑢晢㜰搴㘵㌹慥摢ㅣ戴ㅣ㙤ㄸ㜴ㅥ㝤搰㑤㐷搸㘸ㅤ敥戳㉤㐴扦捦愲慢㤸㈴挰㑦㌷愲っㅦ〴扤㝣㘴㐵昱㌵㉣㡢っ㠰㝣慥㔸〵攸㑣搵㑦㙤㐴搵㐳戱㐰ㄶ㍣㘳㤰ㅣ换攲㉢㘸挸敤ち㤷つ㤶攰戲㠵㍡㑢㈰慦挷㍤㤰捦〹㥥㈵搴㐴扥㠴づ捤㠹㔸㈸敤㍣㤱㉦㙥㌴ㄱ㐱㉢㐰㉤㌴㌹晥㔰慣㐵昴㍡慡㜵㥢挰㈱㜰〱〶㈹ㄶ㈹㙢㡡㘱㘸攱〷挴っ搲慦愳扦㉦ㅥ晥搵ぢ㑣㉦ㅤㄶ㑡㄰愲㉡㍤㜹ち㐲㌵昹捦㈴㈷敦愱戴昳攴㍦戵搱攴㠷㈸㈳㌹ㄳ㍤〰ㄸ攸ㄱㄵ晣㔱㡢㘹㈰挳㝤攴㑦㥣㈵挰㉦㌵㡢㈱〳㈵慡敦〵㘴搰㤷ㅢ慥㕡㕤㐴㈶敥㕢攰晡㌳㍥敥㔱昶ㄱ㉦㐲搲㤷㔳っ㥤戱挵㔰㉢㤶散挸ぢ扢㉤㘴〳㤶挴慦㘵㍢㡡昴㘲㤷ㄱ㝥昱㐴㡣㤸㘳挷攲㉦愷戴㈸收〴挲〸㉤㔲搲て㌷㔲㝣㌴㙥晣㥤攷㕢㉥㔳㔴㈰㠱㝡挲挶愴㌳搵昸昱戸昱㐱㝣㤵愵摡攴㜸㠳㠰改挵戸㌱改㔱㌵㝥㉣㙥晣搷㠳晢㥡㡤㘳㍡っ㐷㉥㤰㐸㌲㙣㕤㘵晤㈷扥搰ㅥ㐴昳㠲㐹晤搹㘷㠶挵㤴㥣㉡㜴㕣㔷ㅡ戴ㅦ㤷㐱㍣㝣㈳㍤㡢扢㑤戸〲〲㈱ㅢ晥㔳〹挷㜱攷㘹挶〸っ㝣〲扤㡡㘰戳愷慢㈷㜶㉥㥡㜳ㅥち㝡捤攳㍥捥㔴戵㙤㐵㈲㌰〷昲攱晥㙥攲㤴捦㌰ㅤ㕢晢ㄱ〷挹㌴摥㈱改㑥㜹愸挰㑡㕥㝣㌸挶㙣敥㔲㡢㘶昴㐷㠱ㅣ㐸㐷㐰㘶昴㑢㠰㘱㈰㠶户㤵㜳㐳攴㝦挵摣ㅦ㘶挵㐷〸ㅥ〳㈸ぢ㌲㍢改愰昸㌸挰㕥㔸愹昸愷㉡晣㤱㥡ㅣ㔹昱攴㉡晥改㡢㥦㝥搷搱挴挳昱㉢㤳挴愴㍦挱㙥ㅦ〳攸㠱ㄳ㔷㐴愴㔸搶㍦㡥㤲攴慢㈹㍥搴慢㍦挱㡡㑦ㄲ㝣ち愰㕣攰㤴户扣㜷㕣㔹㤷晡敢搳攸㉡㉥ㄱ攰愷㝦㈶捡昰愱挰摤㜸㔷㘷㡢㤹〷攲昸昳㝥攸搳搴㜷晣㜷攳扢晣㌵㉥扡〷晦㉣㐹㐱㤹昷㜹敤㥤摤㡤㐵㔶愰㘵慥㝥㉢搸散㔷㌰づ搷搵㡡愳㜰㐴慡㤶㤲㔶ㄴ挴㍡ㄷ㉣㕣扣㠱㙦㌹愴㉡㠴㈰㈵愸ち㈷慡㌸㡣〲晤㜳㙣㑡ㅣㄳ㑦晡攷昹㐴搴慡㑤晣㐲㤴攱㠳㈰㕥㔵昷〷愳敥昱ぢ㠹㙢㔵㘱戵扤㤰昸㔷ㄵ换挹ㄷ㍥挹挱ㄴ戲㤰㐹敢㈶㈲㑤搱搰㔷㤰ㄹ攸ㄹ攴摣敥挷㑦扢㈸慡㘷㙢㘷捦晥㜳㌰㍦㜲㑤晥㝤敦敤㝦昲挵㕦晥昱戳扦昹攰愱扦晣敢愹愷㝥昳愷捦扥昰慦ㅦ㉦ㅤ晡昹㌳捦晣散㥥慦扦昰挷摤收搳摡昳晦㥣㝤晡㤱昱昳㡦㍣㘴㥥扥昵攸㈳敦㝦昰扥昱昹㉢㐶㝢㝡㝡㝢㙦ㄹ晥挵搵㙦ㄹ扡昴搰昷挵㑦㝥㜷㤵㈳搴㜲昱㠲昴㌴戸㙣㌵㡤慦㈲㠳㘹㜰挶慦改㌴戸㕣戵㔱㑢搱㐶㑤愱愰〴捦〶㈷愰㉡㡣㜴㐵摦㝦〰㌵㈹戵㝤</t>
  </si>
  <si>
    <t>e463e467-ca76-46da-bef0-ab96f47268ad</t>
  </si>
  <si>
    <t>㜸〱敤㕣㕢㙣ㅣ㔷ㄹ摥㌳摥㕤敦慣敤搸㡤㤳戶㈹愵㌵扤㔰㕡〷㌷㑥ㅢ摡〲㈱昸搲㕣㕡㈷㜶㘳㈷愵㉡㘸㌳摥㍤ㄳ㑦戳㌳攳捥捣㍡㜱㈹㙡〵攵㝥㤳㈸㈰㑡ぢ㔴ㄵ慡挴ぢㄷ㈱〱㠵扥㈰㤰㐰愸㤵㜸㠰〷㈴ㅥち㐲昰〰㐲ㄱ扣㠰㠴〴摦㜷㘶㘶㜷㘶敤ㅤ扢摢ㄶ㕣攴搳敥敦㌳攷㌶攷㥣晦㝡晥晦㑣㜲㈲㤷换晤ㅢ㠹㝦㤹昲捣㕣㌹扦敡〷搲ㅥ㥢㜲敢㜵㔹つ㉣搷昱挷㈶㍣捦㔸㥤戱晣愰〷つ㡡ㄵぢ昵㝥愱攲㕢て挹㔲㘵㐵㝡㍥ㅡㄵ㜲戹㔲㐹搷㔰捦㐱昸ㅢ㡡ㅦ㜴昶敡捦〳㉣㑣㑤捥㉥㍥㠰㔱攷〳搷㤳㝢㐷㑥㠷㝤て㡥㡦㡦㡤㡦摤㍡扥㙦摦搸扥扤㈳㔳㡤㝡搰昰攴㐱㐷㌶〲捦愸敦ㅤ㤹㙢㉣搶慤敡摤㜲㜵挱㍤㈷㥤㠳㜲㜱摦㉤㡢挶慤户㡦摦㝡攰㠰㜹挷ㅤ户昷攳搵戹ㄳ㔳㤳㜳㥥㌴晤㔷㘹捣〲愷㝣敢戴慣㕡㕣㥢㤴㥥攵㥣ㅤ㥢㥡挴晦㠹昹攳改戶戱昹㈵㈹〳扥㕡㝡搲愹㑡㕦㐷挷㍥㝢挲昷ㅢ昶㌲㌷㑦户て㘳愹㔵挳てち昶㤴慣搷㜵㍢ㅥ戵㘴捦㘲敦敡挶㙡扦㍤㉦ㅤ摦ち慣ㄵ㉢㔸㉤摡ぢㄸ愸㌶㘰㥦昲攵㐹挳㌹㉢㑦ㄸ戶㉣搸㐷ㅡ㔶㉤ㅦ愶㕣捦つ昱㄰挹㠹愹攵㡦㑤昸昶搴㤲攱愹ㄹ昹摣㤸㡣戶㠷扤㙡扡敤戵㥤挷攵搴搵ㅢ㌸收昵㥤摢愱收戴攱㌵㕢㡥㜶㙥ㄹ㉤㍥㍤㠳㥢㍢户㑦散㔱扡捦㡤㥤晢愸慤㑣户ㄶ㝤ㄱ㝤慢ㅤ挵㘲昴㈲㐱㉦㐱㠹㠰〸搴换〴㝤〴晤〰㈲晦㜷㜰㐹戲㈳慢戴㡡愱㔵ㄶ戵㑡㔵慢搴戴㡡搴㉡愶㔶㌹慢㔵㤶戴㡡愵㔵ㅥ搰㉡攷搰㈶㑥愵摥㕥㉤㑡摦㍣㜷晢㤳㌳摦㙥ㅣ㜹晣〳㝦㍢昸戱㑦晣昳ㄳ晤㍢搰攸㥥㘸㔲搳㥥㜱ㅥ愴搶愲攲晤㘳攰㠹捤㜰〵㤸挲㍣㘰摥㘶㡥㡦搷づ散㌳㙥㌱ち㕣㔶〶昲㔳㠴㌲㠴戶晤收扤㤶㔳㜳捦㉢摣㕤㌹㘹昸戲戵㜱愳㔱摤愴摢㜰㙡晥ㅢ搶慦㥣て㡣㐰㕥搱㕥搷ㅡ㘴㑤户㜹戰㤵昴搵晢慥㙡敦㜶摡愸㌷攴挴〵㉢慣㝥㘳㕢戵㍤攷戹㡢㥤㙢て㝢昲挱㘶敤㥡ㄹ㑤㐰愸慤愸戱搷慣㌲慣ち攷㌵㌲戵攴晡搲㔱搳ㅢ戵攷慣敡㌹改捤㑢㡡㐴㔹㔳㑢摤捤慡㠸敢㐷㘷ㅤ㉣ㄴ摣㕡扢㈶㔹㙡摥㜹㈱〰㌳换ㅡ收扢㉣扤㘰㜵挱㔸慣换㑢㔳㑤挲㜷愲㘲㑦慡昸戰㕢㙤昸㔳慥ㄳ㜸㙥㍤㕤㌳㔱㕢㌱㈰㘹㙡挷摤㥡捣攷㜳㑡㈸㐰攰昶昴〸㤱扢愹㌳㉦㈸㐴㈴㔰㑣㐶扥㍣㑤㜶㘳㈷戱㍡慣愲㉥㐹㤳摡㜵ㅢっ挶昹㉡ㄹ㤳挱㠱㠹㌵㔱㝦昰愵㙦搹㘰搸㈶收㕥摢挶㥡㌶ㅣ慤晥捥ㄵ改〴㐷つ愷㔶㤷㕥愶昶ㄳ㥣㤱㍥〸㔰戸〸㠱搰㜱昷愸敡挴〵戱㕡㌸㙦搵㠲愵攲㤲戴捥㉥〵㈸㠳㠶㉣㤵戸戵㙢㤲㝥〹㡡昴㥤〴挳〰攵㜲慥戸㡢㡤㡡㘵愴㕣㠱搲㈹㠳㤷㔳㠲㥣晤㔲扣摣㙦ㅥ戶敡㠱っ㠵昲愰〹㡣㠴㕡㑤愱㙦㠰㈴敡ㄹ搵㔰㘱散㌲愷㐰愵㠶攵〴慢㉤扥㕤挳㈵㈱ㄱ㙤换㠲㉤㈷ぢ㈸ち搲昲㈰㠳搷㐰㌴㙤搲㈰扢㜱㠲㠸挸〶ㄹ㥡ㅤ㈳愷㠹㡣敤㌳㘴〴摡㈷㠹㤰慤昷㜵㤶ㄱ㈴昶戵㐴捡㑥ㅤ昹㜱㕢㥡慤㘷换㠷搲㙣㌷㌶㑥扦㤴攰㌲㠲换〹昶〰㠸㍦㐲挲㔱捡㈱㥦㑥晡ㅢ昰慣㕦㐹昰㐶〰挸㈷㥤㌲㈷ㄲ㔵戴愱㌶㘳㐷戲摤〰散㘴㘵ㄴ㠷愲㠸㤶㜱搳捥ㅣ戰ㄵ愲㈳慢㜳㙢攸摡扣搲戱㙦敥㑣㥢挹攵㤰㈲㌳㥡㈶搷扡㐱搳攴㐶戰㘹㤷㝡敢㙡㜴搵㐷〸摥〴㔰搶慦㈱㠴㜲愱挱扢㌹㡢㥥㈶攵敢挲㉣ち㡤愱㉥ㄵ㝣㐴挸㍣〲㘴〸戹㌵挷㤷㙤ㅢ㥡收攰愸昹扡户愱昷㜶收敦〸改㙤㝡㜳㕢敦搰㕦昴㌲慤攸㙢挱㕥攲户ㅤ㜵捣昵愸搶摦㑣㜰〳㐰㥢㡥攱改晢攵㝡ち㤴㔹㙣㈷㌰户㤳㕥ㄷ㘵攵㉥慣㉥㑢愵㠱晡捤〵挳㍢㉢〳㜸㌰㡥㑤挳ㄶ㜶㍤㑦搶㜱愸慤愹〲㥥㕦㉥㑢ㄷ晡㠷㍤搷㘶昹戶㡤散扦㉥ㄴ㐳㍥慦昵攴摡㙣攴っ㕢㌳攱㜳㑡㔰づ㜵昰㉤㥤㠵㐴愲㔳㥡扣搸㉦晢㝣戹㉤㐹扡㤰㈴㌷㘲㕢昵㥢〰㈰㈵挴慦㍢㑡㤴扤㙣昶㔶搵㉣㙤戱搲挳㤷㜱㍡㘹昳㈱慥㤱㈳㝤愱挳㜶ㄲ晥〳㝦挰㥥户散愶戰攸戳攷愴㔷㠵㙦挱慡换㜲攸㤶愵愸搹㤶ㄵ慦ㄳ㔹搱搳戳收㍣㥤攱㕦㔳㜴搲㈶㈵㌲戹㍤戳㌲攳㉣摥㈲㉡扡㈱㈹㔴㌲㕣㐳㑤〹㐴捡㘳摢㙤ㄱ搳㠵㠸戹ㄹㅢ愷敦㈳ㄸ㈷搸て㔰㜸ㄱ㤲㘶戳ㅢ捦㜰㔸敦ち㕤摡㤵㑡慥㐴㌴㈸ㄷ攱ぢㅤ㠵搵〱扥收㙤〴户〱戴㤹㍦㜴㐰㘶㄰愲㐲㜹㠲㄰㔵ㄸ挳㍣㙤挹昳愴㠱ㅤ㈶〲㑢㔳つ㍦㜰㙤㐶㤶〶捣㘹昷㠴ㅢ㑣㕢晥㌲㈲㔱挳㘶㤴戹㜷㐹㍡愰㉥て戶㑦㕢㤹扢扣㉣㙢扡㌹敦㌶㈰摡㡥㑤㙦㠵㠳㌹戶〳戶愴㍡㥢㙢〲愹扢昳㌱㠶㄰搸㘹攵㙦愵㌷㜶㔳摥㙦ㅥ晡〶㕢㍢扡㘰〵㜵搹㘷㠶㑣挷㝣挹挴㉥㈲㜲㔰敢㌵ㄷ㤶㍣㈹愷〷捣㈳㥥㔵慢㕢㡥㈴㌲㘰㘳㌲㔸㌷㈳捦㈲㑡㌰攷㌲〶攸㍡〳收㠲㘷㌸晥戲挱㠰攲敡捥搴㤳ち㡢ㄴ捣㐹换昱昱ㅡ㠵㐵收〷捤昹㈵昷㍣㈲戶つ摢㌹㘲㉣晢㕢〲㉢㈴晡㌰㈹搴〸㑤㘸㥡㈸㘹愵㙥昱挳〳㜹㉥㐷摥换ㄳ㈸㕣攵ち昴㤹㘷㘸㙦摡昵㔱㡣㠶㜶㍡攷搴㡦攸㔱戳戰㈷㔳ち㤳㔳昵㍢搸攷敤〰㜷ㅤ㌹㜵慣ㄵ㤹㝢㐵㌱敢〲扤晣ㄹ㌲㕥㤱㐵㌳㄰㐲ㅦ摤㡥㤰㔴㔸㐶捡〱〷〲攳㝣㙡㈷扦戲愹摡㤰晡㜶戴戲㠷ㄱ㐹敡㌷㘷㡣㐵㔹㐷㍣摡㌶㠲ㅤ攱〳捤㔸摢愸晢㔱摤㤴㙢摢〶㐹㡢㘴㌹㕦㌵㐸挱ㄳ㡤挰㍤㙥㌹扡〹愰攸㉦㉡㌲㉥愰挸戸愰㡡晡捤㤳っつ慡㍣挷㜲捦ㅡ㥥ㄵ㉣搹㔶戵挴〷㠶敦戶〴㑤㠲挹㈹㜹攳ㄴ换㡣㤱㌶㙢晥ㄴ㑣㌶㝦っ攸ㅥ㠳ㅣ攵搶ㄱ晤愰㕣㑤ㄴ昱㥦攸搲戱〴〱愳㍣愵晡㍢㌱㕡㐱摤㡥㠰挸㔱改㘲㝣〷攳攲㈳㈸〹㠵㄰戱㥥㐱㈲昰ち㈶㠴㍣㕤摣㐵昳㤴㘳〵挰ㅥ㌱㜶搸ち愶㝤愰ㅣ〰㔹㜵扣扤㐲㘱㌵搱㘹戴愹ㄵ慥㕥㕢㤵㔲ㄳ㔷慤慤㑦敡㡤敢搶愹づ㌵㑡㐲㤱㙣搴㐸㘹㤶㜵收戸㤵㔴㡤㔰㡡㍢搶㌶㈲换㙤摡摡㜷㑡㤱㔷愰㤸ㄴ捤攴昴㜷㈹㐲㐱愰㌷搲㔱昴搹㘷㤳㐷㈲㘲㐳ㅢ愰㑣㍤ㄵ㤶つ㐴㈱挱㘳戸㜶㔲㤳攵攸〹晣扤㈳捡捥㌶㠲㔴㡤㜱㘱㌸慡㤹愸搷㘷ㅤ㔸〹㔵挳慢㙤ㄱ㤶挶摡㐲つ愳戸戳㕢敤ㅦ㙥㙦㠲ㄱ㈳㌶㘴㔸㈴挳てっ㌶〴㜳㈵㈲慡戴捥〶戸搵捤攲ㄲ㥦㡥㑢挳㔱ㄸ㤸て㙡搳㜲㐵㤹㘱㉤㑢㝥㔸㜵㘸㥥ㄶ㤵ㅣ搵捤㠹㐵ㅦ㉡㍤愰ㅣ㡦㜲㡡挱㜵昳㈴摤㔲戸挴〰戱ㅢ攵收慡〱㐲扢捤〱㜸㌲搸㍡搸挱㡥㠴愱ㄳ㕡㘷㤴愰挵っ挲㑤㉦㠲扣搳㈵㐶㈱㐸㑤㤵晥㝡㐸㝣昹〹愶㙦ㅣ捡挵㤹㠸㠹ㄸ敥捡戰ㅥ㠰摣㘴㘴㤲㕣㌴ㅣ〷捣㐳挹愶㠴㔶㝦㕣㐶ㄳ㘳㠰㈶㥦ㄷ攰ㄶて㘳㔹㠳㘴㥢㍡敥戹〵ㄶ戴㘹㝤㜵㠷㜹捣愹搶ㅢ㌵愹㔴㜱㉣慢㤵㐶摥ㄲ昸㔲㔷〰㐳㙥捡搸㤷㘸㔳㡥攱㈸挵㈵ㄳ㐹摤摢摤晡㈱㜴㔷㐲づ㘳㠴慡㡦〱挸っ户㥣ち㠸慤戹愷㐰晢㜰㘷敢〲㠳扡㍣〷㤱戶愶㠸戲㙣〶昷昱㥡㔱㘴挵㙤㠹㘶㌳敥㡣㑢㥢㍤㔱㜴搴ち㡢戶〴㡥戰捥㔰攰ㄵ㡢㌰㐶扡攴づづ㤲扢ㄸ㐵㜷㉦㍥愲ㅥ㜳ㄷ㠱ち㠵〱挱ㄸ㉦㑦㐱㌹散㉡ㄸ㠹〶户搶戲扡〵愳扦戴扣昵〹〰挱㌰㌰つ㕡戴っつ㥣㈹攴㌷㌶㜰慥㐶慢㡣〸㘹㌲㤸捡ㄸ攵㌰ㅣ昶㐰ㅡ戸㠹〷改〵ㄷ㑡㈸搸愵㉥㠶挵㜷ㄳ㐷㙤ㅣ㠱㕣敦搲戶挲㌹㈳挰昵ㄷ㘷㑦㕢昱㐴慤㐶㜳ㄷ晥戹㉤㠱㔵㕣摤〸捤搱㕤㙤㤷戲搴㥡㘸摦㕤摢㔶ㄱ㕤ㄶ摣㍦㍤㜶搴〸慡㑢昳挱㙡㜸㜱慢㕢㤲㈸㍣て㝦挴扡㙦愷捤㥣㜷㜸ㄱ㜵㠵㝢㕦㍥攷戸攷ㅤ㌵慦㠲捦㕢㝦愰㄰㕣愱散攵㈴换戹㝦攳㍦㤵戴㕣攱㐷ㄸ㜱㌳搳收〰㉤〷〹挷㔱昷㉥㐳㘹㌰㠲挷っ㍡㠱敤摥扣㌵㐰㍡搹搵㐶㈷㑡㄰㙣ㄳ㡡㜳昶㔵㈳ㄴ昱㐳愰㤵挴ㄲㅥ挹戱攷捦㠲昵挵㜳㈸㈱挲㜹戵㈳ㄲ攴㙦捡㐶㥤ㄲ攴搱ㄵて昶晡晦挱㔲捣捤敢戲搳㝦㠱㤹挵て摡㔱㜴ㄵ㔱昴晤〸㐵扣㔰ㄸ愲㐸昰ㅡ㠸攲摦扢㤰㠹㔳㠱攱搹㤷ㄵ〸攷㥡戶て愰慦昹㠵摦晦攱〱㜴㈶㈲づ㐵㌷〸戵㕤㡦攷愶㠹搰戳挶㐴㘰昰㕥㤹〸挷㤱ㄱ㡣攲㠷㈶㐲攴〳㤹㐵挱挶㈶〲㘳㝢ㄹ㠶㘰㈲搴㥡㜰㙢昰〴㜶愹㑤晦搸㔱㕣扣㤵㍥攲昹㔰㕡晥ㄴ㍣㔲㤷慤㉤㥥㌳㍣挳摥愳捡㡦㜸ㄲ捡捣㕢挰㑤㙥搵㠵㍤慥㔸户㐶㜵㕡挷㔷ㄱ㝢搹户晤㈹㥢扢扦づ㑣㠵㈹㜴摦㡢㤲㈸扥〲㑦㠹攰戹㈱昷晥㕤摦㍣昲扢㠷ㅥ㍢挴摢㙡ㄱ慤ㄶ㙥㐲扥㥢㤰㍤敤〹〴㜵ㄳㄷ㐵㜶昳挳㥣攳昸㐴挹㕡慥换㐹挳㔳㔶㤰慦摢㜱㌶㈴扣〴㘱㠶挴户ㄵ㑣㑣摣㝢〸㑤捣戱㌶㜷愷晡戰㐹戹〸挷ㄲㄳ㔷㍥扤㌸㙣㈸㍡㉡戲㉥慤捤挲户愱㡡㕥收㐴搲㔶㈲㑦㥤㑣㐲㝣慢㕤搷ㅤ愰慥ぢて㌲っ晢挷㔲ち昱〷㔲㐸昲㈰挳ぢ〱㑡㑡㥤㐴愶㜰㌳㐰㐶㘴慤㍤挴㑢㝦挰戶㄰㤰捤㑢㝦㕤㝥挴㠲㕤〴ㄶ㘳㕦㝣户㈷㕡摡愲戱㙡㘲愸㔶搹㌴昳挸愸挳ぢぢ挶攳搲㤴愵戳ㅦ愵㥢㜶㐷昱㈵〳㜶ㄸ㜸ぢㄹ扢㘰搳搷㔶戶敦㜴ㅡ戸昹〱㍤㔳㔴ち挳搹挹㘲ㅣ㐸㔵㡣㉥㙣㕡づ㡢〸〷挳㙣戳㔳㕦㔴〵㥤攵散挱愹ㄴ挱㍦㝥㈹挴晡搱搶搰扢摢㙢愸攳㥣㕥㉣㤰㍦搸㕦㔷㘵㌰㌶摥㑡㡥㠱㠴摤㔴慢㔲㜸㍤晣ㄴ扡㜰搱㌹愱户戲敡㔹ㅣ挰㥦㤸戳㝡戴㌵晡㥦搱㙢挵㔹愷搹㥢㘱散㤴晥㝦てち㌶搴晦㠲戱㌷㠵挸晢愲っㅦち㡣㥦㙣ㄸ戲攱㡥挰戳㡤攰㡤㍡ㄸ敢㉡换㤰㜷㤸㥢挷挷慢㘱戵㤲攰昰㝢攵摢慦㐶㌴晢搲戶敤敢㈸〰ㄹㅢ㉡㍣ぢㄱ搴戱㝦㕡㙥㜱㌴愶攲晤〰扢㡥㕢㔵捦昵㕤㌳ㄸ㤹㐷搰㜷㠴摦㥥㤹戰㜹㈶挴搷摢㠵摡戵搸㠹晥昷愱捦㠹㔹〸散ㄳ㌲㜸戵㘲㤱㡣㉣㙣㉥㤲挱㘳挳㔰㈲扣㐴敤攰㕦㘲摥搳㌰敡昸㜴㜵ㄶ扥捥㠰㐵㕢㐲搹㠵ㅥ攷昶ㅢㅡ摣㍡摣搱扡ㅢ晥㈰㔹ㅦ㐳㜰㑣㉤攱晥昷㜱㕦摢昷㈰摤㌶㕡㥢捦㤶摤昹摣捡㠵㘷㠰搳捤扤㈵㑤㌲㝣㈷扦㐸㉥敢ㄵ㐲㕣摡㠷愳㉥换㜱摤收愰攵㘸挳愰昳攸㠳㙥㍡挲㐶敢㜰㥦㙤㈲晡㝤〶㕤挵〴〱㝥扡ㄱ㘵昸㈰攸攵㈳㉢㡡慦㘲㔹㘴〰攴㜳挵㉡㐰㘷慡㝥㙡㍤慡ㅥ㡡〵戲攰ㄹ㠳攴㔸ㄶ㑦愲㈱户㉢㕣㌶㔸㠲换ㄶ敡㉣㠱扣ㅥ昷㐰㍥㈷㜸㤶㔰ㄳ昹ㄲ㍡㌴㈷㘲愱戴昳㐴扥戸摥㐴〴慤〰戵搰攴昸㐳戱ㄶ搱敢愸搶㙤〲㠷挰〵ㄸ愴㔸愴慣㈹㠶愱㠵攷㠸ㄹ愴㕦㐶㝦㕦㍡昴攲ぢ㑣㝦㌹㈴㤴㈰㐴㔵㝡昲ㄴ㠴㙡昲㥦㑤㑥摥㐳㘹攷挹㝦㝡扤挹て㔱㐶㜲㈶㝡〰㌰搰㈳㉡昸愳ㄶ搳㐰㠶晢挸㥦㌸㐳㠰㕦㙡ㄶ㐳〶㑡㔴摦昳挸愰㉦㌷㕣戵扡㠰㑣摣户挰昵㘷㝣摣愳散㈳㕥㠴愴㉦愷ㄸ㍡㘳㡢愱㔶㉣搹㤱ㄷ㜶㑢挸〶㉣㠹㕦换㜶ㄴ改挵㉥㈳晣攲愳㌱㘲㡥ㅥ㡤扦㥣搲愲㤸ㄳ〸㈳戴㐸㐹㍦摣㐸昱㤱戸昱㜷扥搷㜲㤹愲〲〹搴ㄳ㌶㈶㥤愹挶ㅦ㡥ㅢ敦挷㔷㔹慡㑤㡥㌷〸㤸㕥㡡ㅢ㤳ㅥ㔵攳挷攲挶㝦摥扦愷搹㌸愶挳㜰攴〲㠹㈴挳搶㔵搶㝦攲ぢ敤㐱㌴㉦㤸搴㥦㝤㘶㔸㑣挹愹㐲挷㜵愵㐱晢㜱ㄹ挴挳㌷搲㌳戸摢㠴㉢㈰㄰戲攱㍦㤵㜰っ㜷㥥愶㡤挰挰㈷搰㉢〸㌶㝢扡㝡㘲攷愲㌹敢愱愰搷㍣收攳㑣㔵摢㔲㈴〲㜳㈰ㅦ敥敦〶㑥昹っ搳戱戵ㅦ㜱㤰㑣攳ㅤ㤲敥㤴㠷ち慣攴挵〷㘳捣收ㅥ㙤搱㡣晥〸㤰〳改〸挸㡣晥㈸㘰ㄸ㠸攱㙤攵摣㄰昹㕦㌱昷〷㔹昱㈱㠲挷〰捡㠲捣㑥㍡㈸㝥ㄸ㘰㌷慣㔴晣㔳ㄵ晥㐸㑤㡥㉣㝢㜲〵晦昴挵㑦扥敢㘸攲愱昸㤵㐹㘲搲㍦捡㙥ㅦ〳攸㠱ㄳ㔷㐴愴㔸搶㍦㡥㤲攴慢㈹㍥搴慢㍦挹㡡㑦ㄱ㝣ㅡ愰㕣攰㤴㌷扤㜷㕣㔹㤷晡敢㌳攸㉡ㅥ㈵挰㑦晦㙣㤴攱㐳㠱扢昱㡥捥ㄶ㌳て挴昱攷晤搰愷愹敦昸敦挴㜷昹慢㕣㜴て晥㔹㤲㠲㌲敦昳摡摢扢ㅢ㡢慣㐰换㕣晤㤶戱搹慦㘰ㅣ慥慢ㄵ㐷攱㠸㔴㉤㈵慤㈸㠸㜵㉥㔸戸㜸〳摦㜲㔰㔵〸㐱㑡㔰ㄵ㑥㔴㜱〸〵晡攳㙣㑡ㅣㄳ㑦晡攷昹㐴搴慡㑤晣㐲㤴攱㠳㈰㕥㔵昷〷愲敥昱ぢ㠹㙢㔵㘱戵扤㤰昸㔷ㄵ㑢挹ㄷ㍥挱挱ㄴ戲㤰㐹敢㈶㈲㑤搱搰㤳挸っ昴っ㜲㙥昷攲愷㕤㄰搵㌳戵㌳㘷晥㌱㤸ㅦ戹㈲晦㥥㜷昷㍦昱搲㉦㝥晦戹㕦扤昷攰㥦晥昵搴㔳扦晡挳攷㕥昸搷昳㡢〷㝦昶捣㌳㍦扤敢㙢㉦晣㝥愷昹戴昶扤㝦捣㍣晤昰昸戹㠷ㅦ㌴㑦摤㜴攴攱晢ㅥ戸㘷㝣敥㤲搱㥥㥥摥摥ㅢ㠶㝦㝥昹㕢㠶ㅥ㝤昰〷攲挷扦戹捣ㄱ㙡戹㜸㐱㝡ㅡ㕣戶㥡挶㔷㤰挱㌴㌸攳搷㜴ㅡ㕣慥摡愸挵㘸愳㈶㔱㔰㠲㘷㠳ㄳ㔰ㄵ㐶扡愲敦㍦㠸改戶㤷</t>
  </si>
  <si>
    <t>5890de36-dbe4-4cf7-ba33-6d4fe5da02fe</t>
  </si>
  <si>
    <t>㜸〱敤㕣㕢㙣ㅣ㔷ㄹ摥㌳摥㕤敦慣敤搸㡤㤳戶㘹㑢㙢㈸㙤愱づ㙥㥣㌶昴〲㈱昸㤲㕢㜱㘲㌷㜶㔲㔰㐱㥢昱敥㤹㜸㥡㥤ㄹ㜷㘶搶㠹㑢㐵㉢㘸㈹〸ちㄲ㌷㔱㈸㔰㔵〸㠹ㄷ㉥㐲攲㉥㈴〴ㄲ〸㡡㠴〴㝤㐰攲愱㔴〸ㅥ㐰㈸ㄲ㉦㍣㈰㤵敦㍢㌳戳㍢戳昶㡥摤㙤ぢ㉥昲㘹昷昷㤹㜳㥢㜳捥㝦㍤晦㝦㈶㌹㤱换攵㕥㐴攲㕦愶㍣㌳搷捣慦晡㠱戴挷愶摣㝡㕤㔶〳换㜵晣戱〹捦㌳㔶㘷㉣㍦攸㐱㠳㘲挵㐲扤㕦愸昸搶㠳戲㔴㔹㤱㥥㡦㐶㠵㕣慥㔴搲㌵搴㜳㄰晥㠶攲〷㥤扤晡昳〰ぢ㔳㤳戳㡢昷㘳搴昹挰昵攴摥㤱㌳㘱摦㠳攳攳㘳攳㘳户㡤敦摢㌷戶㙦敦挸㔴愳ㅥ㌴㍣㜹搰㤱㡤挰㌳敡㝢㐷收ㅡ㡢㜵慢晡㉥戹扡攰㥥㤷捥㐱戹戸敦搶㐵攳戶㍢挶㙦㍢㜰挰扣昳捥㍢晡昱敡摣挹愹挹㌹㑦㥡晥㉢㌴㘶㠱㔳扥㙤㕡㔶㉤慥㑤㑡捦㜲捥㡤㑤㑤攲晦挴晣昱㜴晢搸晣㤲㤴〱㕦㉤㍤改㔴愵慦愳㘳㥦㍤攱晢つ㝢㤹㥢愷摢㐷戰搴慡攱〷〵㝢㑡搶敢扡ㅤ㡦㕡戲㘷戱㜷㜵㘳戵摦㥥㤷㡥㙦〵搶㡡ㄵ慣ㄶ敤〵っ㔴ㅢ戰㑦晢昲㤴攱㥣㤳㈷つ㕢ㄶ散愳つ慢㤶て㔳慥攷愶㜸㠸攴挴搴昲挷㈶㝣㝢㙡挹昰搴㡣㝣㙥㑣㐶摢㈳㕥㌵摤昶晡捥攳㜲敡敡つㅣ昳㠶捥敤㔰㜳挶昰㥡㉤㐷㍢户㡣ㄶ㥦㥥挱㉤㥤摢㈷昶㈸摤攷捤㥤晢愸慤㑣户ㄶ㝤ㄱ㝤慢ㅤ挵㘲昴㈲㐱㉦㐱㠹㠰〸搴换〴㝤〴晤〰㈲晦㑦㜰㐹戲㈳慢戴㡡愱㔵ㄶ戵㑡㔵慢搴戴㡡搴㉡愶㔶㌹愷㔵㤶戴㡡愵㔵敥搷㉡攷搱㈶㑥愵摥㕥㉤㑡扦㝥敥㜷㌷ㅥ晣挰㤷て㍦晤戶㠳㍦㝡攱㈷㡢㝦敥摦㠱㐶昷㐴㤳㥡昶㡣ぢ㈰戵ㄶㄵ敦ㅦ〳㑦㙣㠶㉢挰ㄴ收〱昳㜶㜳㝣扣㜶㘰㥦㜱慢㔱攰戲㌲㤰㥦㈲㤴㈱戴敤㌷敦戵㥣㥡㝢㐱攱敥㥡㐹挳㤷慤㡤ㅢ㡤敡㈶摤㠶㔳昳慦㕥扦㜲㍥㌰〲㜹㔵㝢㕤㙢㤰㌵摤收挱㔶搲㔷敦扢戶扤摢ㄹ愳摥㤰ㄳㄷ慤戰晡㜵㙤搵昶㥣攷㉥㜶慥㍤攲挹〷㥡戵㙢㘶㌴〱愱戶愲挶㕥戳捡戰㉡㥣搷挸搴㤲敢㑢㐷㑤㙦搴㥥戳慡攷愵㌷㉦㈹ㄲ㘵㑤㉤㜵㌷慢㈲慥ㅦ㥤㜵戰㔰㜰㙢敤つ挹㔲昳昰挵〰捣㉣㙢㤸敦戲昴㠲搵〵㘳戱㉥㉦㑦㌵〹摦㠹㡡㍤愹攲㈳㙥戵攱㑦戹㑥攰戹昵㜴捤㐴㙤挵㠰愴愹㥤㜰㙢㌲㥦捦㈹愱〰㠱摢搳㈳㐴敥收捥扣愰㄰㤱㐰㌱ㄹ昹捡㌴搹㡤㥤挲敡戰㡡扡㈴㑤㙡㙦摣㘰㌰捥㔷挹㤸っづ㑣慣㠹晡㠳㉦㝤搳〶挳㌶㌱昷敡㌶搶戴攱㘸昵㠷㔷愴ㄳㅣ㌳㥣㕡㕤㝡㤹摡㑦㜰㐶晡㈰㐰攱ㄲ〴㐲挷摤愳慡ㄳㄷ挵㙡攱㠲㔵ぢ㤶㡡㑢搲㍡户ㄴ愰っㅡ戲㔴攲搶慥㐹晡㘵㈸搲㜷ㄲっ〳㤴换戹攲㉥㌶㉡㤶㤱㜲〵㑡愷っ㕥㑥〹㜲昶㑢昱㜲扦㜹挴慡〷㌲ㄴ捡㠳㈶㌰ㄲ㙡㌵㠵扥〱㤲愸㘷㔴㐳㠵戱换㥣〲㤵ㅡ㤶ㄳ慣戶昸㜶つ㤷㠴㐴戴㉤ぢ戶㥣㉣愰㈸㐸换㠳っ㕥〳搱戴㐹㠳散挶〹㈲㈲ㅢ㘴㘸㜶㡣㥣㈶㌲戶捦㤰ㄱ㘸㥦㈴㐲戶摥搷㔹㐶㤰搸搷ㄲ㈹㍢㜵攴挷㙤㘹戶㥥㉤ㅦ㑡戳摤搸㌸晤㜲㠲㉢〸慥㈴搸〳㈰晥〲〹㐷㈹㠷㝣㍡改㔷攳㔹扦㠶攰㜵〰㤰㑦㍡㘵㑥㈴慡㘸㐳㙤挶㡥㘴扢〱搸挹捡㈸づ㐵ㄱ㉤攳愶㥤㌹㘰㉢㐴㐷㔶攷搶搰戵㜹愵㘳㙦散㑣㥢挹攵㤰㈲㌳㥡㈶搷扡㐱搳攴㐶戰㘹㤷㝡敢㍡㜴搵㐷〸㕥て㔰搶摦㐰〸攵㐲㠳㜷㜳ㄶ㍤㑤捡搷㠴㔹ㄴㅡ㐳㕤㉡昸㠸㤰㜹〴挸㄰㜲㙢㡥㉦摢㌶㌴捤挱㔱昳㌵㙦㐳敦敤捣摦ㄱ搲摢昴收戶摥愱扦攸㈵㕡搱搷㠳扤挴ㅦ㍢敡㤸ㅢ㔰慤摦㐸㜰ㄳ㐰㥢㡥攱改晢愵㝡ち㤴㔹㙣㈷㌰户㤳㕥ㄷ㘵攵㉥慣㉥㑢愵㠱晡捤〵挳㍢㈷〳㜸㌰㡥㑦挳ㄶ㜶㍤㑦搶㜱愸慤愹〲㥥㕦慥㐸ㄷ晡㐷㍣搷㘶昹戶㡤散扦㈶ㄴ㐳㍥慦昵攴摡㙣攴っ㕢㌳攱㜳㑡㔰づ㜵昰慤㥤㠵㐴愲㔳㥡扣搸㉦晢㝣戹㉤㐹扡㤰㈴㙦挶戶敡㌷〳㐰㑡㠸攷㍡㑡㤴扤㙣昶ㄶ搵㉣㙤戱搲挳㤷㜱㍡㘹昳㈱慥㤱㈳㝤愱挳㜶ㄲ晥〳㝦挰㥥户散愶戰攸戳攷愴㔷㠵㙦挱慡换㜲攸㤶愵愸搹㤶ㄵ慦ㄱ㔹搱搳戳收㍣㥤攱㕦㔳㜴搲㈶㈵㌲戹㍤戳㌲攳㉣摥㈲㉡扡㈱㈹㔴㌲㕣㐳㑤〹㐴捡㘳摢㙤ㄱ搳㠵㠸戹〵ㅢ愷敦㈳ㄸ㈷搸て㔰昸つ㈴捤㘶㌷㥥攱戰摥ㄵ扡戴㉢㤵㕣㠹㘸㔰㉥挲㘷㍢ち慢〳㝣捤㕢〹㙥〷㘸㌳㝦攸㠰捣㈰㐴㠵昲〴㈱慡㌰㠶㜹挶㤲ㄷ㐸〳㍢㑣〴㤶愶ㅡ㝥攰摡㡣㉣つ㤸搳敥㐹㌷㤸戶晣㘵㐴愲㠶捤㈸㜳敦㤲㜴㐰㕤ㅥ㙣㥦戶㌲㜷㜹㔹搶㜴㜳摥㙤㐰戴ㅤ㥦摥ち〷㜳㙣〷㙣㐹㜵㌶搷〴㔲㜷攷㘳っ㈱戰搳捡摦㑡㙦散愶扣摦㍣昴つ戶㜶㜴挱ち敡戲捦っ㤹㡥昹㤲㠹㕤㐴攴愰搶㙢㉥㉣㜹㔲㑥て㤸㐷㍤慢㔶户ㅣ㐹㘴挰挶㘴戰㙥㐶㥥㐳㤴㘰捥㘵っ搰㜵〶捣〵捦㜰晣㘵㠳〱挵搵㥤愹㈷ㄵㄶ㈹㤸㤳㤶攳攳㌵ち㡢捣て㥡昳㑢敥〵㐴㙣ㅢ戶㜳搴㔸昶户〴㔶㐸昴㘱㔲愸ㄱ㥡搰㌴㔱搲㑡摤攲㠷〷昲㕣㡥扣㤷㈷㔰戸捡ㄵ攸㌳捦搰摥戴敢愳ㄸつ敤㜴捥愹ㅦ搱愳㘶㘱㑦愶ㄴ㈶愷敡㜷戲捦㕤〰㜷ㅦ㍤㝤扣ㄵ㤹㝢㔹㌱敢〲扤晣ㄹ㌲㕥㤱㐵㌳㄰㐲ㅦ摤㡥㤰㔴㔸㐶捡〱〷〲攳㝣㙡㈷扦戲愹摡㤰晡㜶戴戲㐷㄰㐹敡㌷㘷㡣㐵㔹㐷㍣摡㌶㠲ㅤ攱〳捤㔸摢愸晢㔱摤㤴㙢摢〶㐹㡢㘴㌹㕦㌵㐸挱ㄳ㡤挰㍤㘱㌹扡〹愰攸㉦㉡㌲㉥愲挸戸愸㡡晡捤㔳っつ慡㍣挷㜲捦ㄹ㥥ㄵ㉣搹㔶戵挴〷㠶敦戶〴㑤㠲挹㈹㜹攳ㄴ换㡣㤱㌶㙢晥㌴㑣㌶㝦っ攸ㅥ㠳ㅣ攵搶ㄱ晤愰㕣㑤ㄴ昱㥦攸搲戱〴〱愳㍣愵晡摢㌱㕡㐱摤㡥㠰挸㔱改㔲㝣〷攳搲挳㈸〹㠵㄰戱㥥㐱㈲昰ち㈶㠴㍣㕤摣㐵昳戴㘳〵挰ㅥ㌱㜶挴ち愶㝤愰ㅣ〰㔹㜵扣扤㑡㘱㌵搱㘹戴愹ㄵ慥㕢㕢㤵㔲ㄳ搷慥慤㑦敡㡤㌷慥㔳ㅤ㙡㤴㠴㈲搹愸㤱搲㉣敢捣㜱㉢愹ㅡ愱ㄴ㜷慣㙤㐴㤶摢戴戵敦㤴㈲㉦㐳㌱㈹㥡挹改敦㔰㠴㠲㐰㙦愴愳攸戳捦㈶㡦㐴挴㠶㌶㐰㤹㝡㉡㉣ㅢ㠸㐲㠲挷㜱敤愴㈶换搱ㄳ昸㝢㐷㤴㥤㙤〴愹ㅡ攳攲㜰㔴㌳㔱慦捦㍡戰ㄲ慡㠶㔷摢㈲㉣㡤戵㠵ㅡ㐶㜱㘷户摡㍦摣摥〴㈳㐶㙣挸戰㐸㠶ㅦㄸ㙣〸收㑡㐴㔴㘹㥤つ㜰慢㥢挵㈵㍥㥤㤰㠶愳㌰㌰ㅦ搴愶攵㡡㌲挳㕡㤶晣戰敡搰㍣㉤㉡㌹慡㥢ㄳ㡢㍥㔴㝡㐰㌹ㅥ攵ㄴ㠳敢收㈹扡愵㜰㠹〱㘲㌷捡捤㔵〳㠴㜶㥢〳昰㘴戰㜵戰㠳ㅤ〹㐳㈷戴捥㈸㐱㡢ㄹ㠴㥢㕥〴㜹愷㑢㡣㐲㤰㥡㉡晤攳㤰昸挲㤳㑣㕦㍦㤴㡢㌳ㄱㄳ㌱摣㤵㘱㍤〰戹挹挸㈴戹㘸㌸づ㤸㠷㤲㑤〹慤晥戸㡣㈶挶〰㑤㍥㉦挰㉤ㅥ挶戲〶挹㌶㜵摣㜳ぢ㉣㘸搳晡敡づ昳戸㔳慤㌷㙡㔲愹攲㔸㔶㉢㡤扣㈵昰愵慥〰㠶摣㤴戱㉦搱愶ㅣ挷㔱㡡㑢㈶㤲扡户扢昵㐳攸慥㠴ㅣ挶〸㔵ㅦ〳㤰ㄹ㙥㌹ㄵ㄰㕢㜳㑦㠱昶攱捥搶〵〶㜵㜹づ㈲㙤㑤ㄱ㘵搹っ敥攳㌵愳挸㡡摢ㄲ捤㘶摣ㄹ㤷㌶㝢愲攸㤸ㄵㄶ㙤〹ㅣ㘱㥤愱挰㉢ㄶ㘱㡣㜴挹ㅤㅣ㈴㜷㈹㡡敥㕥㝡㔸㍤收㉥〱ㄵち〳㠲㌱㕥㥥㠲㜲搸㔵㌰ㄲつ㙥慤㘵㜵ぢ㐶㝦㘹㜹敢ㄳ〰㠲㘱㘰ㅡ戴㘸ㄹㅡ㌸㔳挸㙦㙣攰㕣㠷㔶ㄹㄱ搲㘴㌰㤵㌱捡㘱㌸散㠱㌴㜰ㄳて搲ぢ㉥㤴㔰戰㑢㕤っ㡢敦㈶㡥摡㌸〲戹摥攵㙤㠵㜳㐶㠰敢㉦捥㥥戶攲㠹㕡㡤收㉥晣㜳㕢〲慢戸扡ㄱ㥡愳扢摡㉥㘵愹㌵搱扥扢扥慤㈲扡㉣戸㝦㝡散㤸ㄱ㔴㤷收㠳搵昰攲㔶户㈴㔱昸㌱晣ㄱ敢扥㥤㌶㜳摥攱㐵搴ㄵ敥㝤昹扣攳㕥㜰搴扣ち㍥㙦晤㠱㐲㜰㠵戲㤷㤳㉣攷㕥挴㝦㉡㘹戹挲㡦㌰攲㘶愶捤〱㕡づㄲ㡥愳敥㕤㠶搲㘰〴㡦ㄹ㜴〲摢扤㜹㙢㠰㜴戲慢㡤㑥㤴㈰搸㈶ㄴ攷摣㉢㐶㈸攲㠷㐰㉢㠹㈵㍣㤲㘳捦扦〶搶ㄷ㍦㐰〹ㄱ捥慢ㅤ㤱㈰㝦㝤㌶敡㤴㈰㡦慥㜸戰搷晦て㤶㘲㙥㕥㤷㥤晥ぢ捣㉣扥摦㡥愲㙢㠹愲敦㐵㈸攲㠵挲㄰㐵㠲搷㐰ㄴ晦摥㡤㑣㥣ちっ捦扥愴㐰㌸搷戴㝤〰㝤搵㉦晣晥てて愰㌳ㄱ㜱㈸扡㐱愸敤〶㍣㌷㑤㠴㥥㌵㈶〲㠳昷捡㐴㌸㠱㡣㘰ㄴ㍦㌴ㄱ㈲ㅦ挸㉣ち㌶㌶ㄱㄸ摢换㌰〴ㄳ愱搶㠴㕢㠳㈷戰换㙤晡挷㡥攱攲慤昴ㄱ捦㠷搲昲愷攰㤱扡㘲㙤昱㥣攱ㄹ昶ㅥ㔵㝥搴㤳㔰㘶摥〲㙥㜲慢㉥散㜱搵扡㌵慡搳㍡扥㡡搸换扥敤㑦搹摣晤㜵㘰㉡㑣愱晢㕥㤴㐴昱㘵㜸㑡〴捦つ戹昷敦晡挶搱㍦㍤昸攸㈱摥㔶㡢㘸戵㜰㌳昲摤㠴散㘹㑦㈰愸㥢戸㈸戲㥢ㅦ收㥣挰㈷㑡搶㜲㕤㑥ㅡ㥥戲㠲㝣摤㡥戳㈱攱㈵〸㌳㈴扥慤㘰㘲攲摥㐳㘸㘲㡥戵戹㍢搵㠷㑤捡㐵㌸㤶㤸戸昲改挵㘱㐳搱㔱㤱㜵㘹㙤ㄶ扥〵㔵昴ㄲ㈷㤲戶ㄲ㜹敡㘴ㄲ攲㥢敤扡敥〰㜵㕤㜸㤰㘱搸㍦㤶㔲㠸㍦㤰㐲㤲〷ㄹ㕥〸㔰㔲敡ㄴ㌲㠵㕢〰㌲㈲㙢敤㈱㕥晡〳戶㠵㠰㙣㕥晡敢昲㈳ㄶ散㈲戰ㄸ晢攲扢㍤搱搲ㄶ㡤㔵ㄳ㐳戵捡愶㤹㐷㐶ㅤ㕥㔸㌰ㅥ㤷愶㉣㥤晤㈸摤戴㍢㡡㉦ㄹ戰挳挰㕢挸搸〵㥢扥戶戲㝤搸㘹攰收〷昴㑣㔱㈹っ㘷㈷㡢㜱㈰㔵㌱扡戰㘹㌹㉣㈲ㅣっ戳捤㑥㝤㔱ㄵ㜴㤶戳〷愷㔲〴晦昸愵㄰敢㐷㕢㐳敦㙥慦愱㡥㜳㝡戱㐰晥㘰㝦㕤㥢挱搸㜸㉢㌹〶ㄲ㜶㔳慤㑡攱昵昰搳攸挲㐵攷㠴摥捡慡㘷㜱〰㝦㘲捥敡搱搶攸㝦㐶慦ㄵ㘷㥤㘱㙦㠶戱㔳晡晦摤㈸搸㔰晦ぢ挶摥ㄴ㈲摦ㄳ㘵昸㔰㘰晣㘴挳㤰つ㜷〴㥥㙤〴㙦搴挱㔸㔷㔹㠶扣挳摣㍣㍥㕥つ慢㤵〴㠷摦㉢摦㝥㌵愲搹㤷戶㙤㕦㐷〱挸搸㔰攱㙢㄰㐱ㅤ晢愷攵ㄶ㐷㘳㉡摥〷戰敢㠴㔵昵㕣摦㌵㠳㤱㜹〴㝤㐷昸敤㤹〹㥢㘷㐲㝣戵㕤愸㕤㡦㥤攸㝦ㅦ晡㥣㥣㠵挰㍥㈹㠳㔷㉡ㄶ挹挸挲收㈲ㄹ㍣㌶っ㈵挲㑢搴づ晥㘵收㍤つ愳㡥㑦㔷㘷攱敢っ㔸戴㈵㤴㕤攸㜱㙥扦愱挱慤挳ㅤ慤㜷挱ㅦ㈴敢㘳〸㡥愹㈵摣昷㍥敥㙢晢ㅥ愴摢㐶㙢昳搹戲㍢㥦㕢戹昰っ㜰扡戹户愴㐹㠶敦攴ㄷ挹㘵扤㐲㠸㑢晢㜰搴㘵㌹慥摢ㅣ戴ㅣ㙤ㄸ㜴ㅥ㝤搰㑤㐷搸㘸ㅤ敥戳㑤㐴扦捦愲慢㤸㈰挰㑦㌷愲っㅦ〴扤㝣㘴㐵昱㘵㉣㡢っ㠰㝣慥㔸〵攸㑣搵㑦慤㐷搵㐳戱㐰ㄶ㍣㘳㤰ㅣ换攲㡢㘸挸敤ち㤷つ㤶攰戲㠵㍡㑢㈰慦挷㍤㤰捦〹㥥㈵搴㐴㍥㡦づ捤㠹㔸㈸敤㍣㤱捦慤㌷ㄱ㐱㉢㐰㉤㌴㌹晥㔰慣㐵昴㍡慡㜵㥢挰㈱㜰〱〶㈹ㄶ㈹㙢㡡㘱㘸攱〷挴っ搲㙦愳扦捦ㅦ晡捤戳㑣㝦㍦㈴㤴㈰㐴㔵㝡昲ㄴ㠴㙡昲㥦㑣㑥摥㐳㘹攷挹㍦戱摥攴㠷㈸㈳㌹ㄳ㍤〰ㄸ攸ㄱㄵ晣㔱㡢㘹㈰挳㝤攴㑦㥣㈵挰㉦㌵㡢㈱〳㈵慡敦〵㘴搰㤷ㅢ慥㕡㕤㐴㈶敥㕢攰晡㌳㍥敥㔱昶ㄱ㉦㐲搲㤷㔳っ㥤戱挵㔰㉢㤶散挸ぢ扢㈵㘴〳㤶挴慦㘵㍢㡡昴㘲㤷ㄱ㝥昱㜸㡣㤸㘳挷攲㉦愷戴㈸收〴挲〸㉤㔲搲て㌷㔲㝣㌸㙥晣敤敦戶㕣愶愸㐰〲昵㠴㡤㐹㘷慡昱㘳㜱攳晤昸㉡㑢戵挹昱〶〱搳昳㜱㘳搲愳㙡晣㘸摣昸㙦晢昷㌴ㅢ挷㜴ㄸ㡥㕣㈰㤱㘴搸扡捡晡㑦㝣愱㍤㠸收〵㤳晡戳捦っ㡢㈹㌹㔵攸戸慥㌴㘸㍦㉥㠳㜸昸㐶㝡〶㜷㥢㜰〵〴㐲㌶晣愷ㄲ㡥攳捥搳戴ㄱㄸ昸〴㝡〵挱㘶㑦㔷㑦散㕣㌴㘷㍤ㄴ昴㥡挷㝤㥣愹㙡㕢㡡㐴㘰づ攴挳晤摤挰㈹㥦㘱㍡戶昶㈳づ㤲㘹扣㐳搲㥤昲㔰㠱㤵扣昸㘰㡣搹摣㈳㉤㥡搱ㅦ〶㜲㈰ㅤ〱㤹搱ㅦ〱っ〳㌱扣慤㥣ㅢ㈲晦㉢收晥㈰㉢㍥㐴昰㈸㐰㔹㤰搹㐹〷挵挷〰㜶挳㑡挵㍦㔵攱㡦搴攴挸戲㈷㔷昰㑦㕦晣散㍢㡥㈶ㅥ㡣㕦㤹㈴㈶晤㜱㜶晢〸㐰て㥣戸㈲㈲挵戲晥㔱㤴㈴㕦㑤昱愱㕥晤㌱㔶㝣㥣攰〹㠰㜲㠱㔳摥昴摥㜱㘵㕤敡慦㑦愰慢㜸㠴〰㍦晤㤳㔱㠶て〵敥挶摢㍡㕢捣㍣㄰挷㥦昷㐳㥦愶扥攳㍦㡣敦昲㔷戹攸ㅥ晣戳㈴〵㘵摥攷戵扢扡ㅢ㡢慣㐰换㕣晤㤶戱搹㉦㘳ㅣ慥慢ㄵ㐷攱㠸㔴㉤㈵慤㈸㠸㜵㉥㔸戸㜸〳摦㜲㔰㔵〸㐱㑡㔰ㄵ㑥㔴㜱〸〵晡愷搹㤴㌸㈶㥥昴捦昰㠹愸㔵㥢昸搹㈸挳〷㐱扣慡敥昷㐷摤攳ㄷㄲ搷慡挲㙡㝢㈱昱慦㉡㤶㤲㉦㝣㤲㠳㈹㘴㈱㤳搶㑤㐴㥡愲愱㉦㈲㌳搰㌳挸戹摤㡢㥦㜶㔱㔴捦搶捥㥥晤搷㘰㝥攴慡晣扢摦搹晦攴昳扦㝡攱㔳扦㝦敦挱扦晥晢愹愷㝥晦攷㑦㍤晢敦ㅦ㉦ㅥ晣挵㌳捦晣晣敥慦㍣晢挲㑥昳㘹敤扢晦㥡㜹晡愱昱昳て㍤㘰㥥扥昹攸㐳敦戹晦㥥昱戹换㐶㝢㝡㝡㝢㙦ㅡ晥攵㤵㙦ㅡ㝡攴㠱敦㡢㥦晥攱ち㐷愸攵攲〵改㘹㜰搹㙡ㅡ㕦㐲〶搳攰㡣㕦搵㘹㜰戹㙡愳ㄶ愳㡤㥡㐴㐱〹㥥つ㑥㐰㔵ㄸ改㡡扥晦〰㤵愸户て</t>
  </si>
  <si>
    <t>Market price</t>
  </si>
  <si>
    <t>Deviation cost</t>
  </si>
  <si>
    <t>Profit</t>
  </si>
  <si>
    <t>Dif prod-forecast media</t>
  </si>
  <si>
    <t>Coste deviación media</t>
  </si>
  <si>
    <t>Media</t>
  </si>
  <si>
    <t>Stdev</t>
  </si>
  <si>
    <t>㜸〱敤㕣ぢ㜸㕣㔵戵㥥㍤挹㥣捣㥥㈶捤昴〵ㄴ愱つ㔲愴㈵㈵㈴㉤㤵㤷㌱㐹㤳㌶㑤㐹㥢戴㘹㈹昲ち㤳㤹㌳捤搰㜹㠴㤹㐹㥢㤴㐷㝢ㄱㄴ㔴〴㜹愸〵㐱㄰慥ち挸挳㡢ち㉡㉡挸㐳㐵敥晤㉥ㄷ㔰㔱㉥㈰ㄷ㍦昵〳戵晡㕤慦摣敦㈲扤晦扦捥㌹㌳㘷㥥㘹㙢昹㙥扦敦㝡摡戳㘶敤戵搷㝥慣戵ㅦ㙢慦扤昷㠹㐷㜹㍣㥥㍤㜸昸换愷㤶挸ㄱ㐳㤳㤹慣㤹㘸改㑥挵攳㘶㌸ㅢ㑢㈵㌳㉤㕤改㜴㘸戲㍦㤶挹搶㠰挱ㄸ㡥㈱㍥攳ㅢ捥挴戶㥢晥攱慤㘶㍡〳㈶㥦挷攳昷㙢㉦攲晤昶ㅢ㜴〲㥡愹㜴㉤〱戸㍣摡㈰愸㈳㈰慢搶〴〱㠰晡㘹〰ㅢ扡㤷て㡣㕣㠰㠲㠷戲愹戴戹戸改っ㉢晢昶戶戶㤶戶㤶ㄳ摢㕡㕢㕢㕡ㄷ㌷㜵㡦挷戳攳㘹戳㍤㘹㡥㘷搳愱昸攲愶挱昱㤱㜸㉣㝣扡㌹戹㈱戵挵㑣戶㥢㈳慤㑢㐷㐲㈷㥥摣㜶攲戲㘵搱㔳㑥㌹戹扥ㅥ㌹慦敤㕥㍥㤸㌶愳㤹〳㤵㘷〳昳ㅣ攸㕥摥戲搶捣ㅥ愸㍣愷㈳㑦㘴搹㤳㑡㠴㘲挹〳㤴愹㡦敡㕦摡㘳㠶㘳㙣㈷搳㑣挷㤲㥢㕢㔰敤〲㐵㈳㜴㔲换㑡㘸㍣ㅣ捡㘴扢捤㜸㝣扤ㄹ㘵ㄳ搵㈷愸㌳㌳㙤㈶挳㘶㘶㝡㘲挵㐴搸㡣摢搱ㄹ㝦攲㡣㔰㝡㙤㈸㘱搶ㄲ㘹㑣㔸敤搶ㄷ㌱㤳搹㔸㜶戲㈱戱㌱㘳慥て㈵㌷㥢㘴昱㈵㝡挷㘳㤱摡㕡㔵㕢敢愹㌹戶㕣㘵愴㙤㕡㔶愶挳摤愳愱㜴㔶㐲㙣戵戶㜲扣慥ㅥ㈲ㄵ㉦愸ㄶ㝢㔱㔳㔱㉡㌶搳㔰㉣㜱扡㤹㑥㥡㜱ㄶ挲挶㙢㉥㘲ㄲ㥤㔸慡捦㈹挷㤱㠶つ愳愶搹㐳㠳愲戰ㄴ摤㐸㄰〴㌰㘶〰搴昵㐳㝦挹敤㈹㍤㤳攴㔹〰慡昶㑤っ慦攲㘴摥攱㤰㜷㜸挴㍢ㅣ昶づ㐷扣挳愶㜷㌸敡ㅤ摥散ㅤㅥ昵づ挷扣挳ㄷ㜸㠷户㈰愵昳昸敢敡扣昶㌳昸㠱晢ㄷㅤ㔳㜳挷摡㉢攷戵㡥㕥摢晢挵㙢㝣ㅣ㔱换捡挹㔰慣㥥慥㑣㘶㍣㌱挶愱㙣㌷㥤㡣扢㐴㑦㈶㍢ㄸ㑡㈷㌲〷戶㡤搱挲㔳㌵㜲㔷㈶昱敥㌷㌲ち㌹㈰㡤㙣捣㠱㥡攷㙣㑣挶愲愹㜴㘲昱㥡㔸戲晤愴㘵㡢搷㠴㈶摡㑦㕥愲て㐱㤴㍥ㄴ挰㌸っ攰攸挱㜴㉣㙣㌶愵愲㑤㈶㘷㑥〴㌰っ㥡㥡㥢㝡扢㥢ㄶ扥㜶搹㔷㑥㔸戳㘹㜴㤱㥥换㈴㠷〳㈸昵㉢昴つ昶㡦㥥㈵摢㉦㜹㘵搷㙢摤昷㠷㕦㝥晦㔹㜵敦㥦慥㌸㑢戲㜱㡤㈳〰づ㜳ㄷ㡤㈹昰㐴㈹扣慤㘵㤹㍥ㄲ戱㝡ㅥ昹收〳㉣攸㑢㘶戲㈱捣搹㤱愶㜰㘸㉣㈴㘵㙦㡢㈵㈳㑤㤸㈹㐷㘲㐹戳㘹攱㥡㑤㡢㜴ㄳ搳ㅣ〵愰搴换㜶昱㐷㍥晢捥㡥㠵て慣ㅣ昸㜰慤昷挹慦昶ㅦ㜶㤲攲晣㉣㔳昶搱㘴㕥〰㘰ㅣ㐳慣㙦挴㑣㐷搲愹㜸㐸扦㡦挱㘳〱㤴晡㤹㥤换搰ㄵ挱昸摢捦搵昷摦㜵挵㙥敦㉢㤹㕤ㄷ㉢捥ㅥ㈲挴㈲㈰㜳ぢ㠴㔸摡摡㉡㐲㉣㍢愵戵㔵ㅦ挷扣㥡〱㡣挵〰㠷㜴㈵㤳攳愱㜸㔳㙡捣㑣㠷戲㤸愹㥡㐶㔳攳改㡣㍥㥥㕣㉤〰㑡㍤㙢㤷㌸敦戲㕦㜶㌶搷晤昷捡摢㕥㝡昹捥㉢敦㔹㝦慡㘲慦㤶ㄲ㕢㠱ㅣ敥㉥ㄱ㐶㘳㤹搵㘸挰㑥搶㙤捣㙣〹㠰戱ㄴ挰扢㙥愹㍥㤱㤴㘵〰㑡㍤㙤㘷慦㤶晦㠷㍦戵昹㤵㤵晦㌴㜸摤㝤㤷㡤愷㥥㔲戴㔳㤲晤㐹㐰ち〴㐲愶㙤㈲㄰㤰愵晡㘴收㜵ち㠰㜱㉡㠰㜷摤ㄲ㝤ㅡ㈹ㅦ〰㔰敡㜱㍢昷搳㕦ㅣ㑦摥搹昹捤慥㝦昸捤㠷㕥晢㥦昰㍢ㄷ㈹ㅡ㐰挹晤㠳㐰收慥㐵㕦㠳㕤㕢㘳㠶㤲敤㙤慤㡢㠷戲㤱ㅥ㜳㙢晢搲㤶愵扡㠳㜹㜵〲ㄸ㕤〰㐷㜴愷㌲㔹昶戸㠸戹㌵〶㝤挱㔸扢晡摡㜲昲㜶〳㈸昵㠸㕤敥㐵て㕦㜶晣㤲昶ㄷ㍡㍦晣㤴昹昱㍢敦扦㝡㑤晤ち㐴慦戳攷戵㥥㜴〸㍤㘶㜳摥敥㉣㘹㠱㐴㝢㘳㜰㘱㙦愳换愲㈷㐵摢摡㈲换㕡㐳㑢㐳㍥捥㡣㝢㍢捤捦〶㙦㝤㜴ㄳ晡㙡㙡㥢㌵敦㐷㔷挶攲㔹㌳㉤㠱挶㈸㝥㉣摢㈵攱㠶攸㡡〹ㄸ晤戰㘵㈲㘶㐷扢捤㜴ㄶ挶㌲㍢㤹㥦㔲㡥㔸ㅥ捡㤸昹㘰戳㥤昷昲搴㜸㌲㤲㜹㑦昹挸愱㙣㈸㙢ㅥ㕥ㅣ㤷捦愴㈴搹㄰っ愹㤹㤱㉡捤㉢㑥㜶㐶㈸㍥㙥㜶㑤挴慣攸㈳㡢愲㘱㔲㔳㈳㤵㘳㔷愶捤ぢ㜳戱㈵㌵敡挲㤲㙣慢攴㕤㈲愵ㄵ㘵搵慢愹㝢㌴㤵㌱㤳㔲扤收挴㘰㉣扣挵㑣て挹戴㘴㐶㐴搴㌹㡣戲敤㝡昳㐰ㄲ㠲挲㔲㐷摥敢愶㔲搱㘶㌲㘲㐶㔰㕦っ挷散攴㠶搰㐸摣㍣愴㠰挵㉡ㄳㄱ㜳ぢ挸㉢㔳攱昱㑣㜷㉡㤹挵㜴㔱ㄸ搳ㄵ搹ㅡ挲㕡㈲戲㈶ㄵ㌱㙢攵昱㔸㔰㜹㙡㙡㤴昲㉣㉣㘷搰㤸㜷㠶㘶摢摤㐹搰㙢慡㌳扢㍡ㄱ㔷ㄲ㘵捤㝤㉥㘷㈰慥㑥㐶晥㐵㔵㙢攲敥㠴攴㙥慤捡㕤愶㤳㌲搱㘱㠵〳慦㘵㍤捣〶摡㈱㙥㜲㔴㝡ㄷ㔴捥㌲摦㉦愷愸愹慢㔵戸㝥㈷㜷ㄵ愵㐹戶戹扥昷敥㌲㝢扤戳㙣改㔷㙣挵㡡㜱㔵㈸ㄹ㠹㥢改慡摥㠷㘲㡤昴㑡㠲㕥㠲㔵〴㝤〴慢〱㝣㕦挷ㅣ㔷㔱愳㥣㕢搵㠴㥡昴㙤㡢㐵戲愳挶愸ㄹ摢㍣㥡〵つ㕥㡢摦㑦㜵㕦㘶扦て挱昴扤㑥㐷㐸昷ㄳ慣㈱㔸ぢ㄰〸㜸㡣〱晣㝡㡣㠰ㅥ攴捦㍡㠰攰㠶搸㔸ち㤳㙦搳收昴攳户㐷㘳攱㔴㐰昹戸ㅥ摣昷㔵㉢㥤㈵㉤㡢㘴㜸㌱ㄹ㕦〲㙢昱㑣㑤㑤㌹㜵慣ち㘵㐶戳ㅣ㠹㔵㈳㘵㝤扡㥥㤹づ〱搴㙦〰㔸扢捡㡣㘳ㅣㅦ㈸〷挸挷㘵敥㤴ぢ㙤㌲ㅤ㤲ㄸ㥡㑣㠶㐷搳愹㈴㍣挶㥥㔰㌶搴ㄵ㠶㌷㤱㔱㈱㈳搱㥦敡ㅥ捦ㅡ㠹㔵㌱晣搴㈷搶㥢㘳㘶㈸摢㡤㜹㍡摢㤰攸㠷㈷㈲ㄳ㘹㕦㘴挲㤷戰㥣㠸ㅥ㌳ㄳ搶昴㌶晡㌰㉦㑤ㄸ挰㌰搱搶㈷㌸搳㤸ㄳ㔹㘶㕤㤷挰㥡ㄶ晤㐹㠳愹㔹㔲㔹ㄸ㔳㌶〸捤㐹ㅤ戰㐳挸㈱㈸愸㉢㤷㘹㐲戰㜲ㄲ戳っㄳ㡡㐵㔱慤つ㡢㠷搰挶㙣㉣㥥㘹戱搵摢搲㤳㠲㌷㙡㡡捦㑣戵ㅢ〶㝡㤸㔱戵戱㡡㐷㍡摤㤵㠱昰㠸㤵㉤慡搲㥢㑥㡤㡦㜱㌵㝢愰昲㘱㕥ㅥ扤ㄱ攰昳㝦扣晢戴㘳㙥戹㝦㡦晤扢〳㘳㐸ㅥ㑤㡦㐶戳挳㌳㠸ㅦ㜹昴㤹昸〹㔴㡢昳搱敦㈹㍢搵㔶昰慣㝣攰慦㑦㐰摡つ㘹㔳㕣㐵扦〴㈶挷捣㠶挴愶㔴㝡换㐸㉡戵㠵㡤㍦㕤㐲㤹㔱搳捣㡡晦㘵扢㥢挴㤵㔲㌵㌵〵㕥㤶换㔱愳攷㘶㥣〳㄰摣㤰㡡愴㌲㑤㜱扥戱㤱㜴㉡㘳㥣ぢ㙡つ慣㡡㜱ㅥ㤰〵摤愹戱㐹㉥愵攸〱㥢昱㤱昱㔴㌲搵戴愲㘹㘱㔸㉣㘳㘶㔱换㐴㍣㌳愱㙥㠷㌲戸㘶ㅦ㔸昷㐶挷愵攱㉢〶扥㍣㜸敤搷ㅦ敦㌶て㔱户搹ㄱ㈵㕥ㅡ㝤㠴㉡㉢愱〲㕦㠸㔳㐷挱㑡愸挴挶㕢〶昰敦㉢ㄹ㍡㔸〷搵㑡愶㜰ㄵ㜳摣ㄴ愶扢㘸ㅤ㔳搱㙡晤㝤ㅤ㔰㙥ㄷ搲㕡〷㠴㌰㔸搴慤ㄸ㜶戴晢挰ぢㅦㅤ㐶㔸㐷〸㑣〰㔸㙦㤹捣㘰扣㌷㕢㐱㐵扦㥤〳㑥㡦ㄲ挴〰㝣㜴捥慢㕢㌴っ㔷扡㌶戵摣㍣㘹㐸昴㤸搱㄰戶㈲挵ち愹搰晦愵㤱慡挵收慤换㐲㔵ㄷ㠲㜵㠷㄰㐶昱ち户㜰㤷っ㝢㜷㤱㕥㌳戹〱㌳㜱收㐰摡㥥〳㘹挳昴〵㤰挳㜹㝣㌷愲㈳散扤㑣㕣攳搵㙤攵〲㘲㜸搸攳愷㠴愴㘸敥攴㤴摡扤㈴愸㠱㙡㜱㡡㝢㍡戴㝤㥡戶挶挸〰搴愰戳㘸㥡ㄶ昵㜱摢㌸㤴㔸㡤㡦搹ㄱ㈵㕢㐰摣摢㤱摤愵㙤㑣㝦㈵搸捡昷昲㐹㐴敢敤〴ㄷ〱戸㝡昹㈵㔶㔰㜱㝦㐸㝡昹愵㘴摡〱愰㥡〰㘴ㅢ㙡㈷㄰攷㔱㍢㔰〶ㄵ㈸㑡㤸て㜲愹ㄲ㉥〷㌵愰慢挴愹愳挰㤱㔳㠲愶ㄲ㉣〵㡣㈳攳戲㘶㌳㙢㐷㤴㙣㐲㜱敦㠹㈳㑤㕦㑤昰㐹㠲㙢〸慥㈵昸ㄴ㠰㑡㈲㈹㤵昲ㄱ〴扥㠳㌷扦㜰扦㥥㍣㌷㄰摣〸攰㔲捡㘷㄰㌴㍥ぢ㌰攷っ㉣ㄱ㐳挹㄰㤷敥㘳㘹散㥤㘴㘲㡦㍦㤸っ㜸搴〲㐴㡡扡㜶〱搱㌷〱㈸㙥㜶㜱ㄵ敢搱㌷〳㔴㕣㉦ㅤ㐳㡥㤲昵搲慤愰〶㜴㤵㌸挵㙤戴扣捡戸㈴戱㔴㜶㜶㈵㤵㥤㘵㐷㤴散戸㜱㈷㑤晡捣㤷㠰愸㌳㙤昵〰㉦㝣昴㕤〸敢扢〹敥〱㜰愹攷㕥㉢愸戸ㅢ㈷㑡戸㡦㑣昷〳愸攳〱愴捦㍣〰挴㜹搴〰捡挸昵㤹挵㈰㤷㉡攰㙢愰〶㜴㤵㌸搵〲㡥扣〲昲㝤㘶㐵㈵〵昴搸ㄱ㈵ㅢ㠰摣搷ㄳ〵戰㍢愸攵ㄵㄵ昰㍤㐴敢㐷〹ㅥ〳㜰㈹攰㜱㉢愸㤶攰㔷ㄴ昰〴㤹㥥〴㔰㈷〲㠸〲㥥〲攲㍣敡ㄴ户〲㤶㠲㕣慡㠰愷㐱つ攸㉡㜱㡡晢㡥攵ㄴ㜰㐲㈵〵戴搸ㄱ㈵㕢㤴摣㝡ㄴ〵㍣〷㐴㉤慥愸㠰ㄷ㄰慤㝦㐲昰㔳〰㤷〲㕥戴㠲敡ㄴ晣㡡〲㝥㑥愶㕦〰㈸㙥㘲㡡〲㕥〲攲㍣敡㘸户〲㑥〵戹㔴〱慦㠲ㅡ搰㔵攲ㄴ户㐶换㈹㘰㙥㈵〵ㅣ㘶㐷㤴散愲㜶㈰㈷㔱挰㙦㠱愸㐳㉡㉡攰つ㐴敢㌷〹㝥〷攰㔲挰ㅦ慣愰敡挴慦㈸㘰㌷㄰晤㐷〰挵摤㔴㔱挰㥦㠰㌸㡦㙡㜰㉢愰ぢ攴㔲〵晣ㄷ愸〱㕤㈵㑥㜵㠳愳㔰〱挶摢㈰敤㥤㑢㔲㔳㐹㑢㕥㍢愲㜸捦搷挷ㅤ㤴㘲ㄷ㔶づ扦㜲扢㘱慥昵改㜴㌰ㅢ㔱散愶㘷㌳搳愲㕤攳搹搴捡㔸ㄶぢ㠸晡㈸〰㔰㐹㜲戸㙣ㅣ戹ㄲ㌵㐷捦㠸㤹摢戸㜴㤸㕦ㅡ㠵㜳挱敥昱㑣㌶㈵摥昹扣搲昸㥥搴摡㔴戶㈷㤶ㄹ㡢㠷㈶ㄷ㤴㠹戶㘲㌶㡤㥡㐹散㘴愶攱〶㑣挵㤴ㅡㅢ㌳㈳㘵敡㌸㠴愳㠵戰搹搷㜳㌰散㠵㉡㙢㥢挱〳㑦ㄶぢ㌹㜵㑣㘵〷挲愵昷㝡戴㡤ㄷ摥慦摡捦慤㌴㥡㉢㡦㤶㜵て捡挴㌸搰㕣㐴㘲㌸昸戸扦㔶扤㡢戸㜶㔷戹搷ㄴ㠸愲㔹㉤㕡㠳扤㝤㡦〳愹㔸挴っ搸㈱㥣㥣㑤户搱㠱昱㙣㐱㑣㘸㘲㤶ㅤ搳ㄵ㡦て㈴搱昴攱㔰㍡㜲㌰戴ち昵㠳㠵㥣㌴㠹㌲昰㙦晦ㄴ㙤㘵攳昱散㜶慥㕡散摥㠱ㄹ挱㙢敢㥡摢㤸㘵㜷㑣㜲挳ㄱ㠸㙢㜳扡ㄱ晣つ㔴㜷㡥散㘷㠸㠷㐵搲ち搶㘹搱㜴攱㌰搱挱㜱ㅣㅦ㌷㘷ㄵ〶挵㘵搱搱慥㤱㑣㉡㍥㥥㌵愷攷㌰ㄹ攸㍡扡摥㡣攳㌸㘹慢㔹㥦挳〶挳㔹ㅣ挵攴昲攳㈱挲挱搳㐲搰㐸慤摤㑡㑡摡挹愸搲㜹ぢ㠵攰ㄸ摡捦㔶㐵晢㐵攵昹㝤㠷扡㘹ㄷ㥦扢㍡㍣づㄲ攰攳昱㜱㝢扡搸㈷㈹㥣㙢摤㈷〹ㅣ㐹戳㥣〳㉥㙢㠶㤳挹慢摥愱㜱ㄳ扦㈱㉡昳ㅥ㑥敡㜸㥣摦挸愱ㄳ挷㌵㤹㙣㉣㡣攳摦挹改搱扥㘴㌸㍥ㅥ㌱晢㐳㈳㘶摣㤹戳㜹㥥㜸㜰戴㤷㕣㌲戲摡慡㡡㕥㙣愵昴攱愶㤱㜳㙥戱摦搳㥣㐷搷愰愵挴㉥㈳㡦㠰昶搹攳㙥㌵㤴扤捦挷㌶〱㈴㥡㤹㍦㜴㤴ぢ㉥㤸摡㑡㐸㥣搳戸㠳㥤㍢昹㤱ㄱ攷㘲敢㑦昵愷㜰㉡ㄷ㜱㤱㔶挵㉣搲㐱㌳慥愴㤹っ挳搸㕦〳〳㕤㜹㍣㕦晥摡愳晣戹㙤挵㙢㥤㔷㌵晣㜰晣㤵攷晥扤〳慤㈰㠳愳ㅦ昴攲扤㙦搷攰㄰摢㉦㤳㈰㤷㘲㡤㥣挱慣㠵挳㠶㔸㌶㙥㑥㡢㑡扣攰㝥づ〹㙡戳㉥扡㘱ㄴ晢挸㍤つ搱摥㜴㉣ㄲ挷扤〷㉥㐲㜰㑡捣㑢㐵晤收㘶㥣㘷づ愶㌲㌱㥥㤴㌷㐴㌷愴㐳挹捣ㄸ㡦ぢ挲㤳㌳ぢ㐲搲㔸扥攸昲㔸ㄲ〳挸㉡㤳㜸㘳㜴㘸㌴戵つ㌷攳挶ㄳ挹摥搰㔸收愰㘸㈸昴㘶晢戱㐶㤵㔷㜹扤捡敦昵敦慦慤㤲摤㝤慣㜷㍤ㅥ扡㐱㕥〲㉣〹㌸㤷慤〱㔶㘵捣戲愵散ㄳ㘵㡥㔹搶慢攰㙡㔱搹搳慣摣搵㐲捥挳扡づ㠹敡晤〰慢㝢㌷昶攵敦㈱晣㑤㤷晦㝣㙢㤱㜳ㄵ㜳㈰㕤㈳㜷攸㌹〷捣搳慤敥㐲ㅡ㝢㡦㤶㔶㘷愸戸ぢ〶愲挲挳摥〸ぢ㑡㜶愲㉢㜱ㅡ㔵㡦挱㡦改ㄷ愷㜸㤸㜷愷㕢〱㉥改㜰慢㈳㘳挷㜵愷ㄲ㠹㄰扢ㄷ扢收㄰收㙥搳㉦敢㙢捣㈶㍡ち㈰㝤搰㈶㠵㈶㐰ち㑤〸〹㈶㤹ㄷㄹ〴㘷㕥愹捤愱㜴㉣㍢㥡㠸㠵晤っ昰戲挱㐱搱㉦搱㠵㙡愱㑣攷㤱捥㠹挵㙡昱搶愴㜵挸㠵收㙥㠱晦㐰搵戱昹搱㝢扤㘲挷搵㝥㥥ㄲ愳晢捡㠴慦〳挸捤挷挳㔵㑣晤㔶㔵㕣㡢㌰㔰愴㘷慢㐱㌲攰搵搳〰㠹昰慤㕤て㔰昵摣慥づっ㠱晥㔴㈸戲ㄲ昷㔱㔲改㍡晢戲慡ㅦ㑤换㘹㈵ㅤ攴㔹㙤㌷㙥㍡攰〶挵㔶慣㠵搳㝥ㄲ㠶㜰ち㕡换㔳㕥挳㙡㐳㉥㌰㍤㍥摦㌴㝦戹戲晡㥣扣ㄶ搸㘷㕡敥㝢戹㝤㈵昹扦戹敥㘴晡挰㄰慢〶㔰搷㐳づ摤㐰㤹㠶㄰愴㍣㐵っ搳挹搰〸攰摢㠸挸攲㔱㔲昱㕣㤳㤹晢ㄲ㍣㙦昵㈷㈸づ㤶ㅣ〶㑥㘱㜱㙥ぢ㤵ㄸ搳晣㍣昷搴㐱㘴晢捦捦㍣搳づㅣ摢㔱〰㑥昹ㅡ㜸㈰㐰攵改ㄹ㉣㝦㈶换て㈱戸て挷㈶㕣㈹改㥣㤷㈹㡢摤扣㔳搹㄰㜵晢㤰戳愲戶㌳改㜲ㄹ㡢㘸戲挸挲㌸㍦㠸ㅣ㐲挸〷戵㌹愳㘶扦㉤㌰扢扤㌱ぢち㙥攰昱㘷㡢㝤㉢捥戴扡㝤ㄸ㐵搰〶㝢㡣搹攰㌸〴㙡挲慤挵㤱昱㌰㌷㐳㥢ㅣ㔶挶㡢㈹愸捤㥢〲ㄵ〱㡤收㐰捦㐱㐲挵ㄳㄶ捥戲ㄸ㘴搶愸㍢ㄴ搴愹㐷摤㘶愶挰慢て㘳㈶㜶㐰昱㌸挶改㈹㐰㥤慥㍣ㄷっ晡㜰㌲挶捡㌳扣㠷っ㐷〰昸㉥〰㐳昱㌴㔳㜸戶〱ㅦ㥡㥤戰㔶㙥㉦昳㙡㠰ㅦ愷散㜲愷挰㈷㘳㜲㥡敢㉥㠰㘱㕤〳昰㈳つ戰㐴挶ㄸ挲㠴㙤㐶〲㔶㜷攳ㄸ攰捣攲昵搶㘲搶㌲㡡㑦㝡㑢㡡㘵ㄶ㐳愶㥣扦愸〶㔴挱㌸ㄲ㠹㥢戹慦㠲晣㠷昷收〶㈹㥤㜶散散散挱㡦㍣昰摡攷㈳て㑦㐰㈵〱ㅤ捤搱㐹戴挷㔸ㄳ㘲昵㔱〰㡡㠷〹㈱扣㌲ㄹㅡ敦〵愹㕣慦㤸〴㠳搵㉢㡥〶挷扥昴㡡敤㐸㈹扤㘲〱㑢攳㠹㐴㐱慦㜸ㅦ愸㔳昷㡡㑢㔸㍦扣晡㔸㘶㘲〷ㄴ㡦㉦ㅣ搹㘸㔶散〹㙥㈱ㄸ昴㈲㌲敥㈸捦㜰ㅣㄹ㥡挹戰ㄳっ散ㄹ挶㘲㠴ㄶ㍢ㅡ摦慢㕢戳㘵㔴摥㠲㑣愰昲换〱㥤㙡㜱㤱㙡慢晣〴㤶摡捡㔲慦〶㤱晢㙤㌲㉥㜰敢㤴挹散扤㤶愵挰戱慣㔲㥦〴愹ㄷ慦昳戸っㄴ㜶〹㑥戴戹慥㐱㌴㜷ち愸㤲愹扣㑥㜵㉤昸攸㜹攲㔲㉢搸昳慥捦㐹㜶㘶㍣㐰愱晢㘳㍤扢敤扥㠴㕤〹㜹㜶㜷戰㘲慣摡昵〸㑢㔷㤰㈳っ㈹㝢〹㐸慥㐵愱攲㌹㡢戴昹㈹挸㕢摤㠸㤰搵收戶晤㍤つ搴愹摢㥣〷㌳㘰挴㉤㔹㘶㘲〷搴㉥㈰㡥㜲㠱㍡㙤摥づ〶晤㐱㌲摥㔴㥥愱㠳っ㥤㘴攰㠹つつ㥢敥㐲㈸㘷㡢㜸㈸攳攴敢戲㐵换㤹慣㥢挹扥〴㠶㄰㕥ㄹ㈷搴〴㔴㜱ㄷ㠲搶愸攸〱换扥㡣㡡扢㤱㔲㌴戴㠲㜹摦㠳㔰挱愸攸〵㜵㙡つ摤换摡攰搵慢㤸㠹ㅤ㔰昷〱㜱㈴〱敡㘸愸てっ㝡㌵ㄹ敦㉦捦㜰㍡ㄹ晡挹昰〰ㄸ㘴㔴慣㐱㘸㥥㌳㉡㉡摣挲㉥㌳づ〶㤰っ攳㠰挷㍣㑥㐵㘶㤰㘲㤹昷㐱㤶戳㡥攵昰㐸㈶㠴ㄷ㈸㌷ㅡ㐵愵摦㐳挸㔲改㝡戰散㡢㑡ㅦ㐵㑡㔱改㄰昳㝥っ愱〲㤵㙥〴㜵㙡㤵㍥㡥㘴㘰昴攸㌳㤸㠹ㅤ㔰㑦〰㜱㈴〱敡愸㜴ㄳㄸ昴㤹㘴攴㜱㔰ㄹ㠶て㤱攱㉣㌲昰㠴㐸㔴㝡㌶㐲〱㐷愵戸㘵㕥㐶㝤攷㠲〵敡㝢摡㤵愷㐱㡡愵扥昳㤸攷㌰昳㝣づ挴㄰㕥愰㌹昵扤㠰㤰愵扥昳挱戲㉦敡攳搱㡦愸㉦挴扣㜹〶㔴愰扥㌰愸㔳慢敦㐵㔶〶慦㡥㌰ㄳ㍢愰㝥づ愴㡣㜶㑣㌰攸㈸ㄹ㜹㤸㔴㠶㘱㌳ㄹ㐶挹挰昳㈵㔱㕦っ愱扣晡㤶㤴㔳摦ㄶ戰㐰㝤慦扡昲㜴愹㉦捥㍣ㄳ捣昳户㘰〸攱㜵て攸㌷㄰戴搴㤷〴换散挲挵㡦㜵〱㥦㈹㑡㤶㍥㙦㠲㈶捡㑢㌱攷摦㈱㔴愰扣ぢ㐱㥤㕡㜹㝦㐰㌲㌰㝡㜴㥡㤹搸〱戵ㅢ㐸ㄹ摤㘴挰愰改㑦㉢ㅥ㐴㤵㘱ㄸ㈷挳㔶㌲晣〹っ愲扣㙤〸㉤㜰晡㕥搵慦〴捡昴捡㐹㈴㠶㕡㜹㜰攵㤴收㔲敢㜶㤶㜶ㄱ㠰㡦㌵摦扢㤳ち㉥昶㠳慥攳㈳戹㔵㌲㈳扡づ摦㝡攰㈳㤹〱散㘱㘶㐹㍡ㄸㅣ搷㕡㙢㈷㜹捡㤵㥣㠸㜰昶戹つ㤰慣㔸〷㠵慢㍥㕢㌶戹㐴戳㝦㍢捤〱摦攵敦散搹戳㜷愵戰改ち慦戵搰㔹ぢ攸㑢㄰㐱㍢㠶昹挳敡㜹㤷〲愱㘳㉣捥㌱捦㈲昰ㅦ㌷㐴〸敤挷㔷㠳㐰㤵つ㥦愲㑤㕡愶㥣㤵㜷㑦戹ㄱ搱ㅣ㠷㑢戱ㄷ晢㍥㍢㤱㔶㜱㕦㤶㜹ㄴ搴㐱搵㌹搴换㙣㠴慢㍦ㅦ摤晡攲㈵㝥挹㑥㠲慣ㄳ愳摣㔳ㄸ捡㑥挶戱㡦㐳㤴㑢㝥ぢ愳攳㡡搳㈹搰㔰改㔴ㅡㅢ搳戵挵ㄷ昱㜲㘹㔷愰搰㘹戳㡢慥敢㑢㌲挶㜰换挲㜷〹㥡愸㘲㝡㌰戸㕡㠵㘹昸ㄸ㤷㠳㍥㝢㑤㉣㡣摢愸愹㘸戶㘹〸晢㤱㑤晣㠰㈳㡡㥤改㉥摦㐵挸戱㙣㤹ㄴ慣㌶挹捦㉡户昲晥㔲㘰㑢㌲戵㉤㈹戵昱㘵昸ㅤぢ㑢搳㜵㜵㉣㈶㠰㔷㥥愳愱摢㈰户㌷㤸㔸㝦〴㐸㐳㑤㤰晢〳㝣㠲摣㈳㄰㠴ㅢ〲㠲㜰㔳㠰㑦㈳摤㜸收挲ㄹ攰㠰㍥㐱㍡晦散㥣挶㐷㠱㑣敦㕥づ昷㈷户㠳㘸㕣〹㕡㍤㘸攲㡦慤挷昷ㅦ挶㔵愰捣〰愵昰㍢搳㈰㜷て㤸㑢晥㙢㑣晤〹㤰㤴㜸愶愴㕦捤㄰㄰㌲㈹㝡愶散㍣㉡つ攵戲挹㐰昴ㄸ搷㠰㔲戱ㅤ搴ㄸ搸搸ㄶ㠵扡愴搳㉡扡晣ㄴ㄰攸㤲づ㉡㥦㈰㥤㔴㐱攸㤱ち㐲慦㤴㡦㡦㡥摡㤴ㄳ㡢敤㈲㌲㙦㌵愲挲㉡愲捣摡扡扡㤲㈳攱挲㐹〶摥愳㑣㐸㥣㡥っ㠳搰㤷㐴㤵慢捦ㄹ㑥㈲㔶慦㜰捥㈰㐵㕦て愸㙦〰〸〴㥢〰㔹㈱攳㐶㈰挵㑤昵㘹搰ち㥢敡㌳愰㤴㌶㤵昱㔹㤰㘷愲〵㜱㌱捥㝤戵㍢㜸ㄴ攸愲㑡戹扢㜱㈸换扥ㄹ㈴敢㈲搴〲㘰昸敦搱户搸㠸戴㈳㝤㐹㘹挷ㄱ㐸改戴愳㘶㍢㜲攸愸昳换㌶搹戱㠸㤶㜲㙥〷㠲㈶㕢㈸散㘸㌲㝡㤰㝣㠲挷㌹〸㕤㐶㍥㡡㡥ㅥ㥢㑤㥤㠷㉣愹㔲㐶攸㍢〰昵㥤〰㠱攰〹㠰㤲㈹㔵愳愹ぢ㑤昱㌵㠵つ搲〷㤴挸㈳㤹㙡ㅥ挱㍤㡣㍣㡦㔹摢捥㈰攴ㄸ㐲扥㥣攲㈹㕡㐰摦〷づ㑥搵㜴㄰昱ㅦ㔷戰〰㜳㔳㌵ㅤ㐲愱扡愷㙡戵っ㈴㑥搷晡慢㡣㍥㠹㠰㈹ぢ㜸挴㐳㈳昵㐱㍢㕡㌴㜹ㅡ〲愲挹㝥㔴㈰愷㐹捥㑣愲挹搵愰㤶㜶㝥晡㘹㈲搷㐳㐰愰㐹晡㘴㝣㠲昴换〴改㜰㤰㑥ㅢ㘹散〲昲敥㑣㈴昴摣㈸㡢收㐴愲㌹㜳㘸㑥ㄶ挱㙥㠷㝥㌴㈳ㄷ㄰㝣〷㈴㈵㡥ㄸ㐳摦㘵〸㠸㈸愲ㄷ㤸㈸愲换慤㠸㕣㤷敡㈸慢㠸㔵㐸㈴㡡昸㍥㄰㈸愲㡦搹攱〹慥㜶㤰搳ㅤ㠴晥ㄶㅦ㌵〰㘴㍥㕥搵㡥㉣㜳㕤敡〹㔰昴㤳〰㠱㈰摤㈶挹戴㕣㤷㕡攷㐴ㅥ㠷扣攴换㔹晤っ㤳㑡㤷ㅡ〲㠶晦ㅥ晤㉦㌶㈲㤲㙤㐴㐰㈴㙢㜳㐹㘶晣㉢愸㤵㈷扤ㄳ捡㡡㑢㔷㐹㙡昶㙦㐰㈰敥㈶晣昰〹搲㌵ㄲ㠴㝥㤰㈰昴㠵昸愸㜳㠱㠸戸挷扢挵㝤ㅥ㔴晤〲㐰㈰㐸㌷㠷㤹ㅡ㍦〱㔲㍣戹晣ㄴ戴挲挹攵㘷愰㤴㤹㕣㕥〴戹摣攴㌲っ扡㔴戹つ㐵挸㘷扦晡㈵㤰㉣㝤㠵㠰攱扦㐷扦㙣㈳愲慦㌰〲愲慦愳㕣晡搲搴㤷っ㠹昹㘵㔵ㄳ㐱戴㤴昳ㅡ㄰愸㐶慣㌰ㄲ〴改昶昰〹㙥㜶㤰㔱ㅢ㔱㕢㠰㠸㙡㡥㜴慢收㜵㔰昵慦〰〲挱㌸愰㘴㑡搵㘸敡㐲㔳㝣㑤㘱㠳㜴㙤㈴㤲昷晥攴㤳㘳晤㈶㈳愵㈷愴㠰攱扦㐷晦摥㐶㐴戲ぢㄱ㄰挹㘶㤴㤵慣戱慣㘴昴㔱愴㥣㍦〱㠱㘴ㄹ晣昰〹搲㈷ㄱ㘴摣㐱戶摡㠸㥡〴㈲㤲㌵搸㤲戱㜸晤㥦愰敡㍦〳〴㠲昴㈲㉡㑡㐶敦㐲㈲戱ㄳ㘵㝤敥慣摦㘶㔲摥㡡㔳㤷〰挳㝦㡦㝥〷㤰搹昲つ㕥㡡㠰㈴搹〳㐴㜳扡㙣昰〶㜷㤰て㡦摡〹㠴㜸㙥㐲㘴㈰挸㈵愵愴昱㤲扤挶挷㔵搱㘹㤵㙦㕥戹㤶㈷捤㔸晢ㄶ㝣ㅢ扢〲摦扡㑥㜲㡥慥挱挹㡥戵㠹㕣敢㍤㜵晦昲愲㈱慦㐷㔶㝣㝤㝦晤敢㥥㍤㝦㐳㍥㤴㌳㙦摡㤹攳㝣扣扡ㄶ㔵㔵㥦㐰㘴晥摡攱戹愴㑢搷㜹ぢ㐵㤶扤慤晤ㄷ㍢愲昸㈳愷㈰㤷㔸愲挸㠰㈸㔲㜱㐹㐴㘵慡㍦㈳〵㈵㤰㐲敢ㄱ搹㜸㍤挸㍥ㄴ㔵戴㥣攴㥥愳㍣㥤搶㡦摦晥つ㜶㌶摥攰愴㌸㔷ㅤ㜵㕤㤷敦搵ㅤ挵㜷戰㈵挵愳敢慤ㄴ㍢㌷㜴㉡㉥ㅥ昲㠲㘵㄰㙦〹戶扢㤲㘰㝦戰㈳㡡敦攱〷㙦㐱㑥㈲搸㑣㑢㌰㉥ㅣ㐴戰摦戹〵㥢㑤挱戸㈴搸㌷挱敥㜴㔲㔴ㄲ㉣昰搳㍢挶摡〳㝦戱㔵昳㔶㠷攲摡愱㥣㘰扦愹㈴搸慦敤㠸㤲晢昵㕣㘳攰㍦㡥㔴㔰昷摣㈰攲㐲㐳挴㝤て愸晡〸捡散㔵戲愲㈰㙢㙥㌴㈱㄰攴ㅡ㐲㔸攷㤱慢㐶㜱㈱㈰㥡昹愵㕢㌳㑤㠸㔴戴戹昹㕡攷晢搹㑢㤵㙡晤ぢ㍢愲昸㡡㝢昰扢㑥愱敦戳ち愵搱㤵㐲㕦㜴ㄷ扡㄰㤱㡤㌴愷晢搶ㅣ戴扤㤲愲㔲㜳㐰㙣㡦㘷昰㠶㑥昹慤㝦愸㔳搱敥收〵换昷戳攷㉢〹昶㥣ㅤ㔱㝣㜵㍤㐸㜳㉤摡㙣戱〴愳㜹ㄵ挱㥥㜵ぢ搶㑡挱㘸㌸昷㑤㌰㕡搹慡㠲㉤㍡攷㥡敦晦㜹攱㔷㍡㉥㥡㝤㕦敦㉦户㝦慤㐳搱㐰㤶ㄳ散㤹㑡㠲晤搸㡥㈸扥㤲ㅥ愴㕤ㄵ挱摥㙦〹㐶攳㈸㠲晤挸㉤搸挹ㄴ㡣㘶㙦摦〴愳㡤慣㉡㤸㈵搰攵ㅤて捦扢攲㡤㜵て摦摡愱㘸ㅦ换〹昶㐴㈵挱ㅥ户㈳㡡慦㥡〷㘹㔶㐵戰て㕡㠲搱㌶㡡㘰㡦戹〵敢愴㘰戴㝡晢㈶ㄸ㑤㘴㔵挱愴ぢ㝡ㄶ㜴㕡㈷㐱㠱㑥㐵昳㔸㈴㤸ㄸ换㐷㉡〹昶㙤㍢愲昸㜶㜸㤰㔶㔵〴㕢㠹扡敢㕥㠲㔵〰〱㐵挳㉡ㄲ㍥㘴㑢戸㄰戵昰㜳㐳〹搱ㄲ昱つ㍢㘲ㄱ㈲昴改愰晡㘸㔸愷㍡搵㜷晤㈵㡤㐶㈴昴㐵戹㐵㌳㉤㙡㤱㘹ぢ攵ち㜱㕣昶㌷敡㜱つ㈶㡤扦㘵搱㡦㥢㕤戸晣㠲扦改㘴敦〶攰挶ㄷ㡦㘲㥤㡢ㄶ㕡㐲㑣㙣㐴〷搲戸㜹㔱ㄷ敤换攰晥㔸挴㡦敦挳戳昸摢㈲挹㠳㘱慢ㄱ㍢㑥㌴挴㜸慣㜳晥戲㥢㍤㉢㄰㕤㝣㌱挳㜵㐹㉥慦て攷愲愴㤷户㘷昶㙦愳搱攸㐷㜵收㘰换〵㝦挹㉡㔳昸㜱㤴㔷㍤㠸搶ㄵ㑦昰㡤㈵㜳昷㐸慤搱昰㝡㉤㔲㘸捥改㑡㈴挱改㠴ㅥ㈴㠹摢捡〲㍣㍥捡㔸㉣ㅡ㌷摦搸挱㍣㐵㝦㤰㘱摡㌴捡扢㘱搷户㍡晦扡昴摣㉥挵昵〴晢㤰戱ㅥ愰挲ㄱ㐷慤扡搷愹㤹㘷愷㈷㕦戳つ㐸㈲摦愰㠹愱〳〸攸㌳㐸捡搷㑣㜱㐵㘲户〰㑡㠵っ㌴昳㔲摥㤹㐰㉡㤶昷愵戲攵㥤㠵㈴挶搹〰㌵搸摦挸㤷㜹づ㈸敥㌲戹㔸㜰㤷ㄹ愴〵㤶〱㜷ㅥ㌹㠷〹捥〷〸㈸ㅡ㘱ㄹ㔷㥦户挷㤵㌳攰㘸㤸㈵攲㔶㍢㐲〶㕣ㄸ㔴㐵㙢㑣〱㌴㕢搲慢㙥㜶㙡㕡搰㘶㔱㌲ㄴ戶搹㈸㐹㉥捤㌴㈱捣㕡收㕡㠲ㄶ㔷㌴㜳〱㤰㡡㥡戹搱㈹慦愰㈵攲㐸㔲搴ㄲ㐹㤲㕣攵搱㘶扢戵愲㘸〸愵扣㌱㈰ㄵ换扢愶㙣㜹㘹㘶㑥㜳㥣㙦㠵㉣㐹慥昲㘸㑡ぢ捡愳㝤㤲昲戶〲愹㔸摥㔵㘵换㥢㘰收㠵攵㙤㈷挹㔵ㅥ㉤㕣㐱㜹㌴ㅢ㔲摥挵㐰捡㥥㍥搵慡て㤷㉤敤㔲㘶㕤㔸摡㑥㤲㕣愵㜵㈲㕣㔰ㅡ㠷㥡昴㤸㑢㤱㈵ㄷ攴ㅦ㠰㜲晣㕥㐳㜱㝥㤷㠸㑢散㠸㜶㠹㔰㡡㜳扥㐴㕣㙣㐷㜰ㄵ慡慦〰戵㤱㌳㍢㍤㠹扡㘷扤ち㥦㕤扥慥㥥昰扥慥敥昰敥昶挴㘱㈱攲ち㤷搹㌸㈹散昵㥣㠵㐴晢㝢㙥昰ㄱ㤴愳㌸摤㌰て晤㔱㈰昸㉦慦攲攸㤷戹改㑡㐶㜳攰ぢ捦㔵㌶挲㠰攲㠸ㄵ㥥㡦㤱捡㠱㉡㍣ㅦ㜷昳㜰㔰㡡ㅥ戲㐵㥡攳㐰㤵㠸㑣㤱收捥㜷㈲搲㙥捤㕤〳㙡㈳㠷㘸㔵捤㈹づ㑤愹搲戵㐰ㄴ㐷愵㔴改㔳㌶㈲搵收㜰ㄲ㥥敢㐸㑤㍡㍣搷扢㜹㌸〴㠴攷〶㔲搹晢㈵㥦ㅢ摤㍣散戶挲昳㘹㔲搹㘳㠵攷㌳㙥ㅥ㜶㌶攱昹㉣愹㍢ㅤ㥥㕤㉥㥥㐶㜶㡡㑤搴晢㠴ち㥦ㅦ㌹晦晣户ㅡ㙢㥢づ慦㍤戳戳㝥搷慢㑦扦㜶摤昳攷戴晦晡敤捦㝤敥昹搷慦㝢收敤㐷㐶摡㝦昰㠵㉦㍣戱晡昳捦扣㌶㌳㝡㥢昷ㅢ㙦昵摦㜶㜱摢㤶㡢㉦㡣㙥㍣慥昷攲て㕤戰慥㙤㜰㐶㜳㑤㑤㕤摤戱戳㝥㜸搸挲攰捥ぢㅦ㔶㡦扤㜸㘸㔲㐹㌳戳㠵㙦㐲㐹㜴㔶晣㜸㠳㙣㙥㤹㌷㙦〶愲㍦〷〰㘷㐵㕡㥢慣户㈰散㍣㐱戶扡戰摥㑡慥ㅡ㈵敤㕤挲挵㜶ㄷ慥摢㠴慢㤱㑤昶慥捡㈵㙤捣㙡摣㡥㤲愸㝢㡥敡㈰摢㕡慡昱〵愹㠶㤲㔶㉥愹㉣㕢㕢戸敥戴戸愴㥤挹昵㡦〸㍢㑦㤰敤㉤㕣㕦戴戸愴愵㑢戸搸攲挲昵㘵㡢㑢摡扡㠴㡢㙤㉥㕣㜷ぢ㔷㤰㡤㈱攱㝢㠰攸慦㄰摣ぢ㄰㔰㙣てㄹㄹ敢敤〱戰ㅣ㜹㜱愱挸㌶㤲㠸㜵㜶㐴㤰㠵㍣〰㙡搰㘹㉥挵ㄶㄲ㥥㠱㠲挴ㅥ挵㐶㤱㠸戵㠵ㄱ㐱㉡㑦敡昱㈰㄰㌴㉥搵㈶㡣晤〵㡣㑡㔱㔳ㄲ㜱㝡㐱㠴㈷攸愸㑣㔱㑢挲戱扡㤰㐳㔱㌱ㄲ搱㔷ㄴ㐱㕤㐸挴慡挲〸ㅦ㤵㔲攵摢㠶晣戲㡤㝤㔹㈷昸㍤ㄵㄷ㜰㠱挴㡡攴戸昵㜷㡤㡣〴扦㌶㐸捥戰㡦㔹㥢㜳㍣㌳㜳㤴ㅣ敦昴ㅣ㐹搲捣戵㙥つ昳慦㐴㤱愵㌹㥦改㥣攲ㄸ攱㠷晡愸㐱捦㝢㉢㙦㔸㌹ㄵ攴昴攵㔷㝢捤攸户晥㔸挷㌷愱つ㍥㑡攷㌰〹㉡㜶ㅢ改㍦摦〲挲㍡㈸㥤挳㈴愸搸愷㠴攳摢㐰愸㉣愵㜳㤸〴ㄵ㍢㤰捣㔱㡦〰㔱散〵挲晦㥤ㅣ㝦づㄳ㝥ㅦ慢戰ㄷ〲㜰㐰敥攷㜹昶㜷㔹ㄱ捡挱愲昴昷ㄸ㘲㥤㈵昴㈸㐳㔲㔳攴㥦ㅢ慤㉣㑣戱㥥挲昳㝤昲㐸㈶㙥ㅥ攰ㅥ㈵㤹㤱晡〴㜹㐸攱㉢㤹㤲晡愴㥢㉡搹㤰晡㤴㡢ㅡ㘴㐲慡㔶晦〰〸戶㜳㤹㐴挲㍦戴挲㘴㤶昰㡦㈴散㈳㕢ㄵ㘳㕥昸㌹ㅤて㜸ㅡㄲ搶摤㔸㌹扡挵摦㌲㘳搷㈹敤搷㌳㐹㙥㉥㘰つ㔸㈴挲㐶ぢ捤㜵昰㘹㜶ㄴ㐷挴扥昶敥㍡㐸挳ㄷ换昳㜹搵㍢戸搵戹昷㡥换敥搹㑦㐳㍢摣㔱㐷户捣愳ㄲ昶㔱㥦挷㔷㉥㌰昷㘹㤸㝣㐴㤶愱㠰晦敦戴昷㘳㙡㡦㉤愳㜴ㅥ㤵戰㘲敦愳〶昵㌳㜹㥥㍣㉡㍣㡤搴㌸ㅦ愳㤱愹ㄹ戰戶㤵㕤摦㥣㌵㌲㑤㍥挶昳㤶敤㈰扥戵㘷摡晦〲〴㐴㍦改</t>
  </si>
  <si>
    <t>㜸〱敤㝤〷㜸㕣挵搹昵捥㑡扢搲慣㈵㙢㙤㔳㑣ㄷ挶挶㠰㐱㐸戶㕣㘴㌰㐸㤶ぢ〲戹捡㠵㉥慦㜶敦摡㙢敦㙡捤敥捡戶愸〶㤲〰㈱㡤㈴㘰㥡改㈵搴㈴㄰㑡㐸扥㔰㐲愸㠶㠴㤰㐶㑢〸㤰㄰〲㈱㤰㄰㐲ㄲ㠸晦㜳收戶搹愶扤㌸捥晦晢㝦㥥敦㕡㍡㥡昲㥥㤹戹敦捣㥤㜹愷摣㙢㥦昰昹㝣㕢㜱昱㉦慦㙡㍡昶散ㄹ捣收㡣㔴㔳㘷㍡㤹㌴愲戹㐴扡㍦摢搴㤱挹㐴〶扢ㄳ搹㕣ㄵ〴㠲扤〹挴㘷〳扤搹挴愹㐶㙤敦㍡㈳㤳㠵㔰挰攷慢慤㤵㝥挴㑢敢㌷散㜸挸㤲搵〴㐸昹㘴㤰㔰㐳愸㈵㈸昹㄰㕤挳〰㜵㜵㠰㈵㥤㌳ㄷ昴慤㐶敥㍤戹㜴挶㌸戸㜱㤹㤹挷㡣㤶㤶愶㤶愶搶㤶收收愶收㠳ㅢ㍢〷㤲戹㠱㡣㌱愳摦ㄸ挸㘵㈲挹㠳ㅢㄷづ昴㈵ㄳ搱㘳㡣挱㈵改㌵㐶晦っ愳慦㜹㔲㕦愴㜵㕡㑢敢攴挹昱戶戶㘹㜵昵㐸㜹㝥攷捣㠵ㄹ㈳㥥摤㕥㘹づ㘷㥡ぢ㍡㘷㌶捤㌷㜲摢㉢捤〶愴㠹㈴㘷愵㔳㤱㐴晦㜶㑡㌴挰㍡㤸㍣换㠸㈶㔸㔹㠶㤱㐹昴慦㙣㐲戱昳ㄴつ摦搴愶㡥㙣㜶㈰戵㤶昵摥㘹㈴㤳㡢㡤戸慡愴搴慣㙣㙥㘱㈴㤳捡搶愵愸㍦㈳㘳昴㐷㡤散昰搴散つ㔱㈳㘹〹㘶㙢㔳换㈲㤹昹㤱㤴㔱㑤㐷㐳捡慣挳慥㤸搱㥦㑢攴〶敢㔳㑢戳挶攲㐸晦㑡㠳㈲㠱搴摣㠱㐴㑣㔴㔷攳挷㔷㌵扥㔴挹㔴㐵愱㍣愹捥㔵㤱㑣㑥昹㔸㠵㉤愵㘴戵收愲敥㈲慦㕣㙣㔲㡤〵㉣搶㔹㑦㈲㜵㡣㤱改㌷㤲捣㠴㌵㌹愱㐰㐸㈹挸慣〷㐷㔳昶敤戰㤶挴㌰敢㘱攱扤㌰㤷㘰㤸搰㌹㤰捤愵㔳㜲〴摣㜲㈴〳㐶〱ㅡ㘶ㄹ敢ㄲㄱ敡戵㜱㙤㈶ㄱ㌵攴㑥㡣摥ㄹ㈰慡晦㠸㠷㔰㑦㡡て㠲扦㌷攲敦敤昳昷㐶晤扤㌱㝦慦攱敦㡤晢㝢㔷晡㝢㔷昹㝢ㄳ晥摥搵晥摥㌵㤰戱慦摡㥡ㅡ扦㜵摤晦晣扤戲昵㤱挳㡥搹晣挷攵攷㉤㍥㐱敥㈵昸摣愹〷㤰㐵㤳愳〹扢〱㠲扢〳㐶ㄶ㤴㘹晡挴改㜲て㑡散〹㄰攲㜵ㄴ㡢㐵晢㑣攳ㄱㅤ晢扥戱昳晣扢㝤晦昳捤㠵愱㈷㝥ㄲ攰㘳㍣愹㤴慥ち慢㘱づㅥ摦㘸㈴㥢戳㕡〸ㅦ晡敤摢㠰㉡户㥦㌹㤹攸㝦扦晤㈰㤳敤搲㝥攴摥搴晥㍥㠰㘰㈳愰㘶摥晡㔵㡤戱㐴㕣敥换攰㌱〰㈱㕥戱㉡㘵晦㌹㥢㥦扥㜷㤷㌵挷摣昳㔰晢收㕤㙥ㅥ㝤愱㘰户敡㔶昴㌸㌲昶〷〴挷〳㙡敤㡡㤰〷㌰晣㐰㠰㄰扦戰㔲㡡つ散㌲晣㤲㐷㑦㥢昷挰ㄳ摦挹慥晤昰㠵搱㠲搵攴愶㜴㌰ㄹ㠷〰㠲㑤㠰㘱㜶㑡㙣㉢㠷㌲慡ㄹ㈰挴㡦慤挴慥扤㙤换㐹㠹㥥慡昹摦㝤昰㠹ㄵ挷㡦昱㐷〴扢て㌷戱㐹㘴戴〲㠲㤳〱つ昳㈲㤹㌵㐶捥㝣㈰㤸攰ㄴ㐶㑦〵〸昱㠴㤵攰戹㜷挷㍦昹改愱㉢收摣㜱晦〵攷ㅣ戶攵㡢㤷ぢ㡥ㄷ㙡ㅣ㘹愳昰㜴㐰昰㌰挰〸户㉤㐷搳搹㕣㘳换㌴㜹㌸〵㘶〰㠴㜸挴㑡敤㠶㘹て㜷捤㝦㍣㌸㜷㜳摤收㠵㕦扦㙡昱攷〵〷ㅥ户㜸敤㘴㜴〰㠲㌳〱㜵㝡昱㘴㈷攳㘶〱㠴昸㥥㤵摡挲愵㕦扡攱㜳㈷㜶㜷摦㌵㝤㤷昱挷挶㠳扥〰ㅦ㕣㑦晤ㄳㅥㅥ㜴㤱㕡て㍢㥣扤愳搹㜱戰㝢摣扥㑦㠹捦㝡㑣挴戸㔲て慤搹捦㥡㈵晡て㝢搹晤ち搲㘷㉦扢㘰㙤捥敡㘵捤㉣戶换㠳㈲攴ㅣ㔶挷㕣㐰昰㈸㐰㘸㘱㈶ㅤㅢ㔰收㡡散㘲捣搱〰㈱敥戱㉡㙡晣晥㕤㑢晦㝥摢摤㜳㌶㉤㝢戰㍢㜰挹攸戳敡扡ㄱ扤挸敡扣㘷㘵㈲敢㌱ㅣ扡㈳敤挴㈶ㄸㄸ㕥㑣っ㔸ㄸ昱挹昱愹昱㤶㤶搸攴收挸愴㐸㠰㕤扥搷戱㡣晤㜱㕤㝣㜹愲㍦㤶㕥慦搴扥攷捣〸㥡㠰㌳搶㑤戰攲㘶愶〷晡㘳搹㍤㑡㐷昶攴㈲㌹㘳昷挲㌸㌷㤱㈲㕡て㠶㝥㈳慢昲摢扢㤰戶㉣㤲ㅣ㌰㍡㌶㈴捣攸扤ち愲㌱昰愷晢捡挷捥挹ㄸ愷㌸戱㐵㈵敡㐰搵慣㔳㘹ㄷ摤愵ㄹ㘵㤶慢戱㜳㔵㍡㙢昴慢攲㑤㐸㉤㑣㐴搷ㄸ㤹ㅥ㠳㜶愸ㄱ㔳户扡㌳愳㉣敢㘳挲㠲㝥摣㈸散㠹搸ㄸ㍤㌴㍥㝢㐳捥攸㡦ㄹ㌱㤴㜷慤㤱挹つ㉥㠹昴㈵㡤㕤昲㐴捣㍣ㄱ戱㕢㕥昰㥣㜴㜴㈰摢㤹敥捦㘵搲挹晣㤸㡥搸扡〸㉣㥥搸扣㜴捣㠰挱㔲捤换㈷㝣㔵㔵㐲昸づ㉡㘸昴捡㙡㘰扡搹㈶㔵ㄱ㕡ㄵ搳㝥ㄹ㥤摦散㥡ㄶ攳敥㜰ㄷ㐹㠳㙤搲㍦戶㐲㘲㉡㕤㈶㜳㘰㜹㐱敤㥥㘸戴㔳晡㠰昲搲慡㡣㑥捤晤㜷㠵晤晥㔱搶摤捦㕥〷慢昰愸㐸㝦㉣㘹㘴㠶㥣㜲〸㤶㐸捥〳〴敥挲搳㕣㔶㝢戴㜳挴〶㌱ㄸ㔸㥦㠸攵㔶〵㔷ㄹ㠹㤵慢㜲〸挳戴愴戶㤶慡㉤扡攴〲〴挹㠵㠴㐵㠰㔰挸ㄷ㕣㑣愱㘰㐸昶㤸晥〰慤㌷㑦晤㜹㥥扤愹㈶㍥捡扥挵㘴㈴ㅢ㐸㘱挸捣㔶㔵㤵扡换愳㈲搹㔵㌹㌶捦㈱㈳敢㔰ち戹㠴戰ㄴ㄰愰攱㔸搱㥣愵㜹㕡㑤慢扤㍥㌵换㠸㐷㌰㔷㔲㑦户㠸〴㔲愶昹㍤换挸㐶㈵敤昴㉥㍣㉢ㅢ㠲㜰攱攱慦㑢戱昵ㅢㅢ㜲戳㈲戹㐸㑤ちㄶ㍦㙡㐹㐲㘸㠲㘲㤹㉥㌲敢㔵㤸捤づ㔹㍥愴㄰㔶㑥㉤㤵㘱㉡挰㑣〹てづ㥥ㄷ㕦㤵㠵㐳摦〴捡捥愱㈲㔸搸搰昳㉤㜷㑣㈸㘲㜳㡤晥㈵㠳㙢㌱ㅤ㠱㜸㙤㜰㐸㔵ㄶ㍥㕥㙡㠰㡡昶㉤捤㈵㤲搹㈶㤴㜴㙥㈶㍤戰㜶㝢愶挳戴攴㌲㠰㝤〵㙥㐱㉢昶㝥㑦㥣㤲搷慣㘳摤昴昶晡㙡㤹ㅡ㐳㈴㘷ㄴ㤲慤ㄵ㠹㙤挵ㅦ㜵挹攳昱㈷㌴㔴㕣㠰昳㡤㑦㌳换愱愱㔵㤷㕡㄰敤㕢㤲㌱搴扣慤㔶㜹愰敤晡搴昲㜴㘶㑤㕦㍡扤㠶敤㘹戸昲㘵㔷ㄹ㐶㡥㜳愱㘱搶摣㑦捤昱㠴愸慡捡㥢摤㘸㤳㈶㌶搳攰挹㠰昰㤲㜴㉣㥤㙤㑣昲㌷搱㤷㐹㘷㠳扤〸慤挲挴㉣戸〲㡥戱㥤改戵㠳㡤改㜸㈳㘷ㄳ㐶戲㙦㈰摤㥦㙥㥣摤㜸㐰㔴つ〰搹〳㥢㌶㈴戳ㅢ挴搵㔰〶㈷㉣㔳㝥晤㤵㘳摦㜸改敦摤て㑣㑡㉤昸摤㡢晥㝦㡢慢慣㠸愲搹ㄱ攷㐳㙡㥥ㄶ㠵㐳㕣〹㌱㜶㌲㜰攷㕦搲㠰㕦挶〹㉢〱攸㉡㤴昲搱㔳㈴㑣慦攰㥣㡡扤㠵㕣㑤攰攴㑣㜰㈶挵㘷㔵㈶〱昶㈵扥㠶昴搹〴㔴㌵㜲ㄲ㔶㕣㡤㙢ㄱㅡ㤲㐳挴〹捥捦㔸㤵㤲慡㤳搴㤴㕣〱㄰ㄷ㈰攱㤲ち㌸摦㡡㈸㥡捡㜱挲㌱㠴挵㤲㌷㝢攲捤攴㔹㉣㜵昱㌹㠹㘴捥挸愸㐱愹㈱㡥㍦收晡㠲㌹㐸㜱㈰捥㐴愲收捣㝤愷㜸㈷挶㘲㉣㘸攴〶搵㠰愳㐴㡡㙣〱㜳愸晣㕦㡢㘷㠷戳㜸㤴扤㤳㘷昵っ㘱㔱愰搱ㄴ搸㍣㐳ぢ㙢㡤㠸㠳㝤挹晥㐹戵㤷㈶愴㕣搰挸㈰㕦搸㤹㙡昶ㄷ攴昵㐶挸搴㥢换㕢㐲㙣散挵㡤㤴愴戲㔶挷晦摡㙣愵㤶㠹㑤㥢㙤㄰㡡㤳愷ㄲ㑥㈳㥣㑥㌸〳㈰捥㐱㘷挴㙥昶㑡㜸昸㝢ㅦ㈶攰㙦愸晥昰㉣捡㙣㈴㥣つ搰扡搹㜳攱つ㝥〶戰昳㌲㔸㈴㤱晥㐸㘳捣挰戲〱㤶搴戲㠹ㅦ摥摤ㅦ昲㠹㝤㄰愹㍡攰捦挲㈱㍦〷愸㍢て㌰晦㈸㈳㠹㔹挰昶㕡昰つ散㡢㌴㠷戶㕢搰㡡㔸㡥㕤㔲㍤㠳晤搱㔵㤹㜴㍦㤶挹㘹㑥㜵㐴戱㘲㥡ㄵ㤱㘰慡㍢摤㌹㤰ぢ愶㡥㑡攰㑦㕤㙡戱戱搶㠸攴㍡㌱换㠳慤搶㡤攱㑤㔹㘲㕤戱つ晦㉦㉤㌵ㅦ捤㘹㑣愰㕤㘳㑤ㄴ㍥挳愶捤㘴愹户㘹㔶ㅡ慢敦㠶摡㈸愰摡㠳㐱㔸摤㍢愰㈹收㤳攷愳㜴㔷扦㝦敢㘱攳㌶㝦㜳慢昵昷㉣戴㐵㜵挹㐶㐴ㄶ㡦挷ㄷ㈲㌴㌴㔴㥣攰搲㥣㌳ㅥ〷扦〲㕦ㄵ㥡㠱㌹㈶昷㈳改㤲㘳㜲捡㡡㈸㕡挹ㅢ〷扥㌲㑡扥づ㠷㔸〳戱搲㐶挹㈵㠸㤶㥢〸㤷〲戴愷攵㜲搳㉢戸晥愷㥥㠹㉢㈸挴㐷㑤ㅣ〰㔰㐶挹㘶㌸散㑢昴㈱て挷㈸ㄹ㡦攰㘲㈵㕣㡢搰㤰ㅣ㈲㑥㜰㔵搱㔱㠲㘶㤴ㅣ㕢㑥〱换慤㠸愲〵挸㠳㤱㤲㔲挰慤㜰㠸愵㘵ㄵ㜰㍢愲攵ㅤ㠴㍢〱㥡〲扥㘵㝡挵㈱昸慢ㄴ昰㙤ち摤〵㄰㕣戳㔴ち戸ㅢづ晢ㄲ摤扡〲㥡㄰㕣慣㠰晢㄰ㅡ㤲㐳挴㠹㘶㐸㤴㔲挰捣㜲ち攸戰㈲㡡ㄶ㑤戹㑣慡ㄴ昰㄰ㅣ攲㐸㠸㤵㙥〱㡦㈰㕡晥㤰昰㈸㐰㔳挰㘳愶㔷戴攲慦㔲挰攳ㄴ㝡〲㈰戸挶慡ㄴ昰㈴ㅣ昶㈵愶㈰て愷〵㑣㐶㜰戱〲㥥㐱㘸㐸づㄱ㈷戸㜲㕢㑡〱〷㕢昷㔹㘴㤷㑦戰㈲㡡ㄶ㜹戹戶慢搶挲㝦挱愲晣㤲昰㉢挲ぢ㠴ㄷ〱㘲㥣愵㤴攲㐱攴㘵捡扣㐲昸㌵㐰㔳捡慢っ攳㈰㠲攱㘲㍡晥㈸挵扣挶挰搷〱攲㜰〰扢㜷㥦㝣〳㔰戶㡦攰㘲㜳戱㜲摥㐴㘸㐸づㄱ㈷戸㄰敤㉡㠷㝤㠴搹㍦㡣㉣愷㥣ㄱ㔶㐴搱㥡㜵㍢戸慡㜵扣〷㠷㘸戰ㄴ〱㜷晥㈵晦〲扦晣㉢攱〳㠰愶㠸て㑤慦攸挰㕦愵㠴扦㔳攸㈳㠰攸〴愸搶昱て㌸散㑢〴㤱㠷搳㍡㘶㈲戸㔸〱㥦㈰㌴㈴㠷㠸ㄳ戳㈰攱㉡挰㥤戴㝣晣敦㌲ㅤ攴扦慣㠸愲㘵昶㌹㐸挹摢㔲㜶㄰㤲晦㕦㉣㉡㥡㑢㠹摢戸㍣ㄶっ攱昲㠹戹戸㔹㔵㥤㐱㡣摢戲〶㄰攰㕡戸㤷㐵昹摤㈰㈷㈲愲㑦㐴㐵㑣ㄸ㌵㈹㉣摡捦㕢㤹昹昴ㄶ挸㜰㄰搵㠲㡦㤹㐰㥤敤㔵㝢ㅡ戶㠷ぢ㐸㘱摢〳㘹戵〲㔵敦〶㘰戱㘳㤴敤搳㔶㤲㥣戴户昷戲ㄴ敥㥤㠷ㅦ愰慦㉡㙣㤴愸㍦㈶〶㜹つ慤㍥㤴ㄳ㡡攲扡捣昶㌲㜷晥㙦攷户扤捡㑤ㅤ搸㔷㕣㕤ㄳ摢敤扦㜶戸昹昷搵〷㐳昲㈸㌸㡢㍢㤱㄰㤴ㅦㅡ㌲㜲㈸愲㌸ㅡ㠹㍡㍤㑣㜰㈴ㄲぢ㘲戶㠷ㄶ㘶昶戴敦㤴敢㘸摥戶㈲ち户㠹〲昳㤰攰愷㔸摥攷昶㥦㡣㉦㑢ㄸ敢戹ㅥ㌹㍣㥥户愵㔷ㅦ㥦㤵㥥㥦捥捤㑡㘴搷㈶㈳㠳愳攲㤶㘳昹㉡愳ㅦ㕢ㅢㄹ散㜰ㄴ㠴愵搷慥㌵㘲㌲摥㤳ㅥ挸㐴㡤慥㔹㍢挲搶〷敥て晤㠴摡昵昰ぢ㕣摢戶㥡㡦㜹㠵昰〵㜷㐱昵㡣攴慡㕦搳㐲捣捦搲晤㤱㘴攲搴㐸㉣ㄲ㤲扢慡㐶攰ぢ㜰㜹扥㜰扤㔶㥢摢扢换㐸㘱〸㌶戸捡㕥㤲挸㈵㡤㘱㜱ㄵ慦摣戵㜱㈸ㄸ㕢㐹戱㥡昸㤲㔵㔸挷㥣㔵ㅦ㥦㥢㐹挴㤲㠹㝥㠳昵㠴愵㈹㙥扡㜵ㅢ㉢戱㙤戴㌰㥤㑤昰㤰㐶㝤㝣㐹㈶搲㥦㕤换ㄵ昰攸攰挸㍣㥦㥡愰〵攲㌳ㄳ晤㔹㘴愳づ㝢搰摤㄰敦㔹㤵㕥㡦㜳㔳〳愹晥戹㤱戵搹ㅤ愲挲愰㑢敢㔲戵㈶晣挲敦ㄷ戵晥摡㙤慤扡攰㘸愴戸〷摡㙥㉥㤳攸ㅢ㠸㜲昲摤㤸㔷㝦㉡户㠹挰㙡〲㥥㘶㡣㑣㠱㠵㜰つ戱㑣挳挵ㅤ㙢㔳㡦ㅢ㔶㉣㜳摥〶㜸挹扤ㄳ攷㔰㕡㍤挴攵㙥㈰搵敤づ㌸㝡敥搲㉥㜷㉢昷㍦㍡㌱ㄶ㔸㠴㤴ぢ愷扤㠵㉤搰搹㌹㘳挷㌳摣㙣㑡っ㘳换挲挳㡢ㄶ㐱㕦㘱昳っ挵㤵っ㕢敡㜰搷㌹〷㥢㉦㜵昱敥㐸㥦㤱挴㥥㔱㉡㤲ㅢ㙥㝡戸㘴㤵㡡㈴戳㔶㕣㘷㍡㤵㡡戰改戱搹昶㐴㈳㐹愳㌶摥㌱㤰㑢捦㑢昴换㌸㐰戵㑦㉢㈸戲〱㐱㤱つ㉡愸㉥扥㤸㝢挹捡捤戴搲㉢㈳㤹㐴㙥㔵㉡ㄱ慤愵㠷晢扤㍢㐴㥢㐵ㄷ㔳つ㘵摡㤷摤摤ㄴ㉥扢㤸ぢ㄰愸敥㈶慣㌶㔲㜵慣㝥戴㙣扦〸攲㥦搸㐶㕢ち㥤㤳ㅡ㤷攴㥥㐸㉤攰㐷㈱搸㕢愹敢㍤晢愴攴㝢㘷㈱挴戴戹㝡㈸㠰㕦㥣戴㐲收㜰昰户㝡〹㘰挸㝤愸ㅡ〸㠴扡搳㤱搸ㅣ㉣㤰愷㌳㌵搶〹挷㕡㔴㉤扢㥣㑣㤸㍢㠳㥤搸㙣挶㈶昶扡㐴捣挸搴㌲愰〷㑢㐹搵摣㔳っ㥡㜵〸㠳愵捡ㄷ〸っ慢㉤㤵㔷㤷㥤搶㔸㙢扦㐵㍦搱搹㔵㤴晥㍢㡢愶ㅤ挹ㅢ〹㠵慡㠰㜲㙦戸攵㍥〰戱ㄴ㕥摥㑦㠱㐰㈳〵昶〵〴㤶㈱戲戰㙥昲㌷改戰㤵ㄷ㠲㔰㌵慤挰㙡㕡㝦戵戶搵ㄷ㔰㌷㌲㑣戳昲㠲愶㜵㔷㙢ㅦ㌸っ昶愰㤵ㅢ戱㤰搹捦㜲㈱慤慥㉢摢㘳㥣㌲挰㔳㠵㤱㈴敢挶敦挷ㄱ㐲搸㕦㠵晢ㄸ㐵㠵㐰搲愹ㅥ㐳㙤㉢㡡㔲㉡㜳扡ㄴ㐱㘳㈶㌸〶㘹敦捡〷ぢ㘵改㜵㡦ㄷ㤹挷昷ㄶ㐳〲戳愲慤昸愳㉥㤸㉤㘳㈱敦㤳攳㠸攲㜸㠰慤㌵昶っ愱㤰㥡戱敤㡦㐸㌹ㅥ㈰愲〸愴㜹愱㥡㤷攴㘰ㄸ㤲〷ㄲ㘱挸㜳户㠹愳ㅦ捥敢㈱㐴㕤〵㍤慡㠸㈳㤴扤慡㥣挰挴㔶挲挵捥捡㘹扣㠷㈰戴㜲攳攵收ㄵ㌳㤰㑤㐰扢昱㡡搵〸戱㡢捥㔸慢㐵ㅣち户㙣〶〸敥㙥㤵㄰㘸愱挰㐴ち㜰挳㡢慤㈲㌸〹扥摤换㘸㤰攷扤㑡㈸㜱㌲㈸㍥㌹㠵㈸搶〲散㡣敡攰づ㠵昸摣挸愹㠸㤴搳〰㠱㐱㜸㠷攸愰戱〶愷㙤㐴愸㍡㡤㉦敤㑦攴搰㜷戲㔰㜳ㄲ㌹搴㙣㕤ㅣ〰愷摡㘱搸㕤昵愹ㅡ㘹㠲㘳捥敤㔳ㅣ㤵㘷摦敤㕤ㅣ慦ㅢ㝣㘳㑢㐴㥢愶愰㘶〱㔶ㄲ㔲㈶㘱㠹㌲敥㐸㌶愲㌰搷㡥㉤㌳㜱挸㈳㘷慥摥㌹㠶晦〷ㄶ愵㙡㐸㌸っ愸㕡つ㥡㌴ㅥ挶挳攰愶改㜱㙡挵㈶愲㙤㍦搱㠰て搱㤲㌴挳敡慤晤捤慥晥㉣晡攰㤰攵挳〸㍢摣㜲㉥ㄸ挸攵挵㐴㌶㡣戲㘲㍡㤲挹〵晤㌰㤳愲㤱㑣㙣〷ㄹ㔴㜱㙦愶つ愸挶挷㙤㌴摤㤱〸㉦㙤㈸㐴扦㜵戸愵㙢敥昳㝣㥡摤㍢敥晥搷㔳摤捥愶㕥㉤㝤昳㡣㐸扦慡㠵㥥㕣っ摤慥㥡㐷挱挶㡣戲挷㑦ㅡ愳ㄴ挱昱慡〱㐴挶㍢晡戲㌰扣㜳戴愶㉣㤷㝡搰㘵㝣戱㤱挴愹敢㜵〶㡣ㅦ换戵㌰㥡挳㕥戵㤳〰捦㤵敤㌸㌵〴㡤㔴㕢戵㈴㔴㍤〵㠷攸摦昲㙦㠲捦搰㌶搶㉡敡捦㥣慡扦㝢愴戸晣㌲㕥户ㅣ改戳ㅤ㌴㜴昰㈰㥤㡥攴㠷戰攱搱搷敡㕢慤㝣㤲㐶搹㈷〰捣ㅥ㑥㜵㕥㜵㜶㤸㍡㤹挶㠹㔹㈶㠷挳㤷㍣〹摢挰㐷㈷〹㑢㈸㤷㠰㑤㥢ㅣㅣㅥ敦敡㡦㈶〷㘲㠶㌲㠸敤㍥㕢搹挵㍢㐴㝤愹搷㘵捣扡ㅡ㐲㉦㤶㔲扡昰捥㡣㝤ㄸ㙦摢㈷捥㜲〶㙡㑡㜵㜶㐸㈳㈴㘹戰戱㙡捥㠰戲㍦昵扥㌶㉤戲㤱敥愹っ昵㘶〶扡戶愲㈰昶㘹摣㤶㜴戶挶搵ㄳ愷㠹㜵愷扢搳㥣㕤㙢㐱㐷㈵捣愰ㅤ愲㥥㜰㥦㘶挷㠷挵扣㙤㕥戲㘰㈲攸昵搴ㅦ摦㝢㘷㔹㝦㡦愴晥㘹戱㌱挰戴搸ㅡ㔵ㄴ㉡㠶ㄶ㥢㥦㘰㠹㙣㠴㑢㔹㙣ㅤ㠸ㄴ㘷挳㘷㕡㙣㘶㝤捡㑥㠴㔶戶搸捥〵つ㠲㌸㠸捥㐴㉣㡦攰㤶户㙤㈷挱㠹っ㤵つ㍦ㅢ〲㜲づ〵㍦㔷㕡㘰㉥〵㡥〲〴捥㠷㐰㘱㐷㔳㜶㠳㤷㠹〷㔲㌴挵㙢㔳㥣㤲攰㌱つ攲攰㈰㌶戰㘱㥥〵㠷搵㥥㠷㜸搹㠵㘴㥦搹戲㠵扢ㅥ㍥㜱㈱挰㉥㈰㑤㌸换㤰㍢㥡昹ㅦ〳㄰㕦㐷愰㘳つ〷扢ㄱ㔴㜲㘹㘸ㅥ㈲愸敥㑢㈰慥搴ㅤ㥣㡦㤰㑦扢ㅣ㈱㌶㠱慥慡㘲〱昳收收㘹㥥昱扣〸愱㤵慢攲㜲搰㈰㠸敡〳㍡挶㌳㜷㕡敤㍢㘵慣㔵ㄵ㍤㜰换㈵〰挱晤慡ㄲ〲㑢㈹戰㡣〲㥢㈱愰㡣攷攵昰㠵㙤攳搹㝥敤愲㤴挹㝣ㅣ〴㝤昲㜸愲戸㔶㑢㕥㥢㜷㥣㠰㐸㜹㈲㐰摣ち〱㐷搳㤲㥡づ挹㤳㠹㔰㉢昷㔳捤㔶㑣戵慡慢㜰摥㜱〷㐲㤵敡㔶㌰戱㍢攱换㔳㕤ㅦ㐲㉢慢敥㕢愰㌱〳ㄹ〵㍡慡晢㌶㐲㑡㘸㈶〶ㄹ㘹〰挴㕤愵〵攲ㄴ㔸㐹〱㙥改㉡搵慤㠲㙦㔴愱敡捡㑣㌸㔶㐳ㄶ㈷昶㠸攲㍥㉤〷㙤挲㤱㐴愴㑣〱挴㐳㄰㜰戴ㄷ散㐷㔰挹㜶㥡㐶〴ㄵ晡〸挴捤㜶扡ㄶ㈱㥦扡㥤晥㄰㜴愵散㔳㤸昷愳昰攵㈹㍢㡢搰捡捡㝥っ㌴〸晡㈴搷搵ㅣ㘵㍦㡥㤰ㄲ捡ㅥ㠰㡣㕣〷㄰摣㉢㉥㈱戰㥥〲ㅢ㈸挰敤㘳愵散㐱昸㥣㘹戲晥捡㑣ㄹ㠵㥦〶㜹ㅣ〷㈲㡡㘷戴㕣㌴㠵㥦㠱㐸㜹㈶㐰晣〲〲㥣攵㔹ㄶ晥㐶挵挲晤挰挲㍦ㅢ㙥㉡㤹扢挳戴昲敤㉢摦㌶㍤挷㤲攲昶㌱敤㔳敡愲㤲慤㈳㕥㠰ㅣ敤ㅤ㥦㍣ㄷ攲敥㠰晢㔹㉢戱ㄷㄱ挵㐱搷扣捡てぢ㉦㐳挰㝣愰戸㌳慣昲㉥ㅣㄶ㕥㐱戰慡攳昳㤰戶攰㡥戵㔹挷搶戰㜰〱㐲㉢搷昱慢㘶摡㍥昹㜹㈶㘲㜹挴㙢㜰搸㔵〸㈷㤴愵㠶㠵ぢ㈱㈰扦㐰挱搷㑢ぢ㝣㤱〲㕦愲〰㌷挲㌹㌴挸㉦挳攷昴收㙦㙡㌴〹户搵㥢㝦㠵戴㡢㐸㝢て㠱捥㔳㈲昹㤴㠴攴搷㠸愸慤扦㈰捥㔴〹ㅦ〹㜵ㄵ昶㌱摣戲㔶㉡戹㤸㠹㝤〰㕦㕥戳摦㠴搰捡㉡昹㄰㌴㘶㈰㉦〵㍡捤㥥ㅢ摤戶㑡ㄸ㙢愹攴㌲戸攵攵〰挱㑤昰ㄲ〲㔷㔰攰㑡ち晣〳〲慡搹㙦㠶㙦㈷扢㡦搱㥢㝤愹㉥晡㙡〸晢攴㌵㐴昱㠹㤶㠵搶㐵㕦㡢㐸㜹ㅤ〰㘶扦㕢〶挸摡㠵扣㥥〲㌷㔰愰愶戴挰㡤ㄴ戸㠹〲摣㐷戳敦㈲愷㔲ㄸ〱㤴㌷㔳攰ㅢㄴ搸㤵挰愰㕢㠸搶㈵戸㠸慥㐲㙦戵ㅣ㙡愴摦ㄳ㥥挲昵扤愲戵㔷㉥搸㘲㠲㡣㔵搸㥥摣㘰ㄲ㉢摦㜴㜲扤捦㜴搱㑣㌰愳戱ち㤹捥㔴㘳㤱愰昰㑣愵挳敤㐶㔲挳㜶㉡㜸㑢㐶搱ㄸ挳㐵摥挰㔲㙣搸㤵攵昳づ摣㈳昳攴昰ち摥㡥昰㥤收㈵愲㌸㕢㥥㡥攷ㅡ㝢戰扢搳挸户㡥戰㤲搶摣ㄱ攸㐱㡡㈵昳攴㡤㔵昷攳㐶〲敢㜸ち㍦戴愶㍦扤扥㕦㤵㈶㤰攵换㔷捣㑤搶搴㌰ㅢ㕡搴敡摡て㕡っ㜳㐱㤸㘴㜹㈷ㅣ昲㥢㠰㝡㝦㤸换慡昸昱〵扦〵ㅣ搷㌹戳㜳㜱敦㤴㠹㔳愷挶㈶㑦㌴㈶戶挵㕡㕢㈷戵ㄹ㤱戶㘸㝣敡戴戸㌱㘵攲戴攸戴戶扥㐸㔸慤挲㌲愱㙦㠳ㄳ㙥戴㔲㤰㜷搱户慦敤㘳㕣㘰㉣挰敢㈲㈸㡢㘶敦昷㔷搷搴ㄴ慤搳ㄴ㉤㥥㍡慦㔸〴㠳㕣㐹ぢ㜴㐳㘳㠵㠷㌰㑡㤳㔰㉡慤㐲㐸づ攳㔷摥㠳㜰㜹㉦㈰㈴挶〱㈹㈵敦〳敥〹〷㝦挳晢挳挳㘲〶敦㠷㘳㘴攷捣㕥扣つ愰扦㜴㄰晣㉥挲敢㄰慥㘶㈴㡢昱挲㔵昰〱㠴っ㐷㠸戶愳ㄴ晣ㅥ挲㐶㈰㉣晦㜵昴昰㜸〴慢晡㔹㠱㉣搴㝢摡收ㅢ摢て㈲㕣㜰㈵ㄶ㍦〵捦㠷㕡㙢㘵攸挳㔶㌴㐵〴搷㕡昹㡣㠸㈳愰ㄱ戶㑣〴晡㈴㥢ㅢ㕢㤶㌸ㅣ㈱㙣㕤昹慤愳〹搱㉡昷ㅦ挱㈱ㅦ〳愰㜵ㅣ㡡㍦昸昱〵ㅦ〷㥡慤㘳㕡扣㌹㍡戹㉤㍡捤㘸㙥㙤㙤㥤㍣愵戹㙤㜲㙢㙢㜳㜳㙣㜲㜴㘲昳愴㐸昳戴㈹攱㘶㡢㈳㥦㠰㈳摣㘲晢㥥愴㑦㉤挶戲㌰㡣ㄳ㤳〱㙣㈱㘲㌲㑡挳摡㔳戵戰〵㈱昲ㄹ㐰㐸㜰搱ㄵ㍦㍥昹㉣搰愹㠵愹昰愸㤲㔲户㤲㉡㤷搴愸㘴愵㠴愷〱㔴攴㘸昲㜶㈳晣㥣㤱㉢攰ち㑣㠷慢戰㠵㘸摢㘷摡戲㉢攷〴㘱㙤㑤㔶戵戵ㄱ昱㐵〳搸ㄴ捥つ㉥挰挲㐰㡥㐱㍢挲㜴戲摡㕣㥥愹昸㤸愹㕢㌸攱㈴戶昶㐲ㅤ攴㍦㈵搶扤愹户㤷戶㙤昹㈶ㄴ㌸㄰戵改㉤ㄷ㔴㐹挱戳挸㍥㍥㈴㝦㠵〸づ捦㠷攱㉦㘵攴ぢ㐰㘷搸㍣摣づ㝤㤱㜱搶ㄵ攰㘲㠴昷㤵て㌲㐷愱攳戴扥㉡挲摤挶〹㐹㝥㔳㘴挸㥤㤸㝡戰攴㑢捣㥥㡢ㅤ㑣㐳敡㘵㄰ㅤ㜶攸㉢㤶㠳户㈳㌸㤹㔶㡦攴ㄸ㈸挶㝥㈴㠳扦㐱㘸搹ㄱ㐰㌴㐲戴昸㌹㥤〵㡥㙡攰扦㠵愳扥㉡㍣ㅢ㝦㜸㠵攷搸㡥戹戶攳㈸换搱搰〵〷㥦昶愰㤲摣㡥㄰㍥ㅡ㈹昳〶㠳慦挱㔱搸捦扤㡥戰晣摥昰つ㠴㤴攸昹㌸攳㘶㉡敥搷〶攴㥢〸ㄲ昳〸っ捦㌳ちㄶ搸愱㙦㔹づ㡡㠸㐵㐰愵攱㕤㌴つ扢㥤摥㑥㈵㤵挹㤹戲㔲收㥦攰㤰敦〲搰改㜱㙡㡣ㅦ㕦昰捦㐰戳搳㥢ㅡ㡢戴㑤㥡㘸ㄸ戱㤶愹搳㌸㈶戶戵戶戴挶㈷户㐵㈲慤慤昱㈹搳㕡晡挲㙡㈶捤㤲扥〷㑥㜸愹㤵㠲㝣㥦㍥㌵㠹戶攳挴㜱〸㔲㥤㕥㍤㑡攴㜴㝡ㅦ㈰㔴晥つ㄰ㄲ挷〳昱攳㤳ㅦ〲㈷挰挱摦昰〹昰愸㤲戲㤷㌳㍢扤〷攸㘲捦ㄷ㍥搱㡥㕣㐱摥晥〴ㅥ搹㤶晦㐶戸攰㕣ㅡ㍦〵㑡㕣㘱㠷昲㤹㘲戴晡攵㙣㔹㈹㜱敢㈷㙥㌳㜵㤵昸〹㐲㡢㕢㘴ㄴ㈴㔵戴㙡㈴㈵㘹〸㐳㠹㌱〴㌲挹㘰㄰㝥㙢攴㠸挵㥢㘳㉤㤳㥡㈳㙤㤳㈷户昶挵愷戵㌵ㅢ挶ㄴ愳愵㈵㍥戵㘵㑡㕢㙢㜴㘲㤸愶ぢ㌹戲〶㥣㜰摣昶搵搲户搲昶㌱㑥慣㠶㑦㈹昱㐳㤴挸㔱攲㌰㐴挹㍡㐰㐸㜰昶㡣ㅦ㥦慣㠷搷㔱㘲ㄲ㐱慡愴㑡㜵〵㈳㐷捡㡥㍣㤸扣㐳〸㍢㌱挱ㄵ㜰㠹戴㥤㕥㕥㑢㍣挵づ摤ㄵ㠲㜰㥢扦㥣〵㉢㈵晥愱愴ㄲ㝦㕦㔲㠹㥣ぢ慢愲敤挱㍣昷〴㐰㠹〳㔶晡挱扤攰㌷㤵搸ㄲ㡦昷㑤㠹㌵㌷挷㈳昱㔸㙢㌴㌶戵㉤㌲㌱搶ㄲ㘹敥㙢㠹㑤㡤㑥㙢㥤ㄸぢ慦戳㌸㜲㙦㜰挲敢㙤摦㍥昴㙤戰㝤㡣ㄳ愷挱愷㤴昸ㅢ㕤㠹㘳㄰㈵昷〳㠴挴改戶昸㔸㜸㌹㤴昲㌷㝣〶㐲换㉡㤱㔳㘴ㄵ㌹〹愲敡扢ㅡ㜲〲ㄳ㕣〱慦搸㠸挸改昸つ㠹攷㤱㈳㠷〸戳慢㙦㘲㙥攸敡捦㐶ㅣ㝥㝣昲㔰〴攰㐷晤ち捥㤷㔵㘸㥥敡捦㐵㄰扢㝢搹〲㐱昱搹㤲㌲攷搹愱㤳㈸㠳昴㔴㔷㝣〱㕣慡㝡戶㘸搵ㄳ㥣っ㤱昲㕤昱㔳㈵敢散昳㐸㐹摤散㔴㤰搱ㄵ㜳ㅥ换㉢晣〵摢昱㐵摢昱㈵换搱昰㘵㌸晥㍢㕤昱㔷㤰戲敡㐴昳ㅢ㜷昸㈲㍢扣つ㐵㔳㥦㈷㤱㌳愸て捥㝦昱㔳搰㉦㕣㙣㠷ㅥ㘹改㡣㈲㘲ㄳ㔰改散㈱㑤㘷㙥扦昰㠳㤲敡戹ㄴ㈴愵㥥㑥㈴㈵㘷㔱㐷晥昰㘵㔶晡挱搹昰㕢㑤扡㙤敡戴㔸㜴㔲㕢㙣㘲㌴搲㍡㜵㑡慣㉤ㄲ㌷㈶㐵っ㘳㙡㉣㌶愵慦㜵㔲㜳昸㜲㡢㈳攷㠰ㄳ扥挲昶捤愵敦㑡摢挷㌸㜱㌵㝣慡㐹摦㠷ㄲ㌹晤挲搱㠸㤲挷〰㐲攲ㅡ㕢扣ㅢ㕥愷㐹㕦㡢㔰㔵搲㔲㥤㉢㘷挰㉡㜲〵㤵搵㐱㘸㈷㉣㐱ち攱敢ㄱ挹㉢㝣㠳敤戸搱㜶摣㘴㍢㙥㠶㠳㈳㙦㜰㈹ㄹ戰晢昳㜶改㠳换㄰㍡っ愷㌹㜸㉣㤴㌶㕡㜰㌹〲敡㝢捤攳㈵㙡㈲㤱㉤散敦㌹㘳㘶㡡戵㐲搴搶㌲晢㤰晡昰㠸昹〹㤲㤳㤸㡢晤慣㠴㌹㜱㔶愵㍦㤹愹㔶〵敥㠴晦戰昲㙦ㅣ㙡搳㤴〹搸㈸捡晢㙣挵㙣㝣㠶㘲㄰愹昸慡㜰攲挷㍣㈷㔳敤㥦扥㙤㘹昱㐶㘹㐹昱㌷㜰㉤㉡敢㍦㐸〷㜷愴㔹㤰㑣㜱ㅦ晣捡ㄵ㈸慡昸㈶㈲㜹换攲㙡攴挱㝣搴ㄳ搲㠷愸挰户ㄱ㕣㜲㡦慡昰㥢㔱晡愷ㄴ愸昵㥤㔳㕤㔹捣敤㜰㐶㜴㐹扡挳昹㝥搸〸㝢捥㌷挱晥搰挲㌸㌷挴摥〲戶㘹ぢ㌲づてㅦ㉥挰㉣ㅥㄱㄳ昸㔹㠶㥤㕤㥦㜶〴㘹て㌷ㄴ㍢晦搸㡦㌴㘲㜶㡡㔹㥣戰愹昶㔷ㄵ捤㤶搵戴挶晥㔲㤸㍡ㄱ捡敤㤱〶ㄴ㝦㡦ㄲ愷慦㘶㈶㜲敡愸㔱ㅤ攲㠵攴㔲㐰㌰〶ㅤつ㥢㌱戶㘷散愴改㘳㤷㡣㥤搴ㄲ戸〲摡㉢㌴改㑢攷〲扡㔶㈱捣㤳㈱㌲㡥ㄴ攵㑡搶ち㔷ち㤸ㅣ㠳ㅢ敥〱戲㔶愸㕡敤㝡て㕢㔹敡㙡㙦戸搷㤶㌸㐹散晢搵㡥挰慢㘷ㄵ扥ちㄳ戶㘷改㜲ㄵ昳㐸㄰㔶ㄳ搶㄰㤲㠴ㄴ愱㥦㤰㈶慣㈵㥣㐲挸㄰戲㠴ㅣ㘱㠰戰㡥戰㥥戰㠱挰㐶㉦㑦㈵㥣㐶㌸㥤㜰〶攱㑣挲㔹㠴㡤㠴戳〹攷㄰捥〵㠸〷㔱㙣㉥愷ㄵ扥ㄳ㍦㠸㍢㉦昹晥摤〶㉢愲昰愳〰攱㠷㤱㤲㝡㠸㉦㐰扡昵㔵攲㐷昰慢㔶扤づっ戶㙡搵攰㉦㘴愶㥣戸慢愸㥣ㄵ攵㌴㜸挱㌹㌷ㅢ扤㤰㡦〳㠳㕦㠶戸㕥挱㘲㉤ㄸ㜶慤挸㡢㄰㉢扦捡ㄴ㥦㠴戰ㅤ摣挰挹昹搰㤵昵㡣㉤㔱戶戲㥥㠵〴㈷昳昲㙢捣攳敢㠴㡢〹㤷㄰㌶ㄱ㉥㈵㕣㐶戸㥣㜰〵攱㑡挲㘶挲㔵㠴慢〹搷㄰慥㈵㕣㐷戸㥥㜰〳攱㐶挲㑤㠴㥢〹摦㈰摣㐲戸㤵㜰ㅢ攱㜶挲ㅤ㠴㍢〱攲攷㈸㔴愹捡㥡て愵㤴慣慣㜹㔶㐴攱〷っ挴慦㤰ㄲ㝥㝣昲㍢㐸㤷扡攲㙦㤸戳㔷㔵㠵昷㌰换㝢〱ㄸっ㕦愴ㅣ㉥昱㤲捤㜱㐲㄰ㅡ收っ㔲㜱敥愷㜸㤵攰㡣㑦搵敤㕣慢㙥㔵戵㍦㠰㐸昱㈶愲摣攲㝦〵㙣搳攴㥡㔹慥昸ㅤ㔶㐴攱扢㥥攱户散㑣ㅦ㌲㌳攵捣㐸㘵㝡愴㥥改㈳捣昴㕤㍢㙡㠶ㄵ愵摡摡愳㡣攲㌴挸㙣㙢㥣㐴〵ㅦ㐳㔸摤㡣戱㜳挶㑥㙥㥥㍥㜶敥搸戶㠹愲つㄴ扢㔵挹㈷㄰㉤㥦㈴敦㝤㐸摢挱つ㥣ㄴつ摤搸晥㘶㑢㤴㙤㙣昶㈴㑡㍥挵㍣㥥㈶㙣㈱㍣㐳㜸㤶昰㘳挲㑦〸捦ㄱ㝥㑡㜸㥥昰㌳挲捦〹扦㈰晣㤲昰㉢挲ぢ㠴ㄷ〹㉦ㄱ㕥㈶扣㐲昸㌵攱㌷㠴㔷〹扦㈵扣㐶㜸㥤昰〶攱㜷㠴摦ㄳ摥㈴晣㠱昰ㄶ攱㡦㠴户〹敦㄰晥㐴㜸㤷昰㘷挲㝢㠴昷〹㝦㈱晣㤵昰〱㐰㜰㡡攷㔶㝣慦㔳昱戵㔶晤ㄶ扤攱㔸㘳㐵ㄴ扥攳ㅡ昶㈱㌹搵摡晥〹〷㕡㕢㌵晥愸㡡て㔸戵慢㕡摢挷捣㤴㜳㍣ㄵ㔵㘵㐵戹ㄵ㕦㠳㈸戳攲㠳㜰〵㔹㝦昹ㄵ扦昵㘳慤攲晤㠸㤶㌸㌲散挳ㅢ〰㕡挵て㠳㠷㐹㤶ㅦㄲ敡㙣㠹戲ㄵ㕦て〹㑥晣㘴㌵昳攰攷㐶㘵㤰㔰㐳愸㈵㐸〲㜷愰攴㌰㐲ㅤ愱㥥㌰㥣搰㐰〸ㄳ㐶㄰㐶ㄲ㐶ㄱ㜶㈲散㑣搸㠵戰㉢㘱㌴㘱㌷挲敥㠴㍤〸㝢ㄲ昶㈲散㑤搸㠷搰㐸搸㤷㌰㠶戰ㅦ㘱㉣㘱ㅣ㘱㝦挲㜸挲〱㠴〳〹〷ㄱ㈶㄰づ㈶ㅣ㐲㘸〲㠸㥤㜰㝦愵㉡晥㔹攸户㘴㠷昵㡣ㄵ㔱昸㙥㙦㜸㔷愴愴㉡扥ㄵ改愲攲㌹〳㔵戵晢㌴ㄸ捥攸㌲㠵㤹敥㘹㐷㍤㘹㐵㈱㄰㈷㕦ㄹ戵㌷愲捣㡡摦ぢ慥攰㜴㠴愱攲ㄷ愸㈷㝥攱搸愹慤攲㐷愰搸㡦戶㍣ㅣ搱㜲〶㜹晢㐰摡づ㙥ㄸ〳て〲㠷愸昸晤㙣㠹戲ㄵ㍦ㄶㄲ戴散攵ㄱ捣攳㐸㐲㍢愱㠳㌰㤳搰㐹㤸㐵㤸㑤㤸㐳㤸㑢㌸㡡搰㐵㌸㥡㜰っ愱㥢㌰㡦㌰㥦戰㠰戰㤰戰㠸戰㤸搰㐳㔸㐲㔸㑡㔸〶㄰ㄳ㔰㡡㔲搵㜳㤳㔵ぢ㐵捦攵㡤㔶㐴搱㥢挷㑤㐸〹て㌹㑥㑢㈰㕤晣愸摦昰愱〸㔵㤵㜶ㄲ戳㍣ㄹ㔰敦ㄷ㉤戶愸㙤晥挳敦ぢ㑦戲㐵㔷㔰慡㑡㑣㠵㕦搵敦搵㔶㈵慡〷扢て㤱㘲〶愲摣㔲扢挳挸攵攵㑡㝤㤹ㄵ㔱昸㑡㜰昸㐸㍢搳㔵㘶愶㥤㜶愶㥢昴㑣㔷㌳搳㔹㜶搴挵㔶ㄴ〲慤㐶㌵〷㔱㘶愳攲㜴㌱搸㡦㤸晣㐶㜵ㄱ㈸㜶敢㤱㙢ㄱ㉤㑦㘱㤲㜳㈱㙤〷㌷ㅣつて㤳㉣摦㥢ㅣ㘳㑢㤴㙤㔴摤㤰㔰㡤㉡挳㍣戲〴㝥㝢㕡づ㄰搶ㄱ搶ㄳ㌶㄰〶〹愷ㄲ㑥㈳㥣㑥㌸㠳㜰㈶攱㉣挲㐶挲搹㠴㜳〸攷ㄲ㍥㐳昸㉣攱㜳㠴昳〸攷ㄳ㉥㈰㝣ㅥ㈰㤶愰ㄴ㙥昵戸㥤㝤挶慡㠵愲㐶㜵㡡ㄵ㔱昸挲戲㌸㈹㉦愵㤱㘸㕦愶扤㤰㉡㤷㔲搲㡡㈸㝡㈳昱㘴愴㔴改㡤㐴敤ㅢ㡦㥣つ〴攲摣㠷ㅤㄶ㌷㠳㌹ㄵ㔴㈷㤹㤳㙡ㄳ戳づ㙦〷攱ㅢ慣㤹㙥扣っ㠷㜷㠲昰㐹㘴㙢㥢っ㉦挹㜱ち㘳扦㝦㈲㤵㑦㑤㤸攳ぢ㌲㜸㈱愵㈶摥㤵挵捣㍡㔶㡢慦挴攵昰つ愸晥ㅤ㘱㜳〶摢捡ㅣ㐷㜱愹㜳㤹晥㤲㍢扡摣慡㉤㍣敢愶㙤㑢戹晡戰捦㙢晡昹㔲搱戶㙤捤〴㉦㐶㐳ㅡ敡摣㑦戵㔸㡤慡㌶㔷㜹㌷晡戶慡戲挳㌴㤰㥢挰ぢ㕥ち愸挲愶愷敡㤰〰㈱㜹ㄹ㐲搴昹〲昳㍣㑣㘰〵敥戶昰㈶戹搷捥㈷搹㔷昰㈹挴㘱挳㜸攷昶ㄵ攸㠳挸搴㠲攵㠴晣㥤㈹㙤㑤㘴㠲改戶㕥愰攱㤲慢㌶攵攴ㅥㄷ㐳〲㜱㈴㌹愶㈰㐹㝤捥㡡㐶戶㈶戲搲㘰搹㘴㔷㜶搶㈰戶搵ㄳ㔱扣捥搳㌹㤰ㅡ㌰㑦㘹㈳㈱㘱捥㘰慢㔷㐲㙣愸挹㌳㌴攱慢㐹昵㐶昸㙤晡摡㔴㙦搲攸㕦㤹㕢攵㝣㡦ㅥ㍢㡡昸〲㡤扣〲㔲散户㜹〵㔶㈱挵挲㡡㉦㝢挷散扥慣慦㈲捡搴㙣敢慤戹㠰晡〸㙡㉤晤晣ㅡ㙡㈰搵㤳㌳搶づ㑢㤹捡攱挳愱㌲慡㔶敦㡤户ㄶ㈸愲㙣㑥㤶㙥㐹㔷㥢㠰㔴㘷晥昵搱搶㌹扢㥥㤴㝢㙥昶捤㐷㥡攱ㅦ㔹敤攴愳慤㠱ㄸ㕡捦㌶攵㔴扡ち㐵〲㍡愲㥥捣㈳㔲晢戵摢ㄹ㥡〵搸㔴㔴〰ㄱ㐵〱㔸〸愶㈷㔶㕢㙣ㅣㄵ挲攵㠱摤愷戳搷㔸㙣㌳捦㜱㤵昳㡥攸散愴挵㥥愴㉥て散ㄵ㍡㍢㤵挷ㅥ㕦㌹敦㕥㥤摤㥦㔷昲愶〲㜶㜱戵㠹㤳㜵㜶摡㘲㥢㕡㥢㕣挰㉥愱昳㤳㜴㌶搷㔶㔸㘳㡡晤㠵捥捡散ㄳ㜵昶㈹ㄶ㕢㈹㉤㍢愷㌲晢〴㥤捤搵ㅣ收慤㕥ㄵ㌸慥慢㌲晢㜸㥤㥤戵搸㍥㕥て捤慢捣㍥㑥㘷攷昴㤲晦搵〳晢㔸㥤捤㠵㈷户㥤㉦慡㥣昷㜲㥤捤ㄵ㉢戲搵戵搱〳㝢㤹捥㕥慦攷晤㤸〷昶㔲㥤捤㌵㌲㌷敦挵〵㈵㉦搱搶㤶攸㙣㉥慥戹散愵〵散ㄲ㙤慤㐷㘷㥦慡戳㝤挷㔶㘶㉦搶搹㕣捥㜳昲㙥㍦慥㌲㝢㤱捥㍥㕤㘷晢㑥愸捣㕥愸戳捦戰搸㘶扦㜶㘲㘵昶〲㥤㝤愶挵㔶捦㔸昷挹㤵搹昳㜵昶㔹㜹散摥〲㜶㠹ㅡ㥢愷戳㌷敡昷扤㜱㐵㘵㜶户捥收㈲㈹㜵慥㥥搰㝦㐴ㅤ㌶㐶ㄳっ㈹てㄷ昷攷挷攸散㜳㉣戶敡ㅤ㝥㘸㌸散戲愳挱搱㍡晢㕣㡢慤戴㔶户戲㌲扢㑢㘷㕦〰㌶慤㕤㐹ㄳ慡㕡捣㐵㕣戱㤹昴〰敤㈱㥡㐹慥㠹昴㝤〶㉤㐶㠸㘹㈲㠹ぢ㤱〶捤㈴晢ㄲㄷ挱㐳㑢㐵昸〴㔷㕣㘹㘷挸ㅦ㌰て㑢㐲㝣つ㈱㑥㍢戵㘹扥昲㠳戰攸搰换晤㜵㡢敤㜹〴㙤搷搹㕣㥡㘵摥收㔸攰㘱〴㍤㔲㘷㜳㑤搷㉤戹㠷㌱昰〸㥤扤挹㘲㝢ㅥ㐱㘷攸㙣慥㈲㌳㙦㤳敤㘱〴㍤㕣㘷㜳昹搹㉤戹㠷ㄱ昴㌰㥤㝤戹挵㌶戵收㘱〴㥤慥戳戹攰敤攸摣换〸摡愶戳慦戴搸㥥㐷搰㘹㍡㝢戳挵昶㍣㠲㑥搵搹㔷㔹㙣搵㐸扤㡣愰㔳㜴昶搵㝡挹扤㡣愰㤳㜵昶㌵ㄶ摢㙣攷ㅥ㐶戱㔶㥤捤㙤〴愷扥扤㡣愰㤳㜴昶㜵㝡摥㕥㐶搰㠹㍡晢晡扣扣㍤㡣愰㉤㍡晢㠶㍣戶㠷ㄱ戴㔹㘷摦愸戳扤㡣愰㠷敡散㥢㜴戶㤷ㄱ戴㐹㘷摦慣戳扤㡣愰㠷攸散㙦㔸㙣捦㈳攸挱㍡晢ㄶ㡢敤㜹〴㥤愰戳㙦捤㘳㝢ㄸ㐱て搲搹户改昷敤㘵〴㍤㔰㘷摦㙥戱㍤㡦愰〷攸散㍢㉣戶攷ㄱ㜴扣捥扥㔳扦㙦㉦㈳攸晥ㅡ㍢晣ㅤ戰搵愲攵㑢ㅣㄲ㕦㈶扣〲〸〹㙥㡡愹㈵挹㌱㄰攷㤲昳〱攸㐰㜰扡㐱㜰愳㑣㐵散㙢㐵ㅣ㠸〸昹㉡㐸㠲㥢㘲ㅣ㡥㠳扦㠵㡦晢收昸慦㥤戲昹㕦攱昵㡢扤㐱㔳㠳昴摢ㄳ㜷戳收愸㔸换㜸㥤㌹㜳㜵㔳㠰捦㜱㌷㈴㝦挷㈰㙤㤰㝥〰㌱ㅣ愴㤷㕣昶㐰晢㈷㤳㑥敡㄰て挱愳戲㝢ㄳ㤲㐳㉦愰㡣戶㌳昵改ぢ㈸㙦㌱㠷㝣换攰敤㠲㑣ㅦ戱㌲㘵愱㜸㠹㐷ㄱ挰㘵ㄱ㐱捦ㄳ㜰㔸㘶挲㤳㜰㉡㌳攱㑦㐸挱㌱ㄳ㥥㐲愸搳㠵愹〴〸ㅦ㙤㕤ㅥ晥摡㠴昳㥦扣戱搸戴ㅡ㠹㠲㍡㔳攵愷㉤戶㙡㔶㤷㝤搷㤱㕥慡慥㡢ㅤ扦㤹昰㐷㕢挵〸㥤扤㈵㡦晤愴㈳㕤㤶ㅤ搶搹捦㔸㙣㜳愸㝥扥㌲扢㐱㘷㍦㥢㜷摦慦㔶㘶て搷搹摣晦愳搶捣晢㝥换㘱㤷搵㕡扤捥收挶㈱搹收㐰晦㡥挳㉥㝢摦㜵㍡晢㌹㡢㙤敡搴㍥昲昰搱搶戲散㘱㍡㥢㕢㤵㙥㝤㝦㔴㌹敦㤰捥㝥㍥慦攴ㅦ㔷㘶㑢㥤晤戳扣扣㝤敤㜶慢㈸㕢昲㕡㥤捤㕤㔵㤶摣散扡晤㤵搹㌵㍡㥢摢戱慥捥慢㉢戳㠳㍡晢㤷㜹散摡捡散㠰捥收〶㌰昳㌶㕢㡢㍡〹收攳㌳㔶昶扥慢㜵㌶㜷㡥挹㌶摢昹戰捡㜹㔷改散ㄷ㉤㌶㌲挴㔵搷慥晥っ㤵户㕦㘷㜳慦摡搵㥡〷戶搰搹㉦㕢㙣昳扥敢㥤扣换㍥㈵㍥㥤晤㡡挵㌶敢㝢戸挳㉥慢戵慤晦搲㝡愶㕦㕢㙣㔳㙢つ㤵搹晦搶搹扦戱搸愶戶挲㤵搹㥦攸散㔷昳㑡敥㠱晤戱捥收〹〰户扥㐷㔴捥晢㕦㍡晢㌵㡢㙤敡摣〳晢㥦㍡晢㜵㡢㙤昶㑣㈳㉢攷晤て㥤晤㐶㕥挹㐷㔵㘶㝦愴戳㝦㘷戱捤晡摥愹㌲晢敦㍡晢昷㜹昷扤㜳㘵昶㠷㍡晢捤扣晢摥愵㌲晢㙦㍡晢てㄶ摢愷慥搱づ扢㙣㍢晦㐰㘷扦㤵㤷户换㉥摢捥晦慡戳晦㤸㜷摦扢㌹㜹㤷㘵晦㐵㘷扦㙤戱㑤㥤敦㔹㤹晤扥捥㝥挷㘲㥢捦㔸㘳㘵昶㝢㍡晢㑦ㄶ摢㙣㙢晢㔶㘶晦㔹㘷扦㙢戱捤㜶㍥愶㌲晢㕤㥤捤昳㌱㝣挶捣晢㜶ㄷ㈸捡㙡敤㑦㍡㥢〷㙢摣㈷搴㕤㈴㈸换㝥㐷㘷扦㙦戱捤晢㍥愸㜲挹摦搶搹㍣捡挳扣捤晢㍥愴㌲晢㡦㍡晢慦ㄶ摢愷慥收捡散户㜴昶〷㜹散㤶捡散㍦攸散㝦㠲㑤㘳㔸搲ㄸ慥ㄶ扦㐷㕣昱㔲搸ㅥ㌰㑣ぢっ摥扤ㄸ愴㔹搹ㅦ㈳つ㕡搹昶㈵晣㐸捦戲㜱慢攰㔴㌶敥㍥㈰㌹㌶㉥㑦昳㔰㘷昹搷㄰㌶敥慢㝡戹〳ㄶ摢搴戸〷ㅢ昷㌷㍡㥢攷㠷摣晡昲㘰攳晥㕡㘷搷㔸㙣捦㌶敥㉢㍡扢㌶敦扥㍤搸戸㉦敢㙣㤹㔷㜲て㌶敥㑢㍡㍢㘴戱㍤摢戸㉦敡㙣ㅥ慥㜲㙢捣㠳㡤晢㠲捥收愹㉣㤷敤挱挶晤㤵捥收㜱㉥戲捤㤲㝢戰㜱㝦愹戳㜹づ捣捤摢搷㙥戶戹㈱㙣扤㕦攸㙣ㅥ㈰㈳摢散㤷晣㤵搹㍦搷搹㍣㜹收㤶摣㠳㡤晢㌳㥤捤㈳㙢㉥摢㠳㡤晢扣捥收㔹㌷戲捤愷挴㠳㡤晢㔳㥤捤㐳㜲㘴㝢戶㜱㥦搳搹㍣㕤㐷戶㜹㜹戰㔲㝦愲戳㜷捥扢㙦て散ㅦ敢㙣㥥攷㜳敦摢㠳㡤晢慣捥收㐱㐰戲捤晡昶㘰攳㍥愳戳㐷㕢㙣捦㌶敥ㄶ㥤捤愳㠷慥搶㍣㔸愹㑦敢㙣㥥㔹㜴㑢敥㠱晤㤴捥收㘱㐷戲捤㤲㝢戰㔲㥦搴搹㝢㕡㙣戳慤㜹㘰㍦愱戳昷戲搸收昳敤挱挶㝤㕣㘷敦㥤㔷㜲て㌶敥㘳㍡㥢〷㍡㕤慤㜹戰㜱㝦愴戳ㅢ昳敥摢㠳㡤晢愸捥收ㄱ㔲收㙤摥户〷ㅢ昷㠷㍡㝢㡣挵㌶㥦㌱搷㑡㉤㙢攳㍥愲戳昷换换摢㘵㤷戵㤸ㅥ搶搹㍣敤捡㤲㥢昵敤挱挶㝤㐸㘷㡦戳搸㥥㙤摣〷㜵㌶捦搷扡㉤戵戱摤扣晦㈱晡昳ㅦ攸散昱㜹昷扤㙦㘵昶晦攸散〳㉣戶㜹摦㘳㉡戳扦慦戳て戴搸㥥㙤摣敦改散㠳㉣戶昹㠴㝡戰㜱ㅦ搰搹㍣㝣散戶㌵て㌶敥㜷㜵㌶㑦㉤扢昵敤挱挶扤㕦㘷昳戸㌳搹收攵挱挶扤㑦㘷昳㥣戴换昶㘰攳摥慢戳㜹ㅡ㕡㉤昸ㅥ〳攳㜳攸〵摦敦㠰㔷㙣晦捥愳戱㥢扦攰扢㠰㐱㥡晤换㐳搵㜹昶敦㌴〴㌸ぢ扥㠷挳㘳ㄹ挳㌳攰㔴挶昰㈲愴㠰ㅦ㜵㠹㈳㄰捡ㅢ㌴㥢挵愲㜶㌳㜸㠸〶㝤愷㝥㠳㍣ㅡ敤愸㐷摢昱㉡晢㈰摦愱戳摢昵扣戵ㅤ慦戲散摢㜵㌶て㘳扢㜹扢㍢㕥㘵搹户改散㤹㍡摢户愴昲㝤摦慡戳㍢㜵㜶扢扢㕦㔶㌶敦㕢㜴㌶捦㡤扢㈵昷挰晥㠶捥㥥慤戳㝤换ち㑡㕥㘲㠹晥㘶㥤捤㤳敡㑥摥扥攵〵散ㄲ㑢昴㌷改散戹㍡㝢愳换㌶㕢㡤㙢㤸㥢㝥㉣昰摦愸戳㡦搲搹摡㍥愱㈹晤㤰戳㝣散戰㙦搰搹㕤㍡㕢摢㈷㌴㜵㕥攲扥慦搷搹㐷敢散㠷摣㜳㍡㘵㙢散㍡㥤捤㘳晣慥搶㡥㙦户㑢㔸㤶㝤慤捥收昹㝦㤷敤㥥昲㈹换扥㐶㘷昳挵〱㠷摤敥㠱㝤戵捥收ㅢ〷づ㝢愳㝢㐶挸捣晢㥥㘲㥤㕦愵戳昹慡㠲换㍥愹昲㝤㙦搶搹㝣挷挱㘱晢摣ㄳ㐶㘵敦晢㑡㥤捤㤷㈳ㅣ昶㐳ㅥ搸㔷攸㙣扥㔵攱戰㝤㉢㉡㤷晣㜲㥤捤搷㌱ㅣ㜶愳换㌶敢晤㕢挵㕡扢㑣㘷昳㍤づ㠷㝤㡤换㌶敦扢㐴㑢扤㔴㘷㉦搵搹敤㤱捡㈵摦愴戳昹收㠸㤳㜷扢㝢扡愹慣捥㉦搱搸攱ㄳ挱收搰㈰搷㜰㤴㐹ㄲ㔲㠰㤰㌸〹ㄱ㙡ㄳ昵慢㄰搷㜷㔷㑦戶㈳㉥戲㈲搴敥敡㕡㤰挴ち㐴愹ㄵㅥ敥慥晡挵㤷㈰㔰扣㡦㥡㘵ㅥ昹晢愸〳っ搲㐶戸㍥搰㌹挲㌹晢愸慢散㠴㌹慣㔶㡢昳敤㠴㝤晡㕥改㈰㔳挹ㅦ㍡㑦㉢㐸㜸戵㤵戰㔹慢㈸㌱摦晥戰㐶㑢扥〳愲㐶换㌳㤸㠷㈵㈱昸敡〶戵敢㜹戴㍣〷㘵㜳戶㐷昹捥㠷㔳㌷㕥㐶换戳㜵㌶㕦ㄶ㜱昲昶㌲㕡㙥搴搹〳㜹㜹㝢ㄸ㉤捦搲搹㝣㍤挵㈹戹㤷搱昲㑣㥤捤昷㕡ㅣ戶㤷搱昲っ㥤扤㐱㘷㙦昴㌰㕡㥥慥戳昹㈶㡤㤳户㤷搱昲㌴㥤捤㔷㜰㕣戶㍢摥㤵㝤㥡㑥搵搹㝣㜷挷㘱㝢ㄹ㉤〷㜵昶改㍡摢换㘸戹㐱㘷㥦愱戳扤㡣㤶敢㜵昶㤹㍡摢换㘸戹㑥㘷昳晤㈴攷扥㝤ㅥ㐶换〱㥤扤㌱㡦敤㘱扣换改散戳㜵戶㤷搱㌲慢戳捦搱搹㕥㐶换㡣捥㍥㌷㡦敤㘱戴㍣㐵㘷昳攵㉤㔷㙢ㅥ挶扢戵㍡晢戳㍡摢换㘸㤹搶搹㝣㕤捣捤扢㜰挴㉡㘱ㄵ昶敢散昳㜴戶㤷搱㌲愵戳捦搷搹㕥㐶换愴捥扥㐰㘷㝢ㄹ㉤搷攸散捦攷戱㍤㡣㤶慢㌵㜶㠰敦㌳ㄵ扥㝢㔳昶愵㉢㥥扦搹挶㑦挵㙤挲昸㈳昸㤶ㄴ搳㤰㤷搲〷〷㝦ㅢ昸㉥㄰ㅤ敡ㄳ㉥㠲㈷㠷㔹㈸㜹ㄹ㘵扥㙦㌳㉥搷ㄹ㍦挸㘳昰ㄴ㤵ㅡ搷つ摣ㄸ挷昵挳㤹㤸㍦㈸㕥戶㈳㘲㔶挴っㄵ㈱挴㉢㜶㐴搴㡡愰㌱㈴慦㐲ㄶつ慦㈲慡づ扥㥡攷晣〲晦〱晡ㅢ㌸㝢昴㠶戸摥晦㥥㡦ㅦ捤㑡㡡㉡㝣㥣ㄷㄲ慡㠰㔷戳㐸扦㠳㡦㠵㤷搷㘸〵ㄴ㙦搹㌲搷㌲㤴攷㥢㤴捣㜵㥡㑣〳捦㉣戹户捤㕤㈲㤵敡昵㤴攱〶㤱㘲摣愰㌳戸〳攴㌲㌸慦㔶㡣ㅢㄹ捣㈹戵㘲摣㘴㌹攸㘹攰㌴搹㘵搰㈰㔲㡡㍡慥㐰㔱㌴㤲㔴挴戱〵㡡愲攱愴㈲㤶敢㡡扡ㄵ愱つ㌴㡦㠶㔶ㄴ捤㈲㔵挰摢攰㄰戴㠸㔴〱㙦户ㅣ昴〸㕡㌸㑡收づ㠶搲戸㔱㌲㜷㙡㌲つ戴㕥摣㥢㔰つ㠹ち户㕦敥㠵摢ㄷ㘶㠳挲㡦㑦㝥ぢ㠸㤷㝢㔵攳㈹㤲㘲㈳㔲㔲㜷㈹愹〶搶昸㜲㐸昹㌷㠸攸㡡搸㡡ㄵㅦ㌵㔴㌷敥㕥㝤㙣㝢摤㘵慦㍥昵摡㔷㝦㜶攲㡣㌷㍦扥昲捡㥦扤昱搵㉤ㅦ㝦扦㙦挶攳搷㕤昷攸搱㔷㙦㜹㙤㘴晣ㅡ晦扤ㅦ㜵㕦㜳㝡换㥡搳㑦㠹㉦㍤㘸敥改挷慤㕥搴戲㜰挴㠴慡慡㥡㥡昱愳㥥ㄸ㝤㐰㜸攳㈹昷㡢㠷㕦搸戵㕦愸㈶挲㘲摣㡤㥣㜸て㙣㘸㘱㌶ㄵ晣攰搳ㄸ㐰ㄴ㔶㌵ㄲ晡昳㙥㠹㡤㐵㐹摤㙢㑡愹㠶㔱㈴挵〶愲愴敥㌷愵㔴㘳㈸㤲㘲愳㔰㔲て㈸愹〶搶攰㝦昵挶㔵㤵戳ㄸ摦㐳㑥扣昱戳昰ㅢ㘶搵攳挷㈷扦て挴㡤慢㑡愷㍦敦挶㔹昹㑡敡〷愶ㄴ慢㔴㌵挲づ慢ㄱ捥〴愵ㄶ㙦〹戰ㄶ㔵㐴㝢㝥㐴㤸摡挶て扥〷ぢ㐴㍥搴戳ㄲ㍣㈲㑦㄰攷㉡敤㠸ㄹ㜹ㄱ㌸㔵㘹㐷ㅣ㕥㄰㐱〵慡愴づ换㡦〸昳㐶昱㠳㙦挶〲㤱㈷㙦㔱〹戶攵〹ち挱扢㔲ㄱ搳昲㈲㝣〱ㄶ㜶㠸晦㔷搳㝤晦㤵ㅤ愵挴㉢㡥㤱ㅣ摦㠴つ攱慤挷㠱㤴晡㌴㔲㌰挵晦搷戰㝦㠴昵㝦㥢㑣㜰㘴㐶㍡㈱㡥散㜰㈷㐸㜱㜶㌳晦㔷扡㐸㕦搲愰挸〴㌷搱㥤ぢ㘳㤴㍣捡㡡㥦㌲慦㤵慡晦戲慢挹㉥㈰㍦㐵㔵㉢㑡扥㝦㕡㑡戰㔶㤰㈰㥦㐴昲扣㔱攱扡㤴㔷㔰扦㔴㤵㝣捡㤱㜰㕣㑡㈲㐰慡㠷散搸㉣户㜱㌴㝢ㅡ㌹〸收捡慣攴ㄶ晡㔴㄰ぢ晥っ㝤㉣㌸㝦㔵ㄴ㐳㥦搵㐲挳ㄴ挱て㍥扡〲挴ㄷ昳ㄸ愹晣㍦㔱晥〰㠳て㈹㜸㑤㔵ㅢ㤴㥤晦昱㐵㝤㍤㉢㑢㍤㠷㤰㕡扤昵扥慢㙡ち㔹扥〳㡢㜰户ㅥ慤挶㌱㤲挱ㄳ昲㐴㐳㘶㄰戱挱㜴㍡慤㘴㤸ㄵ挵㘶昵㘹㥢㐸つ敥㠲扦㌸㥢扣㜷昹㥢㘱〶㘶ぢ昱㈶㘵㌵㡦攷㤰㌰㙦ㅡ敤挳㜵㉡扦愰ㄲ愹㐱昹㔳㔷挶㜵㉡㤹〶㜲㌰〷戶㍦㠶攰扥戸摢㐰挹㤲㌱挳晥て愰㍢㈱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</si>
</sst>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0.0%"/>
    <numFmt numFmtId="166" formatCode="#,##0.0"/>
    <numFmt numFmtId="167" formatCode="0.0"/>
    <numFmt numFmtId="168" formatCode="_-* #,##0\ _€_-;\-* #,##0\ _€_-;_-* &quot;-&quot;??\ _€_-;_-@_-"/>
    <numFmt numFmtId="169" formatCode="#,##0_ ;\-#,##0\ "/>
  </numFmts>
  <fonts count="42" x14ac:knownFonts="1">
    <font>
      <sz val="10"/>
      <name val="Arial"/>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8"/>
      <name val="Arial"/>
      <family val="2"/>
    </font>
    <font>
      <b/>
      <sz val="8"/>
      <name val="Arial"/>
      <family val="2"/>
    </font>
    <font>
      <sz val="10"/>
      <name val="Arial"/>
      <family val="2"/>
    </font>
    <font>
      <sz val="9"/>
      <name val="Cambria"/>
      <family val="1"/>
    </font>
    <font>
      <b/>
      <sz val="12"/>
      <name val="Cambria"/>
      <family val="1"/>
    </font>
    <font>
      <b/>
      <sz val="9"/>
      <name val="Cambria"/>
      <family val="1"/>
    </font>
    <font>
      <b/>
      <sz val="10"/>
      <name val="Arial"/>
      <family val="2"/>
    </font>
    <font>
      <b/>
      <sz val="11"/>
      <name val="Cambria"/>
      <family val="1"/>
    </font>
    <font>
      <b/>
      <sz val="10"/>
      <name val="Cambria"/>
      <family val="1"/>
    </font>
    <font>
      <sz val="9"/>
      <name val="Arial"/>
      <family val="2"/>
    </font>
    <font>
      <sz val="8"/>
      <name val="Cambria"/>
      <family val="1"/>
      <scheme val="major"/>
    </font>
    <font>
      <sz val="9"/>
      <name val="Cambria"/>
      <family val="1"/>
      <scheme val="major"/>
    </font>
    <font>
      <b/>
      <sz val="9"/>
      <color indexed="9"/>
      <name val="Cambria"/>
      <family val="1"/>
      <scheme val="major"/>
    </font>
    <font>
      <b/>
      <sz val="9"/>
      <name val="Cambria"/>
      <family val="1"/>
      <scheme val="major"/>
    </font>
    <font>
      <b/>
      <sz val="9"/>
      <color rgb="FF000000"/>
      <name val="Cambria"/>
      <family val="1"/>
    </font>
    <font>
      <sz val="9"/>
      <color rgb="FF000000"/>
      <name val="Cambria"/>
      <family val="1"/>
    </font>
    <font>
      <b/>
      <sz val="9"/>
      <color theme="1"/>
      <name val="Cambria"/>
      <family val="1"/>
      <scheme val="major"/>
    </font>
    <font>
      <b/>
      <sz val="9"/>
      <color indexed="8"/>
      <name val="Cambria"/>
      <family val="1"/>
      <scheme val="major"/>
    </font>
    <font>
      <b/>
      <u/>
      <sz val="10"/>
      <name val="Cambria"/>
      <family val="1"/>
      <scheme val="major"/>
    </font>
    <font>
      <sz val="9"/>
      <color indexed="81"/>
      <name val="Tahoma"/>
      <family val="2"/>
    </font>
    <font>
      <b/>
      <sz val="9"/>
      <color indexed="81"/>
      <name val="Tahoma"/>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mediumGray">
        <bgColor rgb="FF00FF00"/>
      </patternFill>
    </fill>
    <fill>
      <patternFill patternType="gray125">
        <bgColor rgb="FFFFFF00"/>
      </patternFill>
    </fill>
    <fill>
      <patternFill patternType="gray0625">
        <bgColor rgb="FF00FFFF"/>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medium">
        <color indexed="64"/>
      </top>
      <bottom/>
      <diagonal/>
    </border>
    <border>
      <left/>
      <right/>
      <top style="thick">
        <color rgb="FF000000"/>
      </top>
      <bottom/>
      <diagonal/>
    </border>
    <border>
      <left/>
      <right/>
      <top/>
      <bottom style="medium">
        <color rgb="FF000000"/>
      </bottom>
      <diagonal/>
    </border>
    <border>
      <left/>
      <right style="medium">
        <color rgb="FF000000"/>
      </right>
      <top/>
      <bottom/>
      <diagonal/>
    </border>
    <border>
      <left/>
      <right style="medium">
        <color rgb="FF000000"/>
      </right>
      <top/>
      <bottom style="thick">
        <color rgb="FF000000"/>
      </bottom>
      <diagonal/>
    </border>
    <border>
      <left/>
      <right/>
      <top/>
      <bottom style="thick">
        <color rgb="FF000000"/>
      </bottom>
      <diagonal/>
    </border>
    <border>
      <left/>
      <right/>
      <top style="medium">
        <color rgb="FF000000"/>
      </top>
      <bottom/>
      <diagonal/>
    </border>
    <border>
      <left/>
      <right style="medium">
        <color rgb="FF000000"/>
      </right>
      <top style="thick">
        <color rgb="FF000000"/>
      </top>
      <bottom/>
      <diagonal/>
    </border>
    <border>
      <left/>
      <right style="medium">
        <color rgb="FF000000"/>
      </right>
      <top/>
      <bottom style="medium">
        <color rgb="FF000000"/>
      </bottom>
      <diagonal/>
    </border>
    <border>
      <left style="medium">
        <color rgb="FF000000"/>
      </left>
      <right/>
      <top style="thick">
        <color rgb="FF000000"/>
      </top>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s>
  <cellStyleXfs count="51">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3" applyNumberFormat="0" applyFill="0" applyAlignment="0" applyProtection="0"/>
    <xf numFmtId="164" fontId="1" fillId="0" borderId="0" applyFont="0" applyFill="0" applyBorder="0" applyAlignment="0" applyProtection="0"/>
    <xf numFmtId="164" fontId="23" fillId="0" borderId="0" applyFont="0" applyFill="0" applyBorder="0" applyAlignment="0" applyProtection="0"/>
    <xf numFmtId="0" fontId="8" fillId="0" borderId="0" applyNumberFormat="0" applyFill="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9" fillId="7" borderId="1" applyNumberFormat="0" applyAlignment="0" applyProtection="0"/>
    <xf numFmtId="0" fontId="10" fillId="3" borderId="0" applyNumberFormat="0" applyBorder="0" applyAlignment="0" applyProtection="0"/>
    <xf numFmtId="0" fontId="11" fillId="22" borderId="0" applyNumberFormat="0" applyBorder="0" applyAlignment="0" applyProtection="0"/>
    <xf numFmtId="0" fontId="12" fillId="0" borderId="0"/>
    <xf numFmtId="0" fontId="13" fillId="0" borderId="0"/>
    <xf numFmtId="0" fontId="12" fillId="0" borderId="0"/>
    <xf numFmtId="0" fontId="23" fillId="0" borderId="0"/>
    <xf numFmtId="0" fontId="1" fillId="23" borderId="7" applyNumberFormat="0" applyFont="0" applyAlignment="0" applyProtection="0"/>
    <xf numFmtId="0" fontId="23" fillId="23" borderId="7" applyNumberFormat="0" applyFont="0" applyAlignment="0" applyProtection="0"/>
    <xf numFmtId="9" fontId="1" fillId="0" borderId="0" applyFont="0" applyFill="0" applyBorder="0" applyAlignment="0" applyProtection="0"/>
    <xf numFmtId="9" fontId="23" fillId="0" borderId="0" applyFont="0" applyFill="0" applyBorder="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8" fillId="0" borderId="6" applyNumberFormat="0" applyFill="0" applyAlignment="0" applyProtection="0"/>
    <xf numFmtId="0" fontId="20" fillId="0" borderId="9" applyNumberFormat="0" applyFill="0" applyAlignment="0" applyProtection="0"/>
  </cellStyleXfs>
  <cellXfs count="184">
    <xf numFmtId="0" fontId="0" fillId="0" borderId="0" xfId="0"/>
    <xf numFmtId="0" fontId="21" fillId="0" borderId="0" xfId="0" applyFont="1"/>
    <xf numFmtId="0" fontId="21" fillId="0" borderId="0" xfId="0" applyFont="1" applyBorder="1"/>
    <xf numFmtId="0" fontId="21" fillId="0" borderId="10" xfId="0" applyFont="1" applyBorder="1"/>
    <xf numFmtId="0" fontId="22" fillId="0" borderId="0" xfId="0" applyFont="1"/>
    <xf numFmtId="0" fontId="21" fillId="0" borderId="0" xfId="0" applyFont="1" applyAlignment="1">
      <alignment horizontal="center"/>
    </xf>
    <xf numFmtId="0" fontId="22" fillId="0" borderId="10" xfId="0" applyFont="1" applyBorder="1"/>
    <xf numFmtId="0" fontId="31" fillId="0" borderId="0" xfId="0" applyFont="1"/>
    <xf numFmtId="0" fontId="31" fillId="0" borderId="0" xfId="0" applyFont="1" applyAlignment="1">
      <alignment horizontal="center"/>
    </xf>
    <xf numFmtId="0" fontId="31" fillId="0" borderId="0" xfId="0" applyFont="1" applyBorder="1" applyAlignment="1">
      <alignment horizontal="center"/>
    </xf>
    <xf numFmtId="0" fontId="32" fillId="0" borderId="0" xfId="0" applyFont="1" applyAlignment="1">
      <alignment horizontal="left"/>
    </xf>
    <xf numFmtId="0" fontId="33" fillId="24" borderId="0" xfId="0" applyFont="1" applyFill="1" applyBorder="1"/>
    <xf numFmtId="0" fontId="33" fillId="24" borderId="0" xfId="0" applyFont="1" applyFill="1" applyBorder="1" applyAlignment="1">
      <alignment horizontal="center"/>
    </xf>
    <xf numFmtId="0" fontId="32" fillId="0" borderId="0" xfId="0" applyFont="1" applyAlignment="1">
      <alignment horizontal="center"/>
    </xf>
    <xf numFmtId="0" fontId="32" fillId="0" borderId="0" xfId="0" applyFont="1"/>
    <xf numFmtId="3" fontId="32" fillId="0" borderId="0" xfId="0" applyNumberFormat="1" applyFont="1"/>
    <xf numFmtId="3" fontId="32" fillId="0" borderId="0" xfId="0" applyNumberFormat="1" applyFont="1" applyAlignment="1">
      <alignment horizontal="right"/>
    </xf>
    <xf numFmtId="3" fontId="34" fillId="0" borderId="0" xfId="0" applyNumberFormat="1" applyFont="1" applyBorder="1"/>
    <xf numFmtId="0" fontId="32" fillId="0" borderId="0" xfId="0" applyFont="1" applyBorder="1" applyAlignment="1">
      <alignment horizontal="center"/>
    </xf>
    <xf numFmtId="0" fontId="32" fillId="0" borderId="0" xfId="0" applyFont="1" applyFill="1" applyBorder="1" applyAlignment="1">
      <alignment horizontal="right"/>
    </xf>
    <xf numFmtId="0" fontId="34" fillId="0" borderId="0" xfId="0" applyFont="1"/>
    <xf numFmtId="3" fontId="34" fillId="0" borderId="0" xfId="0" applyNumberFormat="1" applyFont="1"/>
    <xf numFmtId="0" fontId="32" fillId="0" borderId="0" xfId="0" applyFont="1" applyBorder="1"/>
    <xf numFmtId="0" fontId="32" fillId="0" borderId="10" xfId="0" applyFont="1" applyBorder="1"/>
    <xf numFmtId="9" fontId="32" fillId="0" borderId="0" xfId="0" applyNumberFormat="1" applyFont="1"/>
    <xf numFmtId="0" fontId="34" fillId="0" borderId="0" xfId="0" applyFont="1" applyAlignment="1">
      <alignment horizontal="right"/>
    </xf>
    <xf numFmtId="0" fontId="34" fillId="0" borderId="10" xfId="0" applyFont="1" applyBorder="1" applyAlignment="1">
      <alignment horizontal="right"/>
    </xf>
    <xf numFmtId="3" fontId="32" fillId="0" borderId="0" xfId="0" applyNumberFormat="1" applyFont="1" applyBorder="1" applyAlignment="1">
      <alignment horizontal="right"/>
    </xf>
    <xf numFmtId="167" fontId="32" fillId="0" borderId="0" xfId="0" applyNumberFormat="1" applyFont="1" applyAlignment="1">
      <alignment horizontal="right"/>
    </xf>
    <xf numFmtId="165" fontId="32" fillId="0" borderId="0" xfId="0" applyNumberFormat="1" applyFont="1" applyAlignment="1">
      <alignment horizontal="right"/>
    </xf>
    <xf numFmtId="10" fontId="32" fillId="0" borderId="0" xfId="0" applyNumberFormat="1" applyFont="1" applyAlignment="1">
      <alignment horizontal="center"/>
    </xf>
    <xf numFmtId="3" fontId="34" fillId="0" borderId="0" xfId="0" applyNumberFormat="1" applyFont="1" applyAlignment="1">
      <alignment horizontal="right"/>
    </xf>
    <xf numFmtId="1" fontId="32" fillId="0" borderId="0" xfId="0" applyNumberFormat="1" applyFont="1" applyAlignment="1">
      <alignment horizontal="right"/>
    </xf>
    <xf numFmtId="0" fontId="34" fillId="0" borderId="11" xfId="0" applyFont="1" applyBorder="1"/>
    <xf numFmtId="3" fontId="34" fillId="0" borderId="11" xfId="0" applyNumberFormat="1" applyFont="1" applyBorder="1" applyAlignment="1">
      <alignment horizontal="right"/>
    </xf>
    <xf numFmtId="0" fontId="32" fillId="0" borderId="0" xfId="0" applyFont="1" applyAlignment="1">
      <alignment horizontal="right"/>
    </xf>
    <xf numFmtId="9" fontId="32" fillId="0" borderId="0" xfId="0" applyNumberFormat="1" applyFont="1" applyAlignment="1">
      <alignment horizontal="center"/>
    </xf>
    <xf numFmtId="0" fontId="34" fillId="0" borderId="10" xfId="0" applyFont="1" applyBorder="1"/>
    <xf numFmtId="3" fontId="34" fillId="0" borderId="10" xfId="0" applyNumberFormat="1" applyFont="1" applyBorder="1" applyAlignment="1">
      <alignment horizontal="right"/>
    </xf>
    <xf numFmtId="0" fontId="25" fillId="0" borderId="0" xfId="0" applyFont="1" applyAlignment="1">
      <alignment vertical="center"/>
    </xf>
    <xf numFmtId="0" fontId="26" fillId="0" borderId="30" xfId="0" applyFont="1" applyBorder="1" applyAlignment="1">
      <alignment horizontal="center" vertical="center"/>
    </xf>
    <xf numFmtId="0" fontId="26" fillId="0" borderId="31" xfId="0" applyFont="1" applyBorder="1" applyAlignment="1">
      <alignment horizontal="center" vertical="center"/>
    </xf>
    <xf numFmtId="14" fontId="35" fillId="0" borderId="32" xfId="0" applyNumberFormat="1" applyFont="1" applyBorder="1" applyAlignment="1">
      <alignment horizontal="right" vertical="center"/>
    </xf>
    <xf numFmtId="0" fontId="36" fillId="0" borderId="0" xfId="0" applyFont="1" applyAlignment="1">
      <alignment horizontal="center" vertical="center" wrapText="1"/>
    </xf>
    <xf numFmtId="0" fontId="36" fillId="0" borderId="0" xfId="0" applyFont="1" applyAlignment="1">
      <alignment horizontal="right" vertical="center"/>
    </xf>
    <xf numFmtId="0" fontId="36" fillId="0" borderId="32" xfId="0" applyFont="1" applyBorder="1" applyAlignment="1">
      <alignment horizontal="right" vertical="center"/>
    </xf>
    <xf numFmtId="0" fontId="36" fillId="0" borderId="33" xfId="0" applyFont="1" applyBorder="1" applyAlignment="1">
      <alignment horizontal="right" vertical="center"/>
    </xf>
    <xf numFmtId="0" fontId="36" fillId="0" borderId="34" xfId="0" applyFont="1" applyBorder="1" applyAlignment="1">
      <alignment horizontal="center" vertical="center" wrapText="1"/>
    </xf>
    <xf numFmtId="0" fontId="36" fillId="0" borderId="34" xfId="0" applyFont="1" applyBorder="1" applyAlignment="1">
      <alignment horizontal="right" vertical="center"/>
    </xf>
    <xf numFmtId="0" fontId="37" fillId="26" borderId="12" xfId="0" applyFont="1" applyFill="1" applyBorder="1"/>
    <xf numFmtId="0" fontId="32" fillId="0" borderId="13" xfId="0" applyFont="1" applyBorder="1"/>
    <xf numFmtId="0" fontId="38" fillId="0" borderId="14" xfId="0" applyFont="1" applyFill="1" applyBorder="1" applyAlignment="1">
      <alignment horizontal="center"/>
    </xf>
    <xf numFmtId="0" fontId="37" fillId="26" borderId="15" xfId="0" applyFont="1" applyFill="1" applyBorder="1"/>
    <xf numFmtId="0" fontId="33" fillId="0" borderId="16" xfId="0" applyFont="1" applyFill="1" applyBorder="1"/>
    <xf numFmtId="0" fontId="32" fillId="0" borderId="16" xfId="0" applyFont="1" applyFill="1" applyBorder="1"/>
    <xf numFmtId="0" fontId="37" fillId="26" borderId="17" xfId="0" applyFont="1" applyFill="1" applyBorder="1" applyAlignment="1">
      <alignment horizontal="right"/>
    </xf>
    <xf numFmtId="0" fontId="32" fillId="0" borderId="15" xfId="0" applyFont="1" applyBorder="1"/>
    <xf numFmtId="169" fontId="32" fillId="0" borderId="0" xfId="23" applyNumberFormat="1" applyFont="1" applyBorder="1" applyAlignment="1">
      <alignment horizontal="right"/>
    </xf>
    <xf numFmtId="169" fontId="32" fillId="0" borderId="18" xfId="0" applyNumberFormat="1" applyFont="1" applyBorder="1" applyAlignment="1">
      <alignment horizontal="right"/>
    </xf>
    <xf numFmtId="2" fontId="32" fillId="0" borderId="0" xfId="0" applyNumberFormat="1" applyFont="1" applyBorder="1" applyAlignment="1">
      <alignment horizontal="right"/>
    </xf>
    <xf numFmtId="2" fontId="32" fillId="0" borderId="16" xfId="0" applyNumberFormat="1" applyFont="1" applyBorder="1" applyAlignment="1">
      <alignment horizontal="right"/>
    </xf>
    <xf numFmtId="169" fontId="32" fillId="0" borderId="16" xfId="0" applyNumberFormat="1" applyFont="1" applyBorder="1" applyAlignment="1">
      <alignment horizontal="right"/>
    </xf>
    <xf numFmtId="9" fontId="32" fillId="0" borderId="0" xfId="41" applyFont="1" applyBorder="1" applyAlignment="1">
      <alignment horizontal="right"/>
    </xf>
    <xf numFmtId="9" fontId="32" fillId="0" borderId="16" xfId="41" applyFont="1" applyFill="1" applyBorder="1" applyAlignment="1">
      <alignment horizontal="right"/>
    </xf>
    <xf numFmtId="3" fontId="32" fillId="0" borderId="16" xfId="0" applyNumberFormat="1" applyFont="1" applyBorder="1" applyAlignment="1">
      <alignment horizontal="right"/>
    </xf>
    <xf numFmtId="0" fontId="34" fillId="0" borderId="15" xfId="0" applyFont="1" applyBorder="1"/>
    <xf numFmtId="167" fontId="34" fillId="0" borderId="0" xfId="0" applyNumberFormat="1" applyFont="1" applyBorder="1" applyAlignment="1">
      <alignment horizontal="right"/>
    </xf>
    <xf numFmtId="167" fontId="34" fillId="0" borderId="16" xfId="0" applyNumberFormat="1" applyFont="1" applyBorder="1" applyAlignment="1">
      <alignment horizontal="right"/>
    </xf>
    <xf numFmtId="0" fontId="34" fillId="0" borderId="19" xfId="0" applyFont="1" applyBorder="1"/>
    <xf numFmtId="167" fontId="34" fillId="0" borderId="20" xfId="0" applyNumberFormat="1" applyFont="1" applyBorder="1" applyAlignment="1">
      <alignment horizontal="right"/>
    </xf>
    <xf numFmtId="167" fontId="34" fillId="0" borderId="21" xfId="0" applyNumberFormat="1" applyFont="1" applyBorder="1" applyAlignment="1">
      <alignment horizontal="right"/>
    </xf>
    <xf numFmtId="2" fontId="27" fillId="25" borderId="0" xfId="0" applyNumberFormat="1" applyFont="1" applyFill="1" applyBorder="1" applyAlignment="1">
      <alignment horizontal="center"/>
    </xf>
    <xf numFmtId="0" fontId="23" fillId="0" borderId="0" xfId="0" applyFont="1"/>
    <xf numFmtId="0" fontId="23" fillId="0" borderId="0" xfId="38"/>
    <xf numFmtId="14" fontId="35" fillId="0" borderId="32" xfId="38" applyNumberFormat="1" applyFont="1" applyBorder="1" applyAlignment="1">
      <alignment horizontal="right" vertical="center"/>
    </xf>
    <xf numFmtId="0" fontId="36" fillId="0" borderId="0" xfId="38" applyFont="1" applyAlignment="1">
      <alignment horizontal="center" vertical="center" wrapText="1"/>
    </xf>
    <xf numFmtId="0" fontId="36" fillId="0" borderId="32" xfId="38" applyFont="1" applyBorder="1" applyAlignment="1">
      <alignment horizontal="right" vertical="center"/>
    </xf>
    <xf numFmtId="0" fontId="36" fillId="0" borderId="33" xfId="38" applyFont="1" applyBorder="1" applyAlignment="1">
      <alignment horizontal="right" vertical="center"/>
    </xf>
    <xf numFmtId="0" fontId="36" fillId="0" borderId="34" xfId="38" applyFont="1" applyBorder="1" applyAlignment="1">
      <alignment horizontal="center" vertical="center" wrapText="1"/>
    </xf>
    <xf numFmtId="0" fontId="24" fillId="0" borderId="0" xfId="38" applyFont="1" applyAlignment="1">
      <alignment horizontal="right" vertical="center"/>
    </xf>
    <xf numFmtId="0" fontId="24" fillId="0" borderId="35" xfId="38" applyFont="1" applyBorder="1" applyAlignment="1">
      <alignment horizontal="right" vertical="center"/>
    </xf>
    <xf numFmtId="0" fontId="24" fillId="0" borderId="34" xfId="38" applyFont="1" applyBorder="1" applyAlignment="1">
      <alignment horizontal="right" vertical="center"/>
    </xf>
    <xf numFmtId="0" fontId="34" fillId="0" borderId="30" xfId="38" applyFont="1" applyBorder="1" applyAlignment="1">
      <alignment horizontal="center" vertical="center"/>
    </xf>
    <xf numFmtId="0" fontId="34" fillId="0" borderId="31" xfId="38" applyFont="1" applyBorder="1" applyAlignment="1">
      <alignment horizontal="center" vertical="center"/>
    </xf>
    <xf numFmtId="0" fontId="38" fillId="0" borderId="16" xfId="0" applyFont="1" applyFill="1" applyBorder="1" applyAlignment="1">
      <alignment horizontal="center"/>
    </xf>
    <xf numFmtId="0" fontId="21" fillId="0" borderId="0" xfId="0" applyFont="1" applyBorder="1" applyAlignment="1">
      <alignment horizontal="center"/>
    </xf>
    <xf numFmtId="0" fontId="22" fillId="0" borderId="0" xfId="0" applyFont="1" applyBorder="1"/>
    <xf numFmtId="3" fontId="21" fillId="0" borderId="0" xfId="0" applyNumberFormat="1" applyFont="1" applyAlignment="1">
      <alignment horizontal="center"/>
    </xf>
    <xf numFmtId="167" fontId="0" fillId="0" borderId="0" xfId="0" applyNumberFormat="1"/>
    <xf numFmtId="165" fontId="31" fillId="0" borderId="0" xfId="0" applyNumberFormat="1" applyFont="1" applyFill="1" applyBorder="1" applyAlignment="1">
      <alignment horizontal="right"/>
    </xf>
    <xf numFmtId="2" fontId="24" fillId="0" borderId="0" xfId="38" applyNumberFormat="1" applyFont="1" applyAlignment="1">
      <alignment horizontal="right" vertical="center"/>
    </xf>
    <xf numFmtId="0" fontId="30" fillId="0" borderId="20" xfId="0" applyFont="1" applyBorder="1" applyAlignment="1">
      <alignment horizontal="center"/>
    </xf>
    <xf numFmtId="0" fontId="37" fillId="26" borderId="22" xfId="0" applyFont="1" applyFill="1" applyBorder="1" applyAlignment="1">
      <alignment horizontal="right"/>
    </xf>
    <xf numFmtId="0" fontId="37" fillId="26" borderId="23" xfId="0" applyFont="1" applyFill="1" applyBorder="1" applyAlignment="1">
      <alignment horizontal="right"/>
    </xf>
    <xf numFmtId="0" fontId="37" fillId="26" borderId="19" xfId="0" applyFont="1" applyFill="1" applyBorder="1"/>
    <xf numFmtId="0" fontId="32" fillId="0" borderId="20" xfId="0" applyFont="1" applyBorder="1"/>
    <xf numFmtId="0" fontId="32" fillId="0" borderId="21" xfId="0" applyFont="1" applyBorder="1"/>
    <xf numFmtId="169" fontId="32" fillId="0" borderId="24" xfId="23" applyNumberFormat="1" applyFont="1" applyBorder="1" applyAlignment="1">
      <alignment horizontal="right"/>
    </xf>
    <xf numFmtId="2" fontId="32" fillId="0" borderId="24" xfId="0" applyNumberFormat="1" applyFont="1" applyBorder="1" applyAlignment="1">
      <alignment horizontal="right"/>
    </xf>
    <xf numFmtId="9" fontId="32" fillId="0" borderId="24" xfId="41" applyFont="1" applyBorder="1" applyAlignment="1">
      <alignment horizontal="right"/>
    </xf>
    <xf numFmtId="167" fontId="34" fillId="0" borderId="24" xfId="0" applyNumberFormat="1" applyFont="1" applyBorder="1" applyAlignment="1">
      <alignment horizontal="right"/>
    </xf>
    <xf numFmtId="167" fontId="34" fillId="0" borderId="25" xfId="0" applyNumberFormat="1" applyFont="1" applyBorder="1" applyAlignment="1">
      <alignment horizontal="right"/>
    </xf>
    <xf numFmtId="0" fontId="32" fillId="0" borderId="0" xfId="0" applyFont="1" applyAlignment="1">
      <alignment horizontal="left"/>
    </xf>
    <xf numFmtId="0" fontId="32" fillId="0" borderId="0" xfId="0" applyFont="1" applyBorder="1" applyAlignment="1">
      <alignment horizontal="center"/>
    </xf>
    <xf numFmtId="0" fontId="23" fillId="0" borderId="0" xfId="38" applyFill="1"/>
    <xf numFmtId="0" fontId="0" fillId="0" borderId="0" xfId="0" applyFill="1"/>
    <xf numFmtId="2" fontId="24" fillId="0" borderId="0" xfId="38" applyNumberFormat="1" applyFont="1" applyFill="1" applyAlignment="1">
      <alignment horizontal="right" vertical="center"/>
    </xf>
    <xf numFmtId="0" fontId="24" fillId="0" borderId="0" xfId="38" applyFont="1" applyFill="1" applyAlignment="1">
      <alignment horizontal="right" vertical="center"/>
    </xf>
    <xf numFmtId="3" fontId="32" fillId="0" borderId="0" xfId="0" applyNumberFormat="1" applyFont="1" applyBorder="1"/>
    <xf numFmtId="9" fontId="32" fillId="0" borderId="0" xfId="41" applyFont="1" applyFill="1" applyBorder="1"/>
    <xf numFmtId="0" fontId="33" fillId="24" borderId="0" xfId="0" applyFont="1" applyFill="1" applyBorder="1" applyAlignment="1">
      <alignment horizontal="left"/>
    </xf>
    <xf numFmtId="0" fontId="32" fillId="0" borderId="0" xfId="0" applyFont="1" applyBorder="1" applyAlignment="1">
      <alignment horizontal="left"/>
    </xf>
    <xf numFmtId="0" fontId="33" fillId="24" borderId="0" xfId="0" applyFont="1" applyFill="1" applyBorder="1" applyAlignment="1"/>
    <xf numFmtId="3" fontId="32" fillId="0" borderId="0" xfId="0" applyNumberFormat="1" applyFont="1" applyFill="1" applyBorder="1" applyAlignment="1">
      <alignment horizontal="right"/>
    </xf>
    <xf numFmtId="165" fontId="32" fillId="0" borderId="0" xfId="0" applyNumberFormat="1" applyFont="1" applyFill="1" applyBorder="1" applyAlignment="1">
      <alignment horizontal="right"/>
    </xf>
    <xf numFmtId="9" fontId="32" fillId="0" borderId="0" xfId="0" applyNumberFormat="1" applyFont="1" applyAlignment="1">
      <alignment horizontal="right"/>
    </xf>
    <xf numFmtId="10" fontId="32" fillId="0" borderId="0" xfId="0" applyNumberFormat="1" applyFont="1" applyAlignment="1">
      <alignment horizontal="right"/>
    </xf>
    <xf numFmtId="0" fontId="30" fillId="0" borderId="0" xfId="0" applyFont="1" applyAlignment="1">
      <alignment horizontal="center"/>
    </xf>
    <xf numFmtId="0" fontId="34" fillId="0" borderId="0" xfId="0" applyFont="1" applyAlignment="1">
      <alignment horizontal="left"/>
    </xf>
    <xf numFmtId="0" fontId="34" fillId="0" borderId="0" xfId="0" applyFont="1" applyBorder="1" applyAlignment="1">
      <alignment horizontal="left"/>
    </xf>
    <xf numFmtId="168" fontId="32" fillId="0" borderId="0" xfId="23" applyNumberFormat="1" applyFont="1" applyBorder="1" applyAlignment="1"/>
    <xf numFmtId="0" fontId="32" fillId="0" borderId="12" xfId="0" applyFont="1" applyBorder="1" applyAlignment="1">
      <alignment horizontal="center"/>
    </xf>
    <xf numFmtId="9" fontId="32" fillId="0" borderId="13" xfId="0" applyNumberFormat="1" applyFont="1" applyBorder="1" applyAlignment="1">
      <alignment horizontal="center"/>
    </xf>
    <xf numFmtId="0" fontId="30" fillId="0" borderId="14" xfId="0" applyFont="1" applyBorder="1" applyAlignment="1">
      <alignment horizontal="center"/>
    </xf>
    <xf numFmtId="0" fontId="34" fillId="0" borderId="15" xfId="0" applyFont="1" applyBorder="1" applyAlignment="1">
      <alignment horizontal="left"/>
    </xf>
    <xf numFmtId="0" fontId="34" fillId="0" borderId="15" xfId="0" applyFont="1" applyBorder="1" applyAlignment="1">
      <alignment horizontal="center"/>
    </xf>
    <xf numFmtId="0" fontId="34" fillId="0" borderId="0" xfId="0" applyFont="1" applyBorder="1" applyAlignment="1">
      <alignment horizontal="center"/>
    </xf>
    <xf numFmtId="0" fontId="30" fillId="0" borderId="0" xfId="0" applyFont="1" applyBorder="1" applyAlignment="1">
      <alignment horizontal="center"/>
    </xf>
    <xf numFmtId="168" fontId="32" fillId="0" borderId="0" xfId="0" applyNumberFormat="1" applyFont="1" applyBorder="1" applyAlignment="1">
      <alignment horizontal="center"/>
    </xf>
    <xf numFmtId="0" fontId="30" fillId="0" borderId="16" xfId="0" applyFont="1" applyBorder="1" applyAlignment="1">
      <alignment horizontal="center"/>
    </xf>
    <xf numFmtId="0" fontId="32" fillId="0" borderId="19" xfId="0" applyFont="1" applyBorder="1" applyAlignment="1">
      <alignment horizontal="center"/>
    </xf>
    <xf numFmtId="0" fontId="32" fillId="0" borderId="20" xfId="0" applyFont="1" applyBorder="1" applyAlignment="1">
      <alignment horizontal="center"/>
    </xf>
    <xf numFmtId="168" fontId="32" fillId="0" borderId="20" xfId="23" applyNumberFormat="1" applyFont="1" applyBorder="1" applyAlignment="1">
      <alignment horizontal="center"/>
    </xf>
    <xf numFmtId="0" fontId="30" fillId="0" borderId="21" xfId="0" applyFont="1" applyBorder="1" applyAlignment="1">
      <alignment horizontal="center"/>
    </xf>
    <xf numFmtId="0" fontId="32" fillId="0" borderId="10" xfId="0" quotePrefix="1" applyFont="1" applyBorder="1"/>
    <xf numFmtId="0" fontId="34" fillId="0" borderId="27" xfId="0" applyFont="1" applyBorder="1"/>
    <xf numFmtId="0" fontId="34" fillId="0" borderId="28" xfId="0" applyFont="1" applyBorder="1"/>
    <xf numFmtId="0" fontId="32" fillId="0" borderId="0" xfId="0" applyFont="1" applyAlignment="1">
      <alignment horizontal="left"/>
    </xf>
    <xf numFmtId="0" fontId="34" fillId="0" borderId="0" xfId="0" applyFont="1" applyBorder="1" applyAlignment="1">
      <alignment horizontal="left"/>
    </xf>
    <xf numFmtId="0" fontId="32" fillId="0" borderId="13" xfId="0" applyFont="1" applyBorder="1" applyAlignment="1">
      <alignment horizontal="center"/>
    </xf>
    <xf numFmtId="168" fontId="34" fillId="0" borderId="16" xfId="23" applyNumberFormat="1" applyFont="1" applyBorder="1" applyAlignment="1">
      <alignment horizontal="center"/>
    </xf>
    <xf numFmtId="168" fontId="34" fillId="0" borderId="16" xfId="23" applyNumberFormat="1" applyFont="1" applyFill="1" applyBorder="1" applyAlignment="1">
      <alignment horizontal="center"/>
    </xf>
    <xf numFmtId="0" fontId="1" fillId="0" borderId="0" xfId="38" applyFont="1" applyFill="1"/>
    <xf numFmtId="0" fontId="32" fillId="27" borderId="0" xfId="0" applyFont="1" applyFill="1"/>
    <xf numFmtId="166" fontId="32" fillId="27" borderId="0" xfId="0" applyNumberFormat="1" applyFont="1" applyFill="1" applyBorder="1"/>
    <xf numFmtId="3" fontId="32" fillId="27" borderId="0" xfId="0" applyNumberFormat="1" applyFont="1" applyFill="1" applyBorder="1"/>
    <xf numFmtId="0" fontId="27" fillId="0" borderId="0" xfId="0" applyFont="1"/>
    <xf numFmtId="0" fontId="0" fillId="0" borderId="0" xfId="0" quotePrefix="1"/>
    <xf numFmtId="0" fontId="1" fillId="0" borderId="0" xfId="0" applyFont="1"/>
    <xf numFmtId="0" fontId="0" fillId="27" borderId="0" xfId="0" applyFill="1"/>
    <xf numFmtId="0" fontId="0" fillId="28" borderId="0" xfId="0" applyFill="1"/>
    <xf numFmtId="0" fontId="36" fillId="0" borderId="0" xfId="0" applyFont="1" applyFill="1" applyAlignment="1">
      <alignment horizontal="right" vertical="center"/>
    </xf>
    <xf numFmtId="0" fontId="1" fillId="0" borderId="0" xfId="0" applyFont="1" applyFill="1" applyBorder="1"/>
    <xf numFmtId="0" fontId="0" fillId="29" borderId="0" xfId="0" applyFill="1"/>
    <xf numFmtId="168" fontId="34" fillId="29" borderId="40" xfId="23" applyNumberFormat="1" applyFont="1" applyFill="1" applyBorder="1" applyAlignment="1">
      <alignment horizontal="center"/>
    </xf>
    <xf numFmtId="2" fontId="0" fillId="0" borderId="0" xfId="0" applyNumberFormat="1"/>
    <xf numFmtId="3" fontId="0" fillId="0" borderId="0" xfId="0" applyNumberFormat="1"/>
    <xf numFmtId="3" fontId="0" fillId="29" borderId="0" xfId="0" applyNumberFormat="1" applyFill="1"/>
    <xf numFmtId="9" fontId="32" fillId="27" borderId="26" xfId="0" applyNumberFormat="1" applyFont="1" applyFill="1" applyBorder="1" applyAlignment="1">
      <alignment horizontal="right"/>
    </xf>
    <xf numFmtId="168" fontId="34" fillId="0" borderId="0" xfId="23" applyNumberFormat="1" applyFont="1" applyFill="1" applyBorder="1" applyAlignment="1">
      <alignment horizontal="center"/>
    </xf>
    <xf numFmtId="0" fontId="32" fillId="0" borderId="0" xfId="0" applyFont="1" applyAlignment="1">
      <alignment horizontal="left"/>
    </xf>
    <xf numFmtId="0" fontId="32" fillId="0" borderId="0" xfId="0" applyFont="1" applyBorder="1" applyAlignment="1">
      <alignment horizontal="left"/>
    </xf>
    <xf numFmtId="0" fontId="33" fillId="24" borderId="0" xfId="0" applyFont="1" applyFill="1" applyBorder="1" applyAlignment="1">
      <alignment horizontal="left"/>
    </xf>
    <xf numFmtId="0" fontId="39" fillId="0" borderId="0" xfId="0" applyFont="1" applyAlignment="1">
      <alignment horizontal="center"/>
    </xf>
    <xf numFmtId="3" fontId="31" fillId="0" borderId="0" xfId="0" applyNumberFormat="1" applyFont="1" applyBorder="1" applyAlignment="1">
      <alignment horizontal="left" wrapText="1"/>
    </xf>
    <xf numFmtId="0" fontId="34" fillId="0" borderId="0" xfId="0" applyFont="1" applyBorder="1" applyAlignment="1">
      <alignment horizontal="left"/>
    </xf>
    <xf numFmtId="0" fontId="29" fillId="0" borderId="0" xfId="38" applyFont="1" applyAlignment="1">
      <alignment horizontal="left" vertical="center"/>
    </xf>
    <xf numFmtId="0" fontId="26" fillId="0" borderId="36" xfId="38" applyFont="1" applyBorder="1" applyAlignment="1">
      <alignment horizontal="center" vertical="center"/>
    </xf>
    <xf numFmtId="0" fontId="26" fillId="0" borderId="37" xfId="38" applyFont="1" applyBorder="1" applyAlignment="1">
      <alignment horizontal="center" vertical="center"/>
    </xf>
    <xf numFmtId="0" fontId="26" fillId="0" borderId="38" xfId="38" applyFont="1" applyBorder="1" applyAlignment="1">
      <alignment horizontal="center" vertical="center" wrapText="1"/>
    </xf>
    <xf numFmtId="0" fontId="26" fillId="0" borderId="39" xfId="38" applyFont="1" applyBorder="1" applyAlignment="1">
      <alignment horizontal="center" vertical="center" wrapText="1"/>
    </xf>
    <xf numFmtId="0" fontId="26" fillId="0" borderId="36" xfId="0" applyFont="1" applyBorder="1" applyAlignment="1">
      <alignment horizontal="center" vertical="center"/>
    </xf>
    <xf numFmtId="0" fontId="26" fillId="0" borderId="37" xfId="0" applyFont="1" applyBorder="1" applyAlignment="1">
      <alignment horizontal="center" vertical="center"/>
    </xf>
    <xf numFmtId="0" fontId="26" fillId="0" borderId="38" xfId="0" applyFont="1" applyBorder="1" applyAlignment="1">
      <alignment horizontal="center" vertical="center" wrapText="1"/>
    </xf>
    <xf numFmtId="0" fontId="26" fillId="0" borderId="39" xfId="0" applyFont="1" applyBorder="1" applyAlignment="1">
      <alignment horizontal="center" vertical="center" wrapText="1"/>
    </xf>
    <xf numFmtId="0" fontId="29" fillId="0" borderId="0" xfId="0" applyFont="1" applyAlignment="1">
      <alignment horizontal="left" vertical="center"/>
    </xf>
    <xf numFmtId="0" fontId="28" fillId="0" borderId="20" xfId="0" applyFont="1" applyBorder="1" applyAlignment="1">
      <alignment horizontal="center" vertical="center"/>
    </xf>
    <xf numFmtId="0" fontId="32" fillId="0" borderId="29" xfId="0" applyFont="1" applyBorder="1" applyAlignment="1">
      <alignment horizontal="center"/>
    </xf>
    <xf numFmtId="0" fontId="32" fillId="0" borderId="13" xfId="0" applyFont="1" applyBorder="1" applyAlignment="1">
      <alignment horizontal="center"/>
    </xf>
    <xf numFmtId="0" fontId="32" fillId="0" borderId="24" xfId="0" applyFont="1" applyBorder="1" applyAlignment="1">
      <alignment horizontal="center"/>
    </xf>
    <xf numFmtId="0" fontId="32" fillId="0" borderId="0" xfId="0" applyFont="1" applyBorder="1" applyAlignment="1">
      <alignment horizontal="center"/>
    </xf>
    <xf numFmtId="9" fontId="32" fillId="0" borderId="25" xfId="41" applyFont="1" applyBorder="1" applyAlignment="1">
      <alignment horizontal="center"/>
    </xf>
    <xf numFmtId="9" fontId="32" fillId="0" borderId="20" xfId="41" applyFont="1" applyBorder="1" applyAlignment="1">
      <alignment horizontal="center"/>
    </xf>
    <xf numFmtId="0" fontId="32" fillId="27" borderId="0" xfId="0" applyFont="1" applyFill="1" applyBorder="1" applyAlignment="1">
      <alignment horizontal="center"/>
    </xf>
  </cellXfs>
  <cellStyles count="51">
    <cellStyle name="20% - Énfasis1" xfId="1" xr:uid="{00000000-0005-0000-0000-000000000000}"/>
    <cellStyle name="20% - Énfasis2" xfId="2" xr:uid="{00000000-0005-0000-0000-000001000000}"/>
    <cellStyle name="20% - Énfasis3" xfId="3" xr:uid="{00000000-0005-0000-0000-000002000000}"/>
    <cellStyle name="20% - Énfasis4" xfId="4" xr:uid="{00000000-0005-0000-0000-000003000000}"/>
    <cellStyle name="20% - Énfasis5" xfId="5" xr:uid="{00000000-0005-0000-0000-000004000000}"/>
    <cellStyle name="20% - Énfasis6" xfId="6" xr:uid="{00000000-0005-0000-0000-000005000000}"/>
    <cellStyle name="40% - Énfasis1" xfId="7" xr:uid="{00000000-0005-0000-0000-000006000000}"/>
    <cellStyle name="40% - Énfasis2" xfId="8" xr:uid="{00000000-0005-0000-0000-000007000000}"/>
    <cellStyle name="40% - Énfasis3" xfId="9" xr:uid="{00000000-0005-0000-0000-000008000000}"/>
    <cellStyle name="40% - Énfasis4" xfId="10" xr:uid="{00000000-0005-0000-0000-000009000000}"/>
    <cellStyle name="40% - Énfasis5" xfId="11" xr:uid="{00000000-0005-0000-0000-00000A000000}"/>
    <cellStyle name="40% - Énfasis6" xfId="12" xr:uid="{00000000-0005-0000-0000-00000B000000}"/>
    <cellStyle name="60% - Énfasis1" xfId="13" xr:uid="{00000000-0005-0000-0000-00000C000000}"/>
    <cellStyle name="60% - Énfasis2" xfId="14" xr:uid="{00000000-0005-0000-0000-00000D000000}"/>
    <cellStyle name="60% - Énfasis3" xfId="15" xr:uid="{00000000-0005-0000-0000-00000E000000}"/>
    <cellStyle name="60% - Énfasis4" xfId="16" xr:uid="{00000000-0005-0000-0000-00000F000000}"/>
    <cellStyle name="60% - Énfasis5" xfId="17" xr:uid="{00000000-0005-0000-0000-000010000000}"/>
    <cellStyle name="60% - Énfasis6" xfId="18" xr:uid="{00000000-0005-0000-0000-000011000000}"/>
    <cellStyle name="Buena" xfId="19" xr:uid="{00000000-0005-0000-0000-000012000000}"/>
    <cellStyle name="Cálculo" xfId="20" xr:uid="{00000000-0005-0000-0000-000013000000}"/>
    <cellStyle name="Celda de comprobación" xfId="21" xr:uid="{00000000-0005-0000-0000-000014000000}"/>
    <cellStyle name="Celda vinculada" xfId="22" xr:uid="{00000000-0005-0000-0000-000015000000}"/>
    <cellStyle name="Comma" xfId="23" builtinId="3"/>
    <cellStyle name="Comma 2" xfId="24" xr:uid="{00000000-0005-0000-0000-000017000000}"/>
    <cellStyle name="Encabezado 4" xfId="25" xr:uid="{00000000-0005-0000-0000-000018000000}"/>
    <cellStyle name="Énfasis1" xfId="26" xr:uid="{00000000-0005-0000-0000-000019000000}"/>
    <cellStyle name="Énfasis2" xfId="27" xr:uid="{00000000-0005-0000-0000-00001A000000}"/>
    <cellStyle name="Énfasis3" xfId="28" xr:uid="{00000000-0005-0000-0000-00001B000000}"/>
    <cellStyle name="Énfasis4" xfId="29" xr:uid="{00000000-0005-0000-0000-00001C000000}"/>
    <cellStyle name="Énfasis5" xfId="30" xr:uid="{00000000-0005-0000-0000-00001D000000}"/>
    <cellStyle name="Énfasis6" xfId="31" xr:uid="{00000000-0005-0000-0000-00001E000000}"/>
    <cellStyle name="Entrada" xfId="32" xr:uid="{00000000-0005-0000-0000-00001F000000}"/>
    <cellStyle name="Incorrecto" xfId="33" xr:uid="{00000000-0005-0000-0000-000020000000}"/>
    <cellStyle name="Neutral" xfId="34" builtinId="28" customBuiltin="1"/>
    <cellStyle name="Normal" xfId="0" builtinId="0"/>
    <cellStyle name="Normal 2" xfId="35" xr:uid="{00000000-0005-0000-0000-000023000000}"/>
    <cellStyle name="Normal 3" xfId="36" xr:uid="{00000000-0005-0000-0000-000024000000}"/>
    <cellStyle name="Normal 3 2" xfId="37" xr:uid="{00000000-0005-0000-0000-000025000000}"/>
    <cellStyle name="Normal 4" xfId="38" xr:uid="{00000000-0005-0000-0000-000026000000}"/>
    <cellStyle name="Notas" xfId="39" xr:uid="{00000000-0005-0000-0000-000027000000}"/>
    <cellStyle name="Notas 2" xfId="40" xr:uid="{00000000-0005-0000-0000-000028000000}"/>
    <cellStyle name="Percent" xfId="41" builtinId="5"/>
    <cellStyle name="Percent 2" xfId="42" xr:uid="{00000000-0005-0000-0000-00002A000000}"/>
    <cellStyle name="Salida" xfId="43" xr:uid="{00000000-0005-0000-0000-00002B000000}"/>
    <cellStyle name="Texto de advertencia" xfId="44" xr:uid="{00000000-0005-0000-0000-00002C000000}"/>
    <cellStyle name="Texto explicativo" xfId="45" xr:uid="{00000000-0005-0000-0000-00002D000000}"/>
    <cellStyle name="Título" xfId="46" xr:uid="{00000000-0005-0000-0000-00002E000000}"/>
    <cellStyle name="Título 1" xfId="47" xr:uid="{00000000-0005-0000-0000-00002F000000}"/>
    <cellStyle name="Título 2" xfId="48" xr:uid="{00000000-0005-0000-0000-000030000000}"/>
    <cellStyle name="Título 3" xfId="49" xr:uid="{00000000-0005-0000-0000-000031000000}"/>
    <cellStyle name="Total" xfId="50"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1"/>
  <sheetViews>
    <sheetView workbookViewId="0"/>
  </sheetViews>
  <sheetFormatPr defaultColWidth="11.42578125" defaultRowHeight="12.75" x14ac:dyDescent="0.2"/>
  <cols>
    <col min="1" max="3" width="36.7109375" customWidth="1"/>
    <col min="4" max="256" width="8.85546875" customWidth="1"/>
  </cols>
  <sheetData>
    <row r="1" spans="1:3" x14ac:dyDescent="0.2">
      <c r="A1" s="146" t="s">
        <v>113</v>
      </c>
    </row>
    <row r="3" spans="1:3" x14ac:dyDescent="0.2">
      <c r="A3" t="s">
        <v>114</v>
      </c>
      <c r="B3" t="s">
        <v>115</v>
      </c>
      <c r="C3">
        <v>0</v>
      </c>
    </row>
    <row r="4" spans="1:3" x14ac:dyDescent="0.2">
      <c r="A4" t="s">
        <v>116</v>
      </c>
    </row>
    <row r="5" spans="1:3" x14ac:dyDescent="0.2">
      <c r="A5" t="s">
        <v>117</v>
      </c>
    </row>
    <row r="7" spans="1:3" x14ac:dyDescent="0.2">
      <c r="A7" s="146" t="s">
        <v>118</v>
      </c>
      <c r="B7" t="s">
        <v>119</v>
      </c>
    </row>
    <row r="8" spans="1:3" x14ac:dyDescent="0.2">
      <c r="B8">
        <v>3</v>
      </c>
    </row>
    <row r="10" spans="1:3" x14ac:dyDescent="0.2">
      <c r="A10" t="s">
        <v>120</v>
      </c>
    </row>
    <row r="11" spans="1:3" x14ac:dyDescent="0.2">
      <c r="A11" t="e">
        <f>CB_DATA_!#REF!</f>
        <v>#REF!</v>
      </c>
      <c r="B11" t="e">
        <f>'Appendix 1 Castelbuono'!#REF!</f>
        <v>#REF!</v>
      </c>
      <c r="C11" t="e">
        <f>'Appendix 2 &amp; 3'!#REF!</f>
        <v>#REF!</v>
      </c>
    </row>
    <row r="13" spans="1:3" x14ac:dyDescent="0.2">
      <c r="A13" t="s">
        <v>121</v>
      </c>
    </row>
    <row r="14" spans="1:3" x14ac:dyDescent="0.2">
      <c r="A14" t="s">
        <v>130</v>
      </c>
      <c r="B14" t="s">
        <v>125</v>
      </c>
      <c r="C14" t="s">
        <v>132</v>
      </c>
    </row>
    <row r="16" spans="1:3" x14ac:dyDescent="0.2">
      <c r="A16" t="s">
        <v>122</v>
      </c>
    </row>
    <row r="19" spans="1:3" x14ac:dyDescent="0.2">
      <c r="A19" t="s">
        <v>123</v>
      </c>
    </row>
    <row r="20" spans="1:3" x14ac:dyDescent="0.2">
      <c r="A20">
        <v>28</v>
      </c>
      <c r="B20">
        <v>31</v>
      </c>
      <c r="C20">
        <v>31</v>
      </c>
    </row>
    <row r="25" spans="1:3" x14ac:dyDescent="0.2">
      <c r="A25" s="146" t="s">
        <v>124</v>
      </c>
    </row>
    <row r="26" spans="1:3" x14ac:dyDescent="0.2">
      <c r="A26" s="147" t="s">
        <v>128</v>
      </c>
      <c r="B26" s="147" t="s">
        <v>126</v>
      </c>
      <c r="C26" s="147" t="s">
        <v>126</v>
      </c>
    </row>
    <row r="27" spans="1:3" x14ac:dyDescent="0.2">
      <c r="A27" t="s">
        <v>131</v>
      </c>
      <c r="B27" t="s">
        <v>141</v>
      </c>
      <c r="C27" t="s">
        <v>142</v>
      </c>
    </row>
    <row r="28" spans="1:3" x14ac:dyDescent="0.2">
      <c r="A28" s="147" t="s">
        <v>127</v>
      </c>
      <c r="B28" s="147" t="s">
        <v>127</v>
      </c>
      <c r="C28" s="147" t="s">
        <v>127</v>
      </c>
    </row>
    <row r="29" spans="1:3" x14ac:dyDescent="0.2">
      <c r="B29" s="147" t="s">
        <v>128</v>
      </c>
      <c r="C29" s="147" t="s">
        <v>128</v>
      </c>
    </row>
    <row r="30" spans="1:3" x14ac:dyDescent="0.2">
      <c r="B30" t="s">
        <v>129</v>
      </c>
      <c r="C30" t="s">
        <v>133</v>
      </c>
    </row>
    <row r="31" spans="1:3" x14ac:dyDescent="0.2">
      <c r="B31" s="147" t="s">
        <v>127</v>
      </c>
      <c r="C31" s="147" t="s">
        <v>127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A61"/>
  <sheetViews>
    <sheetView topLeftCell="A6" zoomScale="134" zoomScaleNormal="70" workbookViewId="0">
      <selection activeCell="R10" sqref="R10"/>
    </sheetView>
  </sheetViews>
  <sheetFormatPr defaultColWidth="11.42578125" defaultRowHeight="11.25" x14ac:dyDescent="0.2"/>
  <cols>
    <col min="1" max="1" width="25.42578125" style="1" customWidth="1"/>
    <col min="2" max="2" width="8.140625" style="1" customWidth="1"/>
    <col min="3" max="17" width="8.140625" style="5" customWidth="1"/>
    <col min="18" max="18" width="9.140625" style="5" bestFit="1" customWidth="1"/>
    <col min="19" max="21" width="8.140625" style="5" customWidth="1"/>
    <col min="22" max="22" width="5.85546875" style="1" customWidth="1"/>
    <col min="23" max="16384" width="11.42578125" style="1"/>
  </cols>
  <sheetData>
    <row r="1" spans="1:52" ht="14.1" customHeight="1" x14ac:dyDescent="0.2">
      <c r="A1" s="163" t="s">
        <v>39</v>
      </c>
      <c r="B1" s="163"/>
      <c r="C1" s="163"/>
      <c r="D1" s="163"/>
      <c r="E1" s="163"/>
      <c r="F1" s="163"/>
      <c r="G1" s="163"/>
      <c r="H1" s="163"/>
      <c r="I1" s="163"/>
      <c r="J1" s="163"/>
      <c r="K1" s="163"/>
      <c r="L1" s="163"/>
      <c r="M1" s="163"/>
      <c r="N1" s="8"/>
      <c r="O1" s="8"/>
      <c r="P1" s="8"/>
      <c r="Q1" s="8"/>
      <c r="R1" s="8"/>
      <c r="S1" s="8"/>
      <c r="T1" s="8"/>
      <c r="U1" s="8"/>
    </row>
    <row r="2" spans="1:52" ht="14.1" customHeight="1" x14ac:dyDescent="0.2">
      <c r="A2" s="11" t="s">
        <v>24</v>
      </c>
      <c r="B2" s="12" t="s">
        <v>1</v>
      </c>
      <c r="C2" s="13"/>
      <c r="D2" s="11" t="s">
        <v>40</v>
      </c>
      <c r="E2" s="12"/>
      <c r="F2" s="12"/>
      <c r="G2" s="12" t="s">
        <v>1</v>
      </c>
      <c r="H2" s="8"/>
      <c r="I2" s="162" t="s">
        <v>50</v>
      </c>
      <c r="J2" s="162"/>
      <c r="K2" s="162"/>
      <c r="L2" s="162"/>
      <c r="M2" s="12" t="s">
        <v>8</v>
      </c>
      <c r="N2" s="117"/>
      <c r="O2" s="20" t="s">
        <v>64</v>
      </c>
      <c r="P2" s="13"/>
      <c r="Q2" s="158">
        <v>0.02</v>
      </c>
      <c r="R2" s="13"/>
      <c r="S2" s="117"/>
    </row>
    <row r="3" spans="1:52" ht="14.1" customHeight="1" x14ac:dyDescent="0.2">
      <c r="A3" s="14" t="s">
        <v>25</v>
      </c>
      <c r="B3" s="15">
        <v>900</v>
      </c>
      <c r="C3" s="13"/>
      <c r="D3" s="161" t="s">
        <v>41</v>
      </c>
      <c r="E3" s="161"/>
      <c r="F3" s="161"/>
      <c r="G3" s="108">
        <f>+B10-G4</f>
        <v>43125</v>
      </c>
      <c r="H3" s="8"/>
      <c r="I3" s="160" t="s">
        <v>51</v>
      </c>
      <c r="J3" s="160"/>
      <c r="K3" s="160"/>
      <c r="L3" s="160"/>
      <c r="M3" s="16">
        <v>15840</v>
      </c>
      <c r="N3" s="117"/>
      <c r="O3" s="118" t="s">
        <v>65</v>
      </c>
      <c r="P3" s="13"/>
      <c r="Q3" s="158">
        <v>0.08</v>
      </c>
      <c r="R3" s="13"/>
      <c r="S3" s="117"/>
    </row>
    <row r="4" spans="1:52" ht="14.1" customHeight="1" x14ac:dyDescent="0.2">
      <c r="A4" s="14" t="s">
        <v>26</v>
      </c>
      <c r="B4" s="15">
        <v>2105</v>
      </c>
      <c r="C4" s="13"/>
      <c r="D4" s="161" t="s">
        <v>42</v>
      </c>
      <c r="E4" s="161"/>
      <c r="F4" s="161"/>
      <c r="G4" s="15">
        <v>6900</v>
      </c>
      <c r="H4" s="8"/>
      <c r="I4" s="160" t="s">
        <v>52</v>
      </c>
      <c r="J4" s="160"/>
      <c r="K4" s="160"/>
      <c r="L4" s="160"/>
      <c r="M4" s="16">
        <v>12000</v>
      </c>
      <c r="N4" s="117"/>
      <c r="O4" s="117"/>
      <c r="P4" s="117"/>
      <c r="Q4" s="117"/>
      <c r="R4" s="13"/>
      <c r="S4" s="117"/>
    </row>
    <row r="5" spans="1:52" ht="14.1" customHeight="1" x14ac:dyDescent="0.2">
      <c r="A5" s="14" t="s">
        <v>27</v>
      </c>
      <c r="B5" s="15">
        <v>2435</v>
      </c>
      <c r="C5" s="13"/>
      <c r="D5" s="161" t="s">
        <v>43</v>
      </c>
      <c r="E5" s="161"/>
      <c r="F5" s="161"/>
      <c r="G5" s="14">
        <v>100</v>
      </c>
      <c r="H5" s="8"/>
      <c r="I5" s="160" t="s">
        <v>53</v>
      </c>
      <c r="J5" s="160"/>
      <c r="K5" s="160"/>
      <c r="L5" s="160"/>
      <c r="M5" s="16">
        <v>32000</v>
      </c>
      <c r="N5" s="117"/>
      <c r="O5" s="117"/>
      <c r="P5" s="117"/>
      <c r="Q5" s="117"/>
      <c r="R5" s="13"/>
      <c r="S5" s="117"/>
    </row>
    <row r="6" spans="1:52" ht="14.1" customHeight="1" x14ac:dyDescent="0.2">
      <c r="A6" s="14" t="s">
        <v>28</v>
      </c>
      <c r="B6" s="15">
        <v>3605</v>
      </c>
      <c r="C6" s="13"/>
      <c r="D6" s="165" t="s">
        <v>0</v>
      </c>
      <c r="E6" s="165"/>
      <c r="F6" s="165"/>
      <c r="G6" s="17">
        <f>+SUM(G3:G5)</f>
        <v>50125</v>
      </c>
      <c r="H6" s="8"/>
      <c r="I6" s="160" t="s">
        <v>54</v>
      </c>
      <c r="J6" s="160"/>
      <c r="K6" s="160"/>
      <c r="L6" s="160"/>
      <c r="M6" s="115">
        <v>0.05</v>
      </c>
      <c r="N6" s="117"/>
      <c r="O6" s="13"/>
      <c r="P6" s="13"/>
      <c r="Q6" s="13"/>
      <c r="R6" s="13"/>
      <c r="S6" s="117"/>
    </row>
    <row r="7" spans="1:52" ht="14.1" customHeight="1" x14ac:dyDescent="0.2">
      <c r="A7" s="14" t="s">
        <v>29</v>
      </c>
      <c r="B7" s="15">
        <v>32215</v>
      </c>
      <c r="C7" s="18"/>
      <c r="D7" s="110" t="s">
        <v>44</v>
      </c>
      <c r="E7" s="110"/>
      <c r="F7" s="12"/>
      <c r="G7" s="12" t="s">
        <v>1</v>
      </c>
      <c r="H7" s="8"/>
      <c r="I7" s="160" t="s">
        <v>55</v>
      </c>
      <c r="J7" s="160"/>
      <c r="K7" s="160"/>
      <c r="L7" s="160"/>
      <c r="M7" s="116">
        <v>7.0000000000000001E-3</v>
      </c>
      <c r="N7" s="117"/>
      <c r="O7" s="119"/>
      <c r="P7" s="103"/>
      <c r="Q7" s="120"/>
      <c r="R7" s="103"/>
      <c r="S7" s="117"/>
    </row>
    <row r="8" spans="1:52" ht="14.1" customHeight="1" thickBot="1" x14ac:dyDescent="0.25">
      <c r="A8" s="14" t="s">
        <v>30</v>
      </c>
      <c r="B8" s="15">
        <v>865</v>
      </c>
      <c r="C8" s="18"/>
      <c r="D8" s="111" t="s">
        <v>45</v>
      </c>
      <c r="E8" s="111"/>
      <c r="F8" s="111"/>
      <c r="G8" s="108">
        <f>+G6-G9</f>
        <v>10025</v>
      </c>
      <c r="H8" s="8"/>
      <c r="I8" s="160" t="s">
        <v>56</v>
      </c>
      <c r="J8" s="160"/>
      <c r="K8" s="160"/>
      <c r="L8" s="160"/>
      <c r="M8" s="16">
        <f>720*(1.7)</f>
        <v>1224</v>
      </c>
      <c r="N8" s="117"/>
      <c r="O8" s="117"/>
      <c r="P8" s="117"/>
      <c r="Q8" s="117"/>
      <c r="R8" s="13"/>
      <c r="S8" s="117"/>
      <c r="T8" s="85"/>
      <c r="U8" s="85"/>
    </row>
    <row r="9" spans="1:52" ht="14.1" customHeight="1" thickBot="1" x14ac:dyDescent="0.25">
      <c r="A9" s="14" t="s">
        <v>31</v>
      </c>
      <c r="B9" s="15">
        <v>1000</v>
      </c>
      <c r="C9" s="18"/>
      <c r="D9" s="111" t="s">
        <v>46</v>
      </c>
      <c r="E9" s="111"/>
      <c r="F9" s="111"/>
      <c r="G9" s="108">
        <f>+G6*80%</f>
        <v>40100</v>
      </c>
      <c r="H9" s="8"/>
      <c r="I9" s="160" t="s">
        <v>57</v>
      </c>
      <c r="J9" s="160"/>
      <c r="K9" s="160"/>
      <c r="L9" s="160"/>
      <c r="M9" s="115">
        <v>0.03</v>
      </c>
      <c r="N9" s="117"/>
      <c r="O9" s="121"/>
      <c r="P9" s="122"/>
      <c r="Q9" s="139"/>
      <c r="R9" s="139"/>
      <c r="S9" s="123"/>
      <c r="T9" s="85"/>
      <c r="U9" s="85"/>
    </row>
    <row r="10" spans="1:52" ht="14.1" customHeight="1" thickBot="1" x14ac:dyDescent="0.25">
      <c r="A10" s="20" t="s">
        <v>32</v>
      </c>
      <c r="B10" s="21">
        <f>SUM(B3:B9)+6900</f>
        <v>50025</v>
      </c>
      <c r="C10" s="18"/>
      <c r="D10" s="165" t="s">
        <v>0</v>
      </c>
      <c r="E10" s="165"/>
      <c r="F10" s="165"/>
      <c r="G10" s="17">
        <v>50719</v>
      </c>
      <c r="H10" s="8"/>
      <c r="I10" s="160" t="s">
        <v>58</v>
      </c>
      <c r="J10" s="160"/>
      <c r="K10" s="160"/>
      <c r="L10" s="160"/>
      <c r="M10" s="16">
        <v>135000</v>
      </c>
      <c r="N10" s="117"/>
      <c r="O10" s="124" t="s">
        <v>90</v>
      </c>
      <c r="P10" s="138"/>
      <c r="Q10" s="138"/>
      <c r="R10" s="154">
        <f>NPV(Q3,C44:U44)</f>
        <v>-8877.3860344296245</v>
      </c>
      <c r="S10" s="140"/>
      <c r="T10" s="85"/>
      <c r="U10" s="85"/>
      <c r="V10" s="1" t="s">
        <v>7</v>
      </c>
      <c r="AI10" s="2"/>
      <c r="AJ10" s="2"/>
      <c r="AK10" s="2"/>
      <c r="AL10" s="2"/>
      <c r="AM10" s="2"/>
      <c r="AN10" s="2"/>
      <c r="AO10" s="2"/>
      <c r="AP10" s="2"/>
      <c r="AQ10" s="2"/>
      <c r="AR10" s="2"/>
      <c r="AS10" s="2"/>
      <c r="AT10" s="2"/>
      <c r="AU10" s="2"/>
      <c r="AV10" s="2"/>
      <c r="AW10" s="2"/>
      <c r="AX10" s="2"/>
      <c r="AY10" s="2"/>
      <c r="AZ10" s="2"/>
    </row>
    <row r="11" spans="1:52" ht="14.1" customHeight="1" thickBot="1" x14ac:dyDescent="0.25">
      <c r="A11" s="11" t="s">
        <v>33</v>
      </c>
      <c r="B11" s="11"/>
      <c r="C11" s="18"/>
      <c r="D11" s="112" t="s">
        <v>46</v>
      </c>
      <c r="E11" s="112"/>
      <c r="F11" s="112"/>
      <c r="G11" s="112"/>
      <c r="H11" s="8"/>
      <c r="I11" s="160" t="s">
        <v>59</v>
      </c>
      <c r="J11" s="160"/>
      <c r="K11" s="160"/>
      <c r="L11" s="160"/>
      <c r="M11" s="19">
        <v>13</v>
      </c>
      <c r="N11" s="117"/>
      <c r="O11" s="125"/>
      <c r="P11" s="126"/>
      <c r="Q11" s="127"/>
      <c r="R11" s="128"/>
      <c r="S11" s="129"/>
      <c r="T11" s="85"/>
      <c r="U11" s="85"/>
      <c r="AI11" s="2"/>
      <c r="AJ11" s="2"/>
      <c r="AK11" s="2"/>
      <c r="AL11" s="2"/>
      <c r="AM11" s="2"/>
      <c r="AN11" s="2"/>
      <c r="AO11" s="2"/>
      <c r="AP11" s="2"/>
      <c r="AQ11" s="2"/>
      <c r="AR11" s="2"/>
      <c r="AS11" s="2"/>
      <c r="AT11" s="2"/>
      <c r="AU11" s="2"/>
      <c r="AV11" s="2"/>
      <c r="AW11" s="2"/>
      <c r="AX11" s="2"/>
      <c r="AY11" s="2"/>
      <c r="AZ11" s="2"/>
    </row>
    <row r="12" spans="1:52" ht="14.1" customHeight="1" thickBot="1" x14ac:dyDescent="0.25">
      <c r="A12" s="102" t="s">
        <v>34</v>
      </c>
      <c r="B12" s="108">
        <v>30</v>
      </c>
      <c r="C12" s="18"/>
      <c r="D12" s="111" t="s">
        <v>47</v>
      </c>
      <c r="E12" s="111"/>
      <c r="F12" s="111"/>
      <c r="G12" s="19">
        <v>12</v>
      </c>
      <c r="H12" s="8"/>
      <c r="I12" s="110" t="s">
        <v>60</v>
      </c>
      <c r="J12" s="110"/>
      <c r="K12" s="112"/>
      <c r="L12" s="112"/>
      <c r="M12" s="110"/>
      <c r="N12" s="117"/>
      <c r="O12" s="124" t="s">
        <v>91</v>
      </c>
      <c r="P12" s="138"/>
      <c r="Q12" s="138"/>
      <c r="R12" s="154">
        <f>NPV(Q3,D44:U44)</f>
        <v>1222.430981182453</v>
      </c>
      <c r="S12" s="141"/>
      <c r="T12" s="85"/>
      <c r="U12" s="85"/>
      <c r="V12" s="1" t="s">
        <v>7</v>
      </c>
      <c r="AI12" s="2"/>
      <c r="AJ12" s="2"/>
      <c r="AK12" s="2"/>
      <c r="AL12" s="2"/>
      <c r="AM12" s="2"/>
      <c r="AN12" s="2"/>
      <c r="AO12" s="2"/>
      <c r="AP12" s="2"/>
      <c r="AQ12" s="2"/>
      <c r="AR12" s="2"/>
      <c r="AS12" s="2"/>
      <c r="AT12" s="2"/>
      <c r="AU12" s="2"/>
      <c r="AV12" s="2"/>
      <c r="AW12" s="2"/>
      <c r="AX12" s="2"/>
      <c r="AY12" s="2"/>
      <c r="AZ12" s="2"/>
    </row>
    <row r="13" spans="1:52" ht="14.1" customHeight="1" thickBot="1" x14ac:dyDescent="0.25">
      <c r="A13" s="102" t="s">
        <v>36</v>
      </c>
      <c r="B13" s="144">
        <v>1.5</v>
      </c>
      <c r="C13" s="18"/>
      <c r="D13" s="111" t="s">
        <v>48</v>
      </c>
      <c r="E13" s="111"/>
      <c r="F13" s="111"/>
      <c r="G13" s="113">
        <f>+G9</f>
        <v>40100</v>
      </c>
      <c r="H13" s="8"/>
      <c r="I13" s="102" t="s">
        <v>61</v>
      </c>
      <c r="J13" s="102"/>
      <c r="K13" s="102"/>
      <c r="L13" s="117"/>
      <c r="M13" s="19">
        <v>33</v>
      </c>
      <c r="N13" s="117"/>
      <c r="O13" s="130"/>
      <c r="P13" s="131" t="s">
        <v>7</v>
      </c>
      <c r="Q13" s="91"/>
      <c r="R13" s="132"/>
      <c r="S13" s="133"/>
      <c r="T13" s="85"/>
      <c r="U13" s="85"/>
      <c r="AI13" s="2"/>
      <c r="AJ13" s="2"/>
      <c r="AK13" s="2"/>
      <c r="AL13" s="2"/>
      <c r="AM13" s="2"/>
      <c r="AN13" s="2"/>
      <c r="AO13" s="2"/>
      <c r="AP13" s="2"/>
      <c r="AQ13" s="2"/>
      <c r="AR13" s="2"/>
      <c r="AS13" s="2"/>
      <c r="AT13" s="2"/>
      <c r="AU13" s="2"/>
      <c r="AV13" s="2"/>
      <c r="AW13" s="2"/>
      <c r="AX13" s="2"/>
      <c r="AY13" s="2"/>
      <c r="AZ13" s="2"/>
    </row>
    <row r="14" spans="1:52" ht="14.1" customHeight="1" x14ac:dyDescent="0.2">
      <c r="A14" s="102" t="s">
        <v>35</v>
      </c>
      <c r="B14" s="145">
        <v>1300</v>
      </c>
      <c r="C14" s="13"/>
      <c r="D14" s="161" t="s">
        <v>49</v>
      </c>
      <c r="E14" s="161"/>
      <c r="F14" s="161"/>
      <c r="G14" s="114">
        <v>5.5E-2</v>
      </c>
      <c r="H14" s="8"/>
      <c r="I14" s="102" t="s">
        <v>62</v>
      </c>
      <c r="J14" s="102"/>
      <c r="K14" s="102"/>
      <c r="L14" s="117"/>
      <c r="M14" s="19">
        <v>33</v>
      </c>
      <c r="N14" s="117"/>
      <c r="O14" s="119"/>
      <c r="P14" s="119"/>
      <c r="Q14" s="119"/>
      <c r="R14" s="159"/>
      <c r="S14" s="159"/>
      <c r="T14" s="9"/>
      <c r="U14" s="9"/>
      <c r="AI14" s="2"/>
      <c r="AJ14" s="2"/>
      <c r="AK14" s="2"/>
      <c r="AL14" s="2"/>
      <c r="AM14" s="2"/>
      <c r="AN14" s="2"/>
      <c r="AO14" s="2"/>
      <c r="AP14" s="2"/>
      <c r="AQ14" s="2"/>
      <c r="AR14" s="2"/>
      <c r="AS14" s="2"/>
      <c r="AT14" s="2"/>
      <c r="AU14" s="2"/>
      <c r="AV14" s="2"/>
      <c r="AW14" s="2"/>
      <c r="AX14" s="2"/>
      <c r="AY14" s="2"/>
      <c r="AZ14" s="2"/>
    </row>
    <row r="15" spans="1:52" ht="14.1" customHeight="1" x14ac:dyDescent="0.2">
      <c r="A15" s="102" t="s">
        <v>37</v>
      </c>
      <c r="B15" s="109">
        <v>0.02</v>
      </c>
      <c r="C15" s="10"/>
      <c r="D15" s="164"/>
      <c r="E15" s="164"/>
      <c r="F15" s="164"/>
      <c r="G15" s="89"/>
      <c r="H15" s="8"/>
      <c r="I15" s="102" t="s">
        <v>63</v>
      </c>
      <c r="J15" s="102"/>
      <c r="K15" s="102"/>
      <c r="L15" s="117"/>
      <c r="M15" s="19">
        <v>45</v>
      </c>
      <c r="O15" s="85"/>
      <c r="P15" s="85"/>
      <c r="Q15" s="85"/>
      <c r="R15" s="85"/>
      <c r="S15" s="9"/>
      <c r="T15" s="9"/>
      <c r="U15" s="9"/>
      <c r="AI15" s="2"/>
      <c r="AJ15" s="2"/>
      <c r="AK15" s="2"/>
      <c r="AL15" s="2"/>
      <c r="AM15" s="2"/>
      <c r="AN15" s="2"/>
      <c r="AO15" s="2"/>
      <c r="AP15" s="2"/>
      <c r="AQ15" s="2"/>
      <c r="AR15" s="2"/>
      <c r="AS15" s="2"/>
      <c r="AT15" s="2"/>
      <c r="AU15" s="2"/>
      <c r="AV15" s="2"/>
      <c r="AW15" s="2"/>
      <c r="AX15" s="2"/>
      <c r="AY15" s="2"/>
      <c r="AZ15" s="2"/>
    </row>
    <row r="16" spans="1:52" ht="14.1" customHeight="1" x14ac:dyDescent="0.2">
      <c r="A16" s="102" t="s">
        <v>38</v>
      </c>
      <c r="B16" s="143">
        <v>82</v>
      </c>
      <c r="C16" s="10"/>
      <c r="H16" s="13"/>
      <c r="I16" s="160"/>
      <c r="J16" s="160"/>
      <c r="K16" s="160"/>
      <c r="M16" s="19"/>
      <c r="S16" s="9"/>
      <c r="T16" s="8"/>
      <c r="U16" s="8"/>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row>
    <row r="17" spans="1:53" ht="14.1" customHeight="1" x14ac:dyDescent="0.2">
      <c r="A17" s="7"/>
      <c r="B17" s="24"/>
      <c r="C17" s="25">
        <v>2012</v>
      </c>
      <c r="D17" s="25">
        <v>2013</v>
      </c>
      <c r="E17" s="25">
        <v>2014</v>
      </c>
      <c r="F17" s="25">
        <v>2015</v>
      </c>
      <c r="G17" s="25">
        <v>2016</v>
      </c>
      <c r="H17" s="25">
        <v>2017</v>
      </c>
      <c r="I17" s="25">
        <v>2018</v>
      </c>
      <c r="J17" s="25">
        <v>2019</v>
      </c>
      <c r="K17" s="25">
        <v>2020</v>
      </c>
      <c r="L17" s="25">
        <v>2021</v>
      </c>
      <c r="M17" s="25">
        <v>2022</v>
      </c>
      <c r="N17" s="25">
        <v>2023</v>
      </c>
      <c r="O17" s="25">
        <v>2024</v>
      </c>
      <c r="P17" s="25">
        <v>2025</v>
      </c>
      <c r="Q17" s="25">
        <v>2026</v>
      </c>
      <c r="R17" s="25">
        <v>2027</v>
      </c>
      <c r="S17" s="25">
        <v>2028</v>
      </c>
      <c r="T17" s="25">
        <v>2029</v>
      </c>
      <c r="U17" s="25">
        <v>2030</v>
      </c>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1:53" s="3" customFormat="1" ht="14.1" customHeight="1" thickBot="1" x14ac:dyDescent="0.25">
      <c r="A18" s="134" t="s">
        <v>23</v>
      </c>
      <c r="B18" s="23"/>
      <c r="C18" s="26">
        <v>1</v>
      </c>
      <c r="D18" s="26">
        <v>2</v>
      </c>
      <c r="E18" s="26">
        <v>3</v>
      </c>
      <c r="F18" s="26">
        <v>4</v>
      </c>
      <c r="G18" s="26">
        <v>5</v>
      </c>
      <c r="H18" s="26">
        <v>6</v>
      </c>
      <c r="I18" s="26">
        <v>7</v>
      </c>
      <c r="J18" s="26">
        <v>8</v>
      </c>
      <c r="K18" s="26">
        <v>9</v>
      </c>
      <c r="L18" s="26">
        <v>10</v>
      </c>
      <c r="M18" s="26">
        <v>11</v>
      </c>
      <c r="N18" s="26">
        <v>12</v>
      </c>
      <c r="O18" s="26">
        <v>13</v>
      </c>
      <c r="P18" s="26">
        <v>14</v>
      </c>
      <c r="Q18" s="26">
        <v>15</v>
      </c>
      <c r="R18" s="26">
        <v>16</v>
      </c>
      <c r="S18" s="26">
        <v>17</v>
      </c>
      <c r="T18" s="26">
        <v>18</v>
      </c>
      <c r="U18" s="26">
        <v>19</v>
      </c>
      <c r="V18" s="1"/>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row>
    <row r="19" spans="1:53" s="5" customFormat="1" ht="14.1" customHeight="1" thickTop="1" x14ac:dyDescent="0.2">
      <c r="A19" s="137" t="s">
        <v>66</v>
      </c>
      <c r="B19" s="13"/>
      <c r="C19" s="27">
        <f>+$B$12*$B$13*$B$14*(1-$B$15)</f>
        <v>57330</v>
      </c>
      <c r="D19" s="113">
        <f t="shared" ref="D19:U19" si="0">+$B$12*$B$13*$B$14*(1-$B$15)</f>
        <v>57330</v>
      </c>
      <c r="E19" s="27">
        <f t="shared" si="0"/>
        <v>57330</v>
      </c>
      <c r="F19" s="27">
        <f t="shared" si="0"/>
        <v>57330</v>
      </c>
      <c r="G19" s="27">
        <f t="shared" si="0"/>
        <v>57330</v>
      </c>
      <c r="H19" s="27">
        <f t="shared" si="0"/>
        <v>57330</v>
      </c>
      <c r="I19" s="27">
        <f t="shared" si="0"/>
        <v>57330</v>
      </c>
      <c r="J19" s="27">
        <f t="shared" si="0"/>
        <v>57330</v>
      </c>
      <c r="K19" s="27">
        <f t="shared" si="0"/>
        <v>57330</v>
      </c>
      <c r="L19" s="27">
        <f t="shared" si="0"/>
        <v>57330</v>
      </c>
      <c r="M19" s="27">
        <f t="shared" si="0"/>
        <v>57330</v>
      </c>
      <c r="N19" s="27">
        <f t="shared" si="0"/>
        <v>57330</v>
      </c>
      <c r="O19" s="27">
        <f t="shared" si="0"/>
        <v>57330</v>
      </c>
      <c r="P19" s="27">
        <f t="shared" si="0"/>
        <v>57330</v>
      </c>
      <c r="Q19" s="27">
        <f t="shared" si="0"/>
        <v>57330</v>
      </c>
      <c r="R19" s="27">
        <f t="shared" si="0"/>
        <v>57330</v>
      </c>
      <c r="S19" s="27">
        <f t="shared" si="0"/>
        <v>57330</v>
      </c>
      <c r="T19" s="27">
        <f t="shared" si="0"/>
        <v>57330</v>
      </c>
      <c r="U19" s="27">
        <f t="shared" si="0"/>
        <v>57330</v>
      </c>
      <c r="V19" s="1"/>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row>
    <row r="20" spans="1:53" s="5" customFormat="1" ht="14.1" customHeight="1" x14ac:dyDescent="0.2">
      <c r="A20" s="137" t="s">
        <v>67</v>
      </c>
      <c r="B20" s="13"/>
      <c r="C20" s="28">
        <f>+B16</f>
        <v>82</v>
      </c>
      <c r="D20" s="28">
        <f>+C20*(1+C21)</f>
        <v>83.147999999999996</v>
      </c>
      <c r="E20" s="28">
        <f>+D20*(1+D21)</f>
        <v>84.312072000000001</v>
      </c>
      <c r="F20" s="28">
        <f>+E20*(1+E21)</f>
        <v>85.492441008</v>
      </c>
      <c r="G20" s="28">
        <f>+F20*(1+F21)</f>
        <v>86.689335182112004</v>
      </c>
      <c r="H20" s="28">
        <f>+G20*(1+G21)</f>
        <v>87.902985874661567</v>
      </c>
      <c r="I20" s="28">
        <f t="shared" ref="I20:U20" si="1">+H20*(1+H21)</f>
        <v>89.133627676906826</v>
      </c>
      <c r="J20" s="28">
        <f t="shared" si="1"/>
        <v>90.381498464383526</v>
      </c>
      <c r="K20" s="28">
        <f>+J20*(1+J21)</f>
        <v>91.646839442884897</v>
      </c>
      <c r="L20" s="28">
        <f t="shared" si="1"/>
        <v>92.92989519508528</v>
      </c>
      <c r="M20" s="28">
        <f t="shared" si="1"/>
        <v>94.230913727816471</v>
      </c>
      <c r="N20" s="28">
        <f t="shared" si="1"/>
        <v>95.550146520005896</v>
      </c>
      <c r="O20" s="28">
        <f t="shared" si="1"/>
        <v>96.887848571285986</v>
      </c>
      <c r="P20" s="28">
        <f t="shared" si="1"/>
        <v>98.244278451283989</v>
      </c>
      <c r="Q20" s="28">
        <f t="shared" si="1"/>
        <v>99.619698349601961</v>
      </c>
      <c r="R20" s="28">
        <f t="shared" si="1"/>
        <v>101.01437412649639</v>
      </c>
      <c r="S20" s="28">
        <f>+R20*(1+R21)</f>
        <v>102.42857536426735</v>
      </c>
      <c r="T20" s="28">
        <f t="shared" si="1"/>
        <v>103.86257541936709</v>
      </c>
      <c r="U20" s="28">
        <f t="shared" si="1"/>
        <v>105.31665147523823</v>
      </c>
      <c r="V20" s="1"/>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row>
    <row r="21" spans="1:53" s="5" customFormat="1" ht="14.1" customHeight="1" x14ac:dyDescent="0.2">
      <c r="A21" s="137" t="s">
        <v>68</v>
      </c>
      <c r="B21" s="13"/>
      <c r="C21" s="29">
        <v>1.4E-2</v>
      </c>
      <c r="D21" s="29">
        <v>1.4E-2</v>
      </c>
      <c r="E21" s="29">
        <v>1.4E-2</v>
      </c>
      <c r="F21" s="29">
        <v>1.4E-2</v>
      </c>
      <c r="G21" s="29">
        <v>1.4E-2</v>
      </c>
      <c r="H21" s="29">
        <v>1.4E-2</v>
      </c>
      <c r="I21" s="29">
        <v>1.4E-2</v>
      </c>
      <c r="J21" s="29">
        <v>1.4E-2</v>
      </c>
      <c r="K21" s="29">
        <v>1.4E-2</v>
      </c>
      <c r="L21" s="29">
        <v>1.4E-2</v>
      </c>
      <c r="M21" s="29">
        <v>1.4E-2</v>
      </c>
      <c r="N21" s="29">
        <v>1.4E-2</v>
      </c>
      <c r="O21" s="29">
        <v>1.4E-2</v>
      </c>
      <c r="P21" s="29">
        <v>1.4E-2</v>
      </c>
      <c r="Q21" s="29">
        <v>1.4E-2</v>
      </c>
      <c r="R21" s="29">
        <v>1.4E-2</v>
      </c>
      <c r="S21" s="29">
        <v>1.4E-2</v>
      </c>
      <c r="T21" s="29">
        <v>1.4E-2</v>
      </c>
      <c r="U21" s="29">
        <v>1.4E-2</v>
      </c>
      <c r="V21" s="1"/>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row>
    <row r="22" spans="1:53" s="5" customFormat="1" ht="14.1" customHeight="1" x14ac:dyDescent="0.2">
      <c r="A22" s="118" t="s">
        <v>69</v>
      </c>
      <c r="B22" s="183">
        <v>10</v>
      </c>
      <c r="C22" s="30"/>
      <c r="D22" s="30"/>
      <c r="E22" s="30"/>
      <c r="F22" s="30"/>
      <c r="G22" s="30"/>
      <c r="H22" s="30"/>
      <c r="I22" s="30"/>
      <c r="J22" s="30"/>
      <c r="K22" s="30"/>
      <c r="L22" s="30"/>
      <c r="M22" s="30"/>
      <c r="N22" s="30"/>
      <c r="O22" s="30"/>
      <c r="P22" s="30"/>
      <c r="Q22" s="30"/>
      <c r="R22" s="30"/>
      <c r="S22" s="30"/>
      <c r="T22" s="30"/>
      <c r="U22" s="30"/>
      <c r="V22" s="1"/>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row>
    <row r="23" spans="1:53" s="5" customFormat="1" ht="14.1" customHeight="1" x14ac:dyDescent="0.2">
      <c r="A23" s="137" t="s">
        <v>70</v>
      </c>
      <c r="B23" s="13"/>
      <c r="C23" s="16">
        <f>+C19*(C20-$B$22)/1000</f>
        <v>4127.76</v>
      </c>
      <c r="D23" s="16">
        <f t="shared" ref="D23:I23" si="2">+D19*(D20-$B$22)/1000</f>
        <v>4193.5748400000002</v>
      </c>
      <c r="E23" s="16">
        <f t="shared" si="2"/>
        <v>4260.3110877600002</v>
      </c>
      <c r="F23" s="16">
        <f t="shared" si="2"/>
        <v>4327.9816429886396</v>
      </c>
      <c r="G23" s="16">
        <f t="shared" si="2"/>
        <v>4396.5995859904815</v>
      </c>
      <c r="H23" s="16">
        <f t="shared" si="2"/>
        <v>4466.178180194348</v>
      </c>
      <c r="I23" s="16">
        <f t="shared" si="2"/>
        <v>4536.7308747170682</v>
      </c>
      <c r="J23" s="16">
        <f t="shared" ref="J23:U23" si="3">+J19*(J20-$B$22)/1000</f>
        <v>4608.2713069631072</v>
      </c>
      <c r="K23" s="16">
        <f t="shared" si="3"/>
        <v>4680.8133052605908</v>
      </c>
      <c r="L23" s="16">
        <f t="shared" si="3"/>
        <v>4754.3708915342395</v>
      </c>
      <c r="M23" s="16">
        <f t="shared" si="3"/>
        <v>4828.9582840157182</v>
      </c>
      <c r="N23" s="16">
        <f t="shared" si="3"/>
        <v>4904.5898999919382</v>
      </c>
      <c r="O23" s="16">
        <f t="shared" si="3"/>
        <v>4981.2803585918255</v>
      </c>
      <c r="P23" s="16">
        <f t="shared" si="3"/>
        <v>5059.0444836121105</v>
      </c>
      <c r="Q23" s="16">
        <f t="shared" si="3"/>
        <v>5137.8973063826807</v>
      </c>
      <c r="R23" s="16">
        <f t="shared" si="3"/>
        <v>5217.8540686720389</v>
      </c>
      <c r="S23" s="16">
        <f t="shared" si="3"/>
        <v>5298.9302256334468</v>
      </c>
      <c r="T23" s="16">
        <f t="shared" si="3"/>
        <v>5381.1414487923148</v>
      </c>
      <c r="U23" s="16">
        <f t="shared" si="3"/>
        <v>5464.5036290754078</v>
      </c>
      <c r="V23" s="1"/>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row>
    <row r="24" spans="1:53" s="4" customFormat="1" ht="14.1" customHeight="1" x14ac:dyDescent="0.2">
      <c r="A24" s="20" t="s">
        <v>71</v>
      </c>
      <c r="B24" s="20"/>
      <c r="C24" s="31">
        <f>+C23</f>
        <v>4127.76</v>
      </c>
      <c r="D24" s="31">
        <f t="shared" ref="D24:U24" si="4">+D23</f>
        <v>4193.5748400000002</v>
      </c>
      <c r="E24" s="31">
        <f t="shared" si="4"/>
        <v>4260.3110877600002</v>
      </c>
      <c r="F24" s="31">
        <f t="shared" si="4"/>
        <v>4327.9816429886396</v>
      </c>
      <c r="G24" s="31">
        <f t="shared" si="4"/>
        <v>4396.5995859904815</v>
      </c>
      <c r="H24" s="31">
        <f t="shared" si="4"/>
        <v>4466.178180194348</v>
      </c>
      <c r="I24" s="31">
        <f t="shared" si="4"/>
        <v>4536.7308747170682</v>
      </c>
      <c r="J24" s="31">
        <f t="shared" si="4"/>
        <v>4608.2713069631072</v>
      </c>
      <c r="K24" s="31">
        <f t="shared" si="4"/>
        <v>4680.8133052605908</v>
      </c>
      <c r="L24" s="31">
        <f t="shared" si="4"/>
        <v>4754.3708915342395</v>
      </c>
      <c r="M24" s="31">
        <f t="shared" si="4"/>
        <v>4828.9582840157182</v>
      </c>
      <c r="N24" s="31">
        <f t="shared" si="4"/>
        <v>4904.5898999919382</v>
      </c>
      <c r="O24" s="31">
        <f t="shared" si="4"/>
        <v>4981.2803585918255</v>
      </c>
      <c r="P24" s="31">
        <f t="shared" si="4"/>
        <v>5059.0444836121105</v>
      </c>
      <c r="Q24" s="31">
        <f t="shared" si="4"/>
        <v>5137.8973063826807</v>
      </c>
      <c r="R24" s="31">
        <f t="shared" si="4"/>
        <v>5217.8540686720389</v>
      </c>
      <c r="S24" s="31">
        <f t="shared" si="4"/>
        <v>5298.9302256334468</v>
      </c>
      <c r="T24" s="31">
        <f t="shared" si="4"/>
        <v>5381.1414487923148</v>
      </c>
      <c r="U24" s="31">
        <f t="shared" si="4"/>
        <v>5464.5036290754078</v>
      </c>
      <c r="V24" s="1"/>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row>
    <row r="25" spans="1:53" ht="14.1" customHeight="1" x14ac:dyDescent="0.2">
      <c r="A25" s="137" t="s">
        <v>74</v>
      </c>
      <c r="B25" s="14"/>
      <c r="C25" s="16">
        <f>+$M$3*$B$12/1000</f>
        <v>475.2</v>
      </c>
      <c r="D25" s="16">
        <f>+C25*(1+$Q$2)</f>
        <v>484.70400000000001</v>
      </c>
      <c r="E25" s="16">
        <f>+D25*(1+$Q$2)</f>
        <v>494.39807999999999</v>
      </c>
      <c r="F25" s="16">
        <f>+E25*(1+$Q$2)</f>
        <v>504.28604159999998</v>
      </c>
      <c r="G25" s="16">
        <f t="shared" ref="G25:U25" si="5">+F25*(1+$Q$2)</f>
        <v>514.37176243199997</v>
      </c>
      <c r="H25" s="16">
        <f t="shared" si="5"/>
        <v>524.65919768063998</v>
      </c>
      <c r="I25" s="16">
        <f t="shared" si="5"/>
        <v>535.15238163425283</v>
      </c>
      <c r="J25" s="16">
        <f t="shared" si="5"/>
        <v>545.8554292669379</v>
      </c>
      <c r="K25" s="16">
        <f t="shared" si="5"/>
        <v>556.77253785227663</v>
      </c>
      <c r="L25" s="16">
        <f t="shared" si="5"/>
        <v>567.90798860932216</v>
      </c>
      <c r="M25" s="16">
        <f t="shared" si="5"/>
        <v>579.26614838150863</v>
      </c>
      <c r="N25" s="16">
        <f t="shared" si="5"/>
        <v>590.85147134913882</v>
      </c>
      <c r="O25" s="16">
        <f t="shared" si="5"/>
        <v>602.66850077612162</v>
      </c>
      <c r="P25" s="16">
        <f t="shared" si="5"/>
        <v>614.72187079164405</v>
      </c>
      <c r="Q25" s="16">
        <f t="shared" si="5"/>
        <v>627.01630820747698</v>
      </c>
      <c r="R25" s="16">
        <f t="shared" si="5"/>
        <v>639.5566343716265</v>
      </c>
      <c r="S25" s="16">
        <f t="shared" si="5"/>
        <v>652.34776705905904</v>
      </c>
      <c r="T25" s="16">
        <f t="shared" si="5"/>
        <v>665.3947224002402</v>
      </c>
      <c r="U25" s="16">
        <f t="shared" si="5"/>
        <v>678.70261684824504</v>
      </c>
      <c r="AI25" s="2"/>
      <c r="AJ25" s="2"/>
      <c r="AK25" s="2"/>
      <c r="AL25" s="2"/>
      <c r="AM25" s="2"/>
      <c r="AN25" s="2"/>
      <c r="AO25" s="2"/>
      <c r="AP25" s="2"/>
      <c r="AQ25" s="2"/>
      <c r="AR25" s="2"/>
      <c r="AS25" s="2"/>
      <c r="AT25" s="2"/>
      <c r="AU25" s="2"/>
      <c r="AV25" s="2"/>
      <c r="AW25" s="2"/>
      <c r="AX25" s="2"/>
      <c r="AY25" s="2"/>
      <c r="AZ25" s="2"/>
    </row>
    <row r="26" spans="1:53" ht="14.1" customHeight="1" x14ac:dyDescent="0.2">
      <c r="A26" s="137" t="s">
        <v>75</v>
      </c>
      <c r="B26" s="14"/>
      <c r="C26" s="32">
        <f>+M4/1000</f>
        <v>12</v>
      </c>
      <c r="D26" s="32">
        <f t="shared" ref="D26:U26" si="6">+C26*(1+$Q$2)</f>
        <v>12.24</v>
      </c>
      <c r="E26" s="32">
        <f t="shared" si="6"/>
        <v>12.4848</v>
      </c>
      <c r="F26" s="32">
        <f t="shared" si="6"/>
        <v>12.734496</v>
      </c>
      <c r="G26" s="32">
        <f t="shared" si="6"/>
        <v>12.989185920000001</v>
      </c>
      <c r="H26" s="32">
        <f t="shared" si="6"/>
        <v>13.2489696384</v>
      </c>
      <c r="I26" s="32">
        <f t="shared" si="6"/>
        <v>13.513949031168</v>
      </c>
      <c r="J26" s="32">
        <f t="shared" si="6"/>
        <v>13.78422801179136</v>
      </c>
      <c r="K26" s="32">
        <f t="shared" si="6"/>
        <v>14.059912572027187</v>
      </c>
      <c r="L26" s="32">
        <f t="shared" si="6"/>
        <v>14.341110823467732</v>
      </c>
      <c r="M26" s="32">
        <f t="shared" si="6"/>
        <v>14.627933039937087</v>
      </c>
      <c r="N26" s="32">
        <f t="shared" si="6"/>
        <v>14.920491700735829</v>
      </c>
      <c r="O26" s="32">
        <f t="shared" si="6"/>
        <v>15.218901534750545</v>
      </c>
      <c r="P26" s="32">
        <f t="shared" si="6"/>
        <v>15.523279565445556</v>
      </c>
      <c r="Q26" s="32">
        <f t="shared" si="6"/>
        <v>15.833745156754468</v>
      </c>
      <c r="R26" s="32">
        <f t="shared" si="6"/>
        <v>16.150420059889559</v>
      </c>
      <c r="S26" s="32">
        <f t="shared" si="6"/>
        <v>16.473428461087352</v>
      </c>
      <c r="T26" s="32">
        <f t="shared" si="6"/>
        <v>16.802897030309097</v>
      </c>
      <c r="U26" s="32">
        <f t="shared" si="6"/>
        <v>17.138954970915279</v>
      </c>
      <c r="AI26" s="2"/>
      <c r="AJ26" s="2"/>
      <c r="AK26" s="2"/>
      <c r="AL26" s="2"/>
      <c r="AM26" s="2"/>
      <c r="AN26" s="2"/>
      <c r="AO26" s="2"/>
      <c r="AP26" s="2"/>
      <c r="AQ26" s="2"/>
      <c r="AR26" s="2"/>
      <c r="AS26" s="2"/>
      <c r="AT26" s="2"/>
      <c r="AU26" s="2"/>
      <c r="AV26" s="2"/>
      <c r="AW26" s="2"/>
      <c r="AX26" s="2"/>
      <c r="AY26" s="2"/>
      <c r="AZ26" s="2"/>
    </row>
    <row r="27" spans="1:53" ht="14.1" customHeight="1" x14ac:dyDescent="0.2">
      <c r="A27" s="137" t="s">
        <v>72</v>
      </c>
      <c r="B27" s="14"/>
      <c r="C27" s="32">
        <f>+M5/1000</f>
        <v>32</v>
      </c>
      <c r="D27" s="32">
        <f t="shared" ref="D27:U27" si="7">+C27*(1+$Q$2)</f>
        <v>32.64</v>
      </c>
      <c r="E27" s="32">
        <f>+D27*(1+$Q$2)</f>
        <v>33.2928</v>
      </c>
      <c r="F27" s="32">
        <f>+E27*(1+$Q$2)</f>
        <v>33.958655999999998</v>
      </c>
      <c r="G27" s="32">
        <f t="shared" si="7"/>
        <v>34.637829119999999</v>
      </c>
      <c r="H27" s="32">
        <f t="shared" si="7"/>
        <v>35.330585702400001</v>
      </c>
      <c r="I27" s="32">
        <f t="shared" si="7"/>
        <v>36.037197416448002</v>
      </c>
      <c r="J27" s="32">
        <f t="shared" si="7"/>
        <v>36.757941364776961</v>
      </c>
      <c r="K27" s="32">
        <f t="shared" si="7"/>
        <v>37.493100192072504</v>
      </c>
      <c r="L27" s="32">
        <f t="shared" si="7"/>
        <v>38.242962195913954</v>
      </c>
      <c r="M27" s="32">
        <f t="shared" si="7"/>
        <v>39.007821439832234</v>
      </c>
      <c r="N27" s="32">
        <f t="shared" si="7"/>
        <v>39.787977868628879</v>
      </c>
      <c r="O27" s="32">
        <f t="shared" si="7"/>
        <v>40.583737426001456</v>
      </c>
      <c r="P27" s="32">
        <f t="shared" si="7"/>
        <v>41.395412174521482</v>
      </c>
      <c r="Q27" s="32">
        <f t="shared" si="7"/>
        <v>42.223320418011916</v>
      </c>
      <c r="R27" s="32">
        <f t="shared" si="7"/>
        <v>43.067786826372156</v>
      </c>
      <c r="S27" s="32">
        <f t="shared" si="7"/>
        <v>43.9291425628996</v>
      </c>
      <c r="T27" s="32">
        <f t="shared" si="7"/>
        <v>44.807725414157595</v>
      </c>
      <c r="U27" s="32">
        <f t="shared" si="7"/>
        <v>45.703879922440748</v>
      </c>
      <c r="AI27" s="2"/>
      <c r="AJ27" s="2"/>
      <c r="AK27" s="2"/>
      <c r="AL27" s="2"/>
      <c r="AM27" s="2"/>
      <c r="AN27" s="2"/>
      <c r="AO27" s="2"/>
      <c r="AP27" s="2"/>
      <c r="AQ27" s="2"/>
      <c r="AR27" s="2"/>
      <c r="AS27" s="2"/>
      <c r="AT27" s="2"/>
      <c r="AU27" s="2"/>
      <c r="AV27" s="2"/>
      <c r="AW27" s="2"/>
      <c r="AX27" s="2"/>
      <c r="AY27" s="2"/>
      <c r="AZ27" s="2"/>
    </row>
    <row r="28" spans="1:53" ht="14.1" customHeight="1" x14ac:dyDescent="0.2">
      <c r="A28" s="137" t="s">
        <v>54</v>
      </c>
      <c r="B28" s="14"/>
      <c r="C28" s="32">
        <f>+C23*$M$6</f>
        <v>206.38800000000003</v>
      </c>
      <c r="D28" s="32">
        <f t="shared" ref="D28:U28" si="8">+D23*$M$6</f>
        <v>209.67874200000003</v>
      </c>
      <c r="E28" s="32">
        <f t="shared" si="8"/>
        <v>213.01555438800003</v>
      </c>
      <c r="F28" s="32">
        <f t="shared" si="8"/>
        <v>216.39908214943199</v>
      </c>
      <c r="G28" s="32">
        <f t="shared" si="8"/>
        <v>219.8299792995241</v>
      </c>
      <c r="H28" s="32">
        <f t="shared" si="8"/>
        <v>223.30890900971741</v>
      </c>
      <c r="I28" s="32">
        <f t="shared" si="8"/>
        <v>226.83654373585341</v>
      </c>
      <c r="J28" s="32">
        <f t="shared" si="8"/>
        <v>230.41356534815537</v>
      </c>
      <c r="K28" s="32">
        <f t="shared" si="8"/>
        <v>234.04066526302955</v>
      </c>
      <c r="L28" s="32">
        <f t="shared" si="8"/>
        <v>237.71854457671199</v>
      </c>
      <c r="M28" s="32">
        <f t="shared" si="8"/>
        <v>241.44791420078593</v>
      </c>
      <c r="N28" s="32">
        <f t="shared" si="8"/>
        <v>245.22949499959691</v>
      </c>
      <c r="O28" s="32">
        <f t="shared" si="8"/>
        <v>249.06401792959127</v>
      </c>
      <c r="P28" s="32">
        <f t="shared" si="8"/>
        <v>252.95222418060553</v>
      </c>
      <c r="Q28" s="32">
        <f t="shared" si="8"/>
        <v>256.89486531913406</v>
      </c>
      <c r="R28" s="32">
        <f t="shared" si="8"/>
        <v>260.89270343360198</v>
      </c>
      <c r="S28" s="32">
        <f t="shared" si="8"/>
        <v>264.94651128167237</v>
      </c>
      <c r="T28" s="32">
        <f t="shared" si="8"/>
        <v>269.05707243961575</v>
      </c>
      <c r="U28" s="32">
        <f t="shared" si="8"/>
        <v>273.2251814537704</v>
      </c>
      <c r="AI28" s="2"/>
      <c r="AJ28" s="2"/>
      <c r="AK28" s="2"/>
      <c r="AL28" s="2"/>
      <c r="AM28" s="2"/>
      <c r="AN28" s="2"/>
      <c r="AO28" s="2"/>
      <c r="AP28" s="2"/>
      <c r="AQ28" s="2"/>
      <c r="AR28" s="2"/>
      <c r="AS28" s="2"/>
      <c r="AT28" s="2"/>
      <c r="AU28" s="2"/>
      <c r="AV28" s="2"/>
      <c r="AW28" s="2"/>
      <c r="AX28" s="2"/>
      <c r="AY28" s="2"/>
      <c r="AZ28" s="2"/>
    </row>
    <row r="29" spans="1:53" ht="14.1" customHeight="1" x14ac:dyDescent="0.2">
      <c r="A29" s="137" t="s">
        <v>55</v>
      </c>
      <c r="B29" s="14"/>
      <c r="C29" s="32">
        <f t="shared" ref="C29:M29" si="9">+C23*$M$7</f>
        <v>28.89432</v>
      </c>
      <c r="D29" s="32">
        <f t="shared" si="9"/>
        <v>29.355023880000001</v>
      </c>
      <c r="E29" s="32">
        <f t="shared" si="9"/>
        <v>29.822177614320001</v>
      </c>
      <c r="F29" s="32">
        <f t="shared" si="9"/>
        <v>30.295871500920477</v>
      </c>
      <c r="G29" s="32">
        <f t="shared" si="9"/>
        <v>30.77619710193337</v>
      </c>
      <c r="H29" s="32">
        <f t="shared" si="9"/>
        <v>31.263247261360437</v>
      </c>
      <c r="I29" s="32">
        <f t="shared" si="9"/>
        <v>31.757116123019479</v>
      </c>
      <c r="J29" s="32">
        <f t="shared" si="9"/>
        <v>32.25789914874175</v>
      </c>
      <c r="K29" s="32">
        <f t="shared" si="9"/>
        <v>32.765693136824133</v>
      </c>
      <c r="L29" s="32">
        <f t="shared" si="9"/>
        <v>33.280596240739676</v>
      </c>
      <c r="M29" s="32">
        <f t="shared" si="9"/>
        <v>33.802707988110029</v>
      </c>
      <c r="N29" s="32">
        <f t="shared" ref="N29:U29" si="10">+N23*$M$7</f>
        <v>34.332129299943567</v>
      </c>
      <c r="O29" s="32">
        <f t="shared" si="10"/>
        <v>34.868962510142779</v>
      </c>
      <c r="P29" s="32">
        <f t="shared" si="10"/>
        <v>35.413311385284771</v>
      </c>
      <c r="Q29" s="32">
        <f t="shared" si="10"/>
        <v>35.965281144678762</v>
      </c>
      <c r="R29" s="32">
        <f t="shared" si="10"/>
        <v>36.52497848070427</v>
      </c>
      <c r="S29" s="32">
        <f t="shared" si="10"/>
        <v>37.092511579434131</v>
      </c>
      <c r="T29" s="32">
        <f t="shared" si="10"/>
        <v>37.667990141546206</v>
      </c>
      <c r="U29" s="32">
        <f t="shared" si="10"/>
        <v>38.251525403527857</v>
      </c>
    </row>
    <row r="30" spans="1:53" ht="14.1" customHeight="1" x14ac:dyDescent="0.2">
      <c r="A30" s="137" t="s">
        <v>73</v>
      </c>
      <c r="B30" s="14"/>
      <c r="C30" s="32">
        <f>+$M$8*$B$12*$B$13/1000</f>
        <v>55.08</v>
      </c>
      <c r="D30" s="32">
        <f t="shared" ref="D30:U30" si="11">+$M$8*$B$12*$B$13/1000</f>
        <v>55.08</v>
      </c>
      <c r="E30" s="32">
        <f t="shared" si="11"/>
        <v>55.08</v>
      </c>
      <c r="F30" s="32">
        <f t="shared" si="11"/>
        <v>55.08</v>
      </c>
      <c r="G30" s="32">
        <f t="shared" si="11"/>
        <v>55.08</v>
      </c>
      <c r="H30" s="32">
        <f t="shared" si="11"/>
        <v>55.08</v>
      </c>
      <c r="I30" s="32">
        <f t="shared" si="11"/>
        <v>55.08</v>
      </c>
      <c r="J30" s="32">
        <f t="shared" si="11"/>
        <v>55.08</v>
      </c>
      <c r="K30" s="32">
        <f t="shared" si="11"/>
        <v>55.08</v>
      </c>
      <c r="L30" s="32">
        <f t="shared" si="11"/>
        <v>55.08</v>
      </c>
      <c r="M30" s="32">
        <f t="shared" si="11"/>
        <v>55.08</v>
      </c>
      <c r="N30" s="32">
        <f t="shared" si="11"/>
        <v>55.08</v>
      </c>
      <c r="O30" s="32">
        <f t="shared" si="11"/>
        <v>55.08</v>
      </c>
      <c r="P30" s="32">
        <f t="shared" si="11"/>
        <v>55.08</v>
      </c>
      <c r="Q30" s="32">
        <f t="shared" si="11"/>
        <v>55.08</v>
      </c>
      <c r="R30" s="32">
        <f t="shared" si="11"/>
        <v>55.08</v>
      </c>
      <c r="S30" s="32">
        <f t="shared" si="11"/>
        <v>55.08</v>
      </c>
      <c r="T30" s="32">
        <f t="shared" si="11"/>
        <v>55.08</v>
      </c>
      <c r="U30" s="32">
        <f t="shared" si="11"/>
        <v>55.08</v>
      </c>
    </row>
    <row r="31" spans="1:53" ht="14.1" customHeight="1" x14ac:dyDescent="0.2">
      <c r="A31" s="137" t="s">
        <v>57</v>
      </c>
      <c r="B31" s="14"/>
      <c r="C31" s="32">
        <f>+C23*$M$9</f>
        <v>123.83280000000001</v>
      </c>
      <c r="D31" s="32">
        <f>+D23*$M$9</f>
        <v>125.8072452</v>
      </c>
      <c r="E31" s="32">
        <f>+E23*$M$9</f>
        <v>127.80933263280001</v>
      </c>
      <c r="F31" s="32">
        <f>+F23*$M$9</f>
        <v>129.83944928965917</v>
      </c>
      <c r="G31" s="32">
        <f t="shared" ref="G31:U31" si="12">+G23*$M$9</f>
        <v>131.89798757971445</v>
      </c>
      <c r="H31" s="32">
        <f t="shared" si="12"/>
        <v>133.98534540583043</v>
      </c>
      <c r="I31" s="32">
        <f t="shared" si="12"/>
        <v>136.10192624151205</v>
      </c>
      <c r="J31" s="32">
        <f>+J23*$M$9</f>
        <v>138.24813920889321</v>
      </c>
      <c r="K31" s="32">
        <f t="shared" si="12"/>
        <v>140.42439915781773</v>
      </c>
      <c r="L31" s="32">
        <f t="shared" si="12"/>
        <v>142.63112674602718</v>
      </c>
      <c r="M31" s="32">
        <f t="shared" si="12"/>
        <v>144.86874852047154</v>
      </c>
      <c r="N31" s="32">
        <f t="shared" si="12"/>
        <v>147.13769699975813</v>
      </c>
      <c r="O31" s="32">
        <f t="shared" si="12"/>
        <v>149.43841075775475</v>
      </c>
      <c r="P31" s="32">
        <f t="shared" si="12"/>
        <v>151.77133450836331</v>
      </c>
      <c r="Q31" s="32">
        <f t="shared" si="12"/>
        <v>154.13691919148042</v>
      </c>
      <c r="R31" s="32">
        <f t="shared" si="12"/>
        <v>156.53562206016116</v>
      </c>
      <c r="S31" s="32">
        <f t="shared" si="12"/>
        <v>158.96790676900341</v>
      </c>
      <c r="T31" s="32">
        <f t="shared" si="12"/>
        <v>161.43424346376943</v>
      </c>
      <c r="U31" s="32">
        <f t="shared" si="12"/>
        <v>163.93510887226222</v>
      </c>
    </row>
    <row r="32" spans="1:53" s="4" customFormat="1" ht="14.1" customHeight="1" x14ac:dyDescent="0.2">
      <c r="A32" s="20" t="s">
        <v>76</v>
      </c>
      <c r="B32" s="20"/>
      <c r="C32" s="31">
        <f t="shared" ref="C32:U32" si="13">+SUM(C25:C31)</f>
        <v>933.39512000000013</v>
      </c>
      <c r="D32" s="31">
        <f t="shared" si="13"/>
        <v>949.50501108000014</v>
      </c>
      <c r="E32" s="31">
        <f t="shared" si="13"/>
        <v>965.90274463512014</v>
      </c>
      <c r="F32" s="31">
        <f t="shared" si="13"/>
        <v>982.59359654001173</v>
      </c>
      <c r="G32" s="31">
        <f t="shared" si="13"/>
        <v>999.58294145317188</v>
      </c>
      <c r="H32" s="31">
        <f t="shared" si="13"/>
        <v>1016.8762546983484</v>
      </c>
      <c r="I32" s="31">
        <f t="shared" si="13"/>
        <v>1034.4791141822539</v>
      </c>
      <c r="J32" s="31">
        <f t="shared" si="13"/>
        <v>1052.3972023492965</v>
      </c>
      <c r="K32" s="31">
        <f t="shared" si="13"/>
        <v>1070.6363081740478</v>
      </c>
      <c r="L32" s="31">
        <f t="shared" si="13"/>
        <v>1089.2023291921828</v>
      </c>
      <c r="M32" s="31">
        <f t="shared" si="13"/>
        <v>1108.1012735706454</v>
      </c>
      <c r="N32" s="31">
        <f t="shared" si="13"/>
        <v>1127.3392622178021</v>
      </c>
      <c r="O32" s="31">
        <f t="shared" si="13"/>
        <v>1146.9225309343624</v>
      </c>
      <c r="P32" s="31">
        <f t="shared" si="13"/>
        <v>1166.8574326058647</v>
      </c>
      <c r="Q32" s="31">
        <f t="shared" si="13"/>
        <v>1187.1504394375368</v>
      </c>
      <c r="R32" s="31">
        <f t="shared" si="13"/>
        <v>1207.8081452323556</v>
      </c>
      <c r="S32" s="31">
        <f t="shared" si="13"/>
        <v>1228.8372677131558</v>
      </c>
      <c r="T32" s="31">
        <f t="shared" si="13"/>
        <v>1250.2446508896383</v>
      </c>
      <c r="U32" s="31">
        <f t="shared" si="13"/>
        <v>1272.0372674711614</v>
      </c>
      <c r="V32" s="1"/>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row>
    <row r="33" spans="1:53" s="4" customFormat="1" ht="14.1" customHeight="1" x14ac:dyDescent="0.2">
      <c r="A33" s="135" t="s">
        <v>3</v>
      </c>
      <c r="B33" s="33"/>
      <c r="C33" s="34">
        <f>+C24-C32</f>
        <v>3194.3648800000001</v>
      </c>
      <c r="D33" s="34">
        <f>+D24-D32</f>
        <v>3244.06982892</v>
      </c>
      <c r="E33" s="34">
        <f>+E24-E32</f>
        <v>3294.40834312488</v>
      </c>
      <c r="F33" s="34">
        <f>+F24-F32</f>
        <v>3345.3880464486278</v>
      </c>
      <c r="G33" s="34">
        <f t="shared" ref="G33:U33" si="14">+G24-G32</f>
        <v>3397.0166445373097</v>
      </c>
      <c r="H33" s="34">
        <f t="shared" si="14"/>
        <v>3449.3019254959995</v>
      </c>
      <c r="I33" s="34">
        <f t="shared" si="14"/>
        <v>3502.2517605348144</v>
      </c>
      <c r="J33" s="34">
        <f t="shared" si="14"/>
        <v>3555.8741046138107</v>
      </c>
      <c r="K33" s="34">
        <f t="shared" si="14"/>
        <v>3610.176997086543</v>
      </c>
      <c r="L33" s="34">
        <f t="shared" si="14"/>
        <v>3665.1685623420567</v>
      </c>
      <c r="M33" s="34">
        <f t="shared" si="14"/>
        <v>3720.8570104450728</v>
      </c>
      <c r="N33" s="34">
        <f t="shared" si="14"/>
        <v>3777.2506377741361</v>
      </c>
      <c r="O33" s="34">
        <f t="shared" si="14"/>
        <v>3834.3578276574631</v>
      </c>
      <c r="P33" s="34">
        <f t="shared" si="14"/>
        <v>3892.1870510062458</v>
      </c>
      <c r="Q33" s="34">
        <f t="shared" si="14"/>
        <v>3950.7468669451437</v>
      </c>
      <c r="R33" s="34">
        <f t="shared" si="14"/>
        <v>4010.0459234396831</v>
      </c>
      <c r="S33" s="34">
        <f t="shared" si="14"/>
        <v>4070.0929579202912</v>
      </c>
      <c r="T33" s="34">
        <f t="shared" si="14"/>
        <v>4130.8967979026766</v>
      </c>
      <c r="U33" s="34">
        <f t="shared" si="14"/>
        <v>4192.4663616042462</v>
      </c>
      <c r="V33" s="1"/>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row>
    <row r="34" spans="1:53" ht="14.1" customHeight="1" x14ac:dyDescent="0.2">
      <c r="A34" s="14" t="s">
        <v>77</v>
      </c>
      <c r="B34" s="14"/>
      <c r="C34" s="16">
        <f>+IF(C18&lt;=$M$11,$G$3/$M$11,0)</f>
        <v>3317.3076923076924</v>
      </c>
      <c r="D34" s="16">
        <f t="shared" ref="D34:U34" si="15">+IF(D18&lt;=$M$11,$G$3/$M$11,0)</f>
        <v>3317.3076923076924</v>
      </c>
      <c r="E34" s="16">
        <f t="shared" si="15"/>
        <v>3317.3076923076924</v>
      </c>
      <c r="F34" s="16">
        <f t="shared" si="15"/>
        <v>3317.3076923076924</v>
      </c>
      <c r="G34" s="16">
        <f t="shared" si="15"/>
        <v>3317.3076923076924</v>
      </c>
      <c r="H34" s="16">
        <f t="shared" si="15"/>
        <v>3317.3076923076924</v>
      </c>
      <c r="I34" s="16">
        <f t="shared" si="15"/>
        <v>3317.3076923076924</v>
      </c>
      <c r="J34" s="16">
        <f t="shared" si="15"/>
        <v>3317.3076923076924</v>
      </c>
      <c r="K34" s="16">
        <f t="shared" si="15"/>
        <v>3317.3076923076924</v>
      </c>
      <c r="L34" s="16">
        <f t="shared" si="15"/>
        <v>3317.3076923076924</v>
      </c>
      <c r="M34" s="16">
        <f t="shared" si="15"/>
        <v>3317.3076923076924</v>
      </c>
      <c r="N34" s="16">
        <f t="shared" si="15"/>
        <v>3317.3076923076924</v>
      </c>
      <c r="O34" s="16">
        <f t="shared" si="15"/>
        <v>3317.3076923076924</v>
      </c>
      <c r="P34" s="16">
        <f t="shared" si="15"/>
        <v>0</v>
      </c>
      <c r="Q34" s="16">
        <f t="shared" si="15"/>
        <v>0</v>
      </c>
      <c r="R34" s="16">
        <f t="shared" si="15"/>
        <v>0</v>
      </c>
      <c r="S34" s="16">
        <f t="shared" si="15"/>
        <v>0</v>
      </c>
      <c r="T34" s="16">
        <f t="shared" si="15"/>
        <v>0</v>
      </c>
      <c r="U34" s="16">
        <f t="shared" si="15"/>
        <v>0</v>
      </c>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ht="14.1" customHeight="1" x14ac:dyDescent="0.2">
      <c r="A35" s="14" t="s">
        <v>78</v>
      </c>
      <c r="B35" s="14"/>
      <c r="C35" s="35">
        <f>+$M$10/1000</f>
        <v>135</v>
      </c>
      <c r="D35" s="35">
        <f t="shared" ref="D35:U35" si="16">+$M$10/1000</f>
        <v>135</v>
      </c>
      <c r="E35" s="35">
        <f t="shared" si="16"/>
        <v>135</v>
      </c>
      <c r="F35" s="35">
        <f t="shared" si="16"/>
        <v>135</v>
      </c>
      <c r="G35" s="35">
        <f t="shared" si="16"/>
        <v>135</v>
      </c>
      <c r="H35" s="35">
        <f t="shared" si="16"/>
        <v>135</v>
      </c>
      <c r="I35" s="35">
        <f t="shared" si="16"/>
        <v>135</v>
      </c>
      <c r="J35" s="35">
        <f t="shared" si="16"/>
        <v>135</v>
      </c>
      <c r="K35" s="35">
        <f t="shared" si="16"/>
        <v>135</v>
      </c>
      <c r="L35" s="35">
        <f t="shared" si="16"/>
        <v>135</v>
      </c>
      <c r="M35" s="35">
        <f t="shared" si="16"/>
        <v>135</v>
      </c>
      <c r="N35" s="35">
        <f t="shared" si="16"/>
        <v>135</v>
      </c>
      <c r="O35" s="35">
        <f t="shared" si="16"/>
        <v>135</v>
      </c>
      <c r="P35" s="35">
        <f t="shared" si="16"/>
        <v>135</v>
      </c>
      <c r="Q35" s="35">
        <f t="shared" si="16"/>
        <v>135</v>
      </c>
      <c r="R35" s="35">
        <f t="shared" si="16"/>
        <v>135</v>
      </c>
      <c r="S35" s="35">
        <f t="shared" si="16"/>
        <v>135</v>
      </c>
      <c r="T35" s="35">
        <f t="shared" si="16"/>
        <v>135</v>
      </c>
      <c r="U35" s="35">
        <f t="shared" si="16"/>
        <v>135</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s="4" customFormat="1" ht="14.1" customHeight="1" x14ac:dyDescent="0.2">
      <c r="A36" s="20" t="s">
        <v>2</v>
      </c>
      <c r="B36" s="20"/>
      <c r="C36" s="31">
        <f>+C33-C34-C35</f>
        <v>-257.94281230769229</v>
      </c>
      <c r="D36" s="31">
        <f t="shared" ref="D36:U36" si="17">+D33-D34-D35</f>
        <v>-208.23786338769241</v>
      </c>
      <c r="E36" s="31">
        <f t="shared" si="17"/>
        <v>-157.89934918281233</v>
      </c>
      <c r="F36" s="31">
        <f t="shared" si="17"/>
        <v>-106.91964585906453</v>
      </c>
      <c r="G36" s="31">
        <f t="shared" si="17"/>
        <v>-55.291047770382647</v>
      </c>
      <c r="H36" s="31">
        <f t="shared" si="17"/>
        <v>-3.0057668116928653</v>
      </c>
      <c r="I36" s="31">
        <f t="shared" si="17"/>
        <v>49.944068227121988</v>
      </c>
      <c r="J36" s="31">
        <f t="shared" si="17"/>
        <v>103.56641230611831</v>
      </c>
      <c r="K36" s="31">
        <f t="shared" si="17"/>
        <v>157.86930477885062</v>
      </c>
      <c r="L36" s="31">
        <f t="shared" si="17"/>
        <v>212.86087003436432</v>
      </c>
      <c r="M36" s="31">
        <f t="shared" si="17"/>
        <v>268.5493181373804</v>
      </c>
      <c r="N36" s="31">
        <f t="shared" si="17"/>
        <v>324.94294546644369</v>
      </c>
      <c r="O36" s="31">
        <f t="shared" si="17"/>
        <v>382.0501353497707</v>
      </c>
      <c r="P36" s="31">
        <f t="shared" si="17"/>
        <v>3757.1870510062458</v>
      </c>
      <c r="Q36" s="31">
        <f t="shared" si="17"/>
        <v>3815.7468669451437</v>
      </c>
      <c r="R36" s="31">
        <f t="shared" si="17"/>
        <v>3875.0459234396831</v>
      </c>
      <c r="S36" s="31">
        <f t="shared" si="17"/>
        <v>3935.0929579202912</v>
      </c>
      <c r="T36" s="31">
        <f t="shared" si="17"/>
        <v>3995.8967979026766</v>
      </c>
      <c r="U36" s="31">
        <f t="shared" si="17"/>
        <v>4057.4663616042462</v>
      </c>
      <c r="V36" s="1"/>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row>
    <row r="37" spans="1:53" ht="14.1" customHeight="1" x14ac:dyDescent="0.2">
      <c r="A37" s="14" t="s">
        <v>79</v>
      </c>
      <c r="B37" s="14"/>
      <c r="C37" s="16">
        <f>+C51</f>
        <v>2205.5</v>
      </c>
      <c r="D37" s="16">
        <f>+D51</f>
        <v>2070.9000306068947</v>
      </c>
      <c r="E37" s="16">
        <f t="shared" ref="E37:U37" si="18">+E51</f>
        <v>1928.8970628971688</v>
      </c>
      <c r="F37" s="16">
        <f t="shared" si="18"/>
        <v>1779.0839319634076</v>
      </c>
      <c r="G37" s="16">
        <f t="shared" si="18"/>
        <v>1621.0310788282895</v>
      </c>
      <c r="H37" s="16">
        <f t="shared" si="18"/>
        <v>1454.2853187707399</v>
      </c>
      <c r="I37" s="16">
        <f t="shared" si="18"/>
        <v>1278.3685419100257</v>
      </c>
      <c r="J37" s="16">
        <f t="shared" si="18"/>
        <v>1092.7763423219712</v>
      </c>
      <c r="K37" s="16">
        <f t="shared" si="18"/>
        <v>896.97657175657423</v>
      </c>
      <c r="L37" s="16">
        <f t="shared" si="18"/>
        <v>690.40781381008048</v>
      </c>
      <c r="M37" s="16">
        <f t="shared" si="18"/>
        <v>472.47777417652946</v>
      </c>
      <c r="N37" s="16">
        <f t="shared" si="18"/>
        <v>242.56158236313311</v>
      </c>
      <c r="O37" s="16">
        <f t="shared" si="18"/>
        <v>0</v>
      </c>
      <c r="P37" s="16">
        <f t="shared" si="18"/>
        <v>0</v>
      </c>
      <c r="Q37" s="16">
        <f t="shared" si="18"/>
        <v>0</v>
      </c>
      <c r="R37" s="16">
        <f t="shared" si="18"/>
        <v>0</v>
      </c>
      <c r="S37" s="16">
        <f t="shared" si="18"/>
        <v>0</v>
      </c>
      <c r="T37" s="16">
        <f t="shared" si="18"/>
        <v>0</v>
      </c>
      <c r="U37" s="16">
        <f t="shared" si="18"/>
        <v>0</v>
      </c>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s="4" customFormat="1" ht="14.1" customHeight="1" x14ac:dyDescent="0.2">
      <c r="A38" s="135" t="s">
        <v>80</v>
      </c>
      <c r="B38" s="33"/>
      <c r="C38" s="34">
        <f>+C36-C37</f>
        <v>-2463.4428123076923</v>
      </c>
      <c r="D38" s="34">
        <f t="shared" ref="D38:U38" si="19">+D36-D37</f>
        <v>-2279.1378939945871</v>
      </c>
      <c r="E38" s="34">
        <f t="shared" si="19"/>
        <v>-2086.7964120799811</v>
      </c>
      <c r="F38" s="34">
        <f t="shared" si="19"/>
        <v>-1886.0035778224722</v>
      </c>
      <c r="G38" s="34">
        <f t="shared" si="19"/>
        <v>-1676.3221265986722</v>
      </c>
      <c r="H38" s="34">
        <f t="shared" si="19"/>
        <v>-1457.2910855824327</v>
      </c>
      <c r="I38" s="34">
        <f t="shared" si="19"/>
        <v>-1228.4244736829037</v>
      </c>
      <c r="J38" s="34">
        <f t="shared" si="19"/>
        <v>-989.20993001585293</v>
      </c>
      <c r="K38" s="34">
        <f t="shared" si="19"/>
        <v>-739.10726697772361</v>
      </c>
      <c r="L38" s="34">
        <f t="shared" si="19"/>
        <v>-477.54694377571616</v>
      </c>
      <c r="M38" s="34">
        <f t="shared" si="19"/>
        <v>-203.92845603914907</v>
      </c>
      <c r="N38" s="34">
        <f t="shared" si="19"/>
        <v>82.381363103310576</v>
      </c>
      <c r="O38" s="34">
        <f t="shared" si="19"/>
        <v>382.0501353497707</v>
      </c>
      <c r="P38" s="34">
        <f t="shared" si="19"/>
        <v>3757.1870510062458</v>
      </c>
      <c r="Q38" s="34">
        <f t="shared" si="19"/>
        <v>3815.7468669451437</v>
      </c>
      <c r="R38" s="34">
        <f t="shared" si="19"/>
        <v>3875.0459234396831</v>
      </c>
      <c r="S38" s="34">
        <f t="shared" si="19"/>
        <v>3935.0929579202912</v>
      </c>
      <c r="T38" s="34">
        <f t="shared" si="19"/>
        <v>3995.8967979026766</v>
      </c>
      <c r="U38" s="34">
        <f t="shared" si="19"/>
        <v>4057.4663616042462</v>
      </c>
      <c r="V38" s="1"/>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c r="AW38" s="86"/>
      <c r="AX38" s="86"/>
      <c r="AY38" s="86"/>
      <c r="AZ38" s="86"/>
      <c r="BA38" s="86"/>
    </row>
    <row r="39" spans="1:53" ht="14.1" customHeight="1" x14ac:dyDescent="0.2">
      <c r="A39" s="14" t="s">
        <v>81</v>
      </c>
      <c r="B39" s="36">
        <v>0.35</v>
      </c>
      <c r="C39" s="27">
        <f t="shared" ref="C39:M39" si="20">+C38*$B$39</f>
        <v>-862.20498430769226</v>
      </c>
      <c r="D39" s="27">
        <f t="shared" si="20"/>
        <v>-797.69826289810544</v>
      </c>
      <c r="E39" s="27">
        <f t="shared" si="20"/>
        <v>-730.37874422799337</v>
      </c>
      <c r="F39" s="27">
        <f t="shared" si="20"/>
        <v>-660.1012522378652</v>
      </c>
      <c r="G39" s="27">
        <f t="shared" si="20"/>
        <v>-586.7127443095352</v>
      </c>
      <c r="H39" s="27">
        <f t="shared" si="20"/>
        <v>-510.05187995385143</v>
      </c>
      <c r="I39" s="27">
        <f t="shared" si="20"/>
        <v>-429.94856578901624</v>
      </c>
      <c r="J39" s="27">
        <f t="shared" si="20"/>
        <v>-346.22347550554849</v>
      </c>
      <c r="K39" s="27">
        <f t="shared" si="20"/>
        <v>-258.68754344220326</v>
      </c>
      <c r="L39" s="27">
        <f t="shared" si="20"/>
        <v>-167.14143032150065</v>
      </c>
      <c r="M39" s="27">
        <f t="shared" si="20"/>
        <v>-71.374959613702174</v>
      </c>
      <c r="N39" s="27">
        <f t="shared" ref="N39:U39" si="21">+N38*$B$39</f>
        <v>28.833477086158698</v>
      </c>
      <c r="O39" s="27">
        <f t="shared" si="21"/>
        <v>133.71754737241974</v>
      </c>
      <c r="P39" s="27">
        <f t="shared" si="21"/>
        <v>1315.015467852186</v>
      </c>
      <c r="Q39" s="27">
        <f t="shared" si="21"/>
        <v>1335.5114034308001</v>
      </c>
      <c r="R39" s="27">
        <f t="shared" si="21"/>
        <v>1356.2660732038889</v>
      </c>
      <c r="S39" s="27">
        <f t="shared" si="21"/>
        <v>1377.2825352721018</v>
      </c>
      <c r="T39" s="27">
        <f t="shared" si="21"/>
        <v>1398.5638792659367</v>
      </c>
      <c r="U39" s="27">
        <f t="shared" si="21"/>
        <v>1420.113226561486</v>
      </c>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s="4" customFormat="1" ht="14.1" customHeight="1" x14ac:dyDescent="0.2">
      <c r="A40" s="135" t="s">
        <v>82</v>
      </c>
      <c r="B40" s="33"/>
      <c r="C40" s="34">
        <f>+C38-C39</f>
        <v>-1601.237828</v>
      </c>
      <c r="D40" s="34">
        <f>+D38-D39</f>
        <v>-1481.4396310964817</v>
      </c>
      <c r="E40" s="34">
        <f>+E38-E39</f>
        <v>-1356.4176678519877</v>
      </c>
      <c r="F40" s="34">
        <f t="shared" ref="F40:U40" si="22">+F38-F39</f>
        <v>-1225.9023255846068</v>
      </c>
      <c r="G40" s="34">
        <f t="shared" si="22"/>
        <v>-1089.6093822891371</v>
      </c>
      <c r="H40" s="34">
        <f t="shared" si="22"/>
        <v>-947.23920562858132</v>
      </c>
      <c r="I40" s="34">
        <f t="shared" si="22"/>
        <v>-798.47590789388744</v>
      </c>
      <c r="J40" s="34">
        <f t="shared" si="22"/>
        <v>-642.98645451030438</v>
      </c>
      <c r="K40" s="34">
        <f t="shared" si="22"/>
        <v>-480.41972353552035</v>
      </c>
      <c r="L40" s="34">
        <f t="shared" si="22"/>
        <v>-310.40551345421551</v>
      </c>
      <c r="M40" s="34">
        <f t="shared" si="22"/>
        <v>-132.55349642544689</v>
      </c>
      <c r="N40" s="34">
        <f t="shared" si="22"/>
        <v>53.547886017151882</v>
      </c>
      <c r="O40" s="34">
        <f t="shared" si="22"/>
        <v>248.33258797735095</v>
      </c>
      <c r="P40" s="34">
        <f t="shared" si="22"/>
        <v>2442.1715831540596</v>
      </c>
      <c r="Q40" s="34">
        <f t="shared" si="22"/>
        <v>2480.2354635143438</v>
      </c>
      <c r="R40" s="34">
        <f t="shared" si="22"/>
        <v>2518.7798502357941</v>
      </c>
      <c r="S40" s="34">
        <f t="shared" si="22"/>
        <v>2557.8104226481892</v>
      </c>
      <c r="T40" s="34">
        <f t="shared" si="22"/>
        <v>2597.33291863674</v>
      </c>
      <c r="U40" s="34">
        <f t="shared" si="22"/>
        <v>2637.3531350427602</v>
      </c>
      <c r="V40" s="1"/>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row>
    <row r="41" spans="1:53" s="2" customFormat="1" ht="14.1" customHeight="1" x14ac:dyDescent="0.2">
      <c r="A41" s="22" t="s">
        <v>6</v>
      </c>
      <c r="B41" s="22"/>
      <c r="C41" s="27">
        <f>+C40+C34+C35-C48</f>
        <v>1562.2642724172815</v>
      </c>
      <c r="D41" s="27">
        <f t="shared" ref="D41:U41" si="23">+D40+D34+D35-D48</f>
        <v>1966.3741891170737</v>
      </c>
      <c r="E41" s="27">
        <f t="shared" si="23"/>
        <v>2091.3388711166331</v>
      </c>
      <c r="F41" s="27">
        <f t="shared" si="23"/>
        <v>2221.7962428609385</v>
      </c>
      <c r="G41" s="27">
        <f t="shared" si="23"/>
        <v>2358.0305189584828</v>
      </c>
      <c r="H41" s="27">
        <f t="shared" si="23"/>
        <v>2500.3413242910651</v>
      </c>
      <c r="I41" s="27">
        <f t="shared" si="23"/>
        <v>2649.0445390541313</v>
      </c>
      <c r="J41" s="27">
        <f t="shared" si="23"/>
        <v>2804.4731902505196</v>
      </c>
      <c r="K41" s="27">
        <f t="shared" si="23"/>
        <v>2966.9783921924454</v>
      </c>
      <c r="L41" s="27">
        <f t="shared" si="23"/>
        <v>3136.9303387070881</v>
      </c>
      <c r="M41" s="27">
        <f t="shared" si="23"/>
        <v>3314.7193498893698</v>
      </c>
      <c r="N41" s="27">
        <f t="shared" si="23"/>
        <v>3500.7569764019427</v>
      </c>
      <c r="O41" s="27">
        <f t="shared" si="23"/>
        <v>3695.4771644873726</v>
      </c>
      <c r="P41" s="27">
        <f t="shared" si="23"/>
        <v>2571.9431876184162</v>
      </c>
      <c r="Q41" s="27">
        <f t="shared" si="23"/>
        <v>2609.9410144020599</v>
      </c>
      <c r="R41" s="27">
        <f t="shared" si="23"/>
        <v>2648.4185656760137</v>
      </c>
      <c r="S41" s="27">
        <f t="shared" si="23"/>
        <v>2687.3815126814493</v>
      </c>
      <c r="T41" s="27">
        <f t="shared" si="23"/>
        <v>2726.8355851588803</v>
      </c>
      <c r="U41" s="27">
        <f t="shared" si="23"/>
        <v>2766.7865717491936</v>
      </c>
      <c r="V41" s="1"/>
    </row>
    <row r="42" spans="1:53" ht="14.1" customHeight="1" x14ac:dyDescent="0.2">
      <c r="A42" s="14" t="s">
        <v>5</v>
      </c>
      <c r="B42" s="14"/>
      <c r="C42" s="16">
        <f>+G9-C52</f>
        <v>37652.727829216266</v>
      </c>
      <c r="D42" s="16">
        <f>-D52</f>
        <v>-2581.8721401768407</v>
      </c>
      <c r="E42" s="16">
        <f>-E52</f>
        <v>-2723.8751078865666</v>
      </c>
      <c r="F42" s="16">
        <f>-F52</f>
        <v>-2873.6882388203276</v>
      </c>
      <c r="G42" s="16">
        <f t="shared" ref="G42:U42" si="24">-G52</f>
        <v>-3031.7410919554459</v>
      </c>
      <c r="H42" s="16">
        <f t="shared" si="24"/>
        <v>-3198.4868520129958</v>
      </c>
      <c r="I42" s="16">
        <f t="shared" si="24"/>
        <v>-3374.4036288737097</v>
      </c>
      <c r="J42" s="16">
        <f t="shared" si="24"/>
        <v>-3559.9958284617642</v>
      </c>
      <c r="K42" s="16">
        <f t="shared" si="24"/>
        <v>-3755.7955990271612</v>
      </c>
      <c r="L42" s="16">
        <f t="shared" si="24"/>
        <v>-3962.364356973655</v>
      </c>
      <c r="M42" s="16">
        <f t="shared" si="24"/>
        <v>-4180.2943966072062</v>
      </c>
      <c r="N42" s="16">
        <f t="shared" si="24"/>
        <v>-4410.2105884206021</v>
      </c>
      <c r="O42" s="16">
        <f>-O52</f>
        <v>0</v>
      </c>
      <c r="P42" s="16">
        <f t="shared" si="24"/>
        <v>0</v>
      </c>
      <c r="Q42" s="16">
        <f t="shared" si="24"/>
        <v>0</v>
      </c>
      <c r="R42" s="16">
        <f t="shared" si="24"/>
        <v>0</v>
      </c>
      <c r="S42" s="16">
        <f t="shared" si="24"/>
        <v>0</v>
      </c>
      <c r="T42" s="16">
        <f t="shared" si="24"/>
        <v>0</v>
      </c>
      <c r="U42" s="16">
        <f t="shared" si="24"/>
        <v>0</v>
      </c>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ht="14.1" customHeight="1" x14ac:dyDescent="0.2">
      <c r="A43" s="14" t="s">
        <v>4</v>
      </c>
      <c r="B43" s="14"/>
      <c r="C43" s="16">
        <f>-B10</f>
        <v>-50025</v>
      </c>
      <c r="D43" s="35">
        <v>0</v>
      </c>
      <c r="E43" s="35">
        <v>0</v>
      </c>
      <c r="F43" s="35">
        <v>0</v>
      </c>
      <c r="G43" s="35">
        <v>0</v>
      </c>
      <c r="H43" s="35">
        <v>0</v>
      </c>
      <c r="I43" s="35">
        <v>0</v>
      </c>
      <c r="J43" s="35">
        <v>0</v>
      </c>
      <c r="K43" s="35">
        <v>0</v>
      </c>
      <c r="L43" s="35">
        <v>0</v>
      </c>
      <c r="M43" s="35">
        <v>0</v>
      </c>
      <c r="N43" s="35">
        <v>0</v>
      </c>
      <c r="O43" s="35">
        <v>0</v>
      </c>
      <c r="P43" s="35">
        <v>0</v>
      </c>
      <c r="Q43" s="35">
        <v>0</v>
      </c>
      <c r="R43" s="35">
        <v>0</v>
      </c>
      <c r="S43" s="35">
        <v>0</v>
      </c>
      <c r="T43" s="35">
        <v>0</v>
      </c>
      <c r="U43" s="35">
        <v>0</v>
      </c>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s="6" customFormat="1" ht="14.1" customHeight="1" thickBot="1" x14ac:dyDescent="0.25">
      <c r="A44" s="136" t="s">
        <v>9</v>
      </c>
      <c r="B44" s="37"/>
      <c r="C44" s="38">
        <f t="shared" ref="C44:H44" si="25">SUM(C41:C43)</f>
        <v>-10810.00789836645</v>
      </c>
      <c r="D44" s="38">
        <f t="shared" si="25"/>
        <v>-615.49795105976705</v>
      </c>
      <c r="E44" s="38">
        <f t="shared" si="25"/>
        <v>-632.53623676993357</v>
      </c>
      <c r="F44" s="38">
        <f t="shared" si="25"/>
        <v>-651.89199595938908</v>
      </c>
      <c r="G44" s="38">
        <f t="shared" si="25"/>
        <v>-673.71057299696304</v>
      </c>
      <c r="H44" s="38">
        <f t="shared" si="25"/>
        <v>-698.14552772193065</v>
      </c>
      <c r="I44" s="38">
        <f t="shared" ref="I44:U44" si="26">SUM(I41:I43)</f>
        <v>-725.35908981957846</v>
      </c>
      <c r="J44" s="38">
        <f t="shared" si="26"/>
        <v>-755.52263821124461</v>
      </c>
      <c r="K44" s="38">
        <f t="shared" si="26"/>
        <v>-788.81720683471576</v>
      </c>
      <c r="L44" s="38">
        <f t="shared" si="26"/>
        <v>-825.43401826656691</v>
      </c>
      <c r="M44" s="38">
        <f t="shared" si="26"/>
        <v>-865.57504671783636</v>
      </c>
      <c r="N44" s="38">
        <f t="shared" si="26"/>
        <v>-909.45361201865944</v>
      </c>
      <c r="O44" s="38">
        <f t="shared" si="26"/>
        <v>3695.4771644873726</v>
      </c>
      <c r="P44" s="38">
        <f t="shared" si="26"/>
        <v>2571.9431876184162</v>
      </c>
      <c r="Q44" s="38">
        <f t="shared" si="26"/>
        <v>2609.9410144020599</v>
      </c>
      <c r="R44" s="38">
        <f t="shared" si="26"/>
        <v>2648.4185656760137</v>
      </c>
      <c r="S44" s="38">
        <f t="shared" si="26"/>
        <v>2687.3815126814493</v>
      </c>
      <c r="T44" s="38">
        <f t="shared" si="26"/>
        <v>2726.8355851588803</v>
      </c>
      <c r="U44" s="38">
        <f t="shared" si="26"/>
        <v>2766.7865717491936</v>
      </c>
      <c r="V44" s="1"/>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row>
    <row r="45" spans="1:53" ht="14.1" customHeight="1" thickTop="1" x14ac:dyDescent="0.2">
      <c r="A45" s="14" t="s">
        <v>84</v>
      </c>
      <c r="B45" s="13">
        <f>+M14</f>
        <v>33</v>
      </c>
      <c r="C45" s="16">
        <f t="shared" ref="C45:U45" si="27">+C24*$B$45/365</f>
        <v>373.19473972602742</v>
      </c>
      <c r="D45" s="16">
        <f t="shared" si="27"/>
        <v>379.14512252054794</v>
      </c>
      <c r="E45" s="16">
        <f t="shared" si="27"/>
        <v>385.17881067419177</v>
      </c>
      <c r="F45" s="16">
        <f t="shared" si="27"/>
        <v>391.29697046198658</v>
      </c>
      <c r="G45" s="16">
        <f t="shared" si="27"/>
        <v>397.50078448681063</v>
      </c>
      <c r="H45" s="16">
        <f t="shared" si="27"/>
        <v>403.79145190798215</v>
      </c>
      <c r="I45" s="16">
        <f t="shared" si="27"/>
        <v>410.17018867305001</v>
      </c>
      <c r="J45" s="16">
        <f t="shared" si="27"/>
        <v>416.63822775282887</v>
      </c>
      <c r="K45" s="16">
        <f t="shared" si="27"/>
        <v>423.19681937972462</v>
      </c>
      <c r="L45" s="16">
        <f t="shared" si="27"/>
        <v>429.84723128939697</v>
      </c>
      <c r="M45" s="16">
        <f t="shared" si="27"/>
        <v>436.59074896580461</v>
      </c>
      <c r="N45" s="16">
        <f t="shared" si="27"/>
        <v>443.42867588968204</v>
      </c>
      <c r="O45" s="16">
        <f t="shared" si="27"/>
        <v>450.36233379049378</v>
      </c>
      <c r="P45" s="16">
        <f t="shared" si="27"/>
        <v>457.39306290191684</v>
      </c>
      <c r="Q45" s="16">
        <f t="shared" si="27"/>
        <v>464.52222222089989</v>
      </c>
      <c r="R45" s="16">
        <f t="shared" si="27"/>
        <v>471.75118977034879</v>
      </c>
      <c r="S45" s="16">
        <f t="shared" si="27"/>
        <v>479.08136286548967</v>
      </c>
      <c r="T45" s="16">
        <f t="shared" si="27"/>
        <v>486.51415838396269</v>
      </c>
      <c r="U45" s="16">
        <f t="shared" si="27"/>
        <v>494.05101303969445</v>
      </c>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ht="14.1" customHeight="1" x14ac:dyDescent="0.2">
      <c r="A46" s="14" t="s">
        <v>85</v>
      </c>
      <c r="B46" s="13">
        <f>+M13</f>
        <v>33</v>
      </c>
      <c r="C46" s="16">
        <f t="shared" ref="C46:U46" si="28">+SUM(C25:C31)*$B$46/365</f>
        <v>84.389147835616455</v>
      </c>
      <c r="D46" s="16">
        <f t="shared" si="28"/>
        <v>85.845658536000016</v>
      </c>
      <c r="E46" s="16">
        <f t="shared" si="28"/>
        <v>87.328193350572505</v>
      </c>
      <c r="F46" s="16">
        <f t="shared" si="28"/>
        <v>88.837229276220242</v>
      </c>
      <c r="G46" s="16">
        <f t="shared" si="28"/>
        <v>90.373252240971709</v>
      </c>
      <c r="H46" s="16">
        <f t="shared" si="28"/>
        <v>91.936757274097246</v>
      </c>
      <c r="I46" s="16">
        <f t="shared" si="28"/>
        <v>93.528248679491455</v>
      </c>
      <c r="J46" s="16">
        <f t="shared" si="28"/>
        <v>95.148240212402158</v>
      </c>
      <c r="K46" s="16">
        <f t="shared" si="28"/>
        <v>96.797255259571457</v>
      </c>
      <c r="L46" s="16">
        <f t="shared" si="28"/>
        <v>98.475827022854872</v>
      </c>
      <c r="M46" s="16">
        <f t="shared" si="28"/>
        <v>100.18449870638712</v>
      </c>
      <c r="N46" s="16">
        <f t="shared" si="28"/>
        <v>101.92382370736293</v>
      </c>
      <c r="O46" s="16">
        <f t="shared" si="28"/>
        <v>103.694365810504</v>
      </c>
      <c r="P46" s="16">
        <f t="shared" si="28"/>
        <v>105.49669938628367</v>
      </c>
      <c r="Q46" s="16">
        <f t="shared" si="28"/>
        <v>107.33140959298278</v>
      </c>
      <c r="R46" s="16">
        <f t="shared" si="28"/>
        <v>109.19909258265132</v>
      </c>
      <c r="S46" s="16">
        <f t="shared" si="28"/>
        <v>111.10035571105244</v>
      </c>
      <c r="T46" s="16">
        <f t="shared" si="28"/>
        <v>113.03581775166593</v>
      </c>
      <c r="U46" s="16">
        <f t="shared" si="28"/>
        <v>115.00610911383103</v>
      </c>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ht="14.1" customHeight="1" x14ac:dyDescent="0.2">
      <c r="A47" s="14" t="s">
        <v>60</v>
      </c>
      <c r="B47" s="14"/>
      <c r="C47" s="16">
        <f>+C45-C46</f>
        <v>288.80559189041094</v>
      </c>
      <c r="D47" s="16">
        <f>+D45-D46</f>
        <v>293.29946398454791</v>
      </c>
      <c r="E47" s="16">
        <f t="shared" ref="E47:U47" si="29">+E45-E46</f>
        <v>297.85061732361925</v>
      </c>
      <c r="F47" s="16">
        <f>+F45-F46</f>
        <v>302.45974118576635</v>
      </c>
      <c r="G47" s="16">
        <f>+G45-G46</f>
        <v>307.12753224583889</v>
      </c>
      <c r="H47" s="16">
        <f t="shared" si="29"/>
        <v>311.85469463388489</v>
      </c>
      <c r="I47" s="16">
        <f t="shared" si="29"/>
        <v>316.64193999355854</v>
      </c>
      <c r="J47" s="16">
        <f t="shared" si="29"/>
        <v>321.48998754042668</v>
      </c>
      <c r="K47" s="16">
        <f t="shared" si="29"/>
        <v>326.39956412015317</v>
      </c>
      <c r="L47" s="16">
        <f t="shared" si="29"/>
        <v>331.37140426654207</v>
      </c>
      <c r="M47" s="16">
        <f t="shared" si="29"/>
        <v>336.4062502594175</v>
      </c>
      <c r="N47" s="16">
        <f t="shared" si="29"/>
        <v>341.5048521823191</v>
      </c>
      <c r="O47" s="16">
        <f t="shared" si="29"/>
        <v>346.66796797998978</v>
      </c>
      <c r="P47" s="16">
        <f t="shared" si="29"/>
        <v>351.8963635156332</v>
      </c>
      <c r="Q47" s="16">
        <f t="shared" si="29"/>
        <v>357.19081262791713</v>
      </c>
      <c r="R47" s="16">
        <f t="shared" si="29"/>
        <v>362.55209718769748</v>
      </c>
      <c r="S47" s="16">
        <f t="shared" si="29"/>
        <v>367.98100715443724</v>
      </c>
      <c r="T47" s="16">
        <f t="shared" si="29"/>
        <v>373.47834063229675</v>
      </c>
      <c r="U47" s="16">
        <f t="shared" si="29"/>
        <v>379.04490392586342</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ht="14.1" customHeight="1" x14ac:dyDescent="0.2">
      <c r="A48" s="14" t="s">
        <v>83</v>
      </c>
      <c r="B48" s="14"/>
      <c r="C48" s="16">
        <f>+C47-B47</f>
        <v>288.80559189041094</v>
      </c>
      <c r="D48" s="16">
        <f>+D47-C47</f>
        <v>4.4938720941369752</v>
      </c>
      <c r="E48" s="16">
        <f>+E47-D47</f>
        <v>4.5511533390713339</v>
      </c>
      <c r="F48" s="16">
        <f>+F47-E47</f>
        <v>4.6091238621471007</v>
      </c>
      <c r="G48" s="16">
        <f t="shared" ref="G48:U48" si="30">+G47-F47</f>
        <v>4.6677910600725454</v>
      </c>
      <c r="H48" s="16">
        <f t="shared" si="30"/>
        <v>4.727162388045997</v>
      </c>
      <c r="I48" s="16">
        <f t="shared" si="30"/>
        <v>4.7872453596736477</v>
      </c>
      <c r="J48" s="16">
        <f t="shared" si="30"/>
        <v>4.8480475468681448</v>
      </c>
      <c r="K48" s="16">
        <f t="shared" si="30"/>
        <v>4.9095765797264903</v>
      </c>
      <c r="L48" s="16">
        <f t="shared" si="30"/>
        <v>4.9718401463888995</v>
      </c>
      <c r="M48" s="16">
        <f t="shared" si="30"/>
        <v>5.0348459928754323</v>
      </c>
      <c r="N48" s="16">
        <f t="shared" si="30"/>
        <v>5.0986019229015938</v>
      </c>
      <c r="O48" s="16">
        <f t="shared" si="30"/>
        <v>5.1631157976706845</v>
      </c>
      <c r="P48" s="16">
        <f t="shared" si="30"/>
        <v>5.2283955356434149</v>
      </c>
      <c r="Q48" s="16">
        <f t="shared" si="30"/>
        <v>5.2944491122839281</v>
      </c>
      <c r="R48" s="16">
        <f t="shared" si="30"/>
        <v>5.3612845597803584</v>
      </c>
      <c r="S48" s="16">
        <f>+S47-R47</f>
        <v>5.4289099667397522</v>
      </c>
      <c r="T48" s="16">
        <f t="shared" si="30"/>
        <v>5.4973334778595131</v>
      </c>
      <c r="U48" s="16">
        <f t="shared" si="30"/>
        <v>5.5665632935666736</v>
      </c>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s="3" customFormat="1" ht="14.1" customHeight="1" thickBot="1" x14ac:dyDescent="0.25">
      <c r="A49" s="23"/>
      <c r="B49" s="23"/>
      <c r="C49" s="26">
        <v>1</v>
      </c>
      <c r="D49" s="26">
        <v>2</v>
      </c>
      <c r="E49" s="26">
        <v>3</v>
      </c>
      <c r="F49" s="26">
        <v>4</v>
      </c>
      <c r="G49" s="26">
        <v>5</v>
      </c>
      <c r="H49" s="26">
        <v>6</v>
      </c>
      <c r="I49" s="26">
        <v>7</v>
      </c>
      <c r="J49" s="26">
        <v>8</v>
      </c>
      <c r="K49" s="26">
        <v>9</v>
      </c>
      <c r="L49" s="26">
        <v>10</v>
      </c>
      <c r="M49" s="26">
        <v>11</v>
      </c>
      <c r="N49" s="26">
        <v>12</v>
      </c>
      <c r="O49" s="26">
        <v>13</v>
      </c>
      <c r="P49" s="26">
        <v>14</v>
      </c>
      <c r="Q49" s="26">
        <v>15</v>
      </c>
      <c r="R49" s="26">
        <v>16</v>
      </c>
      <c r="S49" s="26">
        <v>17</v>
      </c>
      <c r="T49" s="26">
        <v>18</v>
      </c>
      <c r="U49" s="26">
        <v>19</v>
      </c>
      <c r="V49" s="1"/>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ht="14.1" customHeight="1" thickTop="1" x14ac:dyDescent="0.2">
      <c r="A50" s="14" t="s">
        <v>86</v>
      </c>
      <c r="B50" s="14"/>
      <c r="C50" s="16">
        <f t="shared" ref="C50:N50" si="31">+PMT($G$14,$G$12,$G$13)*-1</f>
        <v>4652.7721707837354</v>
      </c>
      <c r="D50" s="16">
        <f t="shared" si="31"/>
        <v>4652.7721707837354</v>
      </c>
      <c r="E50" s="16">
        <f t="shared" si="31"/>
        <v>4652.7721707837354</v>
      </c>
      <c r="F50" s="16">
        <f t="shared" si="31"/>
        <v>4652.7721707837354</v>
      </c>
      <c r="G50" s="16">
        <f t="shared" si="31"/>
        <v>4652.7721707837354</v>
      </c>
      <c r="H50" s="16">
        <f t="shared" si="31"/>
        <v>4652.7721707837354</v>
      </c>
      <c r="I50" s="16">
        <f t="shared" si="31"/>
        <v>4652.7721707837354</v>
      </c>
      <c r="J50" s="16">
        <f t="shared" si="31"/>
        <v>4652.7721707837354</v>
      </c>
      <c r="K50" s="16">
        <f t="shared" si="31"/>
        <v>4652.7721707837354</v>
      </c>
      <c r="L50" s="16">
        <f t="shared" si="31"/>
        <v>4652.7721707837354</v>
      </c>
      <c r="M50" s="16">
        <f t="shared" si="31"/>
        <v>4652.7721707837354</v>
      </c>
      <c r="N50" s="16">
        <f t="shared" si="31"/>
        <v>4652.7721707837354</v>
      </c>
      <c r="O50" s="16"/>
      <c r="P50" s="16"/>
      <c r="Q50" s="16"/>
      <c r="R50" s="16"/>
      <c r="S50" s="16"/>
      <c r="T50" s="16"/>
      <c r="U50" s="16"/>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ht="14.1" customHeight="1" x14ac:dyDescent="0.2">
      <c r="A51" s="14" t="s">
        <v>87</v>
      </c>
      <c r="B51" s="14"/>
      <c r="C51" s="16">
        <f t="shared" ref="C51:N51" si="32">+IPMT($G$14,C49,$G$12,$G$13)*-1</f>
        <v>2205.5</v>
      </c>
      <c r="D51" s="16">
        <f t="shared" si="32"/>
        <v>2070.9000306068947</v>
      </c>
      <c r="E51" s="16">
        <f t="shared" si="32"/>
        <v>1928.8970628971688</v>
      </c>
      <c r="F51" s="16">
        <f t="shared" si="32"/>
        <v>1779.0839319634076</v>
      </c>
      <c r="G51" s="16">
        <f t="shared" si="32"/>
        <v>1621.0310788282895</v>
      </c>
      <c r="H51" s="16">
        <f t="shared" si="32"/>
        <v>1454.2853187707399</v>
      </c>
      <c r="I51" s="16">
        <f t="shared" si="32"/>
        <v>1278.3685419100257</v>
      </c>
      <c r="J51" s="16">
        <f t="shared" si="32"/>
        <v>1092.7763423219712</v>
      </c>
      <c r="K51" s="16">
        <f t="shared" si="32"/>
        <v>896.97657175657423</v>
      </c>
      <c r="L51" s="16">
        <f t="shared" si="32"/>
        <v>690.40781381008048</v>
      </c>
      <c r="M51" s="16">
        <f t="shared" si="32"/>
        <v>472.47777417652946</v>
      </c>
      <c r="N51" s="16">
        <f t="shared" si="32"/>
        <v>242.56158236313311</v>
      </c>
      <c r="O51" s="16"/>
      <c r="P51" s="16"/>
      <c r="Q51" s="16"/>
      <c r="R51" s="16"/>
      <c r="S51" s="16"/>
      <c r="T51" s="16"/>
      <c r="U51" s="16"/>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ht="14.1" customHeight="1" x14ac:dyDescent="0.2">
      <c r="A52" s="14" t="s">
        <v>89</v>
      </c>
      <c r="B52" s="14"/>
      <c r="C52" s="16">
        <f>+C50-C51</f>
        <v>2447.2721707837354</v>
      </c>
      <c r="D52" s="16">
        <f>+D50-D51</f>
        <v>2581.8721401768407</v>
      </c>
      <c r="E52" s="16">
        <f t="shared" ref="E52:N52" si="33">+E50-E51</f>
        <v>2723.8751078865666</v>
      </c>
      <c r="F52" s="16">
        <f t="shared" si="33"/>
        <v>2873.6882388203276</v>
      </c>
      <c r="G52" s="16">
        <f t="shared" si="33"/>
        <v>3031.7410919554459</v>
      </c>
      <c r="H52" s="16">
        <f t="shared" si="33"/>
        <v>3198.4868520129958</v>
      </c>
      <c r="I52" s="16">
        <f t="shared" si="33"/>
        <v>3374.4036288737097</v>
      </c>
      <c r="J52" s="16">
        <f t="shared" si="33"/>
        <v>3559.9958284617642</v>
      </c>
      <c r="K52" s="16">
        <f t="shared" si="33"/>
        <v>3755.7955990271612</v>
      </c>
      <c r="L52" s="16">
        <f t="shared" si="33"/>
        <v>3962.364356973655</v>
      </c>
      <c r="M52" s="16">
        <f t="shared" si="33"/>
        <v>4180.2943966072062</v>
      </c>
      <c r="N52" s="16">
        <f t="shared" si="33"/>
        <v>4410.2105884206021</v>
      </c>
      <c r="O52" s="16"/>
      <c r="P52" s="16"/>
      <c r="Q52" s="16"/>
      <c r="R52" s="16"/>
      <c r="S52" s="16"/>
      <c r="T52" s="16"/>
      <c r="U52" s="16"/>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ht="14.1" customHeight="1" x14ac:dyDescent="0.2">
      <c r="A53" s="14" t="s">
        <v>88</v>
      </c>
      <c r="B53" s="14"/>
      <c r="C53" s="16">
        <f>+C52</f>
        <v>2447.2721707837354</v>
      </c>
      <c r="D53" s="16">
        <f>+C53+D52</f>
        <v>5029.1443109605761</v>
      </c>
      <c r="E53" s="16">
        <f t="shared" ref="E53:N53" si="34">+D53+E52</f>
        <v>7753.0194188471432</v>
      </c>
      <c r="F53" s="16">
        <f t="shared" si="34"/>
        <v>10626.70765766747</v>
      </c>
      <c r="G53" s="16">
        <f t="shared" si="34"/>
        <v>13658.448749622916</v>
      </c>
      <c r="H53" s="16">
        <f t="shared" si="34"/>
        <v>16856.935601635912</v>
      </c>
      <c r="I53" s="16">
        <f t="shared" si="34"/>
        <v>20231.33923050962</v>
      </c>
      <c r="J53" s="16">
        <f t="shared" si="34"/>
        <v>23791.335058971385</v>
      </c>
      <c r="K53" s="16">
        <f t="shared" si="34"/>
        <v>27547.130657998547</v>
      </c>
      <c r="L53" s="16">
        <f t="shared" si="34"/>
        <v>31509.495014972203</v>
      </c>
      <c r="M53" s="16">
        <f t="shared" si="34"/>
        <v>35689.789411579412</v>
      </c>
      <c r="N53" s="16">
        <f t="shared" si="34"/>
        <v>40100.000000000015</v>
      </c>
      <c r="O53" s="35"/>
      <c r="P53" s="35"/>
      <c r="Q53" s="35"/>
      <c r="R53" s="35"/>
      <c r="S53" s="35"/>
      <c r="T53" s="35"/>
      <c r="U53" s="35"/>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60" spans="1:53" x14ac:dyDescent="0.2">
      <c r="C60" s="87"/>
    </row>
    <row r="61" spans="1:53" x14ac:dyDescent="0.2">
      <c r="D61" s="87"/>
    </row>
  </sheetData>
  <mergeCells count="20">
    <mergeCell ref="A1:M1"/>
    <mergeCell ref="I16:K16"/>
    <mergeCell ref="I3:L3"/>
    <mergeCell ref="I4:L4"/>
    <mergeCell ref="I6:L6"/>
    <mergeCell ref="I5:L5"/>
    <mergeCell ref="I8:L8"/>
    <mergeCell ref="I7:L7"/>
    <mergeCell ref="I9:L9"/>
    <mergeCell ref="D15:F15"/>
    <mergeCell ref="D3:F3"/>
    <mergeCell ref="D4:F4"/>
    <mergeCell ref="D5:F5"/>
    <mergeCell ref="D6:F6"/>
    <mergeCell ref="D10:F10"/>
    <mergeCell ref="R14:S14"/>
    <mergeCell ref="I10:L10"/>
    <mergeCell ref="I11:L11"/>
    <mergeCell ref="D14:F14"/>
    <mergeCell ref="I2:L2"/>
  </mergeCells>
  <pageMargins left="0.70866141732283472" right="0.31496062992125984" top="0.35433070866141736" bottom="0.35433070866141736" header="0.31496062992125984" footer="0.31496062992125984"/>
  <pageSetup paperSize="9" scale="24" orientation="landscape"/>
  <headerFooter alignWithMargins="0"/>
  <ignoredErrors>
    <ignoredError sqref="M39:Q39 R38:U39 C39:L39" formula="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T98"/>
  <sheetViews>
    <sheetView topLeftCell="A16" zoomScale="131" workbookViewId="0">
      <selection activeCell="F20" sqref="F20"/>
    </sheetView>
  </sheetViews>
  <sheetFormatPr defaultColWidth="11.42578125" defaultRowHeight="12.75" x14ac:dyDescent="0.2"/>
  <cols>
    <col min="1" max="1" width="10.42578125" customWidth="1"/>
    <col min="2" max="2" width="8.7109375" customWidth="1"/>
    <col min="3" max="4" width="10.42578125" customWidth="1"/>
    <col min="5" max="5" width="8.85546875" customWidth="1"/>
    <col min="6" max="6" width="13.28515625" customWidth="1"/>
    <col min="7" max="7" width="12" bestFit="1" customWidth="1"/>
    <col min="8" max="8" width="11.140625" customWidth="1"/>
    <col min="9" max="9" width="13.140625" bestFit="1" customWidth="1"/>
    <col min="10" max="10" width="13.42578125" customWidth="1"/>
    <col min="11" max="11" width="20.28515625" bestFit="1" customWidth="1"/>
    <col min="12" max="12" width="13.42578125" customWidth="1"/>
    <col min="13" max="13" width="15.140625" customWidth="1"/>
    <col min="14" max="14" width="13" customWidth="1"/>
    <col min="15" max="256" width="8.85546875" customWidth="1"/>
  </cols>
  <sheetData>
    <row r="1" spans="1:20" ht="16.7" customHeight="1" thickBot="1" x14ac:dyDescent="0.25">
      <c r="A1" s="175" t="s">
        <v>92</v>
      </c>
      <c r="B1" s="175"/>
      <c r="C1" s="175"/>
      <c r="D1" s="175"/>
      <c r="E1" s="175"/>
      <c r="F1" s="175"/>
      <c r="H1" s="166" t="s">
        <v>97</v>
      </c>
      <c r="I1" s="166"/>
      <c r="J1" s="166"/>
      <c r="K1" s="166"/>
      <c r="L1" s="166"/>
      <c r="M1" s="166"/>
    </row>
    <row r="2" spans="1:20" ht="14.25" thickTop="1" thickBot="1" x14ac:dyDescent="0.25">
      <c r="A2" s="171" t="s">
        <v>93</v>
      </c>
      <c r="B2" s="173" t="s">
        <v>94</v>
      </c>
      <c r="C2" s="40" t="s">
        <v>95</v>
      </c>
      <c r="D2" s="40" t="s">
        <v>96</v>
      </c>
      <c r="H2" s="167" t="s">
        <v>93</v>
      </c>
      <c r="I2" s="169" t="s">
        <v>94</v>
      </c>
      <c r="J2" s="82" t="s">
        <v>98</v>
      </c>
      <c r="K2" s="82" t="s">
        <v>99</v>
      </c>
      <c r="L2" s="73"/>
      <c r="M2" s="104"/>
      <c r="N2" s="105"/>
      <c r="O2" s="105"/>
    </row>
    <row r="3" spans="1:20" ht="13.5" thickBot="1" x14ac:dyDescent="0.25">
      <c r="A3" s="172"/>
      <c r="B3" s="174"/>
      <c r="C3" s="41" t="s">
        <v>10</v>
      </c>
      <c r="D3" s="41" t="s">
        <v>10</v>
      </c>
      <c r="H3" s="168"/>
      <c r="I3" s="170"/>
      <c r="J3" s="83" t="s">
        <v>22</v>
      </c>
      <c r="K3" s="83" t="s">
        <v>11</v>
      </c>
      <c r="L3" s="73"/>
      <c r="M3" s="142" t="s">
        <v>112</v>
      </c>
      <c r="N3" s="105">
        <f>(D4-C4)*(K4-J4)</f>
        <v>11.599999999999959</v>
      </c>
      <c r="O3" s="105"/>
      <c r="P3" s="80">
        <v>132</v>
      </c>
      <c r="Q3">
        <f t="shared" ref="Q3:Q46" si="0">COUNTIF($P$3:$P$46,P3)</f>
        <v>2</v>
      </c>
      <c r="R3">
        <f>Q3/$P$47</f>
        <v>4.5454545454545456E-2</v>
      </c>
      <c r="S3" s="80">
        <v>132</v>
      </c>
      <c r="T3">
        <f>R3</f>
        <v>4.5454545454545456E-2</v>
      </c>
    </row>
    <row r="4" spans="1:20" x14ac:dyDescent="0.2">
      <c r="A4" s="42">
        <v>40423</v>
      </c>
      <c r="B4" s="43">
        <v>1</v>
      </c>
      <c r="C4" s="44">
        <v>17</v>
      </c>
      <c r="D4" s="44">
        <v>17.2</v>
      </c>
      <c r="E4" s="155"/>
      <c r="H4" s="74">
        <v>40423</v>
      </c>
      <c r="I4" s="75">
        <v>1</v>
      </c>
      <c r="J4" s="79">
        <v>74</v>
      </c>
      <c r="K4" s="80">
        <v>132</v>
      </c>
      <c r="L4" s="90"/>
      <c r="M4" s="106"/>
      <c r="N4" s="105">
        <f>(D5-C5)*(K5-J5)</f>
        <v>-180.18</v>
      </c>
      <c r="O4" s="105"/>
      <c r="P4" s="79">
        <v>159.80000000000001</v>
      </c>
      <c r="Q4">
        <f t="shared" si="0"/>
        <v>6</v>
      </c>
      <c r="R4">
        <f t="shared" ref="R4:R46" si="1">Q4/$P$47</f>
        <v>0.13636363636363635</v>
      </c>
      <c r="S4" s="79">
        <v>159.80000000000001</v>
      </c>
      <c r="T4">
        <f>R4</f>
        <v>0.13636363636363635</v>
      </c>
    </row>
    <row r="5" spans="1:20" x14ac:dyDescent="0.2">
      <c r="A5" s="45"/>
      <c r="B5" s="43">
        <v>2</v>
      </c>
      <c r="C5" s="44">
        <v>16</v>
      </c>
      <c r="D5" s="44">
        <v>13.9</v>
      </c>
      <c r="H5" s="76"/>
      <c r="I5" s="75">
        <v>2</v>
      </c>
      <c r="J5" s="79">
        <v>74</v>
      </c>
      <c r="K5" s="79">
        <v>159.80000000000001</v>
      </c>
      <c r="L5" s="90"/>
      <c r="M5" s="106"/>
      <c r="N5" s="105">
        <f t="shared" ref="N5:N48" si="2">(D6-C6)*(K6-J6)</f>
        <v>-540.54000000000008</v>
      </c>
      <c r="O5" s="105"/>
      <c r="P5" s="79">
        <v>159.80000000000001</v>
      </c>
      <c r="Q5">
        <f t="shared" si="0"/>
        <v>6</v>
      </c>
      <c r="R5">
        <f t="shared" si="1"/>
        <v>0.13636363636363635</v>
      </c>
      <c r="S5" s="79">
        <v>39.1</v>
      </c>
      <c r="T5">
        <f>R8</f>
        <v>2.2727272727272728E-2</v>
      </c>
    </row>
    <row r="6" spans="1:20" x14ac:dyDescent="0.2">
      <c r="A6" s="45"/>
      <c r="B6" s="43">
        <v>3</v>
      </c>
      <c r="C6" s="44">
        <v>14.8</v>
      </c>
      <c r="D6" s="44">
        <v>8.5</v>
      </c>
      <c r="H6" s="76"/>
      <c r="I6" s="75">
        <v>3</v>
      </c>
      <c r="J6" s="79">
        <v>74</v>
      </c>
      <c r="K6" s="79">
        <v>159.80000000000001</v>
      </c>
      <c r="L6" s="90"/>
      <c r="M6" s="106"/>
      <c r="N6" s="105">
        <f t="shared" si="2"/>
        <v>-823.68000000000018</v>
      </c>
      <c r="O6" s="105"/>
      <c r="P6" s="79">
        <v>159.80000000000001</v>
      </c>
      <c r="Q6">
        <f t="shared" si="0"/>
        <v>6</v>
      </c>
      <c r="R6">
        <f t="shared" si="1"/>
        <v>0.13636363636363635</v>
      </c>
      <c r="S6" s="79">
        <v>96</v>
      </c>
      <c r="T6">
        <f>R11</f>
        <v>2.2727272727272728E-2</v>
      </c>
    </row>
    <row r="7" spans="1:20" x14ac:dyDescent="0.2">
      <c r="A7" s="45"/>
      <c r="B7" s="43">
        <v>4</v>
      </c>
      <c r="C7" s="44">
        <v>13.4</v>
      </c>
      <c r="D7" s="44">
        <v>3.8</v>
      </c>
      <c r="H7" s="76"/>
      <c r="I7" s="75">
        <v>4</v>
      </c>
      <c r="J7" s="79">
        <v>74</v>
      </c>
      <c r="K7" s="79">
        <v>159.80000000000001</v>
      </c>
      <c r="L7" s="90"/>
      <c r="M7" s="106"/>
      <c r="N7" s="105">
        <f t="shared" si="2"/>
        <v>-926.64</v>
      </c>
      <c r="O7" s="105"/>
      <c r="P7" s="79">
        <v>159.80000000000001</v>
      </c>
      <c r="Q7">
        <f t="shared" si="0"/>
        <v>6</v>
      </c>
      <c r="R7">
        <f t="shared" si="1"/>
        <v>0.13636363636363635</v>
      </c>
      <c r="S7" s="79">
        <v>86</v>
      </c>
      <c r="T7">
        <f>R12</f>
        <v>2.2727272727272728E-2</v>
      </c>
    </row>
    <row r="8" spans="1:20" x14ac:dyDescent="0.2">
      <c r="A8" s="45"/>
      <c r="B8" s="43">
        <v>5</v>
      </c>
      <c r="C8" s="44">
        <v>11.6</v>
      </c>
      <c r="D8" s="44">
        <v>0.8</v>
      </c>
      <c r="H8" s="76"/>
      <c r="I8" s="75">
        <v>5</v>
      </c>
      <c r="J8" s="79">
        <v>74</v>
      </c>
      <c r="K8" s="79">
        <v>159.80000000000001</v>
      </c>
      <c r="L8" s="90"/>
      <c r="M8" s="106"/>
      <c r="N8" s="105">
        <f t="shared" si="2"/>
        <v>321.08</v>
      </c>
      <c r="O8" s="105"/>
      <c r="P8" s="79">
        <v>39.1</v>
      </c>
      <c r="Q8">
        <f t="shared" si="0"/>
        <v>1</v>
      </c>
      <c r="R8">
        <f t="shared" si="1"/>
        <v>2.2727272727272728E-2</v>
      </c>
      <c r="S8" s="79">
        <v>0</v>
      </c>
      <c r="T8">
        <f>R12</f>
        <v>2.2727272727272728E-2</v>
      </c>
    </row>
    <row r="9" spans="1:20" x14ac:dyDescent="0.2">
      <c r="A9" s="45"/>
      <c r="B9" s="43">
        <v>6</v>
      </c>
      <c r="C9" s="44">
        <v>9.6999999999999993</v>
      </c>
      <c r="D9" s="44">
        <v>0.5</v>
      </c>
      <c r="H9" s="76"/>
      <c r="I9" s="75">
        <v>6</v>
      </c>
      <c r="J9" s="79">
        <v>74</v>
      </c>
      <c r="K9" s="79">
        <v>39.1</v>
      </c>
      <c r="L9" s="90"/>
      <c r="M9" s="106"/>
      <c r="N9" s="105">
        <f t="shared" si="2"/>
        <v>-366.18</v>
      </c>
      <c r="O9" s="105"/>
      <c r="P9" s="79">
        <v>159.80000000000001</v>
      </c>
      <c r="Q9">
        <f t="shared" si="0"/>
        <v>6</v>
      </c>
      <c r="R9">
        <f t="shared" si="1"/>
        <v>0.13636363636363635</v>
      </c>
      <c r="S9" s="79">
        <v>10.6</v>
      </c>
      <c r="T9">
        <f>R14</f>
        <v>2.2727272727272728E-2</v>
      </c>
    </row>
    <row r="10" spans="1:20" x14ac:dyDescent="0.2">
      <c r="A10" s="45"/>
      <c r="B10" s="43">
        <v>7</v>
      </c>
      <c r="C10" s="44">
        <v>7.1</v>
      </c>
      <c r="D10" s="44">
        <v>2</v>
      </c>
      <c r="H10" s="76"/>
      <c r="I10" s="75">
        <v>7</v>
      </c>
      <c r="J10" s="79">
        <v>88</v>
      </c>
      <c r="K10" s="79">
        <v>159.80000000000001</v>
      </c>
      <c r="L10" s="90"/>
      <c r="M10" s="106"/>
      <c r="N10" s="105">
        <f t="shared" si="2"/>
        <v>-287.10000000000002</v>
      </c>
      <c r="O10" s="105"/>
      <c r="P10" s="79">
        <v>159.80000000000001</v>
      </c>
      <c r="Q10">
        <f t="shared" si="0"/>
        <v>6</v>
      </c>
      <c r="R10">
        <f t="shared" si="1"/>
        <v>0.13636363636363635</v>
      </c>
      <c r="S10" s="79">
        <v>15</v>
      </c>
      <c r="T10">
        <f>R15</f>
        <v>4.5454545454545456E-2</v>
      </c>
    </row>
    <row r="11" spans="1:20" x14ac:dyDescent="0.2">
      <c r="A11" s="45"/>
      <c r="B11" s="43">
        <v>8</v>
      </c>
      <c r="C11" s="44">
        <v>4.7</v>
      </c>
      <c r="D11" s="44">
        <v>0.2</v>
      </c>
      <c r="H11" s="76"/>
      <c r="I11" s="75">
        <v>8</v>
      </c>
      <c r="J11" s="79">
        <v>96</v>
      </c>
      <c r="K11" s="79">
        <v>159.80000000000001</v>
      </c>
      <c r="L11" s="90"/>
      <c r="M11" s="106"/>
      <c r="N11" s="105">
        <f t="shared" si="2"/>
        <v>0</v>
      </c>
      <c r="O11" s="105"/>
      <c r="P11" s="79">
        <v>96</v>
      </c>
      <c r="Q11">
        <f t="shared" si="0"/>
        <v>1</v>
      </c>
      <c r="R11">
        <f t="shared" si="1"/>
        <v>2.2727272727272728E-2</v>
      </c>
      <c r="S11" s="79">
        <v>125.2</v>
      </c>
      <c r="T11">
        <f>R17</f>
        <v>4.5454545454545456E-2</v>
      </c>
    </row>
    <row r="12" spans="1:20" x14ac:dyDescent="0.2">
      <c r="A12" s="45"/>
      <c r="B12" s="43">
        <v>9</v>
      </c>
      <c r="C12" s="44">
        <v>3.2</v>
      </c>
      <c r="D12" s="44">
        <v>0</v>
      </c>
      <c r="H12" s="76"/>
      <c r="I12" s="75">
        <v>9</v>
      </c>
      <c r="J12" s="79">
        <v>96</v>
      </c>
      <c r="K12" s="79">
        <v>96</v>
      </c>
      <c r="L12" s="90"/>
      <c r="M12" s="106"/>
      <c r="N12" s="105">
        <f t="shared" si="2"/>
        <v>0</v>
      </c>
      <c r="O12" s="105"/>
      <c r="P12" s="79">
        <v>86</v>
      </c>
      <c r="Q12">
        <f t="shared" si="0"/>
        <v>1</v>
      </c>
      <c r="R12">
        <f t="shared" si="1"/>
        <v>2.2727272727272728E-2</v>
      </c>
      <c r="S12" s="79">
        <v>9.6999999999999993</v>
      </c>
      <c r="T12">
        <f>R19</f>
        <v>2.2727272727272728E-2</v>
      </c>
    </row>
    <row r="13" spans="1:20" x14ac:dyDescent="0.2">
      <c r="A13" s="45"/>
      <c r="B13" s="43">
        <v>10</v>
      </c>
      <c r="C13" s="44">
        <v>3.7</v>
      </c>
      <c r="D13" s="44">
        <v>0.4</v>
      </c>
      <c r="H13" s="76"/>
      <c r="I13" s="75">
        <v>10</v>
      </c>
      <c r="J13" s="79">
        <v>86</v>
      </c>
      <c r="K13" s="79">
        <v>86</v>
      </c>
      <c r="L13" s="90"/>
      <c r="M13" s="106"/>
      <c r="N13" s="105">
        <f t="shared" si="2"/>
        <v>34.399999999999956</v>
      </c>
      <c r="O13" s="105"/>
      <c r="P13" s="79">
        <v>0</v>
      </c>
      <c r="Q13">
        <f t="shared" si="0"/>
        <v>8</v>
      </c>
      <c r="R13">
        <f t="shared" si="1"/>
        <v>0.18181818181818182</v>
      </c>
      <c r="S13" s="79">
        <v>10.5</v>
      </c>
      <c r="T13">
        <f>R20</f>
        <v>2.2727272727272728E-2</v>
      </c>
    </row>
    <row r="14" spans="1:20" x14ac:dyDescent="0.2">
      <c r="A14" s="45"/>
      <c r="B14" s="43">
        <v>11</v>
      </c>
      <c r="C14" s="44">
        <v>4.8</v>
      </c>
      <c r="D14" s="44">
        <v>4.4000000000000004</v>
      </c>
      <c r="H14" s="76"/>
      <c r="I14" s="75">
        <v>11</v>
      </c>
      <c r="J14" s="79">
        <v>86</v>
      </c>
      <c r="K14" s="79">
        <v>0</v>
      </c>
      <c r="L14" s="90"/>
      <c r="M14" s="106"/>
      <c r="N14" s="105">
        <f t="shared" si="2"/>
        <v>263.90000000000003</v>
      </c>
      <c r="O14" s="105"/>
      <c r="P14" s="79">
        <v>10.6</v>
      </c>
      <c r="Q14">
        <f t="shared" si="0"/>
        <v>1</v>
      </c>
      <c r="R14">
        <f t="shared" si="1"/>
        <v>2.2727272727272728E-2</v>
      </c>
      <c r="S14" s="79">
        <v>9.9</v>
      </c>
      <c r="T14">
        <f>R21</f>
        <v>2.2727272727272728E-2</v>
      </c>
    </row>
    <row r="15" spans="1:20" x14ac:dyDescent="0.2">
      <c r="A15" s="45"/>
      <c r="B15" s="43">
        <v>12</v>
      </c>
      <c r="C15" s="44">
        <v>6</v>
      </c>
      <c r="D15" s="44">
        <v>2.5</v>
      </c>
      <c r="H15" s="76"/>
      <c r="I15" s="75">
        <v>12</v>
      </c>
      <c r="J15" s="79">
        <v>86</v>
      </c>
      <c r="K15" s="79">
        <v>10.6</v>
      </c>
      <c r="L15" s="90"/>
      <c r="M15" s="106"/>
      <c r="N15" s="105">
        <f t="shared" si="2"/>
        <v>198.79999999999998</v>
      </c>
      <c r="O15" s="105"/>
      <c r="P15" s="79">
        <v>15</v>
      </c>
      <c r="Q15">
        <f t="shared" si="0"/>
        <v>2</v>
      </c>
      <c r="R15">
        <f t="shared" si="1"/>
        <v>4.5454545454545456E-2</v>
      </c>
      <c r="S15" s="79">
        <v>69.599999999999994</v>
      </c>
      <c r="T15">
        <f>R24</f>
        <v>2.2727272727272728E-2</v>
      </c>
    </row>
    <row r="16" spans="1:20" x14ac:dyDescent="0.2">
      <c r="A16" s="45"/>
      <c r="B16" s="43">
        <v>13</v>
      </c>
      <c r="C16" s="44">
        <v>6</v>
      </c>
      <c r="D16" s="44">
        <v>3.2</v>
      </c>
      <c r="H16" s="76"/>
      <c r="I16" s="75">
        <v>13</v>
      </c>
      <c r="J16" s="79">
        <v>86</v>
      </c>
      <c r="K16" s="79">
        <v>15</v>
      </c>
      <c r="L16" s="90"/>
      <c r="M16" s="106"/>
      <c r="N16" s="105">
        <f t="shared" si="2"/>
        <v>85.200000000000017</v>
      </c>
      <c r="O16" s="105"/>
      <c r="P16" s="79">
        <v>15</v>
      </c>
      <c r="Q16">
        <f t="shared" si="0"/>
        <v>2</v>
      </c>
      <c r="R16">
        <f t="shared" si="1"/>
        <v>4.5454545454545456E-2</v>
      </c>
      <c r="S16" s="79">
        <v>70</v>
      </c>
      <c r="T16">
        <f>R25</f>
        <v>2.2727272727272728E-2</v>
      </c>
    </row>
    <row r="17" spans="1:20" x14ac:dyDescent="0.2">
      <c r="A17" s="45"/>
      <c r="B17" s="43">
        <v>14</v>
      </c>
      <c r="C17" s="44">
        <v>5.7</v>
      </c>
      <c r="D17" s="44">
        <v>4.5</v>
      </c>
      <c r="H17" s="76"/>
      <c r="I17" s="75">
        <v>14</v>
      </c>
      <c r="J17" s="79">
        <v>86</v>
      </c>
      <c r="K17" s="79">
        <v>15</v>
      </c>
      <c r="L17" s="90"/>
      <c r="M17" s="106"/>
      <c r="N17" s="105">
        <f t="shared" si="2"/>
        <v>-158.19999999999999</v>
      </c>
      <c r="O17" s="105"/>
      <c r="P17" s="79">
        <v>125.2</v>
      </c>
      <c r="Q17">
        <f t="shared" si="0"/>
        <v>2</v>
      </c>
      <c r="R17">
        <f t="shared" si="1"/>
        <v>4.5454545454545456E-2</v>
      </c>
      <c r="S17" s="79">
        <v>71.099999999999994</v>
      </c>
      <c r="T17">
        <f>R26</f>
        <v>2.2727272727272728E-2</v>
      </c>
    </row>
    <row r="18" spans="1:20" x14ac:dyDescent="0.2">
      <c r="A18" s="45"/>
      <c r="B18" s="43">
        <v>15</v>
      </c>
      <c r="C18" s="44">
        <v>5.0999999999999996</v>
      </c>
      <c r="D18" s="44">
        <v>1.6</v>
      </c>
      <c r="H18" s="76"/>
      <c r="I18" s="75">
        <v>15</v>
      </c>
      <c r="J18" s="79">
        <v>80</v>
      </c>
      <c r="K18" s="79">
        <v>125.2</v>
      </c>
      <c r="L18" s="90"/>
      <c r="M18" s="106"/>
      <c r="N18" s="105" t="e">
        <f>(#REF!-#REF!)*(#REF!-#REF!)</f>
        <v>#REF!</v>
      </c>
      <c r="O18" s="105"/>
      <c r="P18" s="79">
        <v>125.2</v>
      </c>
      <c r="Q18">
        <f t="shared" si="0"/>
        <v>2</v>
      </c>
      <c r="R18">
        <f t="shared" si="1"/>
        <v>4.5454545454545456E-2</v>
      </c>
      <c r="S18" s="79">
        <v>11.6</v>
      </c>
      <c r="T18">
        <f t="shared" ref="T18:T23" si="3">R29</f>
        <v>2.2727272727272728E-2</v>
      </c>
    </row>
    <row r="19" spans="1:20" x14ac:dyDescent="0.2">
      <c r="A19" s="45"/>
      <c r="B19" s="43">
        <v>20</v>
      </c>
      <c r="C19" s="44">
        <v>8.1</v>
      </c>
      <c r="D19" s="44">
        <v>4.0999999999999996</v>
      </c>
      <c r="H19" s="76"/>
      <c r="I19" s="75">
        <v>20</v>
      </c>
      <c r="J19" s="79">
        <v>129</v>
      </c>
      <c r="K19" s="79">
        <v>0</v>
      </c>
      <c r="L19" s="90"/>
      <c r="M19" s="106"/>
      <c r="N19" s="105">
        <f t="shared" si="2"/>
        <v>761.07</v>
      </c>
      <c r="O19" s="105"/>
      <c r="P19" s="79">
        <v>9.6999999999999993</v>
      </c>
      <c r="Q19">
        <f t="shared" si="0"/>
        <v>1</v>
      </c>
      <c r="R19">
        <f t="shared" si="1"/>
        <v>2.2727272727272728E-2</v>
      </c>
      <c r="S19" s="79">
        <v>59.9</v>
      </c>
      <c r="T19">
        <f t="shared" si="3"/>
        <v>2.2727272727272728E-2</v>
      </c>
    </row>
    <row r="20" spans="1:20" x14ac:dyDescent="0.2">
      <c r="A20" s="45"/>
      <c r="B20" s="43">
        <v>21</v>
      </c>
      <c r="C20" s="44">
        <v>9.3000000000000007</v>
      </c>
      <c r="D20" s="44">
        <v>2.4</v>
      </c>
      <c r="H20" s="76"/>
      <c r="I20" s="75">
        <v>21</v>
      </c>
      <c r="J20" s="79">
        <v>120</v>
      </c>
      <c r="K20" s="79">
        <v>9.6999999999999993</v>
      </c>
      <c r="L20" s="90"/>
      <c r="M20" s="106"/>
      <c r="N20" s="105">
        <f t="shared" si="2"/>
        <v>657</v>
      </c>
      <c r="O20" s="105"/>
      <c r="P20" s="79">
        <v>10.5</v>
      </c>
      <c r="Q20">
        <f t="shared" si="0"/>
        <v>1</v>
      </c>
      <c r="R20">
        <f t="shared" si="1"/>
        <v>2.2727272727272728E-2</v>
      </c>
      <c r="S20" s="79">
        <v>59.5</v>
      </c>
      <c r="T20">
        <f t="shared" si="3"/>
        <v>2.2727272727272728E-2</v>
      </c>
    </row>
    <row r="21" spans="1:20" x14ac:dyDescent="0.2">
      <c r="A21" s="45"/>
      <c r="B21" s="43">
        <v>22</v>
      </c>
      <c r="C21" s="44">
        <v>8.9</v>
      </c>
      <c r="D21" s="44">
        <v>2.9</v>
      </c>
      <c r="H21" s="76"/>
      <c r="I21" s="75">
        <v>22</v>
      </c>
      <c r="J21" s="79">
        <v>120</v>
      </c>
      <c r="K21" s="79">
        <v>10.5</v>
      </c>
      <c r="L21" s="90"/>
      <c r="M21" s="106"/>
      <c r="N21" s="105">
        <f t="shared" si="2"/>
        <v>-901.19999999999982</v>
      </c>
      <c r="O21" s="105"/>
      <c r="P21" s="79">
        <v>9.9</v>
      </c>
      <c r="Q21">
        <f t="shared" si="0"/>
        <v>1</v>
      </c>
      <c r="R21">
        <f t="shared" si="1"/>
        <v>2.2727272727272728E-2</v>
      </c>
      <c r="S21" s="79">
        <v>50.7</v>
      </c>
      <c r="T21">
        <f t="shared" si="3"/>
        <v>2.2727272727272728E-2</v>
      </c>
    </row>
    <row r="22" spans="1:20" x14ac:dyDescent="0.2">
      <c r="A22" s="45"/>
      <c r="B22" s="43">
        <v>23</v>
      </c>
      <c r="C22" s="44">
        <v>6.4</v>
      </c>
      <c r="D22" s="44">
        <v>18.399999999999999</v>
      </c>
      <c r="H22" s="76"/>
      <c r="I22" s="75">
        <v>23</v>
      </c>
      <c r="J22" s="79">
        <v>85</v>
      </c>
      <c r="K22" s="79">
        <v>9.9</v>
      </c>
      <c r="L22" s="90"/>
      <c r="M22" s="106"/>
      <c r="N22" s="105">
        <f t="shared" si="2"/>
        <v>-1006.4</v>
      </c>
      <c r="O22" s="105"/>
      <c r="P22" s="79">
        <v>0</v>
      </c>
      <c r="Q22">
        <f t="shared" si="0"/>
        <v>8</v>
      </c>
      <c r="R22">
        <f t="shared" si="1"/>
        <v>0.18181818181818182</v>
      </c>
      <c r="S22" s="79">
        <v>108</v>
      </c>
      <c r="T22">
        <f t="shared" si="3"/>
        <v>2.2727272727272728E-2</v>
      </c>
    </row>
    <row r="23" spans="1:20" x14ac:dyDescent="0.2">
      <c r="A23" s="45"/>
      <c r="B23" s="43">
        <v>24</v>
      </c>
      <c r="C23" s="44">
        <v>3.6</v>
      </c>
      <c r="D23" s="44">
        <v>17.2</v>
      </c>
      <c r="H23" s="76"/>
      <c r="I23" s="75">
        <v>24</v>
      </c>
      <c r="J23" s="79">
        <v>74</v>
      </c>
      <c r="K23" s="79">
        <v>0</v>
      </c>
      <c r="L23" s="90"/>
      <c r="M23" s="106"/>
      <c r="N23" s="105">
        <f t="shared" si="2"/>
        <v>0</v>
      </c>
      <c r="O23" s="105"/>
      <c r="P23" s="79">
        <v>74</v>
      </c>
      <c r="Q23">
        <f t="shared" si="0"/>
        <v>2</v>
      </c>
      <c r="R23">
        <f t="shared" si="1"/>
        <v>4.5454545454545456E-2</v>
      </c>
      <c r="S23" s="79">
        <v>101</v>
      </c>
      <c r="T23">
        <f t="shared" si="3"/>
        <v>2.2727272727272728E-2</v>
      </c>
    </row>
    <row r="24" spans="1:20" ht="8.4499999999999993" customHeight="1" x14ac:dyDescent="0.2">
      <c r="A24" s="45"/>
      <c r="B24" s="43"/>
      <c r="C24" s="44"/>
      <c r="D24" s="44"/>
      <c r="H24" s="76"/>
      <c r="I24" s="75"/>
      <c r="J24" s="79"/>
      <c r="K24" s="79"/>
      <c r="L24" s="90"/>
      <c r="M24" s="106"/>
      <c r="N24" s="105">
        <f t="shared" si="2"/>
        <v>0</v>
      </c>
      <c r="O24" s="105"/>
      <c r="P24" s="79">
        <v>69.599999999999994</v>
      </c>
      <c r="Q24">
        <f t="shared" si="0"/>
        <v>1</v>
      </c>
      <c r="R24">
        <f t="shared" si="1"/>
        <v>2.2727272727272728E-2</v>
      </c>
      <c r="S24" s="79">
        <v>21.8</v>
      </c>
      <c r="T24">
        <f>R36</f>
        <v>2.2727272727272728E-2</v>
      </c>
    </row>
    <row r="25" spans="1:20" x14ac:dyDescent="0.2">
      <c r="A25" s="42">
        <v>40424</v>
      </c>
      <c r="B25" s="43">
        <v>1</v>
      </c>
      <c r="C25" s="44">
        <v>5.4</v>
      </c>
      <c r="D25" s="44">
        <v>4.7</v>
      </c>
      <c r="H25" s="74">
        <v>40424</v>
      </c>
      <c r="I25" s="75">
        <v>1</v>
      </c>
      <c r="J25" s="79">
        <v>74</v>
      </c>
      <c r="K25" s="79">
        <v>74</v>
      </c>
      <c r="L25" s="90"/>
      <c r="M25" s="106"/>
      <c r="N25" s="105">
        <f t="shared" si="2"/>
        <v>0</v>
      </c>
      <c r="O25" s="105"/>
      <c r="P25" s="79">
        <v>70</v>
      </c>
      <c r="Q25">
        <f t="shared" si="0"/>
        <v>1</v>
      </c>
      <c r="R25">
        <f t="shared" si="1"/>
        <v>2.2727272727272728E-2</v>
      </c>
      <c r="S25" s="79">
        <v>44.9</v>
      </c>
      <c r="T25">
        <f>R37</f>
        <v>2.2727272727272728E-2</v>
      </c>
    </row>
    <row r="26" spans="1:20" x14ac:dyDescent="0.2">
      <c r="A26" s="45"/>
      <c r="B26" s="43">
        <v>2</v>
      </c>
      <c r="C26" s="44">
        <v>4.3</v>
      </c>
      <c r="D26" s="44">
        <v>0.8</v>
      </c>
      <c r="H26" s="76"/>
      <c r="I26" s="75">
        <v>2</v>
      </c>
      <c r="J26" s="79">
        <v>69.599999999999994</v>
      </c>
      <c r="K26" s="79">
        <v>69.599999999999994</v>
      </c>
      <c r="L26" s="90"/>
      <c r="M26" s="106"/>
      <c r="N26" s="105">
        <f t="shared" si="2"/>
        <v>0</v>
      </c>
      <c r="O26" s="105"/>
      <c r="P26" s="79">
        <v>71.099999999999994</v>
      </c>
      <c r="Q26">
        <f t="shared" si="0"/>
        <v>1</v>
      </c>
      <c r="R26">
        <f t="shared" si="1"/>
        <v>2.2727272727272728E-2</v>
      </c>
      <c r="S26" s="79">
        <v>0</v>
      </c>
      <c r="T26">
        <f>R34</f>
        <v>2.2727272727272728E-2</v>
      </c>
    </row>
    <row r="27" spans="1:20" x14ac:dyDescent="0.2">
      <c r="A27" s="45"/>
      <c r="B27" s="43">
        <v>3</v>
      </c>
      <c r="C27" s="44">
        <v>2.9</v>
      </c>
      <c r="D27" s="44">
        <v>0</v>
      </c>
      <c r="H27" s="76"/>
      <c r="I27" s="75">
        <v>3</v>
      </c>
      <c r="J27" s="79">
        <v>70</v>
      </c>
      <c r="K27" s="79">
        <v>70</v>
      </c>
      <c r="L27" s="90"/>
      <c r="M27" s="106"/>
      <c r="N27" s="105">
        <f t="shared" si="2"/>
        <v>0</v>
      </c>
      <c r="O27" s="105"/>
      <c r="P27" s="79">
        <v>0</v>
      </c>
      <c r="Q27">
        <f t="shared" si="0"/>
        <v>8</v>
      </c>
      <c r="R27">
        <f t="shared" si="1"/>
        <v>0.18181818181818182</v>
      </c>
      <c r="S27" s="79">
        <v>184.4</v>
      </c>
      <c r="T27">
        <f>R41</f>
        <v>2.2727272727272728E-2</v>
      </c>
    </row>
    <row r="28" spans="1:20" x14ac:dyDescent="0.2">
      <c r="A28" s="45"/>
      <c r="B28" s="43">
        <v>4</v>
      </c>
      <c r="C28" s="44">
        <v>1.8</v>
      </c>
      <c r="D28" s="44">
        <v>0</v>
      </c>
      <c r="H28" s="76"/>
      <c r="I28" s="75">
        <v>4</v>
      </c>
      <c r="J28" s="79">
        <v>71.099999999999994</v>
      </c>
      <c r="K28" s="79">
        <v>71.099999999999994</v>
      </c>
      <c r="L28" s="90"/>
      <c r="M28" s="106"/>
      <c r="N28" s="105">
        <f t="shared" si="2"/>
        <v>59.2</v>
      </c>
      <c r="O28" s="105"/>
      <c r="P28" s="79">
        <v>0</v>
      </c>
      <c r="Q28">
        <f t="shared" si="0"/>
        <v>8</v>
      </c>
      <c r="R28">
        <f t="shared" si="1"/>
        <v>0.18181818181818182</v>
      </c>
      <c r="S28" s="79">
        <v>174.1</v>
      </c>
      <c r="T28">
        <f>R42</f>
        <v>2.2727272727272728E-2</v>
      </c>
    </row>
    <row r="29" spans="1:20" x14ac:dyDescent="0.2">
      <c r="A29" s="45"/>
      <c r="B29" s="43">
        <v>5</v>
      </c>
      <c r="C29" s="44">
        <v>0.8</v>
      </c>
      <c r="D29" s="44">
        <v>0</v>
      </c>
      <c r="H29" s="76"/>
      <c r="I29" s="75">
        <v>5</v>
      </c>
      <c r="J29" s="79">
        <v>74</v>
      </c>
      <c r="K29" s="79">
        <v>0</v>
      </c>
      <c r="L29" s="90"/>
      <c r="M29" s="106"/>
      <c r="N29" s="105">
        <f t="shared" si="2"/>
        <v>22.8</v>
      </c>
      <c r="O29" s="105"/>
      <c r="P29" s="79">
        <v>11.6</v>
      </c>
      <c r="Q29">
        <f t="shared" si="0"/>
        <v>1</v>
      </c>
      <c r="R29">
        <f t="shared" si="1"/>
        <v>2.2727272727272728E-2</v>
      </c>
      <c r="S29" s="79">
        <v>121.2</v>
      </c>
      <c r="T29">
        <f>R43</f>
        <v>2.2727272727272728E-2</v>
      </c>
    </row>
    <row r="30" spans="1:20" x14ac:dyDescent="0.2">
      <c r="A30" s="45"/>
      <c r="B30" s="43">
        <v>6</v>
      </c>
      <c r="C30" s="44">
        <v>0.2</v>
      </c>
      <c r="D30" s="44">
        <v>0</v>
      </c>
      <c r="H30" s="76"/>
      <c r="I30" s="75">
        <v>6</v>
      </c>
      <c r="J30" s="79">
        <v>114</v>
      </c>
      <c r="K30" s="79">
        <v>0</v>
      </c>
      <c r="L30" s="90"/>
      <c r="M30" s="106"/>
      <c r="N30" s="105">
        <f t="shared" si="2"/>
        <v>11.14</v>
      </c>
      <c r="O30" s="105"/>
      <c r="P30" s="79">
        <v>59.9</v>
      </c>
      <c r="Q30">
        <f t="shared" si="0"/>
        <v>1</v>
      </c>
      <c r="R30">
        <f t="shared" si="1"/>
        <v>2.2727272727272728E-2</v>
      </c>
      <c r="S30" s="79">
        <v>113.6</v>
      </c>
      <c r="T30">
        <f>R44</f>
        <v>2.2727272727272728E-2</v>
      </c>
    </row>
    <row r="31" spans="1:20" x14ac:dyDescent="0.2">
      <c r="A31" s="45"/>
      <c r="B31" s="43">
        <v>7</v>
      </c>
      <c r="C31" s="44">
        <v>0.1</v>
      </c>
      <c r="D31" s="44">
        <v>0</v>
      </c>
      <c r="H31" s="76"/>
      <c r="I31" s="75">
        <v>7</v>
      </c>
      <c r="J31" s="79">
        <v>123</v>
      </c>
      <c r="K31" s="79">
        <v>11.6</v>
      </c>
      <c r="L31" s="90"/>
      <c r="M31" s="106"/>
      <c r="N31" s="105">
        <f t="shared" si="2"/>
        <v>0</v>
      </c>
      <c r="O31" s="105"/>
      <c r="P31" s="79">
        <v>59.5</v>
      </c>
      <c r="Q31">
        <f t="shared" si="0"/>
        <v>1</v>
      </c>
      <c r="R31">
        <f t="shared" si="1"/>
        <v>2.2727272727272728E-2</v>
      </c>
      <c r="S31" s="79">
        <v>74</v>
      </c>
      <c r="T31">
        <f>R45</f>
        <v>4.5454545454545456E-2</v>
      </c>
    </row>
    <row r="32" spans="1:20" ht="13.5" thickBot="1" x14ac:dyDescent="0.25">
      <c r="A32" s="45"/>
      <c r="B32" s="43">
        <v>8</v>
      </c>
      <c r="C32" s="44">
        <v>0</v>
      </c>
      <c r="D32" s="44">
        <v>0</v>
      </c>
      <c r="H32" s="76"/>
      <c r="I32" s="75">
        <v>8</v>
      </c>
      <c r="J32" s="79">
        <v>123</v>
      </c>
      <c r="K32" s="79">
        <v>59.9</v>
      </c>
      <c r="L32" s="90"/>
      <c r="M32" s="106"/>
      <c r="N32" s="105">
        <f t="shared" si="2"/>
        <v>0</v>
      </c>
      <c r="O32" s="105"/>
      <c r="P32" s="79">
        <v>50.7</v>
      </c>
      <c r="Q32">
        <f t="shared" si="0"/>
        <v>1</v>
      </c>
      <c r="R32">
        <f t="shared" si="1"/>
        <v>2.2727272727272728E-2</v>
      </c>
      <c r="S32" s="81"/>
    </row>
    <row r="33" spans="1:18" ht="13.5" thickTop="1" x14ac:dyDescent="0.2">
      <c r="A33" s="45"/>
      <c r="B33" s="43">
        <v>9</v>
      </c>
      <c r="C33" s="44">
        <v>0</v>
      </c>
      <c r="D33" s="44">
        <v>0</v>
      </c>
      <c r="H33" s="76"/>
      <c r="I33" s="75">
        <v>9</v>
      </c>
      <c r="J33" s="79">
        <v>123</v>
      </c>
      <c r="K33" s="79">
        <v>59.5</v>
      </c>
      <c r="L33" s="90"/>
      <c r="M33" s="106"/>
      <c r="N33" s="105">
        <f t="shared" si="2"/>
        <v>36.15</v>
      </c>
      <c r="O33" s="105"/>
      <c r="P33" s="79">
        <v>108</v>
      </c>
      <c r="Q33">
        <f t="shared" si="0"/>
        <v>1</v>
      </c>
      <c r="R33">
        <f t="shared" si="1"/>
        <v>2.2727272727272728E-2</v>
      </c>
    </row>
    <row r="34" spans="1:18" x14ac:dyDescent="0.2">
      <c r="A34" s="45"/>
      <c r="B34" s="43">
        <v>10</v>
      </c>
      <c r="C34" s="44">
        <v>0.9</v>
      </c>
      <c r="D34" s="44">
        <v>0.4</v>
      </c>
      <c r="H34" s="76"/>
      <c r="I34" s="75">
        <v>10</v>
      </c>
      <c r="J34" s="79">
        <v>123</v>
      </c>
      <c r="K34" s="79">
        <v>50.7</v>
      </c>
      <c r="L34" s="90"/>
      <c r="M34" s="106"/>
      <c r="N34" s="105">
        <f t="shared" si="2"/>
        <v>0</v>
      </c>
      <c r="O34" s="105"/>
      <c r="P34" s="79">
        <v>101</v>
      </c>
      <c r="Q34">
        <f t="shared" si="0"/>
        <v>1</v>
      </c>
      <c r="R34">
        <f t="shared" si="1"/>
        <v>2.2727272727272728E-2</v>
      </c>
    </row>
    <row r="35" spans="1:18" x14ac:dyDescent="0.2">
      <c r="A35" s="45"/>
      <c r="B35" s="43">
        <v>11</v>
      </c>
      <c r="C35" s="44">
        <v>2.2999999999999998</v>
      </c>
      <c r="D35" s="44">
        <v>1.8</v>
      </c>
      <c r="H35" s="76"/>
      <c r="I35" s="75">
        <v>11</v>
      </c>
      <c r="J35" s="79">
        <v>108</v>
      </c>
      <c r="K35" s="79">
        <v>108</v>
      </c>
      <c r="L35" s="90"/>
      <c r="M35" s="106"/>
      <c r="N35" s="105">
        <f t="shared" si="2"/>
        <v>0</v>
      </c>
      <c r="O35" s="105"/>
      <c r="P35" s="79">
        <v>0</v>
      </c>
      <c r="Q35">
        <f t="shared" si="0"/>
        <v>8</v>
      </c>
      <c r="R35">
        <f t="shared" si="1"/>
        <v>0.18181818181818182</v>
      </c>
    </row>
    <row r="36" spans="1:18" x14ac:dyDescent="0.2">
      <c r="A36" s="45"/>
      <c r="B36" s="43">
        <v>12</v>
      </c>
      <c r="C36" s="44">
        <v>3.5</v>
      </c>
      <c r="D36" s="44">
        <v>3.8</v>
      </c>
      <c r="H36" s="76"/>
      <c r="I36" s="75">
        <v>12</v>
      </c>
      <c r="J36" s="79">
        <v>101</v>
      </c>
      <c r="K36" s="79">
        <v>101</v>
      </c>
      <c r="L36" s="90"/>
      <c r="M36" s="106"/>
      <c r="N36" s="105">
        <f t="shared" si="2"/>
        <v>0</v>
      </c>
      <c r="O36" s="105"/>
      <c r="P36" s="79">
        <v>21.8</v>
      </c>
      <c r="Q36">
        <f t="shared" si="0"/>
        <v>1</v>
      </c>
      <c r="R36">
        <f t="shared" si="1"/>
        <v>2.2727272727272728E-2</v>
      </c>
    </row>
    <row r="37" spans="1:18" x14ac:dyDescent="0.2">
      <c r="A37" s="45"/>
      <c r="B37" s="43">
        <v>13</v>
      </c>
      <c r="C37" s="44">
        <v>3.8</v>
      </c>
      <c r="D37" s="44">
        <v>3.8</v>
      </c>
      <c r="H37" s="76"/>
      <c r="I37" s="75">
        <v>13</v>
      </c>
      <c r="J37" s="79">
        <v>104</v>
      </c>
      <c r="K37" s="79">
        <v>0</v>
      </c>
      <c r="L37" s="90"/>
      <c r="M37" s="106"/>
      <c r="N37" s="105">
        <f t="shared" si="2"/>
        <v>73.97999999999999</v>
      </c>
      <c r="O37" s="105"/>
      <c r="P37" s="79">
        <v>44.9</v>
      </c>
      <c r="Q37">
        <f t="shared" si="0"/>
        <v>1</v>
      </c>
      <c r="R37">
        <f t="shared" si="1"/>
        <v>2.2727272727272728E-2</v>
      </c>
    </row>
    <row r="38" spans="1:18" x14ac:dyDescent="0.2">
      <c r="A38" s="45"/>
      <c r="B38" s="43">
        <v>14</v>
      </c>
      <c r="C38" s="44">
        <v>3.9</v>
      </c>
      <c r="D38" s="44">
        <v>3</v>
      </c>
      <c r="H38" s="76"/>
      <c r="I38" s="75">
        <v>14</v>
      </c>
      <c r="J38" s="79">
        <v>104</v>
      </c>
      <c r="K38" s="79">
        <v>21.8</v>
      </c>
      <c r="L38" s="90"/>
      <c r="M38" s="106"/>
      <c r="N38" s="105">
        <f t="shared" si="2"/>
        <v>51.170000000000009</v>
      </c>
      <c r="O38" s="105"/>
      <c r="P38" s="79">
        <v>0</v>
      </c>
      <c r="Q38">
        <f t="shared" si="0"/>
        <v>8</v>
      </c>
      <c r="R38">
        <f t="shared" si="1"/>
        <v>0.18181818181818182</v>
      </c>
    </row>
    <row r="39" spans="1:18" x14ac:dyDescent="0.2">
      <c r="A39" s="45"/>
      <c r="B39" s="43">
        <v>15</v>
      </c>
      <c r="C39" s="44">
        <v>3.7</v>
      </c>
      <c r="D39" s="44">
        <v>3</v>
      </c>
      <c r="H39" s="76"/>
      <c r="I39" s="75">
        <v>15</v>
      </c>
      <c r="J39" s="79">
        <v>118</v>
      </c>
      <c r="K39" s="79">
        <v>44.9</v>
      </c>
      <c r="L39" s="90"/>
      <c r="M39" s="106"/>
      <c r="N39" s="105">
        <f t="shared" si="2"/>
        <v>-128.00000000000006</v>
      </c>
      <c r="O39" s="105"/>
      <c r="P39" s="79">
        <v>0</v>
      </c>
      <c r="Q39">
        <f t="shared" si="0"/>
        <v>8</v>
      </c>
      <c r="R39">
        <f t="shared" si="1"/>
        <v>0.18181818181818182</v>
      </c>
    </row>
    <row r="40" spans="1:18" x14ac:dyDescent="0.2">
      <c r="A40" s="45"/>
      <c r="B40" s="43">
        <v>16</v>
      </c>
      <c r="C40" s="44">
        <v>3.4</v>
      </c>
      <c r="D40" s="44">
        <v>4.4000000000000004</v>
      </c>
      <c r="H40" s="76"/>
      <c r="I40" s="75">
        <v>16</v>
      </c>
      <c r="J40" s="79">
        <v>128</v>
      </c>
      <c r="K40" s="79">
        <v>0</v>
      </c>
      <c r="L40" s="90"/>
      <c r="M40" s="106"/>
      <c r="N40" s="105">
        <f t="shared" si="2"/>
        <v>-239.40000000000003</v>
      </c>
      <c r="O40" s="105"/>
      <c r="P40" s="79">
        <v>0</v>
      </c>
      <c r="Q40">
        <f t="shared" si="0"/>
        <v>8</v>
      </c>
      <c r="R40">
        <f t="shared" si="1"/>
        <v>0.18181818181818182</v>
      </c>
    </row>
    <row r="41" spans="1:18" x14ac:dyDescent="0.2">
      <c r="A41" s="45"/>
      <c r="B41" s="43">
        <v>17</v>
      </c>
      <c r="C41" s="44">
        <v>3.1</v>
      </c>
      <c r="D41" s="44">
        <v>4.9000000000000004</v>
      </c>
      <c r="H41" s="76"/>
      <c r="I41" s="75">
        <v>17</v>
      </c>
      <c r="J41" s="79">
        <v>133</v>
      </c>
      <c r="K41" s="79">
        <v>0</v>
      </c>
      <c r="L41" s="90"/>
      <c r="M41" s="106"/>
      <c r="N41" s="105">
        <f t="shared" si="2"/>
        <v>-179.39999999999998</v>
      </c>
      <c r="O41" s="105"/>
      <c r="P41" s="79">
        <v>184.4</v>
      </c>
      <c r="Q41">
        <f t="shared" si="0"/>
        <v>1</v>
      </c>
      <c r="R41">
        <f t="shared" si="1"/>
        <v>2.2727272727272728E-2</v>
      </c>
    </row>
    <row r="42" spans="1:18" x14ac:dyDescent="0.2">
      <c r="A42" s="45"/>
      <c r="B42" s="43">
        <v>18</v>
      </c>
      <c r="C42" s="44">
        <v>2.6</v>
      </c>
      <c r="D42" s="44">
        <v>3.9</v>
      </c>
      <c r="H42" s="76"/>
      <c r="I42" s="75">
        <v>18</v>
      </c>
      <c r="J42" s="79">
        <v>138</v>
      </c>
      <c r="K42" s="79">
        <v>0</v>
      </c>
      <c r="L42" s="90"/>
      <c r="M42" s="106"/>
      <c r="N42" s="105">
        <f t="shared" si="2"/>
        <v>21.600000000000009</v>
      </c>
      <c r="O42" s="105"/>
      <c r="P42" s="79">
        <v>174.1</v>
      </c>
      <c r="Q42">
        <f t="shared" si="0"/>
        <v>1</v>
      </c>
      <c r="R42">
        <f t="shared" si="1"/>
        <v>2.2727272727272728E-2</v>
      </c>
    </row>
    <row r="43" spans="1:18" x14ac:dyDescent="0.2">
      <c r="A43" s="45"/>
      <c r="B43" s="43">
        <v>19</v>
      </c>
      <c r="C43" s="44">
        <v>2</v>
      </c>
      <c r="D43" s="44">
        <v>3.5</v>
      </c>
      <c r="H43" s="76"/>
      <c r="I43" s="75">
        <v>19</v>
      </c>
      <c r="J43" s="79">
        <v>170</v>
      </c>
      <c r="K43" s="79">
        <v>184.4</v>
      </c>
      <c r="L43" s="90"/>
      <c r="M43" s="106"/>
      <c r="N43" s="105">
        <f t="shared" si="2"/>
        <v>-43.319999999999993</v>
      </c>
      <c r="O43" s="105"/>
      <c r="P43" s="79">
        <v>121.2</v>
      </c>
      <c r="Q43">
        <f t="shared" si="0"/>
        <v>1</v>
      </c>
      <c r="R43">
        <f t="shared" si="1"/>
        <v>2.2727272727272728E-2</v>
      </c>
    </row>
    <row r="44" spans="1:18" x14ac:dyDescent="0.2">
      <c r="A44" s="45"/>
      <c r="B44" s="43">
        <v>20</v>
      </c>
      <c r="C44" s="44">
        <v>1.5</v>
      </c>
      <c r="D44" s="44">
        <v>0.3</v>
      </c>
      <c r="H44" s="76"/>
      <c r="I44" s="75">
        <v>20</v>
      </c>
      <c r="J44" s="79">
        <v>138</v>
      </c>
      <c r="K44" s="79">
        <v>174.1</v>
      </c>
      <c r="L44" s="90"/>
      <c r="M44" s="106"/>
      <c r="N44" s="105">
        <f t="shared" si="2"/>
        <v>14.560000000000002</v>
      </c>
      <c r="O44" s="105"/>
      <c r="P44" s="79">
        <v>113.6</v>
      </c>
      <c r="Q44">
        <f t="shared" si="0"/>
        <v>1</v>
      </c>
      <c r="R44">
        <f t="shared" si="1"/>
        <v>2.2727272727272728E-2</v>
      </c>
    </row>
    <row r="45" spans="1:18" x14ac:dyDescent="0.2">
      <c r="A45" s="45"/>
      <c r="B45" s="43">
        <v>21</v>
      </c>
      <c r="C45" s="44">
        <v>1</v>
      </c>
      <c r="D45" s="44">
        <v>1.8</v>
      </c>
      <c r="H45" s="76"/>
      <c r="I45" s="75">
        <v>21</v>
      </c>
      <c r="J45" s="79">
        <v>103</v>
      </c>
      <c r="K45" s="79">
        <v>121.2</v>
      </c>
      <c r="L45" s="90"/>
      <c r="M45" s="106"/>
      <c r="N45" s="105">
        <f t="shared" si="2"/>
        <v>-7.8399999999999981</v>
      </c>
      <c r="O45" s="105"/>
      <c r="P45" s="79">
        <v>74</v>
      </c>
      <c r="Q45">
        <f t="shared" si="0"/>
        <v>2</v>
      </c>
      <c r="R45">
        <f t="shared" si="1"/>
        <v>4.5454545454545456E-2</v>
      </c>
    </row>
    <row r="46" spans="1:18" ht="13.5" thickBot="1" x14ac:dyDescent="0.25">
      <c r="A46" s="45"/>
      <c r="B46" s="43">
        <v>22</v>
      </c>
      <c r="C46" s="44">
        <v>0.8</v>
      </c>
      <c r="D46" s="44">
        <v>0.4</v>
      </c>
      <c r="H46" s="76"/>
      <c r="I46" s="75">
        <v>22</v>
      </c>
      <c r="J46" s="79">
        <v>94</v>
      </c>
      <c r="K46" s="79">
        <v>113.6</v>
      </c>
      <c r="L46" s="90"/>
      <c r="M46" s="106"/>
      <c r="N46" s="105">
        <f t="shared" si="2"/>
        <v>0</v>
      </c>
      <c r="O46" s="105"/>
      <c r="P46" s="81">
        <v>132</v>
      </c>
      <c r="Q46">
        <f t="shared" si="0"/>
        <v>2</v>
      </c>
      <c r="R46">
        <f t="shared" si="1"/>
        <v>4.5454545454545456E-2</v>
      </c>
    </row>
    <row r="47" spans="1:18" ht="13.5" thickTop="1" x14ac:dyDescent="0.2">
      <c r="A47" s="45"/>
      <c r="B47" s="43">
        <v>23</v>
      </c>
      <c r="C47" s="44">
        <v>0.5</v>
      </c>
      <c r="D47" s="44">
        <v>0</v>
      </c>
      <c r="H47" s="76"/>
      <c r="I47" s="75">
        <v>23</v>
      </c>
      <c r="J47" s="79">
        <v>74</v>
      </c>
      <c r="K47" s="79">
        <v>74</v>
      </c>
      <c r="L47" s="90"/>
      <c r="M47" s="106"/>
      <c r="N47" s="105">
        <f t="shared" si="2"/>
        <v>-17.399999999999999</v>
      </c>
      <c r="O47" s="105"/>
      <c r="P47">
        <f>COUNT(P3:P46)</f>
        <v>44</v>
      </c>
    </row>
    <row r="48" spans="1:18" ht="13.5" thickBot="1" x14ac:dyDescent="0.25">
      <c r="A48" s="46"/>
      <c r="B48" s="47">
        <v>24</v>
      </c>
      <c r="C48" s="48">
        <v>0.3</v>
      </c>
      <c r="D48" s="48">
        <v>0</v>
      </c>
      <c r="H48" s="77"/>
      <c r="I48" s="78">
        <v>24</v>
      </c>
      <c r="J48" s="81">
        <v>74</v>
      </c>
      <c r="K48" s="81">
        <v>132</v>
      </c>
      <c r="L48" s="90"/>
      <c r="M48" s="106"/>
      <c r="N48" s="105">
        <f t="shared" si="2"/>
        <v>0</v>
      </c>
      <c r="O48" s="105"/>
    </row>
    <row r="49" spans="1:16" ht="13.5" thickTop="1" x14ac:dyDescent="0.2">
      <c r="F49" s="148" t="s">
        <v>95</v>
      </c>
      <c r="H49" s="73"/>
      <c r="I49" s="73"/>
      <c r="J49" s="73"/>
      <c r="K49" s="73"/>
      <c r="L49" s="90"/>
      <c r="M49" s="106"/>
      <c r="N49" s="106" t="e">
        <f>AVERAGE(N3:N48)</f>
        <v>#REF!</v>
      </c>
      <c r="O49" s="105"/>
      <c r="P49" s="107">
        <v>0.22916666666666666</v>
      </c>
    </row>
    <row r="50" spans="1:16" ht="15.75" x14ac:dyDescent="0.2">
      <c r="A50" s="39"/>
      <c r="B50" s="148"/>
      <c r="C50" s="44">
        <v>17</v>
      </c>
      <c r="D50">
        <f t="shared" ref="D50:D96" si="4">COUNTIF($C$50:$C$96,C50)</f>
        <v>1</v>
      </c>
      <c r="E50">
        <f t="shared" ref="E50:E96" si="5">D50/$C$97</f>
        <v>2.1276595744680851E-2</v>
      </c>
      <c r="F50" s="151">
        <v>17</v>
      </c>
      <c r="G50">
        <v>2.0833333333333332E-2</v>
      </c>
      <c r="I50" s="148" t="s">
        <v>95</v>
      </c>
      <c r="J50" s="149">
        <v>17</v>
      </c>
      <c r="L50" s="79">
        <v>74</v>
      </c>
      <c r="M50" s="107">
        <f>COUNTIF($L$50:$L$97,L50)</f>
        <v>11</v>
      </c>
      <c r="N50" s="107">
        <f>M50/$L$98</f>
        <v>0.22916666666666666</v>
      </c>
      <c r="O50" s="79">
        <v>74</v>
      </c>
      <c r="P50">
        <v>2.0833333333333332E-2</v>
      </c>
    </row>
    <row r="51" spans="1:16" x14ac:dyDescent="0.2">
      <c r="C51" s="44">
        <v>16</v>
      </c>
      <c r="D51">
        <f t="shared" si="4"/>
        <v>1</v>
      </c>
      <c r="E51">
        <f t="shared" si="5"/>
        <v>2.1276595744680851E-2</v>
      </c>
      <c r="F51" s="44">
        <v>16</v>
      </c>
      <c r="G51">
        <v>2.0833333333333332E-2</v>
      </c>
      <c r="I51" s="148" t="s">
        <v>96</v>
      </c>
      <c r="J51" s="150">
        <v>18.399999999999999</v>
      </c>
      <c r="K51" s="105">
        <f>J51-J50</f>
        <v>1.3999999999999986</v>
      </c>
      <c r="L51" s="79">
        <v>74</v>
      </c>
      <c r="M51" s="107">
        <f t="shared" ref="M51:M97" si="6">COUNTIF($L$50:$L$97,L51)</f>
        <v>11</v>
      </c>
      <c r="N51" s="107">
        <f t="shared" ref="N51:N97" si="7">M51/$L$98</f>
        <v>0.22916666666666666</v>
      </c>
      <c r="O51" s="79">
        <v>88</v>
      </c>
      <c r="P51" s="107">
        <f>N57</f>
        <v>4.1666666666666664E-2</v>
      </c>
    </row>
    <row r="52" spans="1:16" x14ac:dyDescent="0.2">
      <c r="C52" s="44">
        <v>14.8</v>
      </c>
      <c r="D52">
        <f t="shared" si="4"/>
        <v>1</v>
      </c>
      <c r="E52">
        <f t="shared" si="5"/>
        <v>2.1276595744680851E-2</v>
      </c>
      <c r="F52" s="44">
        <v>14.8</v>
      </c>
      <c r="G52">
        <v>2.0833333333333332E-2</v>
      </c>
      <c r="I52" s="148" t="s">
        <v>134</v>
      </c>
      <c r="J52" s="149">
        <v>0.22916666666666699</v>
      </c>
      <c r="K52" s="148" t="s">
        <v>137</v>
      </c>
      <c r="L52" s="79">
        <v>74</v>
      </c>
      <c r="M52" s="107">
        <f t="shared" si="6"/>
        <v>11</v>
      </c>
      <c r="N52" s="107">
        <f t="shared" si="7"/>
        <v>0.22916666666666666</v>
      </c>
      <c r="O52" s="79">
        <v>96</v>
      </c>
      <c r="P52">
        <f>N59</f>
        <v>0.125</v>
      </c>
    </row>
    <row r="53" spans="1:16" x14ac:dyDescent="0.2">
      <c r="C53" s="44">
        <v>13.4</v>
      </c>
      <c r="D53">
        <f t="shared" si="4"/>
        <v>1</v>
      </c>
      <c r="E53">
        <f t="shared" si="5"/>
        <v>2.1276595744680851E-2</v>
      </c>
      <c r="F53" s="44">
        <v>13.4</v>
      </c>
      <c r="G53">
        <v>2.0833333333333332E-2</v>
      </c>
      <c r="I53" s="152" t="s">
        <v>99</v>
      </c>
      <c r="J53" s="149">
        <v>0</v>
      </c>
      <c r="K53">
        <f>13.51</f>
        <v>13.51</v>
      </c>
      <c r="L53" s="79">
        <v>74</v>
      </c>
      <c r="M53" s="107">
        <f t="shared" si="6"/>
        <v>11</v>
      </c>
      <c r="N53" s="107">
        <f t="shared" si="7"/>
        <v>0.22916666666666666</v>
      </c>
      <c r="O53" s="79">
        <v>86</v>
      </c>
      <c r="P53">
        <f>N64</f>
        <v>2.0833333333333332E-2</v>
      </c>
    </row>
    <row r="54" spans="1:16" x14ac:dyDescent="0.2">
      <c r="C54" s="44">
        <v>11.6</v>
      </c>
      <c r="D54">
        <f t="shared" si="4"/>
        <v>1</v>
      </c>
      <c r="E54">
        <f t="shared" si="5"/>
        <v>2.1276595744680851E-2</v>
      </c>
      <c r="F54" s="44">
        <v>11.6</v>
      </c>
      <c r="G54">
        <v>2.0833333333333332E-2</v>
      </c>
      <c r="I54" s="152" t="s">
        <v>135</v>
      </c>
      <c r="J54" s="105">
        <f>(J51-J50)*(J53-J52)</f>
        <v>-0.32083333333333347</v>
      </c>
      <c r="L54" s="79">
        <v>74</v>
      </c>
      <c r="M54" s="107">
        <f t="shared" si="6"/>
        <v>11</v>
      </c>
      <c r="N54" s="107">
        <f t="shared" si="7"/>
        <v>0.22916666666666666</v>
      </c>
      <c r="O54" s="79">
        <v>80</v>
      </c>
      <c r="P54">
        <f>N66</f>
        <v>2.0833333333333332E-2</v>
      </c>
    </row>
    <row r="55" spans="1:16" x14ac:dyDescent="0.2">
      <c r="C55" s="44">
        <v>9.6999999999999993</v>
      </c>
      <c r="D55">
        <f t="shared" si="4"/>
        <v>1</v>
      </c>
      <c r="E55">
        <f t="shared" si="5"/>
        <v>2.1276595744680851E-2</v>
      </c>
      <c r="F55" s="44">
        <v>9.6999999999999993</v>
      </c>
      <c r="G55">
        <v>2.0833333333333332E-2</v>
      </c>
      <c r="I55" s="152" t="s">
        <v>136</v>
      </c>
      <c r="J55" s="105">
        <f>J51*J52+J54</f>
        <v>3.8958333333333388</v>
      </c>
      <c r="L55" s="79">
        <v>74</v>
      </c>
      <c r="M55" s="107">
        <f t="shared" si="6"/>
        <v>11</v>
      </c>
      <c r="N55" s="107">
        <f t="shared" si="7"/>
        <v>0.22916666666666666</v>
      </c>
      <c r="O55" s="79">
        <v>92</v>
      </c>
      <c r="P55">
        <f>N67</f>
        <v>2.0833333333333332E-2</v>
      </c>
    </row>
    <row r="56" spans="1:16" x14ac:dyDescent="0.2">
      <c r="C56" s="44">
        <v>7.1</v>
      </c>
      <c r="D56">
        <f t="shared" si="4"/>
        <v>1</v>
      </c>
      <c r="E56">
        <f t="shared" si="5"/>
        <v>2.1276595744680851E-2</v>
      </c>
      <c r="F56" s="44">
        <v>7.1</v>
      </c>
      <c r="G56">
        <v>2.0833333333333332E-2</v>
      </c>
      <c r="L56" s="79">
        <v>88</v>
      </c>
      <c r="M56" s="107">
        <f t="shared" si="6"/>
        <v>1</v>
      </c>
      <c r="N56" s="107">
        <f t="shared" si="7"/>
        <v>2.0833333333333332E-2</v>
      </c>
      <c r="O56" s="79">
        <v>109</v>
      </c>
      <c r="P56">
        <f>N69</f>
        <v>2.0833333333333332E-2</v>
      </c>
    </row>
    <row r="57" spans="1:16" x14ac:dyDescent="0.2">
      <c r="C57" s="44">
        <v>4.7</v>
      </c>
      <c r="D57">
        <f t="shared" si="4"/>
        <v>1</v>
      </c>
      <c r="E57">
        <f t="shared" si="5"/>
        <v>2.1276595744680851E-2</v>
      </c>
      <c r="F57" s="44">
        <v>4.7</v>
      </c>
      <c r="G57">
        <v>2.0833333333333332E-2</v>
      </c>
      <c r="I57" s="148" t="s">
        <v>95</v>
      </c>
      <c r="J57" s="149">
        <v>17</v>
      </c>
      <c r="K57" s="148" t="s">
        <v>137</v>
      </c>
      <c r="L57" s="79">
        <v>96</v>
      </c>
      <c r="M57" s="107">
        <f t="shared" si="6"/>
        <v>2</v>
      </c>
      <c r="N57" s="107">
        <f t="shared" si="7"/>
        <v>4.1666666666666664E-2</v>
      </c>
      <c r="O57" s="79">
        <v>129</v>
      </c>
      <c r="P57">
        <f>N68</f>
        <v>6.25E-2</v>
      </c>
    </row>
    <row r="58" spans="1:16" x14ac:dyDescent="0.2">
      <c r="C58" s="44">
        <v>3.2</v>
      </c>
      <c r="D58">
        <f t="shared" si="4"/>
        <v>1</v>
      </c>
      <c r="E58">
        <f t="shared" si="5"/>
        <v>2.1276595744680851E-2</v>
      </c>
      <c r="F58" s="44">
        <v>3.2</v>
      </c>
      <c r="G58">
        <v>2.0833333333333332E-2</v>
      </c>
      <c r="I58" s="148" t="s">
        <v>96</v>
      </c>
      <c r="J58" s="156">
        <f>154999/(365*24)</f>
        <v>17.693949771689496</v>
      </c>
      <c r="K58" s="157">
        <f>J58-J57</f>
        <v>0.69394977168949623</v>
      </c>
      <c r="L58" s="79">
        <v>96</v>
      </c>
      <c r="M58" s="107">
        <f t="shared" si="6"/>
        <v>2</v>
      </c>
      <c r="N58" s="107">
        <f t="shared" si="7"/>
        <v>4.1666666666666664E-2</v>
      </c>
      <c r="O58" s="79">
        <v>120</v>
      </c>
      <c r="P58">
        <f>N72</f>
        <v>2.0833333333333332E-2</v>
      </c>
    </row>
    <row r="59" spans="1:16" x14ac:dyDescent="0.2">
      <c r="C59" s="44">
        <v>3.7</v>
      </c>
      <c r="D59">
        <f t="shared" si="4"/>
        <v>2</v>
      </c>
      <c r="E59">
        <f t="shared" si="5"/>
        <v>4.2553191489361701E-2</v>
      </c>
      <c r="F59" s="44">
        <v>4.8</v>
      </c>
      <c r="G59">
        <v>2.0833333333333332E-2</v>
      </c>
      <c r="I59" s="148" t="s">
        <v>134</v>
      </c>
      <c r="J59" s="149">
        <v>0.22916666666666699</v>
      </c>
      <c r="K59" s="148">
        <v>13</v>
      </c>
      <c r="L59" s="79">
        <v>86</v>
      </c>
      <c r="M59" s="107">
        <f t="shared" si="6"/>
        <v>6</v>
      </c>
      <c r="N59" s="107">
        <f t="shared" si="7"/>
        <v>0.125</v>
      </c>
      <c r="O59" s="79">
        <v>85</v>
      </c>
      <c r="P59">
        <f>N75</f>
        <v>2.0833333333333332E-2</v>
      </c>
    </row>
    <row r="60" spans="1:16" x14ac:dyDescent="0.2">
      <c r="C60" s="44">
        <v>4.8</v>
      </c>
      <c r="D60">
        <f t="shared" si="4"/>
        <v>1</v>
      </c>
      <c r="E60">
        <f t="shared" si="5"/>
        <v>2.1276595744680851E-2</v>
      </c>
      <c r="F60" s="44">
        <v>6</v>
      </c>
      <c r="G60">
        <f>E61</f>
        <v>4.2553191489361701E-2</v>
      </c>
      <c r="I60" s="148" t="s">
        <v>99</v>
      </c>
      <c r="J60" s="149">
        <v>0</v>
      </c>
      <c r="K60" s="148" t="s">
        <v>138</v>
      </c>
      <c r="L60" s="79">
        <v>86</v>
      </c>
      <c r="M60" s="107">
        <f t="shared" si="6"/>
        <v>6</v>
      </c>
      <c r="N60" s="107">
        <f t="shared" si="7"/>
        <v>0.125</v>
      </c>
      <c r="O60" s="79">
        <v>69.599999999999994</v>
      </c>
      <c r="P60">
        <f>N76</f>
        <v>2.0833333333333332E-2</v>
      </c>
    </row>
    <row r="61" spans="1:16" x14ac:dyDescent="0.2">
      <c r="C61" s="44">
        <v>6</v>
      </c>
      <c r="D61">
        <f t="shared" si="4"/>
        <v>2</v>
      </c>
      <c r="E61">
        <f t="shared" si="5"/>
        <v>4.2553191489361701E-2</v>
      </c>
      <c r="F61" s="44">
        <v>5.7</v>
      </c>
      <c r="G61">
        <v>2.0833333333333332E-2</v>
      </c>
      <c r="I61" s="148" t="s">
        <v>135</v>
      </c>
      <c r="J61" s="153">
        <f>(J58-J57)*(J60-J59)</f>
        <v>-0.15903015601217643</v>
      </c>
      <c r="K61">
        <f>-294.53</f>
        <v>-294.52999999999997</v>
      </c>
      <c r="L61" s="79">
        <v>86</v>
      </c>
      <c r="M61" s="107">
        <f t="shared" si="6"/>
        <v>6</v>
      </c>
      <c r="N61" s="107">
        <f t="shared" si="7"/>
        <v>0.125</v>
      </c>
      <c r="O61" s="79">
        <v>70</v>
      </c>
      <c r="P61">
        <f>N77</f>
        <v>2.0833333333333332E-2</v>
      </c>
    </row>
    <row r="62" spans="1:16" x14ac:dyDescent="0.2">
      <c r="C62" s="44">
        <v>6</v>
      </c>
      <c r="D62">
        <f t="shared" si="4"/>
        <v>2</v>
      </c>
      <c r="E62">
        <f t="shared" si="5"/>
        <v>4.2553191489361701E-2</v>
      </c>
      <c r="F62" s="44">
        <v>5.0999999999999996</v>
      </c>
      <c r="G62">
        <v>2.0833333333333332E-2</v>
      </c>
      <c r="I62" s="148" t="s">
        <v>136</v>
      </c>
      <c r="J62">
        <f>J58*J60-J61</f>
        <v>0.15903015601217643</v>
      </c>
      <c r="K62">
        <f>K61/K59</f>
        <v>-22.656153846153845</v>
      </c>
      <c r="L62" s="79">
        <v>86</v>
      </c>
      <c r="M62" s="107">
        <f t="shared" si="6"/>
        <v>6</v>
      </c>
      <c r="N62" s="107">
        <f t="shared" si="7"/>
        <v>0.125</v>
      </c>
      <c r="O62" s="79">
        <v>71.099999999999994</v>
      </c>
      <c r="P62">
        <f>N79</f>
        <v>2.0833333333333332E-2</v>
      </c>
    </row>
    <row r="63" spans="1:16" x14ac:dyDescent="0.2">
      <c r="C63" s="44">
        <v>5.7</v>
      </c>
      <c r="D63">
        <f t="shared" si="4"/>
        <v>1</v>
      </c>
      <c r="E63">
        <f t="shared" si="5"/>
        <v>2.1276595744680851E-2</v>
      </c>
      <c r="F63" s="44">
        <v>4.4000000000000004</v>
      </c>
      <c r="G63">
        <v>2.0833333333333332E-2</v>
      </c>
      <c r="L63" s="79">
        <v>86</v>
      </c>
      <c r="M63" s="107">
        <f t="shared" si="6"/>
        <v>6</v>
      </c>
      <c r="N63" s="107">
        <f t="shared" si="7"/>
        <v>0.125</v>
      </c>
      <c r="O63" s="79">
        <v>114</v>
      </c>
      <c r="P63">
        <f>N80</f>
        <v>8.3333333333333329E-2</v>
      </c>
    </row>
    <row r="64" spans="1:16" x14ac:dyDescent="0.2">
      <c r="C64" s="44">
        <v>5.0999999999999996</v>
      </c>
      <c r="D64">
        <f t="shared" si="4"/>
        <v>1</v>
      </c>
      <c r="E64">
        <f t="shared" si="5"/>
        <v>2.1276595744680851E-2</v>
      </c>
      <c r="F64" s="44">
        <v>4</v>
      </c>
      <c r="G64">
        <v>2.0833333333333332E-2</v>
      </c>
      <c r="L64" s="79">
        <v>80</v>
      </c>
      <c r="M64" s="107">
        <f t="shared" si="6"/>
        <v>1</v>
      </c>
      <c r="N64" s="107">
        <f t="shared" si="7"/>
        <v>2.0833333333333332E-2</v>
      </c>
      <c r="O64" s="79">
        <v>123</v>
      </c>
      <c r="P64">
        <f>N84</f>
        <v>2.0833333333333332E-2</v>
      </c>
    </row>
    <row r="65" spans="3:16" x14ac:dyDescent="0.2">
      <c r="C65" s="44">
        <v>4.4000000000000004</v>
      </c>
      <c r="D65">
        <f t="shared" si="4"/>
        <v>1</v>
      </c>
      <c r="E65">
        <f t="shared" si="5"/>
        <v>2.1276595744680851E-2</v>
      </c>
      <c r="F65" s="44">
        <v>4.0999999999999996</v>
      </c>
      <c r="G65">
        <v>2.0833333333333332E-2</v>
      </c>
      <c r="L65" s="79">
        <v>86</v>
      </c>
      <c r="M65" s="107">
        <f t="shared" si="6"/>
        <v>6</v>
      </c>
      <c r="N65" s="107">
        <f t="shared" si="7"/>
        <v>0.125</v>
      </c>
      <c r="O65" s="79">
        <v>108</v>
      </c>
      <c r="P65">
        <f>N85</f>
        <v>2.0833333333333332E-2</v>
      </c>
    </row>
    <row r="66" spans="3:16" x14ac:dyDescent="0.2">
      <c r="C66" s="44">
        <v>4</v>
      </c>
      <c r="D66">
        <f t="shared" si="4"/>
        <v>1</v>
      </c>
      <c r="E66">
        <f t="shared" si="5"/>
        <v>2.1276595744680851E-2</v>
      </c>
      <c r="F66" s="44">
        <v>6.2</v>
      </c>
      <c r="G66">
        <v>2.0833333333333332E-2</v>
      </c>
      <c r="L66" s="79">
        <v>92</v>
      </c>
      <c r="M66" s="107">
        <f t="shared" si="6"/>
        <v>1</v>
      </c>
      <c r="N66" s="107">
        <f t="shared" si="7"/>
        <v>2.0833333333333332E-2</v>
      </c>
      <c r="O66" s="79">
        <v>101</v>
      </c>
      <c r="P66">
        <f>N87</f>
        <v>4.1666666666666664E-2</v>
      </c>
    </row>
    <row r="67" spans="3:16" x14ac:dyDescent="0.2">
      <c r="C67" s="44">
        <v>4.0999999999999996</v>
      </c>
      <c r="D67">
        <f t="shared" si="4"/>
        <v>1</v>
      </c>
      <c r="E67">
        <f t="shared" si="5"/>
        <v>2.1276595744680851E-2</v>
      </c>
      <c r="F67" s="44">
        <v>8.1</v>
      </c>
      <c r="G67">
        <v>2.0833333333333332E-2</v>
      </c>
      <c r="L67" s="79">
        <v>109</v>
      </c>
      <c r="M67" s="107">
        <f t="shared" si="6"/>
        <v>1</v>
      </c>
      <c r="N67" s="107">
        <f t="shared" si="7"/>
        <v>2.0833333333333332E-2</v>
      </c>
      <c r="O67" s="79">
        <v>104</v>
      </c>
      <c r="P67">
        <f>N88</f>
        <v>2.0833333333333332E-2</v>
      </c>
    </row>
    <row r="68" spans="3:16" x14ac:dyDescent="0.2">
      <c r="C68" s="44">
        <v>6.2</v>
      </c>
      <c r="D68">
        <f t="shared" si="4"/>
        <v>1</v>
      </c>
      <c r="E68">
        <f t="shared" si="5"/>
        <v>2.1276595744680851E-2</v>
      </c>
      <c r="F68" s="44">
        <v>9.3000000000000007</v>
      </c>
      <c r="G68">
        <v>2.0833333333333332E-2</v>
      </c>
      <c r="L68" s="79">
        <v>120</v>
      </c>
      <c r="M68" s="107">
        <f t="shared" si="6"/>
        <v>3</v>
      </c>
      <c r="N68" s="107">
        <f t="shared" si="7"/>
        <v>6.25E-2</v>
      </c>
      <c r="O68" s="79">
        <v>118</v>
      </c>
      <c r="P68">
        <f>N89</f>
        <v>2.0833333333333332E-2</v>
      </c>
    </row>
    <row r="69" spans="3:16" x14ac:dyDescent="0.2">
      <c r="C69" s="44">
        <v>8.1</v>
      </c>
      <c r="D69">
        <f t="shared" si="4"/>
        <v>1</v>
      </c>
      <c r="E69">
        <f t="shared" si="5"/>
        <v>2.1276595744680851E-2</v>
      </c>
      <c r="F69" s="44">
        <v>8.9</v>
      </c>
      <c r="G69">
        <v>2.0833333333333332E-2</v>
      </c>
      <c r="L69" s="79">
        <v>129</v>
      </c>
      <c r="M69" s="107">
        <f t="shared" si="6"/>
        <v>1</v>
      </c>
      <c r="N69" s="107">
        <f t="shared" si="7"/>
        <v>2.0833333333333332E-2</v>
      </c>
      <c r="O69" s="79">
        <v>128</v>
      </c>
      <c r="P69">
        <f>N90</f>
        <v>2.0833333333333332E-2</v>
      </c>
    </row>
    <row r="70" spans="3:16" x14ac:dyDescent="0.2">
      <c r="C70" s="44">
        <v>9.3000000000000007</v>
      </c>
      <c r="D70">
        <f t="shared" si="4"/>
        <v>1</v>
      </c>
      <c r="E70">
        <f t="shared" si="5"/>
        <v>2.1276595744680851E-2</v>
      </c>
      <c r="F70" s="44">
        <v>6.4</v>
      </c>
      <c r="G70">
        <v>2.0833333333333332E-2</v>
      </c>
      <c r="L70" s="79">
        <v>120</v>
      </c>
      <c r="M70" s="107">
        <f t="shared" si="6"/>
        <v>3</v>
      </c>
      <c r="N70" s="107">
        <f t="shared" si="7"/>
        <v>6.25E-2</v>
      </c>
      <c r="O70" s="79">
        <v>133</v>
      </c>
      <c r="P70">
        <f>N93</f>
        <v>4.1666666666666664E-2</v>
      </c>
    </row>
    <row r="71" spans="3:16" x14ac:dyDescent="0.2">
      <c r="C71" s="44">
        <v>8.9</v>
      </c>
      <c r="D71">
        <f t="shared" si="4"/>
        <v>1</v>
      </c>
      <c r="E71">
        <f t="shared" si="5"/>
        <v>2.1276595744680851E-2</v>
      </c>
      <c r="F71" s="44">
        <v>3.6</v>
      </c>
      <c r="G71">
        <v>2.0833333333333332E-2</v>
      </c>
      <c r="L71" s="79">
        <v>120</v>
      </c>
      <c r="M71" s="107">
        <f t="shared" si="6"/>
        <v>3</v>
      </c>
      <c r="N71" s="107">
        <f t="shared" si="7"/>
        <v>6.25E-2</v>
      </c>
      <c r="O71" s="79">
        <v>138</v>
      </c>
      <c r="P71">
        <f>N92</f>
        <v>2.0833333333333332E-2</v>
      </c>
    </row>
    <row r="72" spans="3:16" x14ac:dyDescent="0.2">
      <c r="C72" s="44">
        <v>6.4</v>
      </c>
      <c r="D72">
        <f t="shared" si="4"/>
        <v>1</v>
      </c>
      <c r="E72">
        <f t="shared" si="5"/>
        <v>2.1276595744680851E-2</v>
      </c>
      <c r="F72" s="44">
        <v>5.4</v>
      </c>
      <c r="G72">
        <v>2.0833333333333332E-2</v>
      </c>
      <c r="L72" s="79">
        <v>85</v>
      </c>
      <c r="M72" s="107">
        <f t="shared" si="6"/>
        <v>1</v>
      </c>
      <c r="N72" s="107">
        <f t="shared" si="7"/>
        <v>2.0833333333333332E-2</v>
      </c>
      <c r="O72" s="79">
        <v>170</v>
      </c>
      <c r="P72">
        <f>N94</f>
        <v>2.0833333333333332E-2</v>
      </c>
    </row>
    <row r="73" spans="3:16" x14ac:dyDescent="0.2">
      <c r="C73" s="44">
        <v>3.6</v>
      </c>
      <c r="D73">
        <f t="shared" si="4"/>
        <v>1</v>
      </c>
      <c r="E73">
        <f t="shared" si="5"/>
        <v>2.1276595744680851E-2</v>
      </c>
      <c r="F73" s="44">
        <v>4.3</v>
      </c>
      <c r="G73">
        <v>2.0833333333333332E-2</v>
      </c>
      <c r="L73" s="79">
        <v>74</v>
      </c>
      <c r="M73" s="107">
        <f t="shared" si="6"/>
        <v>11</v>
      </c>
      <c r="N73" s="107">
        <f t="shared" si="7"/>
        <v>0.22916666666666666</v>
      </c>
      <c r="O73" s="79">
        <v>103</v>
      </c>
      <c r="P73">
        <f>N95</f>
        <v>2.0833333333333332E-2</v>
      </c>
    </row>
    <row r="74" spans="3:16" x14ac:dyDescent="0.2">
      <c r="C74" s="44">
        <v>4.3</v>
      </c>
      <c r="D74">
        <f t="shared" si="4"/>
        <v>1</v>
      </c>
      <c r="E74">
        <f t="shared" si="5"/>
        <v>2.1276595744680851E-2</v>
      </c>
      <c r="F74" s="44">
        <v>1.8</v>
      </c>
      <c r="G74">
        <v>2.0833333333333332E-2</v>
      </c>
      <c r="L74" s="79">
        <v>74</v>
      </c>
      <c r="M74" s="107">
        <f t="shared" si="6"/>
        <v>11</v>
      </c>
      <c r="N74" s="107">
        <f t="shared" si="7"/>
        <v>0.22916666666666666</v>
      </c>
      <c r="O74" s="79">
        <v>94</v>
      </c>
    </row>
    <row r="75" spans="3:16" x14ac:dyDescent="0.2">
      <c r="C75" s="44">
        <v>2.9</v>
      </c>
      <c r="D75">
        <f t="shared" si="4"/>
        <v>1</v>
      </c>
      <c r="E75">
        <f t="shared" si="5"/>
        <v>2.1276595744680851E-2</v>
      </c>
      <c r="F75" s="44">
        <v>0.2</v>
      </c>
      <c r="G75">
        <v>2.0833333333333332E-2</v>
      </c>
      <c r="L75" s="79">
        <v>69.599999999999994</v>
      </c>
      <c r="M75" s="107">
        <f t="shared" si="6"/>
        <v>1</v>
      </c>
      <c r="N75" s="107">
        <f t="shared" si="7"/>
        <v>2.0833333333333332E-2</v>
      </c>
      <c r="O75" s="79"/>
    </row>
    <row r="76" spans="3:16" ht="13.5" thickBot="1" x14ac:dyDescent="0.25">
      <c r="C76" s="44">
        <v>1.8</v>
      </c>
      <c r="D76">
        <f t="shared" si="4"/>
        <v>1</v>
      </c>
      <c r="E76">
        <f t="shared" si="5"/>
        <v>2.1276595744680851E-2</v>
      </c>
      <c r="F76" s="44">
        <v>0.1</v>
      </c>
      <c r="G76">
        <v>2.0833333333333332E-2</v>
      </c>
      <c r="L76" s="79">
        <v>70</v>
      </c>
      <c r="M76" s="107">
        <f t="shared" si="6"/>
        <v>1</v>
      </c>
      <c r="N76" s="107">
        <f t="shared" si="7"/>
        <v>2.0833333333333332E-2</v>
      </c>
      <c r="O76" s="81"/>
    </row>
    <row r="77" spans="3:16" ht="13.5" thickTop="1" x14ac:dyDescent="0.2">
      <c r="C77" s="44">
        <v>0.8</v>
      </c>
      <c r="D77">
        <f t="shared" si="4"/>
        <v>2</v>
      </c>
      <c r="E77">
        <f t="shared" si="5"/>
        <v>4.2553191489361701E-2</v>
      </c>
      <c r="F77" s="44">
        <v>0</v>
      </c>
      <c r="G77">
        <f>E81</f>
        <v>4.2553191489361701E-2</v>
      </c>
      <c r="L77" s="79">
        <v>71.099999999999994</v>
      </c>
      <c r="M77" s="107">
        <f t="shared" si="6"/>
        <v>1</v>
      </c>
      <c r="N77" s="107">
        <f t="shared" si="7"/>
        <v>2.0833333333333332E-2</v>
      </c>
    </row>
    <row r="78" spans="3:16" x14ac:dyDescent="0.2">
      <c r="C78" s="44">
        <v>0.2</v>
      </c>
      <c r="D78">
        <f t="shared" si="4"/>
        <v>1</v>
      </c>
      <c r="E78">
        <f t="shared" si="5"/>
        <v>2.1276595744680851E-2</v>
      </c>
      <c r="F78" s="44">
        <v>0.9</v>
      </c>
      <c r="G78">
        <v>2.0833333333333332E-2</v>
      </c>
      <c r="L78" s="79">
        <v>74</v>
      </c>
      <c r="M78" s="107">
        <f t="shared" si="6"/>
        <v>11</v>
      </c>
      <c r="N78" s="107">
        <f t="shared" si="7"/>
        <v>0.22916666666666666</v>
      </c>
    </row>
    <row r="79" spans="3:16" x14ac:dyDescent="0.2">
      <c r="C79" s="44">
        <v>0.1</v>
      </c>
      <c r="D79">
        <f t="shared" si="4"/>
        <v>1</v>
      </c>
      <c r="E79">
        <f t="shared" si="5"/>
        <v>2.1276595744680851E-2</v>
      </c>
      <c r="F79" s="44">
        <v>2.2999999999999998</v>
      </c>
      <c r="G79">
        <v>2.0833333333333332E-2</v>
      </c>
      <c r="L79" s="79">
        <v>114</v>
      </c>
      <c r="M79" s="107">
        <f t="shared" si="6"/>
        <v>1</v>
      </c>
      <c r="N79" s="107">
        <f t="shared" si="7"/>
        <v>2.0833333333333332E-2</v>
      </c>
    </row>
    <row r="80" spans="3:16" x14ac:dyDescent="0.2">
      <c r="C80" s="44">
        <v>0</v>
      </c>
      <c r="D80">
        <f t="shared" si="4"/>
        <v>2</v>
      </c>
      <c r="E80">
        <f t="shared" si="5"/>
        <v>4.2553191489361701E-2</v>
      </c>
      <c r="F80" s="44">
        <v>3.5</v>
      </c>
      <c r="G80">
        <v>2.0833333333333332E-2</v>
      </c>
      <c r="L80" s="79">
        <v>123</v>
      </c>
      <c r="M80" s="107">
        <f t="shared" si="6"/>
        <v>4</v>
      </c>
      <c r="N80" s="107">
        <f t="shared" si="7"/>
        <v>8.3333333333333329E-2</v>
      </c>
    </row>
    <row r="81" spans="3:14" x14ac:dyDescent="0.2">
      <c r="C81" s="44">
        <v>0</v>
      </c>
      <c r="D81">
        <f t="shared" si="4"/>
        <v>2</v>
      </c>
      <c r="E81">
        <f t="shared" si="5"/>
        <v>4.2553191489361701E-2</v>
      </c>
      <c r="F81" s="44">
        <v>3.8</v>
      </c>
      <c r="G81">
        <v>2.0833333333333332E-2</v>
      </c>
      <c r="L81" s="79">
        <v>123</v>
      </c>
      <c r="M81" s="107">
        <f t="shared" si="6"/>
        <v>4</v>
      </c>
      <c r="N81" s="107">
        <f t="shared" si="7"/>
        <v>8.3333333333333329E-2</v>
      </c>
    </row>
    <row r="82" spans="3:14" x14ac:dyDescent="0.2">
      <c r="C82" s="44">
        <v>0.9</v>
      </c>
      <c r="D82">
        <f t="shared" si="4"/>
        <v>1</v>
      </c>
      <c r="E82">
        <f t="shared" si="5"/>
        <v>2.1276595744680851E-2</v>
      </c>
      <c r="F82" s="44">
        <v>3.9</v>
      </c>
      <c r="G82">
        <v>2.0833333333333332E-2</v>
      </c>
      <c r="L82" s="79">
        <v>123</v>
      </c>
      <c r="M82" s="107">
        <f t="shared" si="6"/>
        <v>4</v>
      </c>
      <c r="N82" s="107">
        <f t="shared" si="7"/>
        <v>8.3333333333333329E-2</v>
      </c>
    </row>
    <row r="83" spans="3:14" x14ac:dyDescent="0.2">
      <c r="C83" s="44">
        <v>2.2999999999999998</v>
      </c>
      <c r="D83">
        <f t="shared" si="4"/>
        <v>1</v>
      </c>
      <c r="E83">
        <f t="shared" si="5"/>
        <v>2.1276595744680851E-2</v>
      </c>
      <c r="F83" s="44">
        <v>3.7</v>
      </c>
      <c r="G83">
        <f>E59</f>
        <v>4.2553191489361701E-2</v>
      </c>
      <c r="L83" s="79">
        <v>123</v>
      </c>
      <c r="M83" s="107">
        <f t="shared" si="6"/>
        <v>4</v>
      </c>
      <c r="N83" s="107">
        <f t="shared" si="7"/>
        <v>8.3333333333333329E-2</v>
      </c>
    </row>
    <row r="84" spans="3:14" x14ac:dyDescent="0.2">
      <c r="C84" s="44">
        <v>3.5</v>
      </c>
      <c r="D84">
        <f t="shared" si="4"/>
        <v>1</v>
      </c>
      <c r="E84">
        <f t="shared" si="5"/>
        <v>2.1276595744680851E-2</v>
      </c>
      <c r="F84" s="44">
        <v>3.4</v>
      </c>
      <c r="G84">
        <v>2.0833333333333332E-2</v>
      </c>
      <c r="L84" s="79">
        <v>108</v>
      </c>
      <c r="M84" s="107">
        <f t="shared" si="6"/>
        <v>1</v>
      </c>
      <c r="N84" s="107">
        <f t="shared" si="7"/>
        <v>2.0833333333333332E-2</v>
      </c>
    </row>
    <row r="85" spans="3:14" x14ac:dyDescent="0.2">
      <c r="C85" s="44">
        <v>3.8</v>
      </c>
      <c r="D85">
        <f t="shared" si="4"/>
        <v>1</v>
      </c>
      <c r="E85">
        <f t="shared" si="5"/>
        <v>2.1276595744680851E-2</v>
      </c>
      <c r="F85" s="44">
        <v>3.1</v>
      </c>
      <c r="G85">
        <v>2.0833333333333332E-2</v>
      </c>
      <c r="L85" s="79">
        <v>101</v>
      </c>
      <c r="M85" s="107">
        <f t="shared" si="6"/>
        <v>1</v>
      </c>
      <c r="N85" s="107">
        <f t="shared" si="7"/>
        <v>2.0833333333333332E-2</v>
      </c>
    </row>
    <row r="86" spans="3:14" x14ac:dyDescent="0.2">
      <c r="C86" s="44">
        <v>3.9</v>
      </c>
      <c r="D86">
        <f t="shared" si="4"/>
        <v>1</v>
      </c>
      <c r="E86">
        <f t="shared" si="5"/>
        <v>2.1276595744680851E-2</v>
      </c>
      <c r="F86" s="44">
        <v>2.6</v>
      </c>
      <c r="G86">
        <v>2.0833333333333332E-2</v>
      </c>
      <c r="L86" s="79">
        <v>104</v>
      </c>
      <c r="M86" s="107">
        <f t="shared" si="6"/>
        <v>2</v>
      </c>
      <c r="N86" s="107">
        <f t="shared" si="7"/>
        <v>4.1666666666666664E-2</v>
      </c>
    </row>
    <row r="87" spans="3:14" x14ac:dyDescent="0.2">
      <c r="C87" s="44">
        <v>3.7</v>
      </c>
      <c r="D87">
        <f t="shared" si="4"/>
        <v>2</v>
      </c>
      <c r="E87">
        <f t="shared" si="5"/>
        <v>4.2553191489361701E-2</v>
      </c>
      <c r="F87" s="44">
        <v>2</v>
      </c>
      <c r="G87">
        <v>2.0833333333333332E-2</v>
      </c>
      <c r="L87" s="79">
        <v>104</v>
      </c>
      <c r="M87" s="107">
        <f t="shared" si="6"/>
        <v>2</v>
      </c>
      <c r="N87" s="107">
        <f t="shared" si="7"/>
        <v>4.1666666666666664E-2</v>
      </c>
    </row>
    <row r="88" spans="3:14" x14ac:dyDescent="0.2">
      <c r="C88" s="44">
        <v>3.4</v>
      </c>
      <c r="D88">
        <f t="shared" si="4"/>
        <v>1</v>
      </c>
      <c r="E88">
        <f t="shared" si="5"/>
        <v>2.1276595744680851E-2</v>
      </c>
      <c r="F88" s="44">
        <v>1.5</v>
      </c>
      <c r="G88">
        <v>2.0833333333333332E-2</v>
      </c>
      <c r="L88" s="79">
        <v>118</v>
      </c>
      <c r="M88" s="107">
        <f t="shared" si="6"/>
        <v>1</v>
      </c>
      <c r="N88" s="107">
        <f t="shared" si="7"/>
        <v>2.0833333333333332E-2</v>
      </c>
    </row>
    <row r="89" spans="3:14" x14ac:dyDescent="0.2">
      <c r="C89" s="44">
        <v>3.1</v>
      </c>
      <c r="D89">
        <f t="shared" si="4"/>
        <v>1</v>
      </c>
      <c r="E89">
        <f t="shared" si="5"/>
        <v>2.1276595744680851E-2</v>
      </c>
      <c r="F89" s="44">
        <v>1</v>
      </c>
      <c r="G89">
        <v>2.0833333333333332E-2</v>
      </c>
      <c r="L89" s="79">
        <v>128</v>
      </c>
      <c r="M89" s="107">
        <f t="shared" si="6"/>
        <v>1</v>
      </c>
      <c r="N89" s="107">
        <f t="shared" si="7"/>
        <v>2.0833333333333332E-2</v>
      </c>
    </row>
    <row r="90" spans="3:14" x14ac:dyDescent="0.2">
      <c r="C90" s="44">
        <v>2.6</v>
      </c>
      <c r="D90">
        <f t="shared" si="4"/>
        <v>1</v>
      </c>
      <c r="E90">
        <f t="shared" si="5"/>
        <v>2.1276595744680851E-2</v>
      </c>
      <c r="F90" s="44">
        <v>0.8</v>
      </c>
      <c r="G90">
        <f>E81</f>
        <v>4.2553191489361701E-2</v>
      </c>
      <c r="L90" s="79">
        <v>133</v>
      </c>
      <c r="M90" s="107">
        <f t="shared" si="6"/>
        <v>1</v>
      </c>
      <c r="N90" s="107">
        <f t="shared" si="7"/>
        <v>2.0833333333333332E-2</v>
      </c>
    </row>
    <row r="91" spans="3:14" x14ac:dyDescent="0.2">
      <c r="C91" s="44">
        <v>2</v>
      </c>
      <c r="D91">
        <f t="shared" si="4"/>
        <v>1</v>
      </c>
      <c r="E91">
        <f t="shared" si="5"/>
        <v>2.1276595744680851E-2</v>
      </c>
      <c r="F91" s="44">
        <v>0.5</v>
      </c>
      <c r="G91">
        <v>2.0833333333333332E-2</v>
      </c>
      <c r="L91" s="79">
        <v>138</v>
      </c>
      <c r="M91" s="107">
        <f t="shared" si="6"/>
        <v>2</v>
      </c>
      <c r="N91" s="107">
        <f t="shared" si="7"/>
        <v>4.1666666666666664E-2</v>
      </c>
    </row>
    <row r="92" spans="3:14" ht="13.5" thickBot="1" x14ac:dyDescent="0.25">
      <c r="C92" s="44">
        <v>1.5</v>
      </c>
      <c r="D92">
        <f t="shared" si="4"/>
        <v>1</v>
      </c>
      <c r="E92">
        <f t="shared" si="5"/>
        <v>2.1276595744680851E-2</v>
      </c>
      <c r="F92" s="48">
        <v>0.3</v>
      </c>
      <c r="G92">
        <v>2.0833333333333332E-2</v>
      </c>
      <c r="L92" s="79">
        <v>170</v>
      </c>
      <c r="M92" s="107">
        <f t="shared" si="6"/>
        <v>1</v>
      </c>
      <c r="N92" s="107">
        <f t="shared" si="7"/>
        <v>2.0833333333333332E-2</v>
      </c>
    </row>
    <row r="93" spans="3:14" ht="13.5" thickTop="1" x14ac:dyDescent="0.2">
      <c r="C93" s="44">
        <v>1</v>
      </c>
      <c r="D93">
        <f t="shared" si="4"/>
        <v>1</v>
      </c>
      <c r="E93">
        <f t="shared" si="5"/>
        <v>2.1276595744680851E-2</v>
      </c>
      <c r="L93" s="79">
        <v>138</v>
      </c>
      <c r="M93" s="107">
        <f t="shared" si="6"/>
        <v>2</v>
      </c>
      <c r="N93" s="107">
        <f t="shared" si="7"/>
        <v>4.1666666666666664E-2</v>
      </c>
    </row>
    <row r="94" spans="3:14" x14ac:dyDescent="0.2">
      <c r="C94" s="44">
        <v>0.8</v>
      </c>
      <c r="D94">
        <f t="shared" si="4"/>
        <v>2</v>
      </c>
      <c r="E94">
        <f t="shared" si="5"/>
        <v>4.2553191489361701E-2</v>
      </c>
      <c r="L94" s="79">
        <v>103</v>
      </c>
      <c r="M94" s="107">
        <f t="shared" si="6"/>
        <v>1</v>
      </c>
      <c r="N94" s="107">
        <f t="shared" si="7"/>
        <v>2.0833333333333332E-2</v>
      </c>
    </row>
    <row r="95" spans="3:14" x14ac:dyDescent="0.2">
      <c r="C95" s="44">
        <v>0.5</v>
      </c>
      <c r="D95">
        <f t="shared" si="4"/>
        <v>1</v>
      </c>
      <c r="E95">
        <f t="shared" si="5"/>
        <v>2.1276595744680851E-2</v>
      </c>
      <c r="L95" s="79">
        <v>94</v>
      </c>
      <c r="M95" s="107">
        <f t="shared" si="6"/>
        <v>1</v>
      </c>
      <c r="N95" s="107">
        <f t="shared" si="7"/>
        <v>2.0833333333333332E-2</v>
      </c>
    </row>
    <row r="96" spans="3:14" ht="13.5" thickBot="1" x14ac:dyDescent="0.25">
      <c r="C96" s="48">
        <v>0.3</v>
      </c>
      <c r="D96">
        <f t="shared" si="4"/>
        <v>1</v>
      </c>
      <c r="E96">
        <f t="shared" si="5"/>
        <v>2.1276595744680851E-2</v>
      </c>
      <c r="L96" s="79">
        <v>74</v>
      </c>
      <c r="M96" s="107">
        <f t="shared" si="6"/>
        <v>11</v>
      </c>
      <c r="N96" s="107">
        <f t="shared" si="7"/>
        <v>0.22916666666666666</v>
      </c>
    </row>
    <row r="97" spans="3:14" ht="14.25" thickTop="1" thickBot="1" x14ac:dyDescent="0.25">
      <c r="C97">
        <f>COUNT(C50:C96)</f>
        <v>47</v>
      </c>
      <c r="L97" s="81">
        <v>74</v>
      </c>
      <c r="M97" s="107">
        <f t="shared" si="6"/>
        <v>11</v>
      </c>
      <c r="N97" s="107">
        <f t="shared" si="7"/>
        <v>0.22916666666666666</v>
      </c>
    </row>
    <row r="98" spans="3:14" ht="13.5" thickTop="1" x14ac:dyDescent="0.2">
      <c r="L98">
        <f>COUNT(L50:L97)</f>
        <v>48</v>
      </c>
    </row>
  </sheetData>
  <mergeCells count="6">
    <mergeCell ref="H1:M1"/>
    <mergeCell ref="H2:H3"/>
    <mergeCell ref="I2:I3"/>
    <mergeCell ref="A2:A3"/>
    <mergeCell ref="B2:B3"/>
    <mergeCell ref="A1:F1"/>
  </mergeCells>
  <pageMargins left="0.7" right="0.7" top="0.75" bottom="0.75" header="0.3" footer="0.3"/>
  <pageSetup paperSize="9" orientation="portrait"/>
  <ignoredErrors>
    <ignoredError sqref="J24:K24" numberStoredAsText="1"/>
  </ignoredError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0"/>
  <sheetViews>
    <sheetView tabSelected="1" topLeftCell="A6" zoomScale="168" workbookViewId="0">
      <selection activeCell="C19" sqref="C19"/>
    </sheetView>
  </sheetViews>
  <sheetFormatPr defaultColWidth="11.42578125" defaultRowHeight="12.75" x14ac:dyDescent="0.2"/>
  <cols>
    <col min="1" max="1" width="38.7109375" customWidth="1"/>
    <col min="2" max="256" width="8.85546875" customWidth="1"/>
  </cols>
  <sheetData>
    <row r="1" spans="1:11" ht="15" thickBot="1" x14ac:dyDescent="0.25">
      <c r="A1" s="176" t="s">
        <v>111</v>
      </c>
      <c r="B1" s="176"/>
      <c r="C1" s="176"/>
      <c r="D1" s="176"/>
      <c r="E1" s="176"/>
      <c r="F1" s="176"/>
      <c r="G1" s="176"/>
      <c r="H1" s="176"/>
      <c r="I1" s="176"/>
    </row>
    <row r="2" spans="1:11" x14ac:dyDescent="0.2">
      <c r="A2" s="49" t="s">
        <v>100</v>
      </c>
      <c r="B2" s="177" t="s">
        <v>12</v>
      </c>
      <c r="C2" s="178"/>
      <c r="D2" s="50"/>
      <c r="E2" s="50"/>
      <c r="F2" s="50"/>
      <c r="G2" s="50"/>
      <c r="H2" s="50"/>
      <c r="I2" s="51"/>
    </row>
    <row r="3" spans="1:11" x14ac:dyDescent="0.2">
      <c r="A3" s="52" t="s">
        <v>101</v>
      </c>
      <c r="B3" s="179" t="s">
        <v>13</v>
      </c>
      <c r="C3" s="180"/>
      <c r="D3" s="22"/>
      <c r="E3" s="22"/>
      <c r="F3" s="22"/>
      <c r="G3" s="22"/>
      <c r="H3" s="22"/>
      <c r="I3" s="84"/>
    </row>
    <row r="4" spans="1:11" x14ac:dyDescent="0.2">
      <c r="A4" s="52" t="s">
        <v>102</v>
      </c>
      <c r="B4" s="179">
        <v>1272</v>
      </c>
      <c r="C4" s="180"/>
      <c r="D4" s="22"/>
      <c r="E4" s="22"/>
      <c r="F4" s="22"/>
      <c r="G4" s="22"/>
      <c r="H4" s="22"/>
      <c r="I4" s="53"/>
    </row>
    <row r="5" spans="1:11" x14ac:dyDescent="0.2">
      <c r="A5" s="52" t="s">
        <v>103</v>
      </c>
      <c r="B5" s="179">
        <v>351</v>
      </c>
      <c r="C5" s="180"/>
      <c r="D5" s="22"/>
      <c r="E5" s="22"/>
      <c r="F5" s="22"/>
      <c r="G5" s="22"/>
      <c r="H5" s="22"/>
      <c r="I5" s="54"/>
    </row>
    <row r="6" spans="1:11" ht="13.5" thickBot="1" x14ac:dyDescent="0.25">
      <c r="A6" s="94" t="s">
        <v>104</v>
      </c>
      <c r="B6" s="181">
        <v>0.27594339622641512</v>
      </c>
      <c r="C6" s="182"/>
      <c r="D6" s="95"/>
      <c r="E6" s="95"/>
      <c r="F6" s="95"/>
      <c r="G6" s="95"/>
      <c r="H6" s="95"/>
      <c r="I6" s="96"/>
    </row>
    <row r="7" spans="1:11" x14ac:dyDescent="0.2">
      <c r="A7" s="56"/>
      <c r="B7" s="55" t="s">
        <v>14</v>
      </c>
      <c r="C7" s="92" t="s">
        <v>15</v>
      </c>
      <c r="D7" s="92" t="s">
        <v>16</v>
      </c>
      <c r="E7" s="92" t="s">
        <v>17</v>
      </c>
      <c r="F7" s="92" t="s">
        <v>18</v>
      </c>
      <c r="G7" s="92" t="s">
        <v>19</v>
      </c>
      <c r="H7" s="92" t="s">
        <v>20</v>
      </c>
      <c r="I7" s="93" t="s">
        <v>21</v>
      </c>
    </row>
    <row r="8" spans="1:11" x14ac:dyDescent="0.2">
      <c r="A8" s="56" t="s">
        <v>106</v>
      </c>
      <c r="B8" s="97">
        <v>2460.8530000000019</v>
      </c>
      <c r="C8" s="57">
        <v>3402.29</v>
      </c>
      <c r="D8" s="57">
        <v>10872.866999999995</v>
      </c>
      <c r="E8" s="57">
        <v>3755.2769999999982</v>
      </c>
      <c r="F8" s="57">
        <v>2653.873</v>
      </c>
      <c r="G8" s="57">
        <v>1833.3219999999976</v>
      </c>
      <c r="H8" s="57">
        <v>5532.924999999992</v>
      </c>
      <c r="I8" s="58">
        <v>30511.406999999996</v>
      </c>
    </row>
    <row r="9" spans="1:11" x14ac:dyDescent="0.2">
      <c r="A9" s="56"/>
      <c r="B9" s="98"/>
      <c r="C9" s="59"/>
      <c r="D9" s="59"/>
      <c r="E9" s="59"/>
      <c r="F9" s="59"/>
      <c r="G9" s="59"/>
      <c r="H9" s="59"/>
      <c r="I9" s="60"/>
    </row>
    <row r="10" spans="1:11" x14ac:dyDescent="0.2">
      <c r="A10" s="56" t="s">
        <v>107</v>
      </c>
      <c r="B10" s="97">
        <v>1970.655</v>
      </c>
      <c r="C10" s="57">
        <v>2377.2539999999976</v>
      </c>
      <c r="D10" s="57">
        <v>5192.6740000000091</v>
      </c>
      <c r="E10" s="57">
        <v>2808.5580000000004</v>
      </c>
      <c r="F10" s="57">
        <v>1732.5050000000001</v>
      </c>
      <c r="G10" s="57">
        <v>1363.0360000000007</v>
      </c>
      <c r="H10" s="57">
        <v>2832.7370000000024</v>
      </c>
      <c r="I10" s="61">
        <v>13143.616999999998</v>
      </c>
    </row>
    <row r="11" spans="1:11" x14ac:dyDescent="0.2">
      <c r="A11" s="56" t="s">
        <v>108</v>
      </c>
      <c r="B11" s="99">
        <v>0.80080159196831202</v>
      </c>
      <c r="C11" s="62">
        <v>0.69872174329642533</v>
      </c>
      <c r="D11" s="62">
        <v>0.47758093610452623</v>
      </c>
      <c r="E11" s="62">
        <v>0.74789636024186812</v>
      </c>
      <c r="F11" s="62">
        <v>0.65282136711138905</v>
      </c>
      <c r="G11" s="62">
        <v>0.74347877786881</v>
      </c>
      <c r="H11" s="62">
        <v>0.51197820321078025</v>
      </c>
      <c r="I11" s="63">
        <v>0.43077715164036851</v>
      </c>
    </row>
    <row r="12" spans="1:11" x14ac:dyDescent="0.2">
      <c r="A12" s="56" t="s">
        <v>109</v>
      </c>
      <c r="B12" s="97">
        <v>-32079.077898347023</v>
      </c>
      <c r="C12" s="57">
        <v>-41015.961124380017</v>
      </c>
      <c r="D12" s="57">
        <v>-66041.943205811898</v>
      </c>
      <c r="E12" s="57">
        <v>-46299.456270633993</v>
      </c>
      <c r="F12" s="57">
        <v>-29780.308543700001</v>
      </c>
      <c r="G12" s="57">
        <v>-24186.97184014296</v>
      </c>
      <c r="H12" s="57">
        <v>-25157.858457809016</v>
      </c>
      <c r="I12" s="64">
        <v>-264561.57734082494</v>
      </c>
    </row>
    <row r="13" spans="1:11" x14ac:dyDescent="0.2">
      <c r="A13" s="65" t="s">
        <v>110</v>
      </c>
      <c r="B13" s="100">
        <v>-13.035755446728023</v>
      </c>
      <c r="C13" s="66">
        <v>-12.05539831242486</v>
      </c>
      <c r="D13" s="66">
        <v>-6.074013708234629</v>
      </c>
      <c r="E13" s="66">
        <v>-12.329172061244487</v>
      </c>
      <c r="F13" s="66">
        <v>-11.221452022647656</v>
      </c>
      <c r="G13" s="66">
        <v>-13.192975287561591</v>
      </c>
      <c r="H13" s="66">
        <v>-4.546936468108469</v>
      </c>
      <c r="I13" s="67">
        <v>-8.6709071574714649</v>
      </c>
      <c r="J13" s="88"/>
      <c r="K13" s="88"/>
    </row>
    <row r="14" spans="1:11" ht="13.5" thickBot="1" x14ac:dyDescent="0.25">
      <c r="A14" s="68"/>
      <c r="B14" s="101"/>
      <c r="C14" s="69"/>
      <c r="D14" s="69"/>
      <c r="E14" s="69"/>
      <c r="F14" s="69"/>
      <c r="G14" s="69"/>
      <c r="H14" s="69"/>
      <c r="I14" s="70"/>
    </row>
    <row r="15" spans="1:11" ht="16.350000000000001" customHeight="1" x14ac:dyDescent="0.2">
      <c r="A15" s="1" t="s">
        <v>105</v>
      </c>
      <c r="B15" s="71"/>
      <c r="C15" s="71"/>
      <c r="D15" s="71"/>
      <c r="E15" s="71"/>
      <c r="F15" s="71"/>
      <c r="G15" s="71"/>
      <c r="H15" s="71"/>
      <c r="I15" s="71"/>
    </row>
    <row r="18" spans="1:3" x14ac:dyDescent="0.2">
      <c r="B18" s="148" t="s">
        <v>139</v>
      </c>
      <c r="C18" s="148" t="s">
        <v>140</v>
      </c>
    </row>
    <row r="19" spans="1:3" x14ac:dyDescent="0.2">
      <c r="B19" s="88">
        <f>AVERAGE(B13:I13)</f>
        <v>-10.140826308052647</v>
      </c>
      <c r="C19">
        <f>STDEV(B13:I13)</f>
        <v>3.3232869639703386</v>
      </c>
    </row>
    <row r="20" spans="1:3" x14ac:dyDescent="0.2">
      <c r="A20" s="72" t="s">
        <v>7</v>
      </c>
    </row>
  </sheetData>
  <mergeCells count="6">
    <mergeCell ref="A1:I1"/>
    <mergeCell ref="B2:C2"/>
    <mergeCell ref="B4:C4"/>
    <mergeCell ref="B5:C5"/>
    <mergeCell ref="B6:C6"/>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Appendix 1 Castelbuono</vt:lpstr>
      <vt:lpstr>Appendix 2 &amp; 3</vt:lpstr>
      <vt:lpstr>Appendix 4</vt:lpstr>
    </vt:vector>
  </TitlesOfParts>
  <Company>Iberdrola Generación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Gil Pérez</dc:creator>
  <cp:lastModifiedBy>Jose Antonio Conde</cp:lastModifiedBy>
  <cp:lastPrinted>2013-02-06T11:52:01Z</cp:lastPrinted>
  <dcterms:created xsi:type="dcterms:W3CDTF">2012-12-07T06:40:03Z</dcterms:created>
  <dcterms:modified xsi:type="dcterms:W3CDTF">2019-11-14T13:46:10Z</dcterms:modified>
</cp:coreProperties>
</file>