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mware-host\Shared Folders\Dropbox (IESE)\DOCS\IESE\DECAN\IBERDROLA CASTELBUONO\"/>
    </mc:Choice>
  </mc:AlternateContent>
  <bookViews>
    <workbookView xWindow="24540" yWindow="465" windowWidth="26655" windowHeight="28335" firstSheet="1" activeTab="1"/>
  </bookViews>
  <sheets>
    <sheet name="CB_DATA_" sheetId="5" state="veryHidden" r:id="rId1"/>
    <sheet name="Appendix 1 Castelbuono" sheetId="7" r:id="rId2"/>
    <sheet name="Appendix 2 &amp; 3" sheetId="8" r:id="rId3"/>
    <sheet name="Appendix 4" sheetId="10" r:id="rId4"/>
  </sheets>
  <definedNames>
    <definedName name="CB_cf766c7c5ae345098647830a14b14085" localSheetId="0" hidden="1">#N/A</definedName>
    <definedName name="CBWorkbookPriority" localSheetId="0" hidden="1">-110525661</definedName>
    <definedName name="CBx_3feb514f637e4f85a85090b5c3436516" localSheetId="0" hidden="1">"'Anexo 1 Castelbuono'!$A$1"</definedName>
    <definedName name="CBx_e463e467ca7646dabef0ab96f47268ad" localSheetId="0" hidden="1">"'CB_DATA_'!$A$1"</definedName>
    <definedName name="CBx_Sheet_Guid" localSheetId="1" hidden="1">"'3feb514f-637e-4f85-a850-90b5c3436516"</definedName>
    <definedName name="CBx_Sheet_Guid" localSheetId="0" hidden="1">"'e463e467-ca76-46da-bef0-ab96f47268ad"</definedName>
    <definedName name="CBx_StorageType" localSheetId="1" hidden="1">1</definedName>
    <definedName name="CBx_StorageType" localSheetId="0" hidden="1">1</definedName>
  </definedNames>
  <calcPr calcId="162913"/>
  <fileRecoveryPr repairLoad="1"/>
</workbook>
</file>

<file path=xl/calcChain.xml><?xml version="1.0" encoding="utf-8"?>
<calcChain xmlns="http://schemas.openxmlformats.org/spreadsheetml/2006/main">
  <c r="C35" i="7" l="1"/>
  <c r="C25" i="7"/>
  <c r="B10" i="7"/>
  <c r="C43" i="7" s="1"/>
  <c r="G3" i="7"/>
  <c r="B46" i="7"/>
  <c r="B45" i="7"/>
  <c r="U42" i="7"/>
  <c r="T42" i="7"/>
  <c r="S42" i="7"/>
  <c r="R42" i="7"/>
  <c r="Q42" i="7"/>
  <c r="P42" i="7"/>
  <c r="O42" i="7"/>
  <c r="U37" i="7"/>
  <c r="T37" i="7"/>
  <c r="S37" i="7"/>
  <c r="R37" i="7"/>
  <c r="Q37" i="7"/>
  <c r="P37" i="7"/>
  <c r="O37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C27" i="7"/>
  <c r="D27" i="7" s="1"/>
  <c r="E27" i="7" s="1"/>
  <c r="F27" i="7" s="1"/>
  <c r="C26" i="7"/>
  <c r="D26" i="7" s="1"/>
  <c r="E26" i="7" s="1"/>
  <c r="M8" i="7"/>
  <c r="K30" i="7"/>
  <c r="G27" i="7"/>
  <c r="H27" i="7" s="1"/>
  <c r="I27" i="7" s="1"/>
  <c r="J27" i="7" s="1"/>
  <c r="K27" i="7"/>
  <c r="L27" i="7"/>
  <c r="M27" i="7" s="1"/>
  <c r="N27" i="7" s="1"/>
  <c r="O27" i="7" s="1"/>
  <c r="P27" i="7" s="1"/>
  <c r="Q27" i="7" s="1"/>
  <c r="R27" i="7" s="1"/>
  <c r="S27" i="7" s="1"/>
  <c r="T27" i="7" s="1"/>
  <c r="U27" i="7" s="1"/>
  <c r="J34" i="7"/>
  <c r="C20" i="7"/>
  <c r="D20" i="7"/>
  <c r="E20" i="7" s="1"/>
  <c r="F20" i="7" s="1"/>
  <c r="G20" i="7" s="1"/>
  <c r="H20" i="7"/>
  <c r="H23" i="7" s="1"/>
  <c r="I20" i="7"/>
  <c r="J20" i="7" s="1"/>
  <c r="K20" i="7" s="1"/>
  <c r="C19" i="7"/>
  <c r="C23" i="7" s="1"/>
  <c r="C31" i="7" s="1"/>
  <c r="O19" i="7"/>
  <c r="T19" i="7"/>
  <c r="L19" i="7"/>
  <c r="S19" i="7"/>
  <c r="R19" i="7"/>
  <c r="I19" i="7"/>
  <c r="D19" i="7"/>
  <c r="J19" i="7"/>
  <c r="G19" i="7"/>
  <c r="E19" i="7"/>
  <c r="E23" i="7" s="1"/>
  <c r="H19" i="7"/>
  <c r="U19" i="7"/>
  <c r="K19" i="7"/>
  <c r="F19" i="7"/>
  <c r="N19" i="7"/>
  <c r="M19" i="7"/>
  <c r="P19" i="7"/>
  <c r="Q19" i="7"/>
  <c r="F26" i="7"/>
  <c r="G26" i="7" s="1"/>
  <c r="H26" i="7" s="1"/>
  <c r="I26" i="7" s="1"/>
  <c r="J26" i="7" s="1"/>
  <c r="K26" i="7" s="1"/>
  <c r="L26" i="7" s="1"/>
  <c r="M26" i="7" s="1"/>
  <c r="N26" i="7" s="1"/>
  <c r="O26" i="7" s="1"/>
  <c r="P26" i="7"/>
  <c r="Q26" i="7" s="1"/>
  <c r="R26" i="7" s="1"/>
  <c r="S26" i="7" s="1"/>
  <c r="T26" i="7" s="1"/>
  <c r="U26" i="7" s="1"/>
  <c r="D23" i="7"/>
  <c r="D29" i="7" s="1"/>
  <c r="M34" i="7"/>
  <c r="I34" i="7"/>
  <c r="H34" i="7"/>
  <c r="K34" i="7"/>
  <c r="H31" i="7"/>
  <c r="C24" i="7"/>
  <c r="C45" i="7" s="1"/>
  <c r="C29" i="7"/>
  <c r="C28" i="7"/>
  <c r="E29" i="7"/>
  <c r="D31" i="7"/>
  <c r="D24" i="7"/>
  <c r="D45" i="7"/>
  <c r="P2" i="5"/>
  <c r="L20" i="7" l="1"/>
  <c r="M20" i="7" s="1"/>
  <c r="K23" i="7"/>
  <c r="J23" i="7"/>
  <c r="N30" i="7"/>
  <c r="I30" i="7"/>
  <c r="U30" i="7"/>
  <c r="L30" i="7"/>
  <c r="P30" i="7"/>
  <c r="J30" i="7"/>
  <c r="R30" i="7"/>
  <c r="H30" i="7"/>
  <c r="D30" i="7"/>
  <c r="E30" i="7"/>
  <c r="O30" i="7"/>
  <c r="Q30" i="7"/>
  <c r="F30" i="7"/>
  <c r="T30" i="7"/>
  <c r="C30" i="7"/>
  <c r="C46" i="7" s="1"/>
  <c r="C47" i="7" s="1"/>
  <c r="C48" i="7" s="1"/>
  <c r="S30" i="7"/>
  <c r="M30" i="7"/>
  <c r="G30" i="7"/>
  <c r="E28" i="7"/>
  <c r="E31" i="7"/>
  <c r="H28" i="7"/>
  <c r="H29" i="7"/>
  <c r="H24" i="7"/>
  <c r="D25" i="7"/>
  <c r="C32" i="7"/>
  <c r="C33" i="7" s="1"/>
  <c r="E24" i="7"/>
  <c r="D28" i="7"/>
  <c r="F23" i="7"/>
  <c r="I23" i="7"/>
  <c r="O34" i="7"/>
  <c r="D34" i="7"/>
  <c r="G6" i="7"/>
  <c r="N34" i="7"/>
  <c r="C34" i="7"/>
  <c r="G34" i="7"/>
  <c r="L34" i="7"/>
  <c r="E34" i="7"/>
  <c r="F34" i="7"/>
  <c r="G23" i="7"/>
  <c r="F24" i="7" l="1"/>
  <c r="F31" i="7"/>
  <c r="F29" i="7"/>
  <c r="F28" i="7"/>
  <c r="E45" i="7"/>
  <c r="J31" i="7"/>
  <c r="J29" i="7"/>
  <c r="J24" i="7"/>
  <c r="J28" i="7"/>
  <c r="C36" i="7"/>
  <c r="K31" i="7"/>
  <c r="K29" i="7"/>
  <c r="K24" i="7"/>
  <c r="K28" i="7"/>
  <c r="I28" i="7"/>
  <c r="I24" i="7"/>
  <c r="I29" i="7"/>
  <c r="I31" i="7"/>
  <c r="E25" i="7"/>
  <c r="D32" i="7"/>
  <c r="D33" i="7" s="1"/>
  <c r="D36" i="7" s="1"/>
  <c r="D46" i="7"/>
  <c r="D47" i="7" s="1"/>
  <c r="D48" i="7" s="1"/>
  <c r="N20" i="7"/>
  <c r="M23" i="7"/>
  <c r="G24" i="7"/>
  <c r="G28" i="7"/>
  <c r="G29" i="7"/>
  <c r="G31" i="7"/>
  <c r="G9" i="7"/>
  <c r="H45" i="7"/>
  <c r="L23" i="7"/>
  <c r="M29" i="7" l="1"/>
  <c r="M31" i="7"/>
  <c r="M24" i="7"/>
  <c r="M28" i="7"/>
  <c r="F25" i="7"/>
  <c r="E32" i="7"/>
  <c r="E33" i="7" s="1"/>
  <c r="E36" i="7" s="1"/>
  <c r="E46" i="7"/>
  <c r="O20" i="7"/>
  <c r="N23" i="7"/>
  <c r="G13" i="7"/>
  <c r="K45" i="7"/>
  <c r="L28" i="7"/>
  <c r="L29" i="7"/>
  <c r="L24" i="7"/>
  <c r="L31" i="7"/>
  <c r="G8" i="7"/>
  <c r="G45" i="7"/>
  <c r="I45" i="7"/>
  <c r="J45" i="7"/>
  <c r="E47" i="7"/>
  <c r="E48" i="7" s="1"/>
  <c r="F45" i="7"/>
  <c r="H51" i="7" l="1"/>
  <c r="H37" i="7" s="1"/>
  <c r="C50" i="7"/>
  <c r="L51" i="7"/>
  <c r="L37" i="7" s="1"/>
  <c r="I51" i="7"/>
  <c r="I37" i="7" s="1"/>
  <c r="H50" i="7"/>
  <c r="H52" i="7" s="1"/>
  <c r="H42" i="7" s="1"/>
  <c r="E51" i="7"/>
  <c r="E37" i="7" s="1"/>
  <c r="G51" i="7"/>
  <c r="G37" i="7" s="1"/>
  <c r="D50" i="7"/>
  <c r="D52" i="7" s="1"/>
  <c r="D42" i="7" s="1"/>
  <c r="I50" i="7"/>
  <c r="K50" i="7"/>
  <c r="F50" i="7"/>
  <c r="M50" i="7"/>
  <c r="M52" i="7" s="1"/>
  <c r="M42" i="7" s="1"/>
  <c r="G50" i="7"/>
  <c r="C51" i="7"/>
  <c r="C37" i="7" s="1"/>
  <c r="C38" i="7" s="1"/>
  <c r="F51" i="7"/>
  <c r="F37" i="7" s="1"/>
  <c r="K51" i="7"/>
  <c r="K37" i="7" s="1"/>
  <c r="D51" i="7"/>
  <c r="D37" i="7" s="1"/>
  <c r="D38" i="7" s="1"/>
  <c r="M51" i="7"/>
  <c r="M37" i="7" s="1"/>
  <c r="J51" i="7"/>
  <c r="J37" i="7" s="1"/>
  <c r="E50" i="7"/>
  <c r="E52" i="7" s="1"/>
  <c r="E42" i="7" s="1"/>
  <c r="J50" i="7"/>
  <c r="N51" i="7"/>
  <c r="N37" i="7" s="1"/>
  <c r="L50" i="7"/>
  <c r="L52" i="7" s="1"/>
  <c r="L42" i="7" s="1"/>
  <c r="N50" i="7"/>
  <c r="N52" i="7" s="1"/>
  <c r="N42" i="7" s="1"/>
  <c r="M45" i="7"/>
  <c r="E38" i="7"/>
  <c r="F47" i="7"/>
  <c r="F48" i="7" s="1"/>
  <c r="L45" i="7"/>
  <c r="N28" i="7"/>
  <c r="N29" i="7"/>
  <c r="N31" i="7"/>
  <c r="N24" i="7"/>
  <c r="G25" i="7"/>
  <c r="F32" i="7"/>
  <c r="F33" i="7" s="1"/>
  <c r="F36" i="7" s="1"/>
  <c r="F46" i="7"/>
  <c r="P20" i="7"/>
  <c r="O23" i="7"/>
  <c r="N45" i="7" l="1"/>
  <c r="O24" i="7"/>
  <c r="O31" i="7"/>
  <c r="O29" i="7"/>
  <c r="O28" i="7"/>
  <c r="E40" i="7"/>
  <c r="E41" i="7" s="1"/>
  <c r="E44" i="7" s="1"/>
  <c r="E39" i="7"/>
  <c r="F52" i="7"/>
  <c r="F42" i="7" s="1"/>
  <c r="Q20" i="7"/>
  <c r="P23" i="7"/>
  <c r="F38" i="7"/>
  <c r="C39" i="7"/>
  <c r="C40" i="7"/>
  <c r="C41" i="7" s="1"/>
  <c r="K52" i="7"/>
  <c r="K42" i="7" s="1"/>
  <c r="C52" i="7"/>
  <c r="H25" i="7"/>
  <c r="G32" i="7"/>
  <c r="G33" i="7" s="1"/>
  <c r="G36" i="7" s="1"/>
  <c r="G38" i="7" s="1"/>
  <c r="G46" i="7"/>
  <c r="G47" i="7" s="1"/>
  <c r="G48" i="7" s="1"/>
  <c r="J52" i="7"/>
  <c r="J42" i="7" s="1"/>
  <c r="D39" i="7"/>
  <c r="D40" i="7"/>
  <c r="D41" i="7" s="1"/>
  <c r="D44" i="7" s="1"/>
  <c r="G52" i="7"/>
  <c r="G42" i="7" s="1"/>
  <c r="I52" i="7"/>
  <c r="I42" i="7" s="1"/>
  <c r="P29" i="7" l="1"/>
  <c r="P28" i="7"/>
  <c r="P31" i="7"/>
  <c r="P24" i="7"/>
  <c r="G39" i="7"/>
  <c r="G40" i="7" s="1"/>
  <c r="G41" i="7" s="1"/>
  <c r="G44" i="7" s="1"/>
  <c r="C44" i="7"/>
  <c r="R20" i="7"/>
  <c r="Q23" i="7"/>
  <c r="O45" i="7"/>
  <c r="I25" i="7"/>
  <c r="H32" i="7"/>
  <c r="H33" i="7" s="1"/>
  <c r="H36" i="7" s="1"/>
  <c r="H38" i="7" s="1"/>
  <c r="H46" i="7"/>
  <c r="H47" i="7" s="1"/>
  <c r="H48" i="7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C42" i="7"/>
  <c r="F39" i="7"/>
  <c r="F40" i="7"/>
  <c r="F41" i="7" s="1"/>
  <c r="F44" i="7" s="1"/>
  <c r="H40" i="7" l="1"/>
  <c r="H41" i="7" s="1"/>
  <c r="H44" i="7" s="1"/>
  <c r="H39" i="7"/>
  <c r="Q29" i="7"/>
  <c r="Q28" i="7"/>
  <c r="Q31" i="7"/>
  <c r="Q24" i="7"/>
  <c r="J25" i="7"/>
  <c r="I32" i="7"/>
  <c r="I33" i="7" s="1"/>
  <c r="I36" i="7" s="1"/>
  <c r="I38" i="7" s="1"/>
  <c r="I46" i="7"/>
  <c r="I47" i="7" s="1"/>
  <c r="I48" i="7" s="1"/>
  <c r="S20" i="7"/>
  <c r="R23" i="7"/>
  <c r="P45" i="7"/>
  <c r="I39" i="7" l="1"/>
  <c r="I40" i="7"/>
  <c r="I41" i="7" s="1"/>
  <c r="I44" i="7" s="1"/>
  <c r="R28" i="7"/>
  <c r="R29" i="7"/>
  <c r="R31" i="7"/>
  <c r="R24" i="7"/>
  <c r="K25" i="7"/>
  <c r="J32" i="7"/>
  <c r="J33" i="7" s="1"/>
  <c r="J36" i="7" s="1"/>
  <c r="J38" i="7" s="1"/>
  <c r="J46" i="7"/>
  <c r="J47" i="7" s="1"/>
  <c r="J48" i="7" s="1"/>
  <c r="S23" i="7"/>
  <c r="T20" i="7"/>
  <c r="Q45" i="7"/>
  <c r="S29" i="7" l="1"/>
  <c r="S24" i="7"/>
  <c r="S31" i="7"/>
  <c r="S28" i="7"/>
  <c r="R45" i="7"/>
  <c r="U20" i="7"/>
  <c r="U23" i="7" s="1"/>
  <c r="T23" i="7"/>
  <c r="J39" i="7"/>
  <c r="J40" i="7" s="1"/>
  <c r="J41" i="7" s="1"/>
  <c r="J44" i="7" s="1"/>
  <c r="L25" i="7"/>
  <c r="K46" i="7"/>
  <c r="K47" i="7" s="1"/>
  <c r="K48" i="7" s="1"/>
  <c r="K32" i="7"/>
  <c r="K33" i="7" s="1"/>
  <c r="K36" i="7" s="1"/>
  <c r="K38" i="7" s="1"/>
  <c r="K39" i="7" l="1"/>
  <c r="K40" i="7" s="1"/>
  <c r="K41" i="7" s="1"/>
  <c r="K44" i="7" s="1"/>
  <c r="S45" i="7"/>
  <c r="T29" i="7"/>
  <c r="T31" i="7"/>
  <c r="T28" i="7"/>
  <c r="T24" i="7"/>
  <c r="M25" i="7"/>
  <c r="L32" i="7"/>
  <c r="L33" i="7" s="1"/>
  <c r="L36" i="7" s="1"/>
  <c r="L38" i="7" s="1"/>
  <c r="L46" i="7"/>
  <c r="L47" i="7" s="1"/>
  <c r="L48" i="7" s="1"/>
  <c r="U24" i="7"/>
  <c r="U29" i="7"/>
  <c r="U31" i="7"/>
  <c r="U28" i="7"/>
  <c r="L39" i="7" l="1"/>
  <c r="L40" i="7"/>
  <c r="L41" i="7" s="1"/>
  <c r="L44" i="7" s="1"/>
  <c r="N25" i="7"/>
  <c r="M32" i="7"/>
  <c r="M33" i="7" s="1"/>
  <c r="M36" i="7" s="1"/>
  <c r="M38" i="7" s="1"/>
  <c r="M46" i="7"/>
  <c r="M47" i="7" s="1"/>
  <c r="M48" i="7" s="1"/>
  <c r="U45" i="7"/>
  <c r="T45" i="7"/>
  <c r="M39" i="7" l="1"/>
  <c r="M40" i="7"/>
  <c r="M41" i="7" s="1"/>
  <c r="M44" i="7" s="1"/>
  <c r="O25" i="7"/>
  <c r="N32" i="7"/>
  <c r="N33" i="7" s="1"/>
  <c r="N36" i="7" s="1"/>
  <c r="N38" i="7" s="1"/>
  <c r="N46" i="7"/>
  <c r="N47" i="7" s="1"/>
  <c r="N48" i="7" s="1"/>
  <c r="N39" i="7" l="1"/>
  <c r="N40" i="7"/>
  <c r="N41" i="7" s="1"/>
  <c r="N44" i="7" s="1"/>
  <c r="P25" i="7"/>
  <c r="O46" i="7"/>
  <c r="O47" i="7" s="1"/>
  <c r="O48" i="7" s="1"/>
  <c r="O32" i="7"/>
  <c r="O33" i="7" s="1"/>
  <c r="O36" i="7" s="1"/>
  <c r="O38" i="7" s="1"/>
  <c r="Q25" i="7" l="1"/>
  <c r="P32" i="7"/>
  <c r="P33" i="7" s="1"/>
  <c r="P36" i="7" s="1"/>
  <c r="P38" i="7" s="1"/>
  <c r="P46" i="7"/>
  <c r="P47" i="7" s="1"/>
  <c r="P48" i="7" s="1"/>
  <c r="O39" i="7"/>
  <c r="O40" i="7" s="1"/>
  <c r="O41" i="7" s="1"/>
  <c r="O44" i="7" s="1"/>
  <c r="P39" i="7" l="1"/>
  <c r="P40" i="7"/>
  <c r="P41" i="7" s="1"/>
  <c r="P44" i="7" s="1"/>
  <c r="Q32" i="7"/>
  <c r="Q33" i="7" s="1"/>
  <c r="Q36" i="7" s="1"/>
  <c r="Q38" i="7" s="1"/>
  <c r="R25" i="7"/>
  <c r="Q46" i="7"/>
  <c r="Q47" i="7" s="1"/>
  <c r="Q48" i="7" s="1"/>
  <c r="S25" i="7" l="1"/>
  <c r="R32" i="7"/>
  <c r="R33" i="7" s="1"/>
  <c r="R36" i="7" s="1"/>
  <c r="R38" i="7" s="1"/>
  <c r="R46" i="7"/>
  <c r="R47" i="7" s="1"/>
  <c r="R48" i="7" s="1"/>
  <c r="Q39" i="7"/>
  <c r="Q40" i="7" s="1"/>
  <c r="Q41" i="7" s="1"/>
  <c r="Q44" i="7" s="1"/>
  <c r="R39" i="7" l="1"/>
  <c r="R40" i="7"/>
  <c r="R41" i="7" s="1"/>
  <c r="R44" i="7" s="1"/>
  <c r="S32" i="7"/>
  <c r="S33" i="7" s="1"/>
  <c r="S36" i="7" s="1"/>
  <c r="S38" i="7" s="1"/>
  <c r="T25" i="7"/>
  <c r="S46" i="7"/>
  <c r="S47" i="7" s="1"/>
  <c r="S48" i="7" s="1"/>
  <c r="S39" i="7" l="1"/>
  <c r="S40" i="7" s="1"/>
  <c r="S41" i="7" s="1"/>
  <c r="S44" i="7" s="1"/>
  <c r="U25" i="7"/>
  <c r="T32" i="7"/>
  <c r="T33" i="7" s="1"/>
  <c r="T36" i="7" s="1"/>
  <c r="T38" i="7" s="1"/>
  <c r="T46" i="7"/>
  <c r="T47" i="7" s="1"/>
  <c r="T48" i="7" s="1"/>
  <c r="T39" i="7" l="1"/>
  <c r="T40" i="7" s="1"/>
  <c r="T41" i="7" s="1"/>
  <c r="T44" i="7" s="1"/>
  <c r="U32" i="7"/>
  <c r="U33" i="7" s="1"/>
  <c r="U36" i="7" s="1"/>
  <c r="U38" i="7" s="1"/>
  <c r="U46" i="7"/>
  <c r="U47" i="7" s="1"/>
  <c r="U48" i="7" s="1"/>
  <c r="U39" i="7" l="1"/>
  <c r="U40" i="7"/>
  <c r="U41" i="7" s="1"/>
  <c r="U44" i="7" s="1"/>
  <c r="R12" i="7" l="1"/>
  <c r="R10" i="7"/>
</calcChain>
</file>

<file path=xl/sharedStrings.xml><?xml version="1.0" encoding="utf-8"?>
<sst xmlns="http://schemas.openxmlformats.org/spreadsheetml/2006/main" count="222" uniqueCount="157">
  <si>
    <t>TOTAL</t>
  </si>
  <si>
    <t>(k€)</t>
  </si>
  <si>
    <t>EBIT</t>
  </si>
  <si>
    <t>EBITDA</t>
  </si>
  <si>
    <t>CFI</t>
  </si>
  <si>
    <t>CFF</t>
  </si>
  <si>
    <t>CFO</t>
  </si>
  <si>
    <t xml:space="preserve"> </t>
  </si>
  <si>
    <t>(€)</t>
  </si>
  <si>
    <t>CASH-FLOW</t>
  </si>
  <si>
    <t>(Mwh)</t>
  </si>
  <si>
    <t>(€/MWh)</t>
  </si>
  <si>
    <t>Sicilia</t>
  </si>
  <si>
    <t>08/08/12-30/09/12</t>
  </si>
  <si>
    <t>ACACIAS</t>
  </si>
  <si>
    <t>CASTANIA</t>
  </si>
  <si>
    <t>LANCEDO</t>
  </si>
  <si>
    <t>NERGA</t>
  </si>
  <si>
    <t>FIORE</t>
  </si>
  <si>
    <t>CHIESA</t>
  </si>
  <si>
    <t>CUZZA</t>
  </si>
  <si>
    <t>FOLIO</t>
  </si>
  <si>
    <t xml:space="preserve"> (€/MWh) </t>
  </si>
  <si>
    <t>74.0</t>
  </si>
  <si>
    <t>132.0</t>
  </si>
  <si>
    <t>159.8</t>
  </si>
  <si>
    <t>39.1</t>
  </si>
  <si>
    <t>88.0</t>
  </si>
  <si>
    <t>96.0</t>
  </si>
  <si>
    <t>86.0</t>
  </si>
  <si>
    <t>0.0</t>
  </si>
  <si>
    <t>10.6</t>
  </si>
  <si>
    <t>15.0</t>
  </si>
  <si>
    <t>80.0</t>
  </si>
  <si>
    <t>125.2</t>
  </si>
  <si>
    <t>92.0</t>
  </si>
  <si>
    <t>109.0</t>
  </si>
  <si>
    <t>120.0</t>
  </si>
  <si>
    <t>129.0</t>
  </si>
  <si>
    <t>9.7</t>
  </si>
  <si>
    <t>10.5</t>
  </si>
  <si>
    <t>85.0</t>
  </si>
  <si>
    <t>9.9</t>
  </si>
  <si>
    <t>69.6</t>
  </si>
  <si>
    <t>70.0</t>
  </si>
  <si>
    <t>71.1</t>
  </si>
  <si>
    <t>114.0</t>
  </si>
  <si>
    <t>123.0</t>
  </si>
  <si>
    <t>11.6</t>
  </si>
  <si>
    <t>59.9</t>
  </si>
  <si>
    <t>59.5</t>
  </si>
  <si>
    <t>50.7</t>
  </si>
  <si>
    <t>108.0</t>
  </si>
  <si>
    <t>101.0</t>
  </si>
  <si>
    <t>104.0</t>
  </si>
  <si>
    <t>21.8</t>
  </si>
  <si>
    <t>118.0</t>
  </si>
  <si>
    <t>44.9</t>
  </si>
  <si>
    <t>128.0</t>
  </si>
  <si>
    <t>133.0</t>
  </si>
  <si>
    <t>138.0</t>
  </si>
  <si>
    <t>170.0</t>
  </si>
  <si>
    <t>184.4</t>
  </si>
  <si>
    <t>174.1</t>
  </si>
  <si>
    <t>103.0</t>
  </si>
  <si>
    <t>121.2</t>
  </si>
  <si>
    <t>94.0</t>
  </si>
  <si>
    <t>113.6</t>
  </si>
  <si>
    <t xml:space="preserve">  '000 €</t>
  </si>
  <si>
    <t>Budget of wind farm</t>
  </si>
  <si>
    <t>Construction permit</t>
  </si>
  <si>
    <t>Promotion and management</t>
  </si>
  <si>
    <t>Civil work</t>
  </si>
  <si>
    <t>Electrical facilities</t>
  </si>
  <si>
    <t>Wind turbines</t>
  </si>
  <si>
    <t>Interconnections</t>
  </si>
  <si>
    <t>Setting up the special-purpose vehicle</t>
  </si>
  <si>
    <t>TOTAL + VAT</t>
  </si>
  <si>
    <t>Parameters</t>
  </si>
  <si>
    <t>Number of wind turbines</t>
  </si>
  <si>
    <t>Annual operating hours</t>
  </si>
  <si>
    <t>Installed capacity wind turbine (MW)</t>
  </si>
  <si>
    <t>Distribution and transfer losses</t>
  </si>
  <si>
    <t>Price of electricity + GC (€/MWh)</t>
  </si>
  <si>
    <t>Appendix 1. Castelbuono Wind Farm</t>
  </si>
  <si>
    <t>Investments</t>
  </si>
  <si>
    <t>Tangible fixed assets</t>
  </si>
  <si>
    <t>VAT</t>
  </si>
  <si>
    <t>Minimum cash balance</t>
  </si>
  <si>
    <t>Financing</t>
  </si>
  <si>
    <t>Capital resources</t>
  </si>
  <si>
    <t>Senior debt</t>
  </si>
  <si>
    <t>Years</t>
  </si>
  <si>
    <t>PV</t>
  </si>
  <si>
    <t>Interest rate</t>
  </si>
  <si>
    <t>Project expenditure</t>
  </si>
  <si>
    <t>Maintenance of the wind turbine</t>
  </si>
  <si>
    <t>Maintenance of the substation</t>
  </si>
  <si>
    <t>Administratio and management</t>
  </si>
  <si>
    <t>Operating expenses</t>
  </si>
  <si>
    <t>Insurance</t>
  </si>
  <si>
    <t>Taxes (€/MW installed)</t>
  </si>
  <si>
    <t>Lease of land</t>
  </si>
  <si>
    <t>Provision for abandonment costs</t>
  </si>
  <si>
    <t>Depreciation of fixed assets (years)</t>
  </si>
  <si>
    <t>Working capital</t>
  </si>
  <si>
    <t>Payment to suppliers</t>
  </si>
  <si>
    <t>Payment from ustomers</t>
  </si>
  <si>
    <t>Cash</t>
  </si>
  <si>
    <t>Inflation</t>
  </si>
  <si>
    <t>Discount rate</t>
  </si>
  <si>
    <t>Energy generated (MWh)</t>
  </si>
  <si>
    <t>Average price of electricity (€/MWh)</t>
  </si>
  <si>
    <t>Variation of the average price (€/MWh)</t>
  </si>
  <si>
    <t>Cost of deviations (€/MWh)</t>
  </si>
  <si>
    <t>Income from electricity generation (k€)</t>
  </si>
  <si>
    <t>TOTAL INCOME</t>
  </si>
  <si>
    <t>Administration and management</t>
  </si>
  <si>
    <t>Municipal taxes</t>
  </si>
  <si>
    <t xml:space="preserve">Maintenance of the wind turbines (k€) </t>
  </si>
  <si>
    <t>Maintenance of the substation (k€)</t>
  </si>
  <si>
    <t>Total operating expenses</t>
  </si>
  <si>
    <t>Depreciation</t>
  </si>
  <si>
    <t>Provision for abdandonment costs</t>
  </si>
  <si>
    <t>Financial expenses</t>
  </si>
  <si>
    <t>EBT</t>
  </si>
  <si>
    <t>Taxes</t>
  </si>
  <si>
    <t>Net profit</t>
  </si>
  <si>
    <t>Change in working capital</t>
  </si>
  <si>
    <t>Receivables (days)</t>
  </si>
  <si>
    <t>Payments (days)</t>
  </si>
  <si>
    <t>Debt payment</t>
  </si>
  <si>
    <t>Interests</t>
  </si>
  <si>
    <t>Cumulative repaid principal</t>
  </si>
  <si>
    <t xml:space="preserve">Principal </t>
  </si>
  <si>
    <t>PV Lorenzo '12</t>
  </si>
  <si>
    <t>PV Iberdrola '13</t>
  </si>
  <si>
    <t>Appendix 2: Forecast and Hourly Production (Castelbuono Wind Farm)</t>
  </si>
  <si>
    <t>Date</t>
  </si>
  <si>
    <t>Time</t>
  </si>
  <si>
    <t>Forecast</t>
  </si>
  <si>
    <t>Production</t>
  </si>
  <si>
    <t>Appendix 3: Italian Market Price and Hourly Deviation Price (Sicily)</t>
  </si>
  <si>
    <t>Daily market price</t>
  </si>
  <si>
    <t>Deviation price</t>
  </si>
  <si>
    <t>Region</t>
  </si>
  <si>
    <t>Period</t>
  </si>
  <si>
    <t># hours</t>
  </si>
  <si>
    <t># macrozone hours +</t>
  </si>
  <si>
    <t>Macrozone probability +*</t>
  </si>
  <si>
    <t>*Probability of overproduction</t>
  </si>
  <si>
    <t>Production (MWh)</t>
  </si>
  <si>
    <t>ABS deviation (MWh)</t>
  </si>
  <si>
    <t>Deviation / production (%)</t>
  </si>
  <si>
    <t>Extra cost of deviations (€)</t>
  </si>
  <si>
    <t>Deviation premium (€/MWh)</t>
  </si>
  <si>
    <t>Appendix 4: Deviation Premium in Italian Wind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</si>
</sst>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0.0%"/>
    <numFmt numFmtId="166" formatCode="#,##0.0"/>
    <numFmt numFmtId="167" formatCode="0.0"/>
    <numFmt numFmtId="168" formatCode="_-* #,##0\ _€_-;\-* #,##0\ _€_-;_-* &quot;-&quot;??\ _€_-;_-@_-"/>
    <numFmt numFmtId="169" formatCode="#,##0_ ;\-#,##0\ "/>
  </numFmts>
  <fonts count="4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Cambria"/>
      <family val="1"/>
    </font>
    <font>
      <b/>
      <sz val="12"/>
      <name val="Cambria"/>
      <family val="1"/>
    </font>
    <font>
      <b/>
      <sz val="9"/>
      <name val="Cambria"/>
      <family val="1"/>
    </font>
    <font>
      <b/>
      <sz val="10"/>
      <name val="Arial"/>
      <family val="2"/>
    </font>
    <font>
      <b/>
      <sz val="11"/>
      <name val="Cambria"/>
      <family val="1"/>
    </font>
    <font>
      <b/>
      <sz val="10"/>
      <name val="Cambria"/>
      <family val="1"/>
    </font>
    <font>
      <sz val="9"/>
      <name val="Arial"/>
      <family val="2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9"/>
      <color indexed="9"/>
      <name val="Cambria"/>
      <family val="1"/>
      <scheme val="major"/>
    </font>
    <font>
      <b/>
      <sz val="9"/>
      <name val="Cambria"/>
      <family val="1"/>
      <scheme val="major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b/>
      <sz val="9"/>
      <color theme="1"/>
      <name val="Cambria"/>
      <family val="1"/>
      <scheme val="major"/>
    </font>
    <font>
      <b/>
      <sz val="9"/>
      <color indexed="8"/>
      <name val="Cambria"/>
      <family val="1"/>
      <scheme val="major"/>
    </font>
    <font>
      <b/>
      <u/>
      <sz val="10"/>
      <name val="Cambria"/>
      <family val="1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3" applyNumberFormat="0" applyFill="0" applyAlignment="0" applyProtection="0"/>
    <xf numFmtId="164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2" fillId="0" borderId="0"/>
    <xf numFmtId="0" fontId="13" fillId="0" borderId="0"/>
    <xf numFmtId="0" fontId="12" fillId="0" borderId="0"/>
    <xf numFmtId="0" fontId="23" fillId="0" borderId="0"/>
    <xf numFmtId="0" fontId="1" fillId="23" borderId="7" applyNumberFormat="0" applyFont="0" applyAlignment="0" applyProtection="0"/>
    <xf numFmtId="0" fontId="23" fillId="23" borderId="7" applyNumberFormat="0" applyFont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8" fillId="0" borderId="6" applyNumberFormat="0" applyFill="0" applyAlignment="0" applyProtection="0"/>
    <xf numFmtId="0" fontId="20" fillId="0" borderId="9" applyNumberFormat="0" applyFill="0" applyAlignment="0" applyProtection="0"/>
  </cellStyleXfs>
  <cellXfs count="174">
    <xf numFmtId="0" fontId="0" fillId="0" borderId="0" xfId="0"/>
    <xf numFmtId="0" fontId="21" fillId="0" borderId="0" xfId="0" applyFont="1"/>
    <xf numFmtId="0" fontId="21" fillId="0" borderId="0" xfId="0" applyFont="1" applyBorder="1"/>
    <xf numFmtId="0" fontId="21" fillId="0" borderId="10" xfId="0" applyFont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33" fillId="24" borderId="0" xfId="0" applyFont="1" applyFill="1" applyBorder="1"/>
    <xf numFmtId="0" fontId="33" fillId="24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/>
    <xf numFmtId="3" fontId="32" fillId="0" borderId="0" xfId="0" applyNumberFormat="1" applyFont="1"/>
    <xf numFmtId="3" fontId="32" fillId="0" borderId="0" xfId="0" applyNumberFormat="1" applyFont="1" applyAlignment="1">
      <alignment horizontal="right"/>
    </xf>
    <xf numFmtId="3" fontId="34" fillId="0" borderId="0" xfId="0" applyNumberFormat="1" applyFont="1" applyBorder="1"/>
    <xf numFmtId="0" fontId="32" fillId="0" borderId="0" xfId="0" applyFont="1" applyBorder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4" fillId="0" borderId="0" xfId="0" applyFont="1"/>
    <xf numFmtId="3" fontId="34" fillId="0" borderId="0" xfId="0" applyNumberFormat="1" applyFont="1"/>
    <xf numFmtId="0" fontId="32" fillId="0" borderId="0" xfId="0" applyFont="1" applyBorder="1"/>
    <xf numFmtId="0" fontId="32" fillId="0" borderId="10" xfId="0" applyFont="1" applyBorder="1"/>
    <xf numFmtId="9" fontId="32" fillId="0" borderId="0" xfId="0" applyNumberFormat="1" applyFont="1"/>
    <xf numFmtId="0" fontId="34" fillId="0" borderId="0" xfId="0" applyFont="1" applyAlignment="1">
      <alignment horizontal="right"/>
    </xf>
    <xf numFmtId="0" fontId="34" fillId="0" borderId="10" xfId="0" applyFont="1" applyBorder="1" applyAlignment="1">
      <alignment horizontal="right"/>
    </xf>
    <xf numFmtId="3" fontId="32" fillId="0" borderId="0" xfId="0" applyNumberFormat="1" applyFont="1" applyBorder="1" applyAlignment="1">
      <alignment horizontal="right"/>
    </xf>
    <xf numFmtId="167" fontId="32" fillId="0" borderId="0" xfId="0" applyNumberFormat="1" applyFont="1" applyAlignment="1">
      <alignment horizontal="right"/>
    </xf>
    <xf numFmtId="165" fontId="32" fillId="0" borderId="0" xfId="0" applyNumberFormat="1" applyFont="1" applyAlignment="1">
      <alignment horizontal="right"/>
    </xf>
    <xf numFmtId="10" fontId="32" fillId="0" borderId="0" xfId="0" applyNumberFormat="1" applyFont="1" applyAlignment="1">
      <alignment horizontal="center"/>
    </xf>
    <xf numFmtId="3" fontId="34" fillId="0" borderId="0" xfId="0" applyNumberFormat="1" applyFont="1" applyAlignment="1">
      <alignment horizontal="right"/>
    </xf>
    <xf numFmtId="1" fontId="32" fillId="0" borderId="0" xfId="0" applyNumberFormat="1" applyFont="1" applyAlignment="1">
      <alignment horizontal="right"/>
    </xf>
    <xf numFmtId="0" fontId="34" fillId="0" borderId="11" xfId="0" applyFont="1" applyBorder="1"/>
    <xf numFmtId="3" fontId="34" fillId="0" borderId="11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9" fontId="32" fillId="0" borderId="0" xfId="0" applyNumberFormat="1" applyFont="1" applyAlignment="1">
      <alignment horizontal="center"/>
    </xf>
    <xf numFmtId="0" fontId="34" fillId="0" borderId="10" xfId="0" applyFont="1" applyBorder="1"/>
    <xf numFmtId="3" fontId="34" fillId="0" borderId="10" xfId="0" applyNumberFormat="1" applyFont="1" applyBorder="1" applyAlignment="1">
      <alignment horizontal="right"/>
    </xf>
    <xf numFmtId="0" fontId="25" fillId="0" borderId="0" xfId="0" applyFont="1" applyAlignment="1">
      <alignment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14" fontId="35" fillId="0" borderId="32" xfId="0" applyNumberFormat="1" applyFont="1" applyBorder="1" applyAlignment="1">
      <alignment horizontal="right"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right" vertical="center"/>
    </xf>
    <xf numFmtId="0" fontId="36" fillId="0" borderId="32" xfId="0" applyFont="1" applyBorder="1" applyAlignment="1">
      <alignment horizontal="right" vertical="center"/>
    </xf>
    <xf numFmtId="0" fontId="36" fillId="0" borderId="33" xfId="0" applyFont="1" applyBorder="1" applyAlignment="1">
      <alignment horizontal="right" vertical="center"/>
    </xf>
    <xf numFmtId="0" fontId="36" fillId="0" borderId="34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right" vertical="center"/>
    </xf>
    <xf numFmtId="0" fontId="37" fillId="26" borderId="12" xfId="0" applyFont="1" applyFill="1" applyBorder="1"/>
    <xf numFmtId="0" fontId="32" fillId="0" borderId="13" xfId="0" applyFont="1" applyBorder="1"/>
    <xf numFmtId="0" fontId="38" fillId="0" borderId="14" xfId="0" applyFont="1" applyFill="1" applyBorder="1" applyAlignment="1">
      <alignment horizontal="center"/>
    </xf>
    <xf numFmtId="0" fontId="37" fillId="26" borderId="15" xfId="0" applyFont="1" applyFill="1" applyBorder="1"/>
    <xf numFmtId="0" fontId="33" fillId="0" borderId="16" xfId="0" applyFont="1" applyFill="1" applyBorder="1"/>
    <xf numFmtId="0" fontId="32" fillId="0" borderId="16" xfId="0" applyFont="1" applyFill="1" applyBorder="1"/>
    <xf numFmtId="0" fontId="37" fillId="26" borderId="17" xfId="0" applyFont="1" applyFill="1" applyBorder="1" applyAlignment="1">
      <alignment horizontal="right"/>
    </xf>
    <xf numFmtId="0" fontId="32" fillId="0" borderId="15" xfId="0" applyFont="1" applyBorder="1"/>
    <xf numFmtId="169" fontId="32" fillId="0" borderId="0" xfId="23" applyNumberFormat="1" applyFont="1" applyBorder="1" applyAlignment="1">
      <alignment horizontal="right"/>
    </xf>
    <xf numFmtId="169" fontId="32" fillId="0" borderId="18" xfId="0" applyNumberFormat="1" applyFont="1" applyBorder="1" applyAlignment="1">
      <alignment horizontal="right"/>
    </xf>
    <xf numFmtId="2" fontId="32" fillId="0" borderId="0" xfId="0" applyNumberFormat="1" applyFont="1" applyBorder="1" applyAlignment="1">
      <alignment horizontal="right"/>
    </xf>
    <xf numFmtId="2" fontId="32" fillId="0" borderId="16" xfId="0" applyNumberFormat="1" applyFont="1" applyBorder="1" applyAlignment="1">
      <alignment horizontal="right"/>
    </xf>
    <xf numFmtId="169" fontId="32" fillId="0" borderId="16" xfId="0" applyNumberFormat="1" applyFont="1" applyBorder="1" applyAlignment="1">
      <alignment horizontal="right"/>
    </xf>
    <xf numFmtId="9" fontId="32" fillId="0" borderId="0" xfId="41" applyFont="1" applyBorder="1" applyAlignment="1">
      <alignment horizontal="right"/>
    </xf>
    <xf numFmtId="9" fontId="32" fillId="0" borderId="16" xfId="41" applyFont="1" applyFill="1" applyBorder="1" applyAlignment="1">
      <alignment horizontal="right"/>
    </xf>
    <xf numFmtId="3" fontId="32" fillId="0" borderId="16" xfId="0" applyNumberFormat="1" applyFont="1" applyBorder="1" applyAlignment="1">
      <alignment horizontal="right"/>
    </xf>
    <xf numFmtId="0" fontId="34" fillId="0" borderId="15" xfId="0" applyFont="1" applyBorder="1"/>
    <xf numFmtId="167" fontId="34" fillId="0" borderId="0" xfId="0" applyNumberFormat="1" applyFont="1" applyBorder="1" applyAlignment="1">
      <alignment horizontal="right"/>
    </xf>
    <xf numFmtId="167" fontId="34" fillId="0" borderId="16" xfId="0" applyNumberFormat="1" applyFont="1" applyBorder="1" applyAlignment="1">
      <alignment horizontal="right"/>
    </xf>
    <xf numFmtId="0" fontId="34" fillId="0" borderId="19" xfId="0" applyFont="1" applyBorder="1"/>
    <xf numFmtId="167" fontId="34" fillId="0" borderId="20" xfId="0" applyNumberFormat="1" applyFont="1" applyBorder="1" applyAlignment="1">
      <alignment horizontal="right"/>
    </xf>
    <xf numFmtId="167" fontId="34" fillId="0" borderId="21" xfId="0" applyNumberFormat="1" applyFont="1" applyBorder="1" applyAlignment="1">
      <alignment horizontal="right"/>
    </xf>
    <xf numFmtId="2" fontId="27" fillId="25" borderId="0" xfId="0" applyNumberFormat="1" applyFont="1" applyFill="1" applyBorder="1" applyAlignment="1">
      <alignment horizontal="center"/>
    </xf>
    <xf numFmtId="0" fontId="23" fillId="0" borderId="0" xfId="0" applyFont="1"/>
    <xf numFmtId="0" fontId="23" fillId="0" borderId="0" xfId="38"/>
    <xf numFmtId="14" fontId="35" fillId="0" borderId="32" xfId="38" applyNumberFormat="1" applyFont="1" applyBorder="1" applyAlignment="1">
      <alignment horizontal="right" vertical="center"/>
    </xf>
    <xf numFmtId="0" fontId="36" fillId="0" borderId="0" xfId="38" applyFont="1" applyAlignment="1">
      <alignment horizontal="center" vertical="center" wrapText="1"/>
    </xf>
    <xf numFmtId="0" fontId="36" fillId="0" borderId="32" xfId="38" applyFont="1" applyBorder="1" applyAlignment="1">
      <alignment horizontal="right" vertical="center"/>
    </xf>
    <xf numFmtId="0" fontId="36" fillId="0" borderId="33" xfId="38" applyFont="1" applyBorder="1" applyAlignment="1">
      <alignment horizontal="right" vertical="center"/>
    </xf>
    <xf numFmtId="0" fontId="36" fillId="0" borderId="34" xfId="38" applyFont="1" applyBorder="1" applyAlignment="1">
      <alignment horizontal="center" vertical="center" wrapText="1"/>
    </xf>
    <xf numFmtId="0" fontId="24" fillId="0" borderId="0" xfId="38" applyFont="1" applyAlignment="1">
      <alignment horizontal="right" vertical="center"/>
    </xf>
    <xf numFmtId="0" fontId="24" fillId="0" borderId="35" xfId="38" applyFont="1" applyBorder="1" applyAlignment="1">
      <alignment horizontal="right" vertical="center"/>
    </xf>
    <xf numFmtId="0" fontId="24" fillId="0" borderId="34" xfId="38" applyFont="1" applyBorder="1" applyAlignment="1">
      <alignment horizontal="right" vertical="center"/>
    </xf>
    <xf numFmtId="0" fontId="34" fillId="0" borderId="30" xfId="38" applyFont="1" applyBorder="1" applyAlignment="1">
      <alignment horizontal="center" vertical="center"/>
    </xf>
    <xf numFmtId="0" fontId="34" fillId="0" borderId="31" xfId="38" applyFont="1" applyBorder="1" applyAlignment="1">
      <alignment horizontal="center" vertical="center"/>
    </xf>
    <xf numFmtId="0" fontId="38" fillId="0" borderId="16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/>
    <xf numFmtId="3" fontId="21" fillId="0" borderId="0" xfId="0" applyNumberFormat="1" applyFont="1" applyAlignment="1">
      <alignment horizontal="center"/>
    </xf>
    <xf numFmtId="167" fontId="0" fillId="0" borderId="0" xfId="0" applyNumberFormat="1"/>
    <xf numFmtId="165" fontId="31" fillId="0" borderId="0" xfId="0" applyNumberFormat="1" applyFont="1" applyFill="1" applyBorder="1" applyAlignment="1">
      <alignment horizontal="right"/>
    </xf>
    <xf numFmtId="2" fontId="24" fillId="0" borderId="0" xfId="38" applyNumberFormat="1" applyFont="1" applyAlignment="1">
      <alignment horizontal="right" vertical="center"/>
    </xf>
    <xf numFmtId="0" fontId="30" fillId="0" borderId="20" xfId="0" applyFont="1" applyBorder="1" applyAlignment="1">
      <alignment horizontal="center"/>
    </xf>
    <xf numFmtId="0" fontId="37" fillId="26" borderId="22" xfId="0" applyFont="1" applyFill="1" applyBorder="1" applyAlignment="1">
      <alignment horizontal="right"/>
    </xf>
    <xf numFmtId="0" fontId="37" fillId="26" borderId="23" xfId="0" applyFont="1" applyFill="1" applyBorder="1" applyAlignment="1">
      <alignment horizontal="right"/>
    </xf>
    <xf numFmtId="0" fontId="37" fillId="26" borderId="19" xfId="0" applyFont="1" applyFill="1" applyBorder="1"/>
    <xf numFmtId="0" fontId="32" fillId="0" borderId="20" xfId="0" applyFont="1" applyBorder="1"/>
    <xf numFmtId="0" fontId="32" fillId="0" borderId="21" xfId="0" applyFont="1" applyBorder="1"/>
    <xf numFmtId="169" fontId="32" fillId="0" borderId="24" xfId="23" applyNumberFormat="1" applyFont="1" applyBorder="1" applyAlignment="1">
      <alignment horizontal="right"/>
    </xf>
    <xf numFmtId="2" fontId="32" fillId="0" borderId="24" xfId="0" applyNumberFormat="1" applyFont="1" applyBorder="1" applyAlignment="1">
      <alignment horizontal="right"/>
    </xf>
    <xf numFmtId="9" fontId="32" fillId="0" borderId="24" xfId="41" applyFont="1" applyBorder="1" applyAlignment="1">
      <alignment horizontal="right"/>
    </xf>
    <xf numFmtId="167" fontId="34" fillId="0" borderId="24" xfId="0" applyNumberFormat="1" applyFont="1" applyBorder="1" applyAlignment="1">
      <alignment horizontal="right"/>
    </xf>
    <xf numFmtId="167" fontId="34" fillId="0" borderId="25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32" fillId="0" borderId="0" xfId="0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/>
    <xf numFmtId="0" fontId="23" fillId="0" borderId="0" xfId="38" applyFill="1"/>
    <xf numFmtId="0" fontId="0" fillId="0" borderId="0" xfId="0" applyFill="1"/>
    <xf numFmtId="2" fontId="24" fillId="0" borderId="0" xfId="38" applyNumberFormat="1" applyFont="1" applyFill="1" applyAlignment="1">
      <alignment horizontal="right" vertical="center"/>
    </xf>
    <xf numFmtId="0" fontId="24" fillId="0" borderId="0" xfId="38" applyFont="1" applyFill="1" applyAlignment="1">
      <alignment horizontal="right" vertical="center"/>
    </xf>
    <xf numFmtId="3" fontId="32" fillId="0" borderId="0" xfId="0" applyNumberFormat="1" applyFont="1" applyBorder="1"/>
    <xf numFmtId="166" fontId="32" fillId="0" borderId="0" xfId="0" applyNumberFormat="1" applyFont="1" applyBorder="1"/>
    <xf numFmtId="3" fontId="32" fillId="0" borderId="0" xfId="0" applyNumberFormat="1" applyFont="1" applyFill="1" applyBorder="1"/>
    <xf numFmtId="9" fontId="32" fillId="0" borderId="0" xfId="41" applyFont="1" applyFill="1" applyBorder="1"/>
    <xf numFmtId="0" fontId="33" fillId="24" borderId="0" xfId="0" applyFont="1" applyFill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3" fillId="24" borderId="0" xfId="0" applyFont="1" applyFill="1" applyBorder="1" applyAlignment="1"/>
    <xf numFmtId="3" fontId="32" fillId="0" borderId="0" xfId="0" applyNumberFormat="1" applyFont="1" applyFill="1" applyBorder="1" applyAlignment="1">
      <alignment horizontal="right"/>
    </xf>
    <xf numFmtId="165" fontId="32" fillId="0" borderId="0" xfId="0" applyNumberFormat="1" applyFont="1" applyFill="1" applyBorder="1" applyAlignment="1">
      <alignment horizontal="right"/>
    </xf>
    <xf numFmtId="9" fontId="32" fillId="0" borderId="0" xfId="0" applyNumberFormat="1" applyFont="1" applyAlignment="1">
      <alignment horizontal="right"/>
    </xf>
    <xf numFmtId="10" fontId="32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9" fontId="32" fillId="0" borderId="26" xfId="0" applyNumberFormat="1" applyFont="1" applyFill="1" applyBorder="1" applyAlignment="1">
      <alignment horizontal="right"/>
    </xf>
    <xf numFmtId="0" fontId="34" fillId="0" borderId="0" xfId="0" applyFont="1" applyAlignment="1">
      <alignment horizontal="left"/>
    </xf>
    <xf numFmtId="9" fontId="32" fillId="0" borderId="26" xfId="0" applyNumberFormat="1" applyFont="1" applyBorder="1" applyAlignment="1">
      <alignment horizontal="right"/>
    </xf>
    <xf numFmtId="0" fontId="34" fillId="0" borderId="0" xfId="0" applyFont="1" applyBorder="1" applyAlignment="1">
      <alignment horizontal="left"/>
    </xf>
    <xf numFmtId="168" fontId="32" fillId="0" borderId="0" xfId="23" applyNumberFormat="1" applyFont="1" applyBorder="1" applyAlignment="1"/>
    <xf numFmtId="0" fontId="32" fillId="0" borderId="12" xfId="0" applyFont="1" applyBorder="1" applyAlignment="1">
      <alignment horizontal="center"/>
    </xf>
    <xf numFmtId="9" fontId="32" fillId="0" borderId="13" xfId="0" applyNumberFormat="1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4" fillId="0" borderId="15" xfId="0" applyFont="1" applyBorder="1" applyAlignment="1">
      <alignment horizontal="left"/>
    </xf>
    <xf numFmtId="0" fontId="34" fillId="0" borderId="15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168" fontId="32" fillId="0" borderId="0" xfId="0" applyNumberFormat="1" applyFont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20" xfId="0" applyFont="1" applyBorder="1" applyAlignment="1">
      <alignment horizontal="center"/>
    </xf>
    <xf numFmtId="168" fontId="32" fillId="0" borderId="20" xfId="23" applyNumberFormat="1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2" fillId="0" borderId="10" xfId="0" quotePrefix="1" applyFont="1" applyBorder="1"/>
    <xf numFmtId="0" fontId="34" fillId="0" borderId="27" xfId="0" applyFont="1" applyBorder="1"/>
    <xf numFmtId="0" fontId="34" fillId="0" borderId="28" xfId="0" applyFont="1" applyBorder="1"/>
    <xf numFmtId="0" fontId="32" fillId="0" borderId="0" xfId="0" applyFont="1" applyAlignment="1">
      <alignment horizontal="left"/>
    </xf>
    <xf numFmtId="0" fontId="34" fillId="0" borderId="0" xfId="0" applyFont="1" applyBorder="1" applyAlignment="1">
      <alignment horizontal="left"/>
    </xf>
    <xf numFmtId="0" fontId="32" fillId="0" borderId="13" xfId="0" applyFont="1" applyBorder="1" applyAlignment="1">
      <alignment horizontal="center"/>
    </xf>
    <xf numFmtId="168" fontId="34" fillId="0" borderId="16" xfId="23" applyNumberFormat="1" applyFont="1" applyBorder="1" applyAlignment="1">
      <alignment horizontal="center"/>
    </xf>
    <xf numFmtId="168" fontId="34" fillId="0" borderId="16" xfId="23" applyNumberFormat="1" applyFont="1" applyFill="1" applyBorder="1" applyAlignment="1">
      <alignment horizontal="center"/>
    </xf>
    <xf numFmtId="168" fontId="34" fillId="0" borderId="40" xfId="23" applyNumberFormat="1" applyFont="1" applyBorder="1" applyAlignment="1">
      <alignment horizontal="center"/>
    </xf>
    <xf numFmtId="168" fontId="34" fillId="0" borderId="40" xfId="23" applyNumberFormat="1" applyFont="1" applyFill="1" applyBorder="1" applyAlignment="1">
      <alignment horizontal="center"/>
    </xf>
    <xf numFmtId="0" fontId="34" fillId="0" borderId="0" xfId="0" applyFont="1" applyBorder="1" applyAlignment="1">
      <alignment horizontal="left"/>
    </xf>
    <xf numFmtId="168" fontId="34" fillId="0" borderId="0" xfId="23" applyNumberFormat="1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applyFont="1" applyBorder="1" applyAlignment="1">
      <alignment horizontal="left"/>
    </xf>
    <xf numFmtId="0" fontId="33" fillId="24" borderId="0" xfId="0" applyFont="1" applyFill="1" applyBorder="1" applyAlignment="1">
      <alignment horizontal="left"/>
    </xf>
    <xf numFmtId="0" fontId="39" fillId="0" borderId="0" xfId="0" applyFont="1" applyAlignment="1">
      <alignment horizontal="center"/>
    </xf>
    <xf numFmtId="3" fontId="31" fillId="0" borderId="0" xfId="0" applyNumberFormat="1" applyFont="1" applyBorder="1" applyAlignment="1">
      <alignment horizontal="left" wrapText="1"/>
    </xf>
    <xf numFmtId="0" fontId="29" fillId="0" borderId="0" xfId="38" applyFont="1" applyAlignment="1">
      <alignment horizontal="left" vertical="center"/>
    </xf>
    <xf numFmtId="0" fontId="26" fillId="0" borderId="36" xfId="38" applyFont="1" applyBorder="1" applyAlignment="1">
      <alignment horizontal="center" vertical="center"/>
    </xf>
    <xf numFmtId="0" fontId="26" fillId="0" borderId="37" xfId="38" applyFont="1" applyBorder="1" applyAlignment="1">
      <alignment horizontal="center" vertical="center"/>
    </xf>
    <xf numFmtId="0" fontId="26" fillId="0" borderId="38" xfId="38" applyFont="1" applyBorder="1" applyAlignment="1">
      <alignment horizontal="center" vertical="center" wrapText="1"/>
    </xf>
    <xf numFmtId="0" fontId="26" fillId="0" borderId="39" xfId="38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28" fillId="0" borderId="20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9" fontId="32" fillId="0" borderId="25" xfId="41" applyFont="1" applyBorder="1" applyAlignment="1">
      <alignment horizontal="center"/>
    </xf>
    <xf numFmtId="9" fontId="32" fillId="0" borderId="20" xfId="41" applyFont="1" applyBorder="1" applyAlignment="1">
      <alignment horizontal="center"/>
    </xf>
  </cellXfs>
  <cellStyles count="51">
    <cellStyle name="20% - Énfasis1" xfId="1"/>
    <cellStyle name="20% - Énfasis2" xfId="2"/>
    <cellStyle name="20% - Énfasis3" xfId="3"/>
    <cellStyle name="20% - Énfasis4" xfId="4"/>
    <cellStyle name="20% - Énfasis5" xfId="5"/>
    <cellStyle name="20% - Énfasis6" xfId="6"/>
    <cellStyle name="40% - Énfasis1" xfId="7"/>
    <cellStyle name="40% - Énfasis2" xfId="8"/>
    <cellStyle name="40% - Énfasis3" xfId="9"/>
    <cellStyle name="40% - Énfasis4" xfId="10"/>
    <cellStyle name="40% - Énfasis5" xfId="11"/>
    <cellStyle name="40% - Énfasis6" xfId="12"/>
    <cellStyle name="60% - Énfasis1" xfId="13"/>
    <cellStyle name="60% - Énfasis2" xfId="14"/>
    <cellStyle name="60% - Énfasis3" xfId="15"/>
    <cellStyle name="60% - Énfasis4" xfId="16"/>
    <cellStyle name="60% - Énfasis5" xfId="17"/>
    <cellStyle name="60% - Énfasis6" xfId="18"/>
    <cellStyle name="Buena" xfId="19"/>
    <cellStyle name="Cálculo" xfId="20"/>
    <cellStyle name="Celda de comprobación" xfId="21"/>
    <cellStyle name="Celda vinculada" xfId="22"/>
    <cellStyle name="Comma" xfId="23" builtinId="3"/>
    <cellStyle name="Comma 2" xfId="24"/>
    <cellStyle name="Encabezado 4" xfId="25"/>
    <cellStyle name="Énfasis1" xfId="26"/>
    <cellStyle name="Énfasis2" xfId="27"/>
    <cellStyle name="Énfasis3" xfId="28"/>
    <cellStyle name="Énfasis4" xfId="29"/>
    <cellStyle name="Énfasis5" xfId="30"/>
    <cellStyle name="Énfasis6" xfId="31"/>
    <cellStyle name="Entrada" xfId="32"/>
    <cellStyle name="Incorrecto" xfId="33"/>
    <cellStyle name="Neutral" xfId="34" builtinId="28" customBuiltin="1"/>
    <cellStyle name="Normal" xfId="0" builtinId="0"/>
    <cellStyle name="Normal 2" xfId="35"/>
    <cellStyle name="Normal 3" xfId="36"/>
    <cellStyle name="Normal 3 2" xfId="37"/>
    <cellStyle name="Normal 4" xfId="38"/>
    <cellStyle name="Notas" xfId="39"/>
    <cellStyle name="Notas 2" xfId="40"/>
    <cellStyle name="Percent" xfId="41" builtinId="5"/>
    <cellStyle name="Percent 2" xfId="42"/>
    <cellStyle name="Salida" xfId="43"/>
    <cellStyle name="Texto de advertencia" xfId="44"/>
    <cellStyle name="Texto explicativo" xfId="45"/>
    <cellStyle name="Título" xfId="46"/>
    <cellStyle name="Título 1" xfId="47"/>
    <cellStyle name="Título 2" xfId="48"/>
    <cellStyle name="Título 3" xfId="49"/>
    <cellStyle name="Total" xfId="5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P2"/>
  <sheetViews>
    <sheetView workbookViewId="0"/>
  </sheetViews>
  <sheetFormatPr defaultColWidth="11.42578125" defaultRowHeight="12.75" x14ac:dyDescent="0.2"/>
  <cols>
    <col min="1" max="256" width="8.85546875" customWidth="1"/>
  </cols>
  <sheetData>
    <row r="2" spans="16:16" x14ac:dyDescent="0.2">
      <c r="P2">
        <f ca="1">_xll.CB.RecalcCounterFN()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A61"/>
  <sheetViews>
    <sheetView tabSelected="1" topLeftCell="B1" zoomScale="134" zoomScaleNormal="70" workbookViewId="0">
      <selection activeCell="R10" sqref="R10"/>
    </sheetView>
  </sheetViews>
  <sheetFormatPr defaultColWidth="11.42578125" defaultRowHeight="11.25" x14ac:dyDescent="0.2"/>
  <cols>
    <col min="1" max="1" width="25.42578125" style="1" customWidth="1"/>
    <col min="2" max="2" width="8.140625" style="1" customWidth="1"/>
    <col min="3" max="21" width="8.140625" style="5" customWidth="1"/>
    <col min="22" max="22" width="5.85546875" style="1" customWidth="1"/>
    <col min="23" max="16384" width="11.42578125" style="1"/>
  </cols>
  <sheetData>
    <row r="1" spans="1:52" ht="14.1" customHeight="1" x14ac:dyDescent="0.2">
      <c r="A1" s="155" t="s">
        <v>84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8"/>
      <c r="O1" s="8"/>
      <c r="P1" s="8"/>
      <c r="Q1" s="8"/>
      <c r="R1" s="8"/>
      <c r="S1" s="8"/>
      <c r="T1" s="8"/>
      <c r="U1" s="8"/>
    </row>
    <row r="2" spans="1:52" ht="14.1" customHeight="1" x14ac:dyDescent="0.2">
      <c r="A2" s="11" t="s">
        <v>69</v>
      </c>
      <c r="B2" s="12" t="s">
        <v>1</v>
      </c>
      <c r="C2" s="13"/>
      <c r="D2" s="11" t="s">
        <v>85</v>
      </c>
      <c r="E2" s="12"/>
      <c r="F2" s="12"/>
      <c r="G2" s="12" t="s">
        <v>1</v>
      </c>
      <c r="H2" s="8"/>
      <c r="I2" s="154" t="s">
        <v>95</v>
      </c>
      <c r="J2" s="154"/>
      <c r="K2" s="154"/>
      <c r="L2" s="154"/>
      <c r="M2" s="12" t="s">
        <v>8</v>
      </c>
      <c r="N2" s="121"/>
      <c r="O2" s="20" t="s">
        <v>109</v>
      </c>
      <c r="P2" s="13"/>
      <c r="Q2" s="122">
        <v>0.02</v>
      </c>
      <c r="R2" s="13"/>
      <c r="S2" s="121"/>
    </row>
    <row r="3" spans="1:52" ht="14.1" customHeight="1" x14ac:dyDescent="0.2">
      <c r="A3" s="14" t="s">
        <v>70</v>
      </c>
      <c r="B3" s="15">
        <v>900</v>
      </c>
      <c r="C3" s="13"/>
      <c r="D3" s="153" t="s">
        <v>86</v>
      </c>
      <c r="E3" s="153"/>
      <c r="F3" s="153"/>
      <c r="G3" s="110">
        <f>+B10-G4</f>
        <v>43125</v>
      </c>
      <c r="H3" s="8"/>
      <c r="I3" s="152" t="s">
        <v>96</v>
      </c>
      <c r="J3" s="152"/>
      <c r="K3" s="152"/>
      <c r="L3" s="152"/>
      <c r="M3" s="16">
        <v>15840</v>
      </c>
      <c r="N3" s="121"/>
      <c r="O3" s="123" t="s">
        <v>110</v>
      </c>
      <c r="P3" s="13"/>
      <c r="Q3" s="124">
        <v>0.08</v>
      </c>
      <c r="R3" s="13"/>
      <c r="S3" s="121"/>
    </row>
    <row r="4" spans="1:52" ht="14.1" customHeight="1" x14ac:dyDescent="0.2">
      <c r="A4" s="14" t="s">
        <v>71</v>
      </c>
      <c r="B4" s="15">
        <v>2105</v>
      </c>
      <c r="C4" s="13"/>
      <c r="D4" s="153" t="s">
        <v>87</v>
      </c>
      <c r="E4" s="153"/>
      <c r="F4" s="153"/>
      <c r="G4" s="15">
        <v>6900</v>
      </c>
      <c r="H4" s="8"/>
      <c r="I4" s="152" t="s">
        <v>97</v>
      </c>
      <c r="J4" s="152"/>
      <c r="K4" s="152"/>
      <c r="L4" s="152"/>
      <c r="M4" s="16">
        <v>12000</v>
      </c>
      <c r="N4" s="121"/>
      <c r="O4" s="121"/>
      <c r="P4" s="121"/>
      <c r="Q4" s="121"/>
      <c r="R4" s="13"/>
      <c r="S4" s="121"/>
    </row>
    <row r="5" spans="1:52" ht="14.1" customHeight="1" x14ac:dyDescent="0.2">
      <c r="A5" s="14" t="s">
        <v>72</v>
      </c>
      <c r="B5" s="15">
        <v>2435</v>
      </c>
      <c r="C5" s="13"/>
      <c r="D5" s="153" t="s">
        <v>88</v>
      </c>
      <c r="E5" s="153"/>
      <c r="F5" s="153"/>
      <c r="G5" s="14">
        <v>100</v>
      </c>
      <c r="H5" s="8"/>
      <c r="I5" s="152" t="s">
        <v>98</v>
      </c>
      <c r="J5" s="152"/>
      <c r="K5" s="152"/>
      <c r="L5" s="152"/>
      <c r="M5" s="16">
        <v>32000</v>
      </c>
      <c r="N5" s="121"/>
      <c r="O5" s="121"/>
      <c r="P5" s="121"/>
      <c r="Q5" s="121"/>
      <c r="R5" s="13"/>
      <c r="S5" s="121"/>
    </row>
    <row r="6" spans="1:52" ht="14.1" customHeight="1" x14ac:dyDescent="0.2">
      <c r="A6" s="14" t="s">
        <v>73</v>
      </c>
      <c r="B6" s="15">
        <v>3605</v>
      </c>
      <c r="C6" s="13"/>
      <c r="D6" s="150" t="s">
        <v>0</v>
      </c>
      <c r="E6" s="150"/>
      <c r="F6" s="150"/>
      <c r="G6" s="17">
        <f>+SUM(G3:G5)</f>
        <v>50125</v>
      </c>
      <c r="H6" s="8"/>
      <c r="I6" s="152" t="s">
        <v>99</v>
      </c>
      <c r="J6" s="152"/>
      <c r="K6" s="152"/>
      <c r="L6" s="152"/>
      <c r="M6" s="119">
        <v>0.05</v>
      </c>
      <c r="N6" s="121"/>
      <c r="O6" s="13"/>
      <c r="P6" s="13"/>
      <c r="Q6" s="13"/>
      <c r="R6" s="13"/>
      <c r="S6" s="121"/>
    </row>
    <row r="7" spans="1:52" ht="14.1" customHeight="1" x14ac:dyDescent="0.2">
      <c r="A7" s="14" t="s">
        <v>74</v>
      </c>
      <c r="B7" s="15">
        <v>32215</v>
      </c>
      <c r="C7" s="18"/>
      <c r="D7" s="114" t="s">
        <v>89</v>
      </c>
      <c r="E7" s="114"/>
      <c r="F7" s="12"/>
      <c r="G7" s="12" t="s">
        <v>1</v>
      </c>
      <c r="H7" s="8"/>
      <c r="I7" s="152" t="s">
        <v>100</v>
      </c>
      <c r="J7" s="152"/>
      <c r="K7" s="152"/>
      <c r="L7" s="152"/>
      <c r="M7" s="120">
        <v>7.0000000000000001E-3</v>
      </c>
      <c r="N7" s="121"/>
      <c r="O7" s="125"/>
      <c r="P7" s="103"/>
      <c r="Q7" s="126"/>
      <c r="R7" s="103"/>
      <c r="S7" s="121"/>
    </row>
    <row r="8" spans="1:52" ht="14.1" customHeight="1" thickBot="1" x14ac:dyDescent="0.25">
      <c r="A8" s="14" t="s">
        <v>75</v>
      </c>
      <c r="B8" s="15">
        <v>865</v>
      </c>
      <c r="C8" s="18"/>
      <c r="D8" s="115" t="s">
        <v>90</v>
      </c>
      <c r="E8" s="115"/>
      <c r="F8" s="115"/>
      <c r="G8" s="110">
        <f>+G6-G9</f>
        <v>10025</v>
      </c>
      <c r="H8" s="8"/>
      <c r="I8" s="152" t="s">
        <v>101</v>
      </c>
      <c r="J8" s="152"/>
      <c r="K8" s="152"/>
      <c r="L8" s="152"/>
      <c r="M8" s="16">
        <f>720*(1.7)</f>
        <v>1224</v>
      </c>
      <c r="N8" s="121"/>
      <c r="O8" s="121"/>
      <c r="P8" s="121"/>
      <c r="Q8" s="121"/>
      <c r="R8" s="13"/>
      <c r="S8" s="121"/>
      <c r="T8" s="85"/>
      <c r="U8" s="85"/>
    </row>
    <row r="9" spans="1:52" ht="14.1" customHeight="1" thickBot="1" x14ac:dyDescent="0.25">
      <c r="A9" s="14" t="s">
        <v>76</v>
      </c>
      <c r="B9" s="15">
        <v>1000</v>
      </c>
      <c r="C9" s="18"/>
      <c r="D9" s="115" t="s">
        <v>91</v>
      </c>
      <c r="E9" s="115"/>
      <c r="F9" s="115"/>
      <c r="G9" s="110">
        <f>+G6*80%</f>
        <v>40100</v>
      </c>
      <c r="H9" s="8"/>
      <c r="I9" s="152" t="s">
        <v>102</v>
      </c>
      <c r="J9" s="152"/>
      <c r="K9" s="152"/>
      <c r="L9" s="152"/>
      <c r="M9" s="119">
        <v>0.03</v>
      </c>
      <c r="N9" s="121"/>
      <c r="O9" s="127"/>
      <c r="P9" s="128"/>
      <c r="Q9" s="145"/>
      <c r="R9" s="145"/>
      <c r="S9" s="129"/>
      <c r="T9" s="85"/>
      <c r="U9" s="85"/>
    </row>
    <row r="10" spans="1:52" ht="14.1" customHeight="1" thickBot="1" x14ac:dyDescent="0.25">
      <c r="A10" s="20" t="s">
        <v>77</v>
      </c>
      <c r="B10" s="21">
        <f>SUM(B3:B9)+6900</f>
        <v>50025</v>
      </c>
      <c r="C10" s="18"/>
      <c r="D10" s="150" t="s">
        <v>0</v>
      </c>
      <c r="E10" s="150"/>
      <c r="F10" s="150"/>
      <c r="G10" s="17">
        <v>50719</v>
      </c>
      <c r="H10" s="8"/>
      <c r="I10" s="152" t="s">
        <v>103</v>
      </c>
      <c r="J10" s="152"/>
      <c r="K10" s="152"/>
      <c r="L10" s="152"/>
      <c r="M10" s="16">
        <v>135000</v>
      </c>
      <c r="N10" s="121"/>
      <c r="O10" s="130" t="s">
        <v>135</v>
      </c>
      <c r="P10" s="144"/>
      <c r="Q10" s="144"/>
      <c r="R10" s="148">
        <f>NPV(Q3,C44:U44)</f>
        <v>-11778.595152591153</v>
      </c>
      <c r="S10" s="146"/>
      <c r="T10" s="85"/>
      <c r="U10" s="85"/>
      <c r="V10" s="1" t="s">
        <v>7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4.1" customHeight="1" thickBot="1" x14ac:dyDescent="0.25">
      <c r="A11" s="11" t="s">
        <v>78</v>
      </c>
      <c r="B11" s="11"/>
      <c r="C11" s="18"/>
      <c r="D11" s="116" t="s">
        <v>91</v>
      </c>
      <c r="E11" s="116"/>
      <c r="F11" s="116"/>
      <c r="G11" s="116"/>
      <c r="H11" s="8"/>
      <c r="I11" s="152" t="s">
        <v>104</v>
      </c>
      <c r="J11" s="152"/>
      <c r="K11" s="152"/>
      <c r="L11" s="152"/>
      <c r="M11" s="19">
        <v>13</v>
      </c>
      <c r="N11" s="121"/>
      <c r="O11" s="131"/>
      <c r="P11" s="132"/>
      <c r="Q11" s="133"/>
      <c r="R11" s="134"/>
      <c r="S11" s="135"/>
      <c r="T11" s="85"/>
      <c r="U11" s="85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4.1" customHeight="1" thickBot="1" x14ac:dyDescent="0.25">
      <c r="A12" s="102" t="s">
        <v>79</v>
      </c>
      <c r="B12" s="110">
        <v>30</v>
      </c>
      <c r="C12" s="18"/>
      <c r="D12" s="115" t="s">
        <v>92</v>
      </c>
      <c r="E12" s="115"/>
      <c r="F12" s="115"/>
      <c r="G12" s="19">
        <v>12</v>
      </c>
      <c r="H12" s="8"/>
      <c r="I12" s="114" t="s">
        <v>105</v>
      </c>
      <c r="J12" s="114"/>
      <c r="K12" s="116"/>
      <c r="L12" s="116"/>
      <c r="M12" s="114"/>
      <c r="N12" s="121"/>
      <c r="O12" s="130" t="s">
        <v>136</v>
      </c>
      <c r="P12" s="144"/>
      <c r="Q12" s="144"/>
      <c r="R12" s="149">
        <f>NPV(Q3,D44:U44)</f>
        <v>-1647.2633196032266</v>
      </c>
      <c r="S12" s="147"/>
      <c r="T12" s="85"/>
      <c r="U12" s="85"/>
      <c r="V12" s="1" t="s">
        <v>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4.1" customHeight="1" thickBot="1" x14ac:dyDescent="0.25">
      <c r="A13" s="102" t="s">
        <v>81</v>
      </c>
      <c r="B13" s="111">
        <v>1.5</v>
      </c>
      <c r="C13" s="18"/>
      <c r="D13" s="115" t="s">
        <v>93</v>
      </c>
      <c r="E13" s="115"/>
      <c r="F13" s="115"/>
      <c r="G13" s="117">
        <f>+G9</f>
        <v>40100</v>
      </c>
      <c r="H13" s="8"/>
      <c r="I13" s="102" t="s">
        <v>106</v>
      </c>
      <c r="J13" s="102"/>
      <c r="K13" s="102"/>
      <c r="L13" s="121"/>
      <c r="M13" s="19">
        <v>33</v>
      </c>
      <c r="N13" s="121"/>
      <c r="O13" s="136"/>
      <c r="P13" s="137" t="s">
        <v>7</v>
      </c>
      <c r="Q13" s="91"/>
      <c r="R13" s="138"/>
      <c r="S13" s="139"/>
      <c r="T13" s="85"/>
      <c r="U13" s="85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4.1" customHeight="1" x14ac:dyDescent="0.2">
      <c r="A14" s="102" t="s">
        <v>80</v>
      </c>
      <c r="B14" s="112">
        <v>1300</v>
      </c>
      <c r="C14" s="13"/>
      <c r="D14" s="153" t="s">
        <v>94</v>
      </c>
      <c r="E14" s="153"/>
      <c r="F14" s="153"/>
      <c r="G14" s="118">
        <v>5.5E-2</v>
      </c>
      <c r="H14" s="8"/>
      <c r="I14" s="102" t="s">
        <v>107</v>
      </c>
      <c r="J14" s="102"/>
      <c r="K14" s="102"/>
      <c r="L14" s="121"/>
      <c r="M14" s="19">
        <v>33</v>
      </c>
      <c r="N14" s="121"/>
      <c r="O14" s="125"/>
      <c r="P14" s="125"/>
      <c r="Q14" s="125"/>
      <c r="R14" s="151"/>
      <c r="S14" s="151"/>
      <c r="T14" s="9"/>
      <c r="U14" s="9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4.1" customHeight="1" x14ac:dyDescent="0.2">
      <c r="A15" s="102" t="s">
        <v>82</v>
      </c>
      <c r="B15" s="113">
        <v>0.02</v>
      </c>
      <c r="C15" s="10"/>
      <c r="D15" s="156"/>
      <c r="E15" s="156"/>
      <c r="F15" s="156"/>
      <c r="G15" s="89"/>
      <c r="H15" s="8"/>
      <c r="I15" s="102" t="s">
        <v>108</v>
      </c>
      <c r="J15" s="102"/>
      <c r="K15" s="102"/>
      <c r="L15" s="121"/>
      <c r="M15" s="19">
        <v>45</v>
      </c>
      <c r="O15" s="85"/>
      <c r="P15" s="85"/>
      <c r="Q15" s="85"/>
      <c r="R15" s="85"/>
      <c r="S15" s="9"/>
      <c r="T15" s="9"/>
      <c r="U15" s="9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4.1" customHeight="1" x14ac:dyDescent="0.2">
      <c r="A16" s="102" t="s">
        <v>83</v>
      </c>
      <c r="B16" s="105">
        <v>82</v>
      </c>
      <c r="C16" s="10"/>
      <c r="H16" s="13"/>
      <c r="I16" s="152"/>
      <c r="J16" s="152"/>
      <c r="K16" s="152"/>
      <c r="M16" s="19"/>
      <c r="S16" s="9"/>
      <c r="T16" s="8"/>
      <c r="U16" s="8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3" ht="14.1" customHeight="1" x14ac:dyDescent="0.2">
      <c r="A17" s="7"/>
      <c r="B17" s="24"/>
      <c r="C17" s="25">
        <v>2012</v>
      </c>
      <c r="D17" s="25">
        <v>2013</v>
      </c>
      <c r="E17" s="25">
        <v>2014</v>
      </c>
      <c r="F17" s="25">
        <v>2015</v>
      </c>
      <c r="G17" s="25">
        <v>2016</v>
      </c>
      <c r="H17" s="25">
        <v>2017</v>
      </c>
      <c r="I17" s="25">
        <v>2018</v>
      </c>
      <c r="J17" s="25">
        <v>2019</v>
      </c>
      <c r="K17" s="25">
        <v>2020</v>
      </c>
      <c r="L17" s="25">
        <v>2021</v>
      </c>
      <c r="M17" s="25">
        <v>2022</v>
      </c>
      <c r="N17" s="25">
        <v>2023</v>
      </c>
      <c r="O17" s="25">
        <v>2024</v>
      </c>
      <c r="P17" s="25">
        <v>2025</v>
      </c>
      <c r="Q17" s="25">
        <v>2026</v>
      </c>
      <c r="R17" s="25">
        <v>2027</v>
      </c>
      <c r="S17" s="25">
        <v>2028</v>
      </c>
      <c r="T17" s="25">
        <v>2029</v>
      </c>
      <c r="U17" s="25">
        <v>2030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3" s="3" customFormat="1" ht="14.1" customHeight="1" thickBot="1" x14ac:dyDescent="0.25">
      <c r="A18" s="140" t="s">
        <v>68</v>
      </c>
      <c r="B18" s="23"/>
      <c r="C18" s="26">
        <v>1</v>
      </c>
      <c r="D18" s="26">
        <v>2</v>
      </c>
      <c r="E18" s="26">
        <v>3</v>
      </c>
      <c r="F18" s="26">
        <v>4</v>
      </c>
      <c r="G18" s="26">
        <v>5</v>
      </c>
      <c r="H18" s="26">
        <v>6</v>
      </c>
      <c r="I18" s="26">
        <v>7</v>
      </c>
      <c r="J18" s="26">
        <v>8</v>
      </c>
      <c r="K18" s="26">
        <v>9</v>
      </c>
      <c r="L18" s="26">
        <v>10</v>
      </c>
      <c r="M18" s="26">
        <v>11</v>
      </c>
      <c r="N18" s="26">
        <v>12</v>
      </c>
      <c r="O18" s="26">
        <v>13</v>
      </c>
      <c r="P18" s="26">
        <v>14</v>
      </c>
      <c r="Q18" s="26">
        <v>15</v>
      </c>
      <c r="R18" s="26">
        <v>16</v>
      </c>
      <c r="S18" s="26">
        <v>17</v>
      </c>
      <c r="T18" s="26">
        <v>18</v>
      </c>
      <c r="U18" s="26">
        <v>19</v>
      </c>
      <c r="V18" s="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3" s="5" customFormat="1" ht="14.1" customHeight="1" thickTop="1" x14ac:dyDescent="0.2">
      <c r="A19" s="143" t="s">
        <v>111</v>
      </c>
      <c r="B19" s="13"/>
      <c r="C19" s="27">
        <f t="shared" ref="C19:U19" si="0">+$B$12*$B$13*$B$14*(1-$B$15)</f>
        <v>57330</v>
      </c>
      <c r="D19" s="27">
        <f t="shared" si="0"/>
        <v>57330</v>
      </c>
      <c r="E19" s="27">
        <f t="shared" si="0"/>
        <v>57330</v>
      </c>
      <c r="F19" s="27">
        <f t="shared" si="0"/>
        <v>57330</v>
      </c>
      <c r="G19" s="27">
        <f t="shared" si="0"/>
        <v>57330</v>
      </c>
      <c r="H19" s="27">
        <f t="shared" si="0"/>
        <v>57330</v>
      </c>
      <c r="I19" s="27">
        <f t="shared" si="0"/>
        <v>57330</v>
      </c>
      <c r="J19" s="27">
        <f t="shared" si="0"/>
        <v>57330</v>
      </c>
      <c r="K19" s="27">
        <f t="shared" si="0"/>
        <v>57330</v>
      </c>
      <c r="L19" s="27">
        <f t="shared" si="0"/>
        <v>57330</v>
      </c>
      <c r="M19" s="27">
        <f t="shared" si="0"/>
        <v>57330</v>
      </c>
      <c r="N19" s="27">
        <f t="shared" si="0"/>
        <v>57330</v>
      </c>
      <c r="O19" s="27">
        <f t="shared" si="0"/>
        <v>57330</v>
      </c>
      <c r="P19" s="27">
        <f t="shared" si="0"/>
        <v>57330</v>
      </c>
      <c r="Q19" s="27">
        <f t="shared" si="0"/>
        <v>57330</v>
      </c>
      <c r="R19" s="27">
        <f t="shared" si="0"/>
        <v>57330</v>
      </c>
      <c r="S19" s="27">
        <f t="shared" si="0"/>
        <v>57330</v>
      </c>
      <c r="T19" s="27">
        <f t="shared" si="0"/>
        <v>57330</v>
      </c>
      <c r="U19" s="27">
        <f t="shared" si="0"/>
        <v>57330</v>
      </c>
      <c r="V19" s="1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</row>
    <row r="20" spans="1:53" s="5" customFormat="1" ht="14.1" customHeight="1" x14ac:dyDescent="0.2">
      <c r="A20" s="143" t="s">
        <v>112</v>
      </c>
      <c r="B20" s="13"/>
      <c r="C20" s="28">
        <f>+B16</f>
        <v>82</v>
      </c>
      <c r="D20" s="28">
        <f>+C20*(1+C21)</f>
        <v>83.147999999999996</v>
      </c>
      <c r="E20" s="28">
        <f>+D20*(1+D21)</f>
        <v>84.312072000000001</v>
      </c>
      <c r="F20" s="28">
        <f>+E20*(1+E21)</f>
        <v>85.492441008</v>
      </c>
      <c r="G20" s="28">
        <f>+F20*(1+F21)</f>
        <v>86.689335182112004</v>
      </c>
      <c r="H20" s="28">
        <f>+G20*(1+G21)</f>
        <v>87.902985874661567</v>
      </c>
      <c r="I20" s="28">
        <f t="shared" ref="I20:U20" si="1">+H20*(1+H21)</f>
        <v>89.133627676906826</v>
      </c>
      <c r="J20" s="28">
        <f t="shared" si="1"/>
        <v>90.381498464383526</v>
      </c>
      <c r="K20" s="28">
        <f>+J20*(1+J21)</f>
        <v>91.646839442884897</v>
      </c>
      <c r="L20" s="28">
        <f t="shared" si="1"/>
        <v>92.92989519508528</v>
      </c>
      <c r="M20" s="28">
        <f t="shared" si="1"/>
        <v>94.230913727816471</v>
      </c>
      <c r="N20" s="28">
        <f t="shared" si="1"/>
        <v>95.550146520005896</v>
      </c>
      <c r="O20" s="28">
        <f t="shared" si="1"/>
        <v>96.887848571285986</v>
      </c>
      <c r="P20" s="28">
        <f t="shared" si="1"/>
        <v>98.244278451283989</v>
      </c>
      <c r="Q20" s="28">
        <f t="shared" si="1"/>
        <v>99.619698349601961</v>
      </c>
      <c r="R20" s="28">
        <f t="shared" si="1"/>
        <v>101.01437412649639</v>
      </c>
      <c r="S20" s="28">
        <f>+R20*(1+R21)</f>
        <v>102.42857536426735</v>
      </c>
      <c r="T20" s="28">
        <f t="shared" si="1"/>
        <v>103.86257541936709</v>
      </c>
      <c r="U20" s="28">
        <f t="shared" si="1"/>
        <v>105.31665147523823</v>
      </c>
      <c r="V20" s="1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</row>
    <row r="21" spans="1:53" s="5" customFormat="1" ht="14.1" customHeight="1" x14ac:dyDescent="0.2">
      <c r="A21" s="143" t="s">
        <v>113</v>
      </c>
      <c r="B21" s="13"/>
      <c r="C21" s="29">
        <v>1.4E-2</v>
      </c>
      <c r="D21" s="29">
        <v>1.4E-2</v>
      </c>
      <c r="E21" s="29">
        <v>1.4E-2</v>
      </c>
      <c r="F21" s="29">
        <v>1.4E-2</v>
      </c>
      <c r="G21" s="29">
        <v>1.4E-2</v>
      </c>
      <c r="H21" s="29">
        <v>1.4E-2</v>
      </c>
      <c r="I21" s="29">
        <v>1.4E-2</v>
      </c>
      <c r="J21" s="29">
        <v>1.4E-2</v>
      </c>
      <c r="K21" s="29">
        <v>1.4E-2</v>
      </c>
      <c r="L21" s="29">
        <v>1.4E-2</v>
      </c>
      <c r="M21" s="29">
        <v>1.4E-2</v>
      </c>
      <c r="N21" s="29">
        <v>1.4E-2</v>
      </c>
      <c r="O21" s="29">
        <v>1.4E-2</v>
      </c>
      <c r="P21" s="29">
        <v>1.4E-2</v>
      </c>
      <c r="Q21" s="29">
        <v>1.4E-2</v>
      </c>
      <c r="R21" s="29">
        <v>1.4E-2</v>
      </c>
      <c r="S21" s="29">
        <v>1.4E-2</v>
      </c>
      <c r="T21" s="29">
        <v>1.4E-2</v>
      </c>
      <c r="U21" s="29">
        <v>1.4E-2</v>
      </c>
      <c r="V21" s="1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</row>
    <row r="22" spans="1:53" s="5" customFormat="1" ht="14.1" customHeight="1" x14ac:dyDescent="0.2">
      <c r="A22" s="123" t="s">
        <v>114</v>
      </c>
      <c r="B22" s="104">
        <v>19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1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</row>
    <row r="23" spans="1:53" s="5" customFormat="1" ht="14.1" customHeight="1" x14ac:dyDescent="0.2">
      <c r="A23" s="143" t="s">
        <v>115</v>
      </c>
      <c r="B23" s="13"/>
      <c r="C23" s="16">
        <f>+C19*(C20-$B$22)/1000</f>
        <v>3611.79</v>
      </c>
      <c r="D23" s="16">
        <f t="shared" ref="D23:I23" si="2">+D19*(D20-$B$22)/1000</f>
        <v>3677.60484</v>
      </c>
      <c r="E23" s="16">
        <f t="shared" si="2"/>
        <v>3744.3410877599999</v>
      </c>
      <c r="F23" s="16">
        <f t="shared" si="2"/>
        <v>3812.0116429886398</v>
      </c>
      <c r="G23" s="16">
        <f t="shared" si="2"/>
        <v>3880.6295859904812</v>
      </c>
      <c r="H23" s="16">
        <f t="shared" si="2"/>
        <v>3950.2081801943477</v>
      </c>
      <c r="I23" s="16">
        <f t="shared" si="2"/>
        <v>4020.7608747170684</v>
      </c>
      <c r="J23" s="16">
        <f t="shared" ref="J23:U23" si="3">+J19*(J20-$B$22)/1000</f>
        <v>4092.3013069631074</v>
      </c>
      <c r="K23" s="16">
        <f t="shared" si="3"/>
        <v>4164.8433052605915</v>
      </c>
      <c r="L23" s="16">
        <f t="shared" si="3"/>
        <v>4238.4008915342392</v>
      </c>
      <c r="M23" s="16">
        <f t="shared" si="3"/>
        <v>4312.9882840157179</v>
      </c>
      <c r="N23" s="16">
        <f t="shared" si="3"/>
        <v>4388.6198999919379</v>
      </c>
      <c r="O23" s="16">
        <f t="shared" si="3"/>
        <v>4465.3103585918261</v>
      </c>
      <c r="P23" s="16">
        <f t="shared" si="3"/>
        <v>4543.0744836121112</v>
      </c>
      <c r="Q23" s="16">
        <f t="shared" si="3"/>
        <v>4621.9273063826804</v>
      </c>
      <c r="R23" s="16">
        <f t="shared" si="3"/>
        <v>4701.8840686720387</v>
      </c>
      <c r="S23" s="16">
        <f t="shared" si="3"/>
        <v>4782.9602256334474</v>
      </c>
      <c r="T23" s="16">
        <f t="shared" si="3"/>
        <v>4865.1714487923155</v>
      </c>
      <c r="U23" s="16">
        <f t="shared" si="3"/>
        <v>4948.5336290754076</v>
      </c>
      <c r="V23" s="1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</row>
    <row r="24" spans="1:53" s="4" customFormat="1" ht="14.1" customHeight="1" x14ac:dyDescent="0.2">
      <c r="A24" s="20" t="s">
        <v>116</v>
      </c>
      <c r="B24" s="20"/>
      <c r="C24" s="31">
        <f>+C23</f>
        <v>3611.79</v>
      </c>
      <c r="D24" s="31">
        <f t="shared" ref="D24:U24" si="4">+D23</f>
        <v>3677.60484</v>
      </c>
      <c r="E24" s="31">
        <f t="shared" si="4"/>
        <v>3744.3410877599999</v>
      </c>
      <c r="F24" s="31">
        <f t="shared" si="4"/>
        <v>3812.0116429886398</v>
      </c>
      <c r="G24" s="31">
        <f t="shared" si="4"/>
        <v>3880.6295859904812</v>
      </c>
      <c r="H24" s="31">
        <f t="shared" si="4"/>
        <v>3950.2081801943477</v>
      </c>
      <c r="I24" s="31">
        <f t="shared" si="4"/>
        <v>4020.7608747170684</v>
      </c>
      <c r="J24" s="31">
        <f t="shared" si="4"/>
        <v>4092.3013069631074</v>
      </c>
      <c r="K24" s="31">
        <f t="shared" si="4"/>
        <v>4164.8433052605915</v>
      </c>
      <c r="L24" s="31">
        <f t="shared" si="4"/>
        <v>4238.4008915342392</v>
      </c>
      <c r="M24" s="31">
        <f t="shared" si="4"/>
        <v>4312.9882840157179</v>
      </c>
      <c r="N24" s="31">
        <f t="shared" si="4"/>
        <v>4388.6198999919379</v>
      </c>
      <c r="O24" s="31">
        <f t="shared" si="4"/>
        <v>4465.3103585918261</v>
      </c>
      <c r="P24" s="31">
        <f t="shared" si="4"/>
        <v>4543.0744836121112</v>
      </c>
      <c r="Q24" s="31">
        <f t="shared" si="4"/>
        <v>4621.9273063826804</v>
      </c>
      <c r="R24" s="31">
        <f t="shared" si="4"/>
        <v>4701.8840686720387</v>
      </c>
      <c r="S24" s="31">
        <f t="shared" si="4"/>
        <v>4782.9602256334474</v>
      </c>
      <c r="T24" s="31">
        <f t="shared" si="4"/>
        <v>4865.1714487923155</v>
      </c>
      <c r="U24" s="31">
        <f t="shared" si="4"/>
        <v>4948.5336290754076</v>
      </c>
      <c r="V24" s="1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</row>
    <row r="25" spans="1:53" ht="14.1" customHeight="1" x14ac:dyDescent="0.2">
      <c r="A25" s="143" t="s">
        <v>119</v>
      </c>
      <c r="B25" s="14"/>
      <c r="C25" s="16">
        <f>+$M$3*$B$12/1000</f>
        <v>475.2</v>
      </c>
      <c r="D25" s="16">
        <f>+C25*(1+$Q$2)</f>
        <v>484.70400000000001</v>
      </c>
      <c r="E25" s="16">
        <f>+D25*(1+$Q$2)</f>
        <v>494.39807999999999</v>
      </c>
      <c r="F25" s="16">
        <f>+E25*(1+$Q$2)</f>
        <v>504.28604159999998</v>
      </c>
      <c r="G25" s="16">
        <f t="shared" ref="G25:U25" si="5">+F25*(1+$Q$2)</f>
        <v>514.37176243199997</v>
      </c>
      <c r="H25" s="16">
        <f t="shared" si="5"/>
        <v>524.65919768063998</v>
      </c>
      <c r="I25" s="16">
        <f t="shared" si="5"/>
        <v>535.15238163425283</v>
      </c>
      <c r="J25" s="16">
        <f t="shared" si="5"/>
        <v>545.8554292669379</v>
      </c>
      <c r="K25" s="16">
        <f t="shared" si="5"/>
        <v>556.77253785227663</v>
      </c>
      <c r="L25" s="16">
        <f t="shared" si="5"/>
        <v>567.90798860932216</v>
      </c>
      <c r="M25" s="16">
        <f t="shared" si="5"/>
        <v>579.26614838150863</v>
      </c>
      <c r="N25" s="16">
        <f t="shared" si="5"/>
        <v>590.85147134913882</v>
      </c>
      <c r="O25" s="16">
        <f t="shared" si="5"/>
        <v>602.66850077612162</v>
      </c>
      <c r="P25" s="16">
        <f t="shared" si="5"/>
        <v>614.72187079164405</v>
      </c>
      <c r="Q25" s="16">
        <f t="shared" si="5"/>
        <v>627.01630820747698</v>
      </c>
      <c r="R25" s="16">
        <f t="shared" si="5"/>
        <v>639.5566343716265</v>
      </c>
      <c r="S25" s="16">
        <f t="shared" si="5"/>
        <v>652.34776705905904</v>
      </c>
      <c r="T25" s="16">
        <f t="shared" si="5"/>
        <v>665.3947224002402</v>
      </c>
      <c r="U25" s="16">
        <f t="shared" si="5"/>
        <v>678.70261684824504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3" ht="14.1" customHeight="1" x14ac:dyDescent="0.2">
      <c r="A26" s="143" t="s">
        <v>120</v>
      </c>
      <c r="B26" s="14"/>
      <c r="C26" s="32">
        <f>+M4/1000</f>
        <v>12</v>
      </c>
      <c r="D26" s="32">
        <f t="shared" ref="D26:U26" si="6">+C26*(1+$Q$2)</f>
        <v>12.24</v>
      </c>
      <c r="E26" s="32">
        <f t="shared" si="6"/>
        <v>12.4848</v>
      </c>
      <c r="F26" s="32">
        <f t="shared" si="6"/>
        <v>12.734496</v>
      </c>
      <c r="G26" s="32">
        <f t="shared" si="6"/>
        <v>12.989185920000001</v>
      </c>
      <c r="H26" s="32">
        <f t="shared" si="6"/>
        <v>13.2489696384</v>
      </c>
      <c r="I26" s="32">
        <f t="shared" si="6"/>
        <v>13.513949031168</v>
      </c>
      <c r="J26" s="32">
        <f t="shared" si="6"/>
        <v>13.78422801179136</v>
      </c>
      <c r="K26" s="32">
        <f t="shared" si="6"/>
        <v>14.059912572027187</v>
      </c>
      <c r="L26" s="32">
        <f t="shared" si="6"/>
        <v>14.341110823467732</v>
      </c>
      <c r="M26" s="32">
        <f t="shared" si="6"/>
        <v>14.627933039937087</v>
      </c>
      <c r="N26" s="32">
        <f t="shared" si="6"/>
        <v>14.920491700735829</v>
      </c>
      <c r="O26" s="32">
        <f t="shared" si="6"/>
        <v>15.218901534750545</v>
      </c>
      <c r="P26" s="32">
        <f t="shared" si="6"/>
        <v>15.523279565445556</v>
      </c>
      <c r="Q26" s="32">
        <f t="shared" si="6"/>
        <v>15.833745156754468</v>
      </c>
      <c r="R26" s="32">
        <f t="shared" si="6"/>
        <v>16.150420059889559</v>
      </c>
      <c r="S26" s="32">
        <f t="shared" si="6"/>
        <v>16.473428461087352</v>
      </c>
      <c r="T26" s="32">
        <f t="shared" si="6"/>
        <v>16.802897030309097</v>
      </c>
      <c r="U26" s="32">
        <f t="shared" si="6"/>
        <v>17.138954970915279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3" ht="14.1" customHeight="1" x14ac:dyDescent="0.2">
      <c r="A27" s="143" t="s">
        <v>117</v>
      </c>
      <c r="B27" s="14"/>
      <c r="C27" s="32">
        <f>+M5/1000</f>
        <v>32</v>
      </c>
      <c r="D27" s="32">
        <f t="shared" ref="D27:U27" si="7">+C27*(1+$Q$2)</f>
        <v>32.64</v>
      </c>
      <c r="E27" s="32">
        <f>+D27*(1+$Q$2)</f>
        <v>33.2928</v>
      </c>
      <c r="F27" s="32">
        <f>+E27*(1+$Q$2)</f>
        <v>33.958655999999998</v>
      </c>
      <c r="G27" s="32">
        <f t="shared" si="7"/>
        <v>34.637829119999999</v>
      </c>
      <c r="H27" s="32">
        <f t="shared" si="7"/>
        <v>35.330585702400001</v>
      </c>
      <c r="I27" s="32">
        <f t="shared" si="7"/>
        <v>36.037197416448002</v>
      </c>
      <c r="J27" s="32">
        <f t="shared" si="7"/>
        <v>36.757941364776961</v>
      </c>
      <c r="K27" s="32">
        <f t="shared" si="7"/>
        <v>37.493100192072504</v>
      </c>
      <c r="L27" s="32">
        <f t="shared" si="7"/>
        <v>38.242962195913954</v>
      </c>
      <c r="M27" s="32">
        <f t="shared" si="7"/>
        <v>39.007821439832234</v>
      </c>
      <c r="N27" s="32">
        <f t="shared" si="7"/>
        <v>39.787977868628879</v>
      </c>
      <c r="O27" s="32">
        <f t="shared" si="7"/>
        <v>40.583737426001456</v>
      </c>
      <c r="P27" s="32">
        <f t="shared" si="7"/>
        <v>41.395412174521482</v>
      </c>
      <c r="Q27" s="32">
        <f t="shared" si="7"/>
        <v>42.223320418011916</v>
      </c>
      <c r="R27" s="32">
        <f t="shared" si="7"/>
        <v>43.067786826372156</v>
      </c>
      <c r="S27" s="32">
        <f t="shared" si="7"/>
        <v>43.9291425628996</v>
      </c>
      <c r="T27" s="32">
        <f t="shared" si="7"/>
        <v>44.807725414157595</v>
      </c>
      <c r="U27" s="32">
        <f t="shared" si="7"/>
        <v>45.703879922440748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3" ht="14.1" customHeight="1" x14ac:dyDescent="0.2">
      <c r="A28" s="143" t="s">
        <v>99</v>
      </c>
      <c r="B28" s="14"/>
      <c r="C28" s="32">
        <f>+C23*$M$6</f>
        <v>180.58950000000002</v>
      </c>
      <c r="D28" s="32">
        <f t="shared" ref="D28:U28" si="8">+D23*$M$6</f>
        <v>183.88024200000001</v>
      </c>
      <c r="E28" s="32">
        <f t="shared" si="8"/>
        <v>187.21705438800001</v>
      </c>
      <c r="F28" s="32">
        <f t="shared" si="8"/>
        <v>190.600582149432</v>
      </c>
      <c r="G28" s="32">
        <f t="shared" si="8"/>
        <v>194.03147929952408</v>
      </c>
      <c r="H28" s="32">
        <f t="shared" si="8"/>
        <v>197.51040900971739</v>
      </c>
      <c r="I28" s="32">
        <f t="shared" si="8"/>
        <v>201.03804373585342</v>
      </c>
      <c r="J28" s="32">
        <f t="shared" si="8"/>
        <v>204.61506534815538</v>
      </c>
      <c r="K28" s="32">
        <f t="shared" si="8"/>
        <v>208.24216526302959</v>
      </c>
      <c r="L28" s="32">
        <f t="shared" si="8"/>
        <v>211.92004457671197</v>
      </c>
      <c r="M28" s="32">
        <f t="shared" si="8"/>
        <v>215.64941420078591</v>
      </c>
      <c r="N28" s="32">
        <f t="shared" si="8"/>
        <v>219.43099499959692</v>
      </c>
      <c r="O28" s="32">
        <f t="shared" si="8"/>
        <v>223.26551792959131</v>
      </c>
      <c r="P28" s="32">
        <f t="shared" si="8"/>
        <v>227.15372418060556</v>
      </c>
      <c r="Q28" s="32">
        <f t="shared" si="8"/>
        <v>231.09636531913404</v>
      </c>
      <c r="R28" s="32">
        <f t="shared" si="8"/>
        <v>235.09420343360193</v>
      </c>
      <c r="S28" s="32">
        <f t="shared" si="8"/>
        <v>239.14801128167238</v>
      </c>
      <c r="T28" s="32">
        <f t="shared" si="8"/>
        <v>243.25857243961579</v>
      </c>
      <c r="U28" s="32">
        <f t="shared" si="8"/>
        <v>247.42668145377039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3" ht="14.1" customHeight="1" x14ac:dyDescent="0.2">
      <c r="A29" s="143" t="s">
        <v>100</v>
      </c>
      <c r="B29" s="14"/>
      <c r="C29" s="32">
        <f t="shared" ref="C29:M29" si="9">+C23*$M$7</f>
        <v>25.282530000000001</v>
      </c>
      <c r="D29" s="32">
        <f t="shared" si="9"/>
        <v>25.743233880000002</v>
      </c>
      <c r="E29" s="32">
        <f t="shared" si="9"/>
        <v>26.210387614320002</v>
      </c>
      <c r="F29" s="32">
        <f t="shared" si="9"/>
        <v>26.684081500920477</v>
      </c>
      <c r="G29" s="32">
        <f t="shared" si="9"/>
        <v>27.164407101933371</v>
      </c>
      <c r="H29" s="32">
        <f t="shared" si="9"/>
        <v>27.651457261360434</v>
      </c>
      <c r="I29" s="32">
        <f t="shared" si="9"/>
        <v>28.14532612301948</v>
      </c>
      <c r="J29" s="32">
        <f t="shared" si="9"/>
        <v>28.646109148741754</v>
      </c>
      <c r="K29" s="32">
        <f t="shared" si="9"/>
        <v>29.153903136824141</v>
      </c>
      <c r="L29" s="32">
        <f t="shared" si="9"/>
        <v>29.668806240739674</v>
      </c>
      <c r="M29" s="32">
        <f t="shared" si="9"/>
        <v>30.190917988110026</v>
      </c>
      <c r="N29" s="32">
        <f t="shared" ref="N29:U29" si="10">+N23*$M$7</f>
        <v>30.720339299943568</v>
      </c>
      <c r="O29" s="32">
        <f t="shared" si="10"/>
        <v>31.257172510142784</v>
      </c>
      <c r="P29" s="32">
        <f t="shared" si="10"/>
        <v>31.801521385284779</v>
      </c>
      <c r="Q29" s="32">
        <f t="shared" si="10"/>
        <v>32.353491144678763</v>
      </c>
      <c r="R29" s="32">
        <f t="shared" si="10"/>
        <v>32.913188480704271</v>
      </c>
      <c r="S29" s="32">
        <f t="shared" si="10"/>
        <v>33.480721579434132</v>
      </c>
      <c r="T29" s="32">
        <f t="shared" si="10"/>
        <v>34.056200141546206</v>
      </c>
      <c r="U29" s="32">
        <f t="shared" si="10"/>
        <v>34.639735403527851</v>
      </c>
    </row>
    <row r="30" spans="1:53" ht="14.1" customHeight="1" x14ac:dyDescent="0.2">
      <c r="A30" s="143" t="s">
        <v>118</v>
      </c>
      <c r="B30" s="14"/>
      <c r="C30" s="32">
        <f>+$M$8*$B$12*$B$13/1000</f>
        <v>55.08</v>
      </c>
      <c r="D30" s="32">
        <f t="shared" ref="D30:U30" si="11">+$M$8*$B$12*$B$13/1000</f>
        <v>55.08</v>
      </c>
      <c r="E30" s="32">
        <f t="shared" si="11"/>
        <v>55.08</v>
      </c>
      <c r="F30" s="32">
        <f t="shared" si="11"/>
        <v>55.08</v>
      </c>
      <c r="G30" s="32">
        <f t="shared" si="11"/>
        <v>55.08</v>
      </c>
      <c r="H30" s="32">
        <f t="shared" si="11"/>
        <v>55.08</v>
      </c>
      <c r="I30" s="32">
        <f t="shared" si="11"/>
        <v>55.08</v>
      </c>
      <c r="J30" s="32">
        <f t="shared" si="11"/>
        <v>55.08</v>
      </c>
      <c r="K30" s="32">
        <f t="shared" si="11"/>
        <v>55.08</v>
      </c>
      <c r="L30" s="32">
        <f t="shared" si="11"/>
        <v>55.08</v>
      </c>
      <c r="M30" s="32">
        <f t="shared" si="11"/>
        <v>55.08</v>
      </c>
      <c r="N30" s="32">
        <f t="shared" si="11"/>
        <v>55.08</v>
      </c>
      <c r="O30" s="32">
        <f t="shared" si="11"/>
        <v>55.08</v>
      </c>
      <c r="P30" s="32">
        <f t="shared" si="11"/>
        <v>55.08</v>
      </c>
      <c r="Q30" s="32">
        <f t="shared" si="11"/>
        <v>55.08</v>
      </c>
      <c r="R30" s="32">
        <f t="shared" si="11"/>
        <v>55.08</v>
      </c>
      <c r="S30" s="32">
        <f t="shared" si="11"/>
        <v>55.08</v>
      </c>
      <c r="T30" s="32">
        <f t="shared" si="11"/>
        <v>55.08</v>
      </c>
      <c r="U30" s="32">
        <f t="shared" si="11"/>
        <v>55.08</v>
      </c>
    </row>
    <row r="31" spans="1:53" ht="14.1" customHeight="1" x14ac:dyDescent="0.2">
      <c r="A31" s="143" t="s">
        <v>102</v>
      </c>
      <c r="B31" s="14"/>
      <c r="C31" s="32">
        <f>+C23*$M$9</f>
        <v>108.35369999999999</v>
      </c>
      <c r="D31" s="32">
        <f>+D23*$M$9</f>
        <v>110.32814519999999</v>
      </c>
      <c r="E31" s="32">
        <f>+E23*$M$9</f>
        <v>112.33023263279999</v>
      </c>
      <c r="F31" s="32">
        <f>+F23*$M$9</f>
        <v>114.36034928965918</v>
      </c>
      <c r="G31" s="32">
        <f t="shared" ref="G31:U31" si="12">+G23*$M$9</f>
        <v>116.41888757971444</v>
      </c>
      <c r="H31" s="32">
        <f t="shared" si="12"/>
        <v>118.50624540583043</v>
      </c>
      <c r="I31" s="32">
        <f t="shared" si="12"/>
        <v>120.62282624151204</v>
      </c>
      <c r="J31" s="32">
        <f>+J23*$M$9</f>
        <v>122.76903920889322</v>
      </c>
      <c r="K31" s="32">
        <f t="shared" si="12"/>
        <v>124.94529915781774</v>
      </c>
      <c r="L31" s="32">
        <f t="shared" si="12"/>
        <v>127.15202674602718</v>
      </c>
      <c r="M31" s="32">
        <f t="shared" si="12"/>
        <v>129.38964852047152</v>
      </c>
      <c r="N31" s="32">
        <f t="shared" si="12"/>
        <v>131.65859699975815</v>
      </c>
      <c r="O31" s="32">
        <f t="shared" si="12"/>
        <v>133.95931075775479</v>
      </c>
      <c r="P31" s="32">
        <f t="shared" si="12"/>
        <v>136.29223450836332</v>
      </c>
      <c r="Q31" s="32">
        <f t="shared" si="12"/>
        <v>138.6578191914804</v>
      </c>
      <c r="R31" s="32">
        <f t="shared" si="12"/>
        <v>141.05652206016114</v>
      </c>
      <c r="S31" s="32">
        <f t="shared" si="12"/>
        <v>143.48880676900342</v>
      </c>
      <c r="T31" s="32">
        <f t="shared" si="12"/>
        <v>145.95514346376945</v>
      </c>
      <c r="U31" s="32">
        <f t="shared" si="12"/>
        <v>148.45600887226223</v>
      </c>
    </row>
    <row r="32" spans="1:53" s="4" customFormat="1" ht="14.1" customHeight="1" x14ac:dyDescent="0.2">
      <c r="A32" s="20" t="s">
        <v>121</v>
      </c>
      <c r="B32" s="20"/>
      <c r="C32" s="31">
        <f t="shared" ref="C32:U32" si="13">+SUM(C25:C31)</f>
        <v>888.50573000000009</v>
      </c>
      <c r="D32" s="31">
        <f t="shared" si="13"/>
        <v>904.6156210800001</v>
      </c>
      <c r="E32" s="31">
        <f t="shared" si="13"/>
        <v>921.01335463511998</v>
      </c>
      <c r="F32" s="31">
        <f t="shared" si="13"/>
        <v>937.70420654001168</v>
      </c>
      <c r="G32" s="31">
        <f t="shared" si="13"/>
        <v>954.69355145317195</v>
      </c>
      <c r="H32" s="31">
        <f t="shared" si="13"/>
        <v>971.9868646983482</v>
      </c>
      <c r="I32" s="31">
        <f t="shared" si="13"/>
        <v>989.58972418225369</v>
      </c>
      <c r="J32" s="31">
        <f t="shared" si="13"/>
        <v>1007.5078123492966</v>
      </c>
      <c r="K32" s="31">
        <f t="shared" si="13"/>
        <v>1025.7469181740478</v>
      </c>
      <c r="L32" s="31">
        <f t="shared" si="13"/>
        <v>1044.3129391921825</v>
      </c>
      <c r="M32" s="31">
        <f t="shared" si="13"/>
        <v>1063.2118835706456</v>
      </c>
      <c r="N32" s="31">
        <f t="shared" si="13"/>
        <v>1082.4498722178023</v>
      </c>
      <c r="O32" s="31">
        <f t="shared" si="13"/>
        <v>1102.0331409343626</v>
      </c>
      <c r="P32" s="31">
        <f t="shared" si="13"/>
        <v>1121.9680426058649</v>
      </c>
      <c r="Q32" s="31">
        <f t="shared" si="13"/>
        <v>1142.2610494375367</v>
      </c>
      <c r="R32" s="31">
        <f t="shared" si="13"/>
        <v>1162.9187552323558</v>
      </c>
      <c r="S32" s="31">
        <f t="shared" si="13"/>
        <v>1183.9478777131558</v>
      </c>
      <c r="T32" s="31">
        <f t="shared" si="13"/>
        <v>1205.3552608896384</v>
      </c>
      <c r="U32" s="31">
        <f t="shared" si="13"/>
        <v>1227.1478774711613</v>
      </c>
      <c r="V32" s="1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</row>
    <row r="33" spans="1:53" s="4" customFormat="1" ht="14.1" customHeight="1" x14ac:dyDescent="0.2">
      <c r="A33" s="141" t="s">
        <v>3</v>
      </c>
      <c r="B33" s="33"/>
      <c r="C33" s="34">
        <f>+C24-C32</f>
        <v>2723.2842700000001</v>
      </c>
      <c r="D33" s="34">
        <f>+D24-D32</f>
        <v>2772.98921892</v>
      </c>
      <c r="E33" s="34">
        <f>+E24-E32</f>
        <v>2823.3277331248801</v>
      </c>
      <c r="F33" s="34">
        <f>+F24-F32</f>
        <v>2874.3074364486283</v>
      </c>
      <c r="G33" s="34">
        <f t="shared" ref="G33:U33" si="14">+G24-G32</f>
        <v>2925.9360345373093</v>
      </c>
      <c r="H33" s="34">
        <f t="shared" si="14"/>
        <v>2978.2213154959995</v>
      </c>
      <c r="I33" s="34">
        <f t="shared" si="14"/>
        <v>3031.1711505348148</v>
      </c>
      <c r="J33" s="34">
        <f t="shared" si="14"/>
        <v>3084.7934946138107</v>
      </c>
      <c r="K33" s="34">
        <f t="shared" si="14"/>
        <v>3139.0963870865435</v>
      </c>
      <c r="L33" s="34">
        <f t="shared" si="14"/>
        <v>3194.0879523420567</v>
      </c>
      <c r="M33" s="34">
        <f t="shared" si="14"/>
        <v>3249.7764004450723</v>
      </c>
      <c r="N33" s="34">
        <f t="shared" si="14"/>
        <v>3306.1700277741356</v>
      </c>
      <c r="O33" s="34">
        <f t="shared" si="14"/>
        <v>3363.2772176574636</v>
      </c>
      <c r="P33" s="34">
        <f t="shared" si="14"/>
        <v>3421.1064410062463</v>
      </c>
      <c r="Q33" s="34">
        <f t="shared" si="14"/>
        <v>3479.6662569451437</v>
      </c>
      <c r="R33" s="34">
        <f t="shared" si="14"/>
        <v>3538.9653134396831</v>
      </c>
      <c r="S33" s="34">
        <f t="shared" si="14"/>
        <v>3599.0123479202916</v>
      </c>
      <c r="T33" s="34">
        <f t="shared" si="14"/>
        <v>3659.816187902677</v>
      </c>
      <c r="U33" s="34">
        <f t="shared" si="14"/>
        <v>3721.3857516042463</v>
      </c>
      <c r="V33" s="1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</row>
    <row r="34" spans="1:53" ht="14.1" customHeight="1" x14ac:dyDescent="0.2">
      <c r="A34" s="14" t="s">
        <v>122</v>
      </c>
      <c r="B34" s="14"/>
      <c r="C34" s="16">
        <f>+IF(C18&lt;=$M$11,$G$3/$M$11,0)</f>
        <v>3317.3076923076924</v>
      </c>
      <c r="D34" s="16">
        <f t="shared" ref="D34:U34" si="15">+IF(D18&lt;=$M$11,$G$3/$M$11,0)</f>
        <v>3317.3076923076924</v>
      </c>
      <c r="E34" s="16">
        <f t="shared" si="15"/>
        <v>3317.3076923076924</v>
      </c>
      <c r="F34" s="16">
        <f t="shared" si="15"/>
        <v>3317.3076923076924</v>
      </c>
      <c r="G34" s="16">
        <f t="shared" si="15"/>
        <v>3317.3076923076924</v>
      </c>
      <c r="H34" s="16">
        <f t="shared" si="15"/>
        <v>3317.3076923076924</v>
      </c>
      <c r="I34" s="16">
        <f t="shared" si="15"/>
        <v>3317.3076923076924</v>
      </c>
      <c r="J34" s="16">
        <f t="shared" si="15"/>
        <v>3317.3076923076924</v>
      </c>
      <c r="K34" s="16">
        <f t="shared" si="15"/>
        <v>3317.3076923076924</v>
      </c>
      <c r="L34" s="16">
        <f t="shared" si="15"/>
        <v>3317.3076923076924</v>
      </c>
      <c r="M34" s="16">
        <f t="shared" si="15"/>
        <v>3317.3076923076924</v>
      </c>
      <c r="N34" s="16">
        <f t="shared" si="15"/>
        <v>3317.3076923076924</v>
      </c>
      <c r="O34" s="16">
        <f t="shared" si="15"/>
        <v>3317.3076923076924</v>
      </c>
      <c r="P34" s="16">
        <f t="shared" si="15"/>
        <v>0</v>
      </c>
      <c r="Q34" s="16">
        <f t="shared" si="15"/>
        <v>0</v>
      </c>
      <c r="R34" s="16">
        <f t="shared" si="15"/>
        <v>0</v>
      </c>
      <c r="S34" s="16">
        <f t="shared" si="15"/>
        <v>0</v>
      </c>
      <c r="T34" s="16">
        <f t="shared" si="15"/>
        <v>0</v>
      </c>
      <c r="U34" s="16">
        <f t="shared" si="15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ht="14.1" customHeight="1" x14ac:dyDescent="0.2">
      <c r="A35" s="14" t="s">
        <v>123</v>
      </c>
      <c r="B35" s="14"/>
      <c r="C35" s="35">
        <f>+$M$10/1000</f>
        <v>135</v>
      </c>
      <c r="D35" s="35">
        <f t="shared" ref="D35:U35" si="16">+$M$10/1000</f>
        <v>135</v>
      </c>
      <c r="E35" s="35">
        <f t="shared" si="16"/>
        <v>135</v>
      </c>
      <c r="F35" s="35">
        <f t="shared" si="16"/>
        <v>135</v>
      </c>
      <c r="G35" s="35">
        <f t="shared" si="16"/>
        <v>135</v>
      </c>
      <c r="H35" s="35">
        <f t="shared" si="16"/>
        <v>135</v>
      </c>
      <c r="I35" s="35">
        <f t="shared" si="16"/>
        <v>135</v>
      </c>
      <c r="J35" s="35">
        <f t="shared" si="16"/>
        <v>135</v>
      </c>
      <c r="K35" s="35">
        <f t="shared" si="16"/>
        <v>135</v>
      </c>
      <c r="L35" s="35">
        <f t="shared" si="16"/>
        <v>135</v>
      </c>
      <c r="M35" s="35">
        <f t="shared" si="16"/>
        <v>135</v>
      </c>
      <c r="N35" s="35">
        <f t="shared" si="16"/>
        <v>135</v>
      </c>
      <c r="O35" s="35">
        <f t="shared" si="16"/>
        <v>135</v>
      </c>
      <c r="P35" s="35">
        <f t="shared" si="16"/>
        <v>135</v>
      </c>
      <c r="Q35" s="35">
        <f t="shared" si="16"/>
        <v>135</v>
      </c>
      <c r="R35" s="35">
        <f t="shared" si="16"/>
        <v>135</v>
      </c>
      <c r="S35" s="35">
        <f t="shared" si="16"/>
        <v>135</v>
      </c>
      <c r="T35" s="35">
        <f t="shared" si="16"/>
        <v>135</v>
      </c>
      <c r="U35" s="35">
        <f t="shared" si="16"/>
        <v>135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s="4" customFormat="1" ht="14.1" customHeight="1" x14ac:dyDescent="0.2">
      <c r="A36" s="20" t="s">
        <v>2</v>
      </c>
      <c r="B36" s="20"/>
      <c r="C36" s="31">
        <f>+C33-C34-C35</f>
        <v>-729.02342230769227</v>
      </c>
      <c r="D36" s="31">
        <f t="shared" ref="D36:U36" si="17">+D33-D34-D35</f>
        <v>-679.31847338769239</v>
      </c>
      <c r="E36" s="31">
        <f t="shared" si="17"/>
        <v>-628.97995918281231</v>
      </c>
      <c r="F36" s="31">
        <f t="shared" si="17"/>
        <v>-578.00025585906405</v>
      </c>
      <c r="G36" s="31">
        <f t="shared" si="17"/>
        <v>-526.37165777038308</v>
      </c>
      <c r="H36" s="31">
        <f t="shared" si="17"/>
        <v>-474.08637681169284</v>
      </c>
      <c r="I36" s="31">
        <f t="shared" si="17"/>
        <v>-421.13654177287754</v>
      </c>
      <c r="J36" s="31">
        <f t="shared" si="17"/>
        <v>-367.51419769388167</v>
      </c>
      <c r="K36" s="31">
        <f t="shared" si="17"/>
        <v>-313.2113052211489</v>
      </c>
      <c r="L36" s="31">
        <f t="shared" si="17"/>
        <v>-258.21973996563565</v>
      </c>
      <c r="M36" s="31">
        <f t="shared" si="17"/>
        <v>-202.53129186262004</v>
      </c>
      <c r="N36" s="31">
        <f t="shared" si="17"/>
        <v>-146.13766453355674</v>
      </c>
      <c r="O36" s="31">
        <f t="shared" si="17"/>
        <v>-89.030474650228825</v>
      </c>
      <c r="P36" s="31">
        <f t="shared" si="17"/>
        <v>3286.1064410062463</v>
      </c>
      <c r="Q36" s="31">
        <f t="shared" si="17"/>
        <v>3344.6662569451437</v>
      </c>
      <c r="R36" s="31">
        <f t="shared" si="17"/>
        <v>3403.9653134396831</v>
      </c>
      <c r="S36" s="31">
        <f t="shared" si="17"/>
        <v>3464.0123479202916</v>
      </c>
      <c r="T36" s="31">
        <f t="shared" si="17"/>
        <v>3524.816187902677</v>
      </c>
      <c r="U36" s="31">
        <f t="shared" si="17"/>
        <v>3586.3857516042463</v>
      </c>
      <c r="V36" s="1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</row>
    <row r="37" spans="1:53" ht="14.1" customHeight="1" x14ac:dyDescent="0.2">
      <c r="A37" s="14" t="s">
        <v>124</v>
      </c>
      <c r="B37" s="14"/>
      <c r="C37" s="16">
        <f>+C51</f>
        <v>2205.5</v>
      </c>
      <c r="D37" s="16">
        <f>+D51</f>
        <v>2070.9000306068947</v>
      </c>
      <c r="E37" s="16">
        <f t="shared" ref="E37:U37" si="18">+E51</f>
        <v>1928.8970628971688</v>
      </c>
      <c r="F37" s="16">
        <f t="shared" si="18"/>
        <v>1779.0839319634076</v>
      </c>
      <c r="G37" s="16">
        <f t="shared" si="18"/>
        <v>1621.0310788282895</v>
      </c>
      <c r="H37" s="16">
        <f t="shared" si="18"/>
        <v>1454.2853187707399</v>
      </c>
      <c r="I37" s="16">
        <f t="shared" si="18"/>
        <v>1278.3685419100257</v>
      </c>
      <c r="J37" s="16">
        <f t="shared" si="18"/>
        <v>1092.7763423219712</v>
      </c>
      <c r="K37" s="16">
        <f t="shared" si="18"/>
        <v>896.97657175657423</v>
      </c>
      <c r="L37" s="16">
        <f t="shared" si="18"/>
        <v>690.40781381008048</v>
      </c>
      <c r="M37" s="16">
        <f t="shared" si="18"/>
        <v>472.47777417652946</v>
      </c>
      <c r="N37" s="16">
        <f t="shared" si="18"/>
        <v>242.56158236313311</v>
      </c>
      <c r="O37" s="16">
        <f t="shared" si="18"/>
        <v>0</v>
      </c>
      <c r="P37" s="16">
        <f t="shared" si="18"/>
        <v>0</v>
      </c>
      <c r="Q37" s="16">
        <f t="shared" si="18"/>
        <v>0</v>
      </c>
      <c r="R37" s="16">
        <f t="shared" si="18"/>
        <v>0</v>
      </c>
      <c r="S37" s="16">
        <f t="shared" si="18"/>
        <v>0</v>
      </c>
      <c r="T37" s="16">
        <f t="shared" si="18"/>
        <v>0</v>
      </c>
      <c r="U37" s="16">
        <f t="shared" si="18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s="4" customFormat="1" ht="14.1" customHeight="1" x14ac:dyDescent="0.2">
      <c r="A38" s="141" t="s">
        <v>125</v>
      </c>
      <c r="B38" s="33"/>
      <c r="C38" s="34">
        <f>+C36-C37</f>
        <v>-2934.5234223076923</v>
      </c>
      <c r="D38" s="34">
        <f t="shared" ref="D38:U38" si="19">+D36-D37</f>
        <v>-2750.2185039945871</v>
      </c>
      <c r="E38" s="34">
        <f t="shared" si="19"/>
        <v>-2557.8770220799811</v>
      </c>
      <c r="F38" s="34">
        <f t="shared" si="19"/>
        <v>-2357.0841878224719</v>
      </c>
      <c r="G38" s="34">
        <f t="shared" si="19"/>
        <v>-2147.4027365986726</v>
      </c>
      <c r="H38" s="34">
        <f t="shared" si="19"/>
        <v>-1928.3716955824327</v>
      </c>
      <c r="I38" s="34">
        <f t="shared" si="19"/>
        <v>-1699.5050836829032</v>
      </c>
      <c r="J38" s="34">
        <f t="shared" si="19"/>
        <v>-1460.2905400158529</v>
      </c>
      <c r="K38" s="34">
        <f t="shared" si="19"/>
        <v>-1210.1878769777231</v>
      </c>
      <c r="L38" s="34">
        <f t="shared" si="19"/>
        <v>-948.62755377571614</v>
      </c>
      <c r="M38" s="34">
        <f t="shared" si="19"/>
        <v>-675.0090660391495</v>
      </c>
      <c r="N38" s="34">
        <f t="shared" si="19"/>
        <v>-388.69924689668983</v>
      </c>
      <c r="O38" s="34">
        <f t="shared" si="19"/>
        <v>-89.030474650228825</v>
      </c>
      <c r="P38" s="34">
        <f t="shared" si="19"/>
        <v>3286.1064410062463</v>
      </c>
      <c r="Q38" s="34">
        <f t="shared" si="19"/>
        <v>3344.6662569451437</v>
      </c>
      <c r="R38" s="34">
        <f t="shared" si="19"/>
        <v>3403.9653134396831</v>
      </c>
      <c r="S38" s="34">
        <f t="shared" si="19"/>
        <v>3464.0123479202916</v>
      </c>
      <c r="T38" s="34">
        <f t="shared" si="19"/>
        <v>3524.816187902677</v>
      </c>
      <c r="U38" s="34">
        <f t="shared" si="19"/>
        <v>3586.3857516042463</v>
      </c>
      <c r="V38" s="1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</row>
    <row r="39" spans="1:53" ht="14.1" customHeight="1" x14ac:dyDescent="0.2">
      <c r="A39" s="14" t="s">
        <v>126</v>
      </c>
      <c r="B39" s="36">
        <v>0.35</v>
      </c>
      <c r="C39" s="27">
        <f t="shared" ref="C39:M39" si="20">+C38*$B$39</f>
        <v>-1027.0831978076922</v>
      </c>
      <c r="D39" s="27">
        <f t="shared" si="20"/>
        <v>-962.57647639810546</v>
      </c>
      <c r="E39" s="27">
        <f t="shared" si="20"/>
        <v>-895.25695772799338</v>
      </c>
      <c r="F39" s="27">
        <f t="shared" si="20"/>
        <v>-824.9794657378651</v>
      </c>
      <c r="G39" s="27">
        <f t="shared" si="20"/>
        <v>-751.59095780953533</v>
      </c>
      <c r="H39" s="27">
        <f t="shared" si="20"/>
        <v>-674.93009345385144</v>
      </c>
      <c r="I39" s="27">
        <f t="shared" si="20"/>
        <v>-594.82677928901603</v>
      </c>
      <c r="J39" s="27">
        <f t="shared" si="20"/>
        <v>-511.10168900554851</v>
      </c>
      <c r="K39" s="27">
        <f t="shared" si="20"/>
        <v>-423.56575694220305</v>
      </c>
      <c r="L39" s="27">
        <f t="shared" si="20"/>
        <v>-332.01964382150061</v>
      </c>
      <c r="M39" s="27">
        <f t="shared" si="20"/>
        <v>-236.2531731137023</v>
      </c>
      <c r="N39" s="27">
        <f t="shared" ref="N39:U39" si="21">+N38*$B$39</f>
        <v>-136.04473641384143</v>
      </c>
      <c r="O39" s="27">
        <f t="shared" si="21"/>
        <v>-31.160666127580086</v>
      </c>
      <c r="P39" s="27">
        <f t="shared" si="21"/>
        <v>1150.1372543521861</v>
      </c>
      <c r="Q39" s="27">
        <f t="shared" si="21"/>
        <v>1170.6331899308002</v>
      </c>
      <c r="R39" s="27">
        <f t="shared" si="21"/>
        <v>1191.387859703889</v>
      </c>
      <c r="S39" s="27">
        <f t="shared" si="21"/>
        <v>1212.4043217721021</v>
      </c>
      <c r="T39" s="27">
        <f t="shared" si="21"/>
        <v>1233.6856657659368</v>
      </c>
      <c r="U39" s="27">
        <f t="shared" si="21"/>
        <v>1255.2350130614861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s="4" customFormat="1" ht="14.1" customHeight="1" x14ac:dyDescent="0.2">
      <c r="A40" s="141" t="s">
        <v>127</v>
      </c>
      <c r="B40" s="33"/>
      <c r="C40" s="34">
        <f>+C38-C39</f>
        <v>-1907.4402245000001</v>
      </c>
      <c r="D40" s="34">
        <f>+D38-D39</f>
        <v>-1787.6420275964815</v>
      </c>
      <c r="E40" s="34">
        <f>+E38-E39</f>
        <v>-1662.6200643519878</v>
      </c>
      <c r="F40" s="34">
        <f t="shared" ref="F40:U40" si="22">+F38-F39</f>
        <v>-1532.1047220846067</v>
      </c>
      <c r="G40" s="34">
        <f t="shared" si="22"/>
        <v>-1395.8117787891374</v>
      </c>
      <c r="H40" s="34">
        <f t="shared" si="22"/>
        <v>-1253.4416021285813</v>
      </c>
      <c r="I40" s="34">
        <f t="shared" si="22"/>
        <v>-1104.6783043938872</v>
      </c>
      <c r="J40" s="34">
        <f t="shared" si="22"/>
        <v>-949.18885101030446</v>
      </c>
      <c r="K40" s="34">
        <f t="shared" si="22"/>
        <v>-786.62212003552008</v>
      </c>
      <c r="L40" s="34">
        <f t="shared" si="22"/>
        <v>-616.60790995421553</v>
      </c>
      <c r="M40" s="34">
        <f t="shared" si="22"/>
        <v>-438.7558929254472</v>
      </c>
      <c r="N40" s="34">
        <f t="shared" si="22"/>
        <v>-252.65451048284839</v>
      </c>
      <c r="O40" s="34">
        <f t="shared" si="22"/>
        <v>-57.869808522648739</v>
      </c>
      <c r="P40" s="34">
        <f t="shared" si="22"/>
        <v>2135.9691866540602</v>
      </c>
      <c r="Q40" s="34">
        <f t="shared" si="22"/>
        <v>2174.0330670143435</v>
      </c>
      <c r="R40" s="34">
        <f t="shared" si="22"/>
        <v>2212.5774537357938</v>
      </c>
      <c r="S40" s="34">
        <f t="shared" si="22"/>
        <v>2251.6080261481893</v>
      </c>
      <c r="T40" s="34">
        <f t="shared" si="22"/>
        <v>2291.1305221367402</v>
      </c>
      <c r="U40" s="34">
        <f t="shared" si="22"/>
        <v>2331.1507385427603</v>
      </c>
      <c r="V40" s="1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</row>
    <row r="41" spans="1:53" s="2" customFormat="1" ht="14.1" customHeight="1" x14ac:dyDescent="0.2">
      <c r="A41" s="22" t="s">
        <v>6</v>
      </c>
      <c r="B41" s="22"/>
      <c r="C41" s="27">
        <f>+C40+C34+C35-C48</f>
        <v>1298.6527255885142</v>
      </c>
      <c r="D41" s="27">
        <f t="shared" ref="D41:U41" si="23">+D40+D34+D35-D48</f>
        <v>1660.1717926170738</v>
      </c>
      <c r="E41" s="27">
        <f t="shared" si="23"/>
        <v>1785.1364746166332</v>
      </c>
      <c r="F41" s="27">
        <f t="shared" si="23"/>
        <v>1915.5938463609386</v>
      </c>
      <c r="G41" s="27">
        <f t="shared" si="23"/>
        <v>2051.8281224584825</v>
      </c>
      <c r="H41" s="27">
        <f t="shared" si="23"/>
        <v>2194.1389277910648</v>
      </c>
      <c r="I41" s="27">
        <f t="shared" si="23"/>
        <v>2342.8421425541314</v>
      </c>
      <c r="J41" s="27">
        <f t="shared" si="23"/>
        <v>2498.2707937505197</v>
      </c>
      <c r="K41" s="27">
        <f t="shared" si="23"/>
        <v>2660.7759956924456</v>
      </c>
      <c r="L41" s="27">
        <f t="shared" si="23"/>
        <v>2830.7279422070878</v>
      </c>
      <c r="M41" s="27">
        <f t="shared" si="23"/>
        <v>3008.5169533893695</v>
      </c>
      <c r="N41" s="27">
        <f t="shared" si="23"/>
        <v>3194.5545799019424</v>
      </c>
      <c r="O41" s="27">
        <f t="shared" si="23"/>
        <v>3389.2747679873728</v>
      </c>
      <c r="P41" s="27">
        <f t="shared" si="23"/>
        <v>2265.7407911184168</v>
      </c>
      <c r="Q41" s="27">
        <f t="shared" si="23"/>
        <v>2303.7386179020596</v>
      </c>
      <c r="R41" s="27">
        <f t="shared" si="23"/>
        <v>2342.2161691760134</v>
      </c>
      <c r="S41" s="27">
        <f t="shared" si="23"/>
        <v>2381.1791161814494</v>
      </c>
      <c r="T41" s="27">
        <f t="shared" si="23"/>
        <v>2420.6331886588805</v>
      </c>
      <c r="U41" s="27">
        <f t="shared" si="23"/>
        <v>2460.5841752491938</v>
      </c>
      <c r="V41" s="1"/>
    </row>
    <row r="42" spans="1:53" ht="14.1" customHeight="1" x14ac:dyDescent="0.2">
      <c r="A42" s="14" t="s">
        <v>5</v>
      </c>
      <c r="B42" s="14"/>
      <c r="C42" s="16">
        <f>+G9-C52</f>
        <v>37652.727829216266</v>
      </c>
      <c r="D42" s="16">
        <f>-D52</f>
        <v>-2581.8721401768407</v>
      </c>
      <c r="E42" s="16">
        <f>-E52</f>
        <v>-2723.8751078865666</v>
      </c>
      <c r="F42" s="16">
        <f>-F52</f>
        <v>-2873.6882388203276</v>
      </c>
      <c r="G42" s="16">
        <f t="shared" ref="G42:U42" si="24">-G52</f>
        <v>-3031.7410919554459</v>
      </c>
      <c r="H42" s="16">
        <f t="shared" si="24"/>
        <v>-3198.4868520129958</v>
      </c>
      <c r="I42" s="16">
        <f t="shared" si="24"/>
        <v>-3374.4036288737097</v>
      </c>
      <c r="J42" s="16">
        <f t="shared" si="24"/>
        <v>-3559.9958284617642</v>
      </c>
      <c r="K42" s="16">
        <f t="shared" si="24"/>
        <v>-3755.7955990271612</v>
      </c>
      <c r="L42" s="16">
        <f t="shared" si="24"/>
        <v>-3962.364356973655</v>
      </c>
      <c r="M42" s="16">
        <f t="shared" si="24"/>
        <v>-4180.2943966072062</v>
      </c>
      <c r="N42" s="16">
        <f t="shared" si="24"/>
        <v>-4410.2105884206021</v>
      </c>
      <c r="O42" s="16">
        <f>-O52</f>
        <v>0</v>
      </c>
      <c r="P42" s="16">
        <f t="shared" si="24"/>
        <v>0</v>
      </c>
      <c r="Q42" s="16">
        <f t="shared" si="24"/>
        <v>0</v>
      </c>
      <c r="R42" s="16">
        <f t="shared" si="24"/>
        <v>0</v>
      </c>
      <c r="S42" s="16">
        <f t="shared" si="24"/>
        <v>0</v>
      </c>
      <c r="T42" s="16">
        <f t="shared" si="24"/>
        <v>0</v>
      </c>
      <c r="U42" s="16">
        <f t="shared" si="24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4.1" customHeight="1" x14ac:dyDescent="0.2">
      <c r="A43" s="14" t="s">
        <v>4</v>
      </c>
      <c r="B43" s="14"/>
      <c r="C43" s="16">
        <f>-B10</f>
        <v>-50025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s="6" customFormat="1" ht="14.1" customHeight="1" thickBot="1" x14ac:dyDescent="0.25">
      <c r="A44" s="142" t="s">
        <v>9</v>
      </c>
      <c r="B44" s="37"/>
      <c r="C44" s="38">
        <f t="shared" ref="C44:H44" si="25">SUM(C41:C43)</f>
        <v>-11073.619445195218</v>
      </c>
      <c r="D44" s="38">
        <f t="shared" si="25"/>
        <v>-921.7003475597669</v>
      </c>
      <c r="E44" s="38">
        <f t="shared" si="25"/>
        <v>-938.73863326993342</v>
      </c>
      <c r="F44" s="38">
        <f t="shared" si="25"/>
        <v>-958.09439245938893</v>
      </c>
      <c r="G44" s="38">
        <f t="shared" si="25"/>
        <v>-979.91296949696334</v>
      </c>
      <c r="H44" s="38">
        <f t="shared" si="25"/>
        <v>-1004.347924221931</v>
      </c>
      <c r="I44" s="38">
        <f t="shared" ref="I44:U44" si="26">SUM(I41:I43)</f>
        <v>-1031.5614863195783</v>
      </c>
      <c r="J44" s="38">
        <f t="shared" si="26"/>
        <v>-1061.7250347112445</v>
      </c>
      <c r="K44" s="38">
        <f t="shared" si="26"/>
        <v>-1095.0196033347156</v>
      </c>
      <c r="L44" s="38">
        <f t="shared" si="26"/>
        <v>-1131.6364147665672</v>
      </c>
      <c r="M44" s="38">
        <f t="shared" si="26"/>
        <v>-1171.7774432178367</v>
      </c>
      <c r="N44" s="38">
        <f t="shared" si="26"/>
        <v>-1215.6560085186597</v>
      </c>
      <c r="O44" s="38">
        <f t="shared" si="26"/>
        <v>3389.2747679873728</v>
      </c>
      <c r="P44" s="38">
        <f t="shared" si="26"/>
        <v>2265.7407911184168</v>
      </c>
      <c r="Q44" s="38">
        <f t="shared" si="26"/>
        <v>2303.7386179020596</v>
      </c>
      <c r="R44" s="38">
        <f t="shared" si="26"/>
        <v>2342.2161691760134</v>
      </c>
      <c r="S44" s="38">
        <f t="shared" si="26"/>
        <v>2381.1791161814494</v>
      </c>
      <c r="T44" s="38">
        <f t="shared" si="26"/>
        <v>2420.6331886588805</v>
      </c>
      <c r="U44" s="38">
        <f t="shared" si="26"/>
        <v>2460.5841752491938</v>
      </c>
      <c r="V44" s="1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</row>
    <row r="45" spans="1:53" ht="14.1" customHeight="1" thickTop="1" x14ac:dyDescent="0.2">
      <c r="A45" s="14" t="s">
        <v>129</v>
      </c>
      <c r="B45" s="13">
        <f>+M14</f>
        <v>33</v>
      </c>
      <c r="C45" s="16">
        <f t="shared" ref="C45:U45" si="27">+C24*$B$45/365</f>
        <v>326.54539726027394</v>
      </c>
      <c r="D45" s="16">
        <f t="shared" si="27"/>
        <v>332.49578005479452</v>
      </c>
      <c r="E45" s="16">
        <f t="shared" si="27"/>
        <v>338.52946820843835</v>
      </c>
      <c r="F45" s="16">
        <f t="shared" si="27"/>
        <v>344.64762799623321</v>
      </c>
      <c r="G45" s="16">
        <f t="shared" si="27"/>
        <v>350.85144202105721</v>
      </c>
      <c r="H45" s="16">
        <f t="shared" si="27"/>
        <v>357.14210944222867</v>
      </c>
      <c r="I45" s="16">
        <f t="shared" si="27"/>
        <v>363.52084620729659</v>
      </c>
      <c r="J45" s="16">
        <f t="shared" si="27"/>
        <v>369.98888528707545</v>
      </c>
      <c r="K45" s="16">
        <f t="shared" si="27"/>
        <v>376.54747691397125</v>
      </c>
      <c r="L45" s="16">
        <f t="shared" si="27"/>
        <v>383.1978888236435</v>
      </c>
      <c r="M45" s="16">
        <f t="shared" si="27"/>
        <v>389.94140650005119</v>
      </c>
      <c r="N45" s="16">
        <f t="shared" si="27"/>
        <v>396.77933342392862</v>
      </c>
      <c r="O45" s="16">
        <f t="shared" si="27"/>
        <v>403.71299132474041</v>
      </c>
      <c r="P45" s="16">
        <f t="shared" si="27"/>
        <v>410.74372043616347</v>
      </c>
      <c r="Q45" s="16">
        <f t="shared" si="27"/>
        <v>417.87287975514647</v>
      </c>
      <c r="R45" s="16">
        <f t="shared" si="27"/>
        <v>425.10184730459531</v>
      </c>
      <c r="S45" s="16">
        <f t="shared" si="27"/>
        <v>432.43202039973636</v>
      </c>
      <c r="T45" s="16">
        <f t="shared" si="27"/>
        <v>439.86481591820933</v>
      </c>
      <c r="U45" s="16">
        <f t="shared" si="27"/>
        <v>447.40167057394098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14.1" customHeight="1" x14ac:dyDescent="0.2">
      <c r="A46" s="14" t="s">
        <v>130</v>
      </c>
      <c r="B46" s="13">
        <f>+M13</f>
        <v>33</v>
      </c>
      <c r="C46" s="16">
        <f t="shared" ref="C46:U46" si="28">+SUM(C25:C31)*$B$46/365</f>
        <v>80.330655041095895</v>
      </c>
      <c r="D46" s="16">
        <f t="shared" si="28"/>
        <v>81.787165741479456</v>
      </c>
      <c r="E46" s="16">
        <f t="shared" si="28"/>
        <v>83.269700556051944</v>
      </c>
      <c r="F46" s="16">
        <f t="shared" si="28"/>
        <v>84.778736481699696</v>
      </c>
      <c r="G46" s="16">
        <f t="shared" si="28"/>
        <v>86.314759446451163</v>
      </c>
      <c r="H46" s="16">
        <f t="shared" si="28"/>
        <v>87.878264479576686</v>
      </c>
      <c r="I46" s="16">
        <f t="shared" si="28"/>
        <v>89.46975588497088</v>
      </c>
      <c r="J46" s="16">
        <f t="shared" si="28"/>
        <v>91.089747417881611</v>
      </c>
      <c r="K46" s="16">
        <f t="shared" si="28"/>
        <v>92.738762465050883</v>
      </c>
      <c r="L46" s="16">
        <f t="shared" si="28"/>
        <v>94.417334228334312</v>
      </c>
      <c r="M46" s="16">
        <f t="shared" si="28"/>
        <v>96.126005911866571</v>
      </c>
      <c r="N46" s="16">
        <f t="shared" si="28"/>
        <v>97.865330912842396</v>
      </c>
      <c r="O46" s="16">
        <f t="shared" si="28"/>
        <v>99.635873015983464</v>
      </c>
      <c r="P46" s="16">
        <f t="shared" si="28"/>
        <v>101.43820659176312</v>
      </c>
      <c r="Q46" s="16">
        <f t="shared" si="28"/>
        <v>103.27291679846223</v>
      </c>
      <c r="R46" s="16">
        <f t="shared" si="28"/>
        <v>105.1405997881308</v>
      </c>
      <c r="S46" s="16">
        <f t="shared" si="28"/>
        <v>107.0418629165319</v>
      </c>
      <c r="T46" s="16">
        <f t="shared" si="28"/>
        <v>108.97732495714538</v>
      </c>
      <c r="U46" s="16">
        <f t="shared" si="28"/>
        <v>110.94761631931047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14.1" customHeight="1" x14ac:dyDescent="0.2">
      <c r="A47" s="14" t="s">
        <v>105</v>
      </c>
      <c r="B47" s="14"/>
      <c r="C47" s="16">
        <f>+C45-C46</f>
        <v>246.21474221917805</v>
      </c>
      <c r="D47" s="16">
        <f>+D45-D46</f>
        <v>250.70861431331508</v>
      </c>
      <c r="E47" s="16">
        <f t="shared" ref="E47:U47" si="29">+E45-E46</f>
        <v>255.25976765238642</v>
      </c>
      <c r="F47" s="16">
        <f>+F45-F46</f>
        <v>259.86889151453352</v>
      </c>
      <c r="G47" s="16">
        <f>+G45-G46</f>
        <v>264.53668257460606</v>
      </c>
      <c r="H47" s="16">
        <f t="shared" si="29"/>
        <v>269.263844962652</v>
      </c>
      <c r="I47" s="16">
        <f t="shared" si="29"/>
        <v>274.05109032232571</v>
      </c>
      <c r="J47" s="16">
        <f t="shared" si="29"/>
        <v>278.89913786919385</v>
      </c>
      <c r="K47" s="16">
        <f t="shared" si="29"/>
        <v>283.80871444892034</v>
      </c>
      <c r="L47" s="16">
        <f t="shared" si="29"/>
        <v>288.78055459530918</v>
      </c>
      <c r="M47" s="16">
        <f t="shared" si="29"/>
        <v>293.81540058818462</v>
      </c>
      <c r="N47" s="16">
        <f t="shared" si="29"/>
        <v>298.91400251108621</v>
      </c>
      <c r="O47" s="16">
        <f t="shared" si="29"/>
        <v>304.07711830875695</v>
      </c>
      <c r="P47" s="16">
        <f t="shared" si="29"/>
        <v>309.30551384440037</v>
      </c>
      <c r="Q47" s="16">
        <f t="shared" si="29"/>
        <v>314.59996295668424</v>
      </c>
      <c r="R47" s="16">
        <f t="shared" si="29"/>
        <v>319.96124751646448</v>
      </c>
      <c r="S47" s="16">
        <f t="shared" si="29"/>
        <v>325.39015748320446</v>
      </c>
      <c r="T47" s="16">
        <f t="shared" si="29"/>
        <v>330.88749096106392</v>
      </c>
      <c r="U47" s="16">
        <f t="shared" si="29"/>
        <v>336.45405425463048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14.1" customHeight="1" x14ac:dyDescent="0.2">
      <c r="A48" s="14" t="s">
        <v>128</v>
      </c>
      <c r="B48" s="14"/>
      <c r="C48" s="16">
        <f>+C47-B47</f>
        <v>246.21474221917805</v>
      </c>
      <c r="D48" s="16">
        <f>+D47-C47</f>
        <v>4.493872094137032</v>
      </c>
      <c r="E48" s="16">
        <f>+E47-D47</f>
        <v>4.5511533390713339</v>
      </c>
      <c r="F48" s="16">
        <f>+F47-E47</f>
        <v>4.6091238621471007</v>
      </c>
      <c r="G48" s="16">
        <f t="shared" ref="G48:U48" si="30">+G47-F47</f>
        <v>4.6677910600725454</v>
      </c>
      <c r="H48" s="16">
        <f t="shared" si="30"/>
        <v>4.7271623880459401</v>
      </c>
      <c r="I48" s="16">
        <f t="shared" si="30"/>
        <v>4.7872453596737046</v>
      </c>
      <c r="J48" s="16">
        <f t="shared" si="30"/>
        <v>4.8480475468681448</v>
      </c>
      <c r="K48" s="16">
        <f t="shared" si="30"/>
        <v>4.9095765797264903</v>
      </c>
      <c r="L48" s="16">
        <f t="shared" si="30"/>
        <v>4.9718401463888426</v>
      </c>
      <c r="M48" s="16">
        <f t="shared" si="30"/>
        <v>5.0348459928754323</v>
      </c>
      <c r="N48" s="16">
        <f t="shared" si="30"/>
        <v>5.0986019229015938</v>
      </c>
      <c r="O48" s="16">
        <f t="shared" si="30"/>
        <v>5.1631157976707414</v>
      </c>
      <c r="P48" s="16">
        <f t="shared" si="30"/>
        <v>5.2283955356434149</v>
      </c>
      <c r="Q48" s="16">
        <f t="shared" si="30"/>
        <v>5.2944491122838713</v>
      </c>
      <c r="R48" s="16">
        <f t="shared" si="30"/>
        <v>5.3612845597802448</v>
      </c>
      <c r="S48" s="16">
        <f>+S47-R47</f>
        <v>5.4289099667399796</v>
      </c>
      <c r="T48" s="16">
        <f t="shared" si="30"/>
        <v>5.4973334778594563</v>
      </c>
      <c r="U48" s="16">
        <f t="shared" si="30"/>
        <v>5.5665632935665599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s="3" customFormat="1" ht="14.1" customHeight="1" thickBot="1" x14ac:dyDescent="0.25">
      <c r="A49" s="23"/>
      <c r="B49" s="23"/>
      <c r="C49" s="26">
        <v>1</v>
      </c>
      <c r="D49" s="26">
        <v>2</v>
      </c>
      <c r="E49" s="26">
        <v>3</v>
      </c>
      <c r="F49" s="26">
        <v>4</v>
      </c>
      <c r="G49" s="26">
        <v>5</v>
      </c>
      <c r="H49" s="26">
        <v>6</v>
      </c>
      <c r="I49" s="26">
        <v>7</v>
      </c>
      <c r="J49" s="26">
        <v>8</v>
      </c>
      <c r="K49" s="26">
        <v>9</v>
      </c>
      <c r="L49" s="26">
        <v>10</v>
      </c>
      <c r="M49" s="26">
        <v>11</v>
      </c>
      <c r="N49" s="26">
        <v>12</v>
      </c>
      <c r="O49" s="26">
        <v>13</v>
      </c>
      <c r="P49" s="26">
        <v>14</v>
      </c>
      <c r="Q49" s="26">
        <v>15</v>
      </c>
      <c r="R49" s="26">
        <v>16</v>
      </c>
      <c r="S49" s="26">
        <v>17</v>
      </c>
      <c r="T49" s="26">
        <v>18</v>
      </c>
      <c r="U49" s="26">
        <v>19</v>
      </c>
      <c r="V49" s="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4.1" customHeight="1" thickTop="1" x14ac:dyDescent="0.2">
      <c r="A50" s="14" t="s">
        <v>131</v>
      </c>
      <c r="B50" s="14"/>
      <c r="C50" s="16">
        <f t="shared" ref="C50:N50" si="31">+PMT($G$14,$G$12,$G$13)*-1</f>
        <v>4652.7721707837354</v>
      </c>
      <c r="D50" s="16">
        <f t="shared" si="31"/>
        <v>4652.7721707837354</v>
      </c>
      <c r="E50" s="16">
        <f t="shared" si="31"/>
        <v>4652.7721707837354</v>
      </c>
      <c r="F50" s="16">
        <f t="shared" si="31"/>
        <v>4652.7721707837354</v>
      </c>
      <c r="G50" s="16">
        <f t="shared" si="31"/>
        <v>4652.7721707837354</v>
      </c>
      <c r="H50" s="16">
        <f t="shared" si="31"/>
        <v>4652.7721707837354</v>
      </c>
      <c r="I50" s="16">
        <f t="shared" si="31"/>
        <v>4652.7721707837354</v>
      </c>
      <c r="J50" s="16">
        <f t="shared" si="31"/>
        <v>4652.7721707837354</v>
      </c>
      <c r="K50" s="16">
        <f t="shared" si="31"/>
        <v>4652.7721707837354</v>
      </c>
      <c r="L50" s="16">
        <f t="shared" si="31"/>
        <v>4652.7721707837354</v>
      </c>
      <c r="M50" s="16">
        <f t="shared" si="31"/>
        <v>4652.7721707837354</v>
      </c>
      <c r="N50" s="16">
        <f t="shared" si="31"/>
        <v>4652.7721707837354</v>
      </c>
      <c r="O50" s="16"/>
      <c r="P50" s="16"/>
      <c r="Q50" s="16"/>
      <c r="R50" s="16"/>
      <c r="S50" s="16"/>
      <c r="T50" s="16"/>
      <c r="U50" s="16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14.1" customHeight="1" x14ac:dyDescent="0.2">
      <c r="A51" s="14" t="s">
        <v>132</v>
      </c>
      <c r="B51" s="14"/>
      <c r="C51" s="16">
        <f t="shared" ref="C51:N51" si="32">+IPMT($G$14,C49,$G$12,$G$13)*-1</f>
        <v>2205.5</v>
      </c>
      <c r="D51" s="16">
        <f t="shared" si="32"/>
        <v>2070.9000306068947</v>
      </c>
      <c r="E51" s="16">
        <f t="shared" si="32"/>
        <v>1928.8970628971688</v>
      </c>
      <c r="F51" s="16">
        <f t="shared" si="32"/>
        <v>1779.0839319634076</v>
      </c>
      <c r="G51" s="16">
        <f t="shared" si="32"/>
        <v>1621.0310788282895</v>
      </c>
      <c r="H51" s="16">
        <f t="shared" si="32"/>
        <v>1454.2853187707399</v>
      </c>
      <c r="I51" s="16">
        <f t="shared" si="32"/>
        <v>1278.3685419100257</v>
      </c>
      <c r="J51" s="16">
        <f t="shared" si="32"/>
        <v>1092.7763423219712</v>
      </c>
      <c r="K51" s="16">
        <f t="shared" si="32"/>
        <v>896.97657175657423</v>
      </c>
      <c r="L51" s="16">
        <f t="shared" si="32"/>
        <v>690.40781381008048</v>
      </c>
      <c r="M51" s="16">
        <f t="shared" si="32"/>
        <v>472.47777417652946</v>
      </c>
      <c r="N51" s="16">
        <f t="shared" si="32"/>
        <v>242.56158236313311</v>
      </c>
      <c r="O51" s="16"/>
      <c r="P51" s="16"/>
      <c r="Q51" s="16"/>
      <c r="R51" s="16"/>
      <c r="S51" s="16"/>
      <c r="T51" s="16"/>
      <c r="U51" s="16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4.1" customHeight="1" x14ac:dyDescent="0.2">
      <c r="A52" s="14" t="s">
        <v>134</v>
      </c>
      <c r="B52" s="14"/>
      <c r="C52" s="16">
        <f>+C50-C51</f>
        <v>2447.2721707837354</v>
      </c>
      <c r="D52" s="16">
        <f>+D50-D51</f>
        <v>2581.8721401768407</v>
      </c>
      <c r="E52" s="16">
        <f t="shared" ref="E52:N52" si="33">+E50-E51</f>
        <v>2723.8751078865666</v>
      </c>
      <c r="F52" s="16">
        <f t="shared" si="33"/>
        <v>2873.6882388203276</v>
      </c>
      <c r="G52" s="16">
        <f t="shared" si="33"/>
        <v>3031.7410919554459</v>
      </c>
      <c r="H52" s="16">
        <f t="shared" si="33"/>
        <v>3198.4868520129958</v>
      </c>
      <c r="I52" s="16">
        <f t="shared" si="33"/>
        <v>3374.4036288737097</v>
      </c>
      <c r="J52" s="16">
        <f t="shared" si="33"/>
        <v>3559.9958284617642</v>
      </c>
      <c r="K52" s="16">
        <f t="shared" si="33"/>
        <v>3755.7955990271612</v>
      </c>
      <c r="L52" s="16">
        <f t="shared" si="33"/>
        <v>3962.364356973655</v>
      </c>
      <c r="M52" s="16">
        <f t="shared" si="33"/>
        <v>4180.2943966072062</v>
      </c>
      <c r="N52" s="16">
        <f t="shared" si="33"/>
        <v>4410.2105884206021</v>
      </c>
      <c r="O52" s="16"/>
      <c r="P52" s="16"/>
      <c r="Q52" s="16"/>
      <c r="R52" s="16"/>
      <c r="S52" s="16"/>
      <c r="T52" s="16"/>
      <c r="U52" s="16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14.1" customHeight="1" x14ac:dyDescent="0.2">
      <c r="A53" s="14" t="s">
        <v>133</v>
      </c>
      <c r="B53" s="14"/>
      <c r="C53" s="16">
        <f>+C52</f>
        <v>2447.2721707837354</v>
      </c>
      <c r="D53" s="16">
        <f>+C53+D52</f>
        <v>5029.1443109605761</v>
      </c>
      <c r="E53" s="16">
        <f t="shared" ref="E53:N53" si="34">+D53+E52</f>
        <v>7753.0194188471432</v>
      </c>
      <c r="F53" s="16">
        <f t="shared" si="34"/>
        <v>10626.70765766747</v>
      </c>
      <c r="G53" s="16">
        <f t="shared" si="34"/>
        <v>13658.448749622916</v>
      </c>
      <c r="H53" s="16">
        <f t="shared" si="34"/>
        <v>16856.935601635912</v>
      </c>
      <c r="I53" s="16">
        <f t="shared" si="34"/>
        <v>20231.33923050962</v>
      </c>
      <c r="J53" s="16">
        <f t="shared" si="34"/>
        <v>23791.335058971385</v>
      </c>
      <c r="K53" s="16">
        <f t="shared" si="34"/>
        <v>27547.130657998547</v>
      </c>
      <c r="L53" s="16">
        <f t="shared" si="34"/>
        <v>31509.495014972203</v>
      </c>
      <c r="M53" s="16">
        <f t="shared" si="34"/>
        <v>35689.789411579412</v>
      </c>
      <c r="N53" s="16">
        <f t="shared" si="34"/>
        <v>40100.000000000015</v>
      </c>
      <c r="O53" s="35"/>
      <c r="P53" s="35"/>
      <c r="Q53" s="35"/>
      <c r="R53" s="35"/>
      <c r="S53" s="35"/>
      <c r="T53" s="35"/>
      <c r="U53" s="35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60" spans="1:53" x14ac:dyDescent="0.2">
      <c r="C60" s="87"/>
    </row>
    <row r="61" spans="1:53" x14ac:dyDescent="0.2">
      <c r="D61" s="87"/>
    </row>
  </sheetData>
  <mergeCells count="20">
    <mergeCell ref="I2:L2"/>
    <mergeCell ref="A1:M1"/>
    <mergeCell ref="I16:K16"/>
    <mergeCell ref="I3:L3"/>
    <mergeCell ref="I4:L4"/>
    <mergeCell ref="I6:L6"/>
    <mergeCell ref="I5:L5"/>
    <mergeCell ref="I8:L8"/>
    <mergeCell ref="I7:L7"/>
    <mergeCell ref="I9:L9"/>
    <mergeCell ref="D15:F15"/>
    <mergeCell ref="D3:F3"/>
    <mergeCell ref="D4:F4"/>
    <mergeCell ref="D5:F5"/>
    <mergeCell ref="D6:F6"/>
    <mergeCell ref="D10:F10"/>
    <mergeCell ref="R14:S14"/>
    <mergeCell ref="I10:L10"/>
    <mergeCell ref="I11:L11"/>
    <mergeCell ref="D14:F14"/>
  </mergeCells>
  <pageMargins left="0.70866141732283472" right="0.31496062992125984" top="0.35433070866141736" bottom="0.35433070866141736" header="0.31496062992125984" footer="0.31496062992125984"/>
  <pageSetup paperSize="9" scale="24" orientation="landscape"/>
  <headerFooter alignWithMargins="0"/>
  <ignoredErrors>
    <ignoredError sqref="M39:Q39 R38:U39 C39:L39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4"/>
  <sheetViews>
    <sheetView zoomScale="131" workbookViewId="0">
      <selection activeCell="J2" sqref="J2"/>
    </sheetView>
  </sheetViews>
  <sheetFormatPr defaultColWidth="11.42578125" defaultRowHeight="12.75" x14ac:dyDescent="0.2"/>
  <cols>
    <col min="1" max="1" width="10.42578125" customWidth="1"/>
    <col min="2" max="2" width="8.7109375" customWidth="1"/>
    <col min="3" max="4" width="10.42578125" customWidth="1"/>
    <col min="5" max="6" width="8.85546875" customWidth="1"/>
    <col min="7" max="7" width="4.140625" customWidth="1"/>
    <col min="8" max="8" width="11.140625" customWidth="1"/>
    <col min="9" max="9" width="7.85546875" customWidth="1"/>
    <col min="10" max="10" width="13.42578125" customWidth="1"/>
    <col min="11" max="11" width="12.42578125" customWidth="1"/>
    <col min="12" max="12" width="13.42578125" customWidth="1"/>
    <col min="13" max="13" width="15.140625" customWidth="1"/>
    <col min="14" max="256" width="8.85546875" customWidth="1"/>
  </cols>
  <sheetData>
    <row r="1" spans="1:15" ht="16.7" customHeight="1" thickBot="1" x14ac:dyDescent="0.25">
      <c r="A1" s="166" t="s">
        <v>137</v>
      </c>
      <c r="B1" s="166"/>
      <c r="C1" s="166"/>
      <c r="D1" s="166"/>
      <c r="E1" s="166"/>
      <c r="F1" s="166"/>
      <c r="H1" s="157" t="s">
        <v>142</v>
      </c>
      <c r="I1" s="157"/>
      <c r="J1" s="157"/>
      <c r="K1" s="157"/>
      <c r="L1" s="157"/>
      <c r="M1" s="157"/>
    </row>
    <row r="2" spans="1:15" ht="13.5" thickTop="1" x14ac:dyDescent="0.2">
      <c r="A2" s="162" t="s">
        <v>138</v>
      </c>
      <c r="B2" s="164" t="s">
        <v>139</v>
      </c>
      <c r="C2" s="40" t="s">
        <v>140</v>
      </c>
      <c r="D2" s="40" t="s">
        <v>141</v>
      </c>
      <c r="H2" s="158" t="s">
        <v>138</v>
      </c>
      <c r="I2" s="160" t="s">
        <v>139</v>
      </c>
      <c r="J2" s="82" t="s">
        <v>143</v>
      </c>
      <c r="K2" s="82" t="s">
        <v>144</v>
      </c>
      <c r="L2" s="73"/>
      <c r="M2" s="106"/>
      <c r="N2" s="107"/>
      <c r="O2" s="107"/>
    </row>
    <row r="3" spans="1:15" ht="13.5" thickBot="1" x14ac:dyDescent="0.25">
      <c r="A3" s="163"/>
      <c r="B3" s="165"/>
      <c r="C3" s="41" t="s">
        <v>10</v>
      </c>
      <c r="D3" s="41" t="s">
        <v>10</v>
      </c>
      <c r="H3" s="159"/>
      <c r="I3" s="161"/>
      <c r="J3" s="83" t="s">
        <v>22</v>
      </c>
      <c r="K3" s="83" t="s">
        <v>11</v>
      </c>
      <c r="L3" s="73"/>
      <c r="M3" s="106"/>
      <c r="N3" s="107"/>
      <c r="O3" s="107"/>
    </row>
    <row r="4" spans="1:15" x14ac:dyDescent="0.2">
      <c r="A4" s="42">
        <v>40423</v>
      </c>
      <c r="B4" s="43">
        <v>1</v>
      </c>
      <c r="C4" s="44">
        <v>17</v>
      </c>
      <c r="D4" s="44">
        <v>17.2</v>
      </c>
      <c r="H4" s="74">
        <v>40423</v>
      </c>
      <c r="I4" s="75">
        <v>1</v>
      </c>
      <c r="J4" s="79" t="s">
        <v>23</v>
      </c>
      <c r="K4" s="80" t="s">
        <v>24</v>
      </c>
      <c r="L4" s="90"/>
      <c r="M4" s="108"/>
      <c r="N4" s="109"/>
      <c r="O4" s="107"/>
    </row>
    <row r="5" spans="1:15" x14ac:dyDescent="0.2">
      <c r="A5" s="45"/>
      <c r="B5" s="43">
        <v>2</v>
      </c>
      <c r="C5" s="44">
        <v>16</v>
      </c>
      <c r="D5" s="44">
        <v>13.9</v>
      </c>
      <c r="H5" s="76"/>
      <c r="I5" s="75">
        <v>2</v>
      </c>
      <c r="J5" s="79" t="s">
        <v>23</v>
      </c>
      <c r="K5" s="79" t="s">
        <v>25</v>
      </c>
      <c r="L5" s="90"/>
      <c r="M5" s="108"/>
      <c r="N5" s="109"/>
      <c r="O5" s="107"/>
    </row>
    <row r="6" spans="1:15" x14ac:dyDescent="0.2">
      <c r="A6" s="45"/>
      <c r="B6" s="43">
        <v>3</v>
      </c>
      <c r="C6" s="44">
        <v>14.8</v>
      </c>
      <c r="D6" s="44">
        <v>8.5</v>
      </c>
      <c r="H6" s="76"/>
      <c r="I6" s="75">
        <v>3</v>
      </c>
      <c r="J6" s="79" t="s">
        <v>23</v>
      </c>
      <c r="K6" s="79" t="s">
        <v>25</v>
      </c>
      <c r="L6" s="90"/>
      <c r="M6" s="108"/>
      <c r="N6" s="109"/>
      <c r="O6" s="107"/>
    </row>
    <row r="7" spans="1:15" x14ac:dyDescent="0.2">
      <c r="A7" s="45"/>
      <c r="B7" s="43">
        <v>4</v>
      </c>
      <c r="C7" s="44">
        <v>13.4</v>
      </c>
      <c r="D7" s="44">
        <v>3.8</v>
      </c>
      <c r="H7" s="76"/>
      <c r="I7" s="75">
        <v>4</v>
      </c>
      <c r="J7" s="79" t="s">
        <v>23</v>
      </c>
      <c r="K7" s="79" t="s">
        <v>25</v>
      </c>
      <c r="L7" s="90"/>
      <c r="M7" s="108"/>
      <c r="N7" s="109"/>
      <c r="O7" s="107"/>
    </row>
    <row r="8" spans="1:15" x14ac:dyDescent="0.2">
      <c r="A8" s="45"/>
      <c r="B8" s="43">
        <v>5</v>
      </c>
      <c r="C8" s="44">
        <v>11.6</v>
      </c>
      <c r="D8" s="44">
        <v>0.8</v>
      </c>
      <c r="H8" s="76"/>
      <c r="I8" s="75">
        <v>5</v>
      </c>
      <c r="J8" s="79" t="s">
        <v>23</v>
      </c>
      <c r="K8" s="79" t="s">
        <v>25</v>
      </c>
      <c r="L8" s="90"/>
      <c r="M8" s="108"/>
      <c r="N8" s="109"/>
      <c r="O8" s="107"/>
    </row>
    <row r="9" spans="1:15" x14ac:dyDescent="0.2">
      <c r="A9" s="45"/>
      <c r="B9" s="43">
        <v>6</v>
      </c>
      <c r="C9" s="44">
        <v>9.6999999999999993</v>
      </c>
      <c r="D9" s="44">
        <v>0.5</v>
      </c>
      <c r="H9" s="76"/>
      <c r="I9" s="75">
        <v>6</v>
      </c>
      <c r="J9" s="79" t="s">
        <v>23</v>
      </c>
      <c r="K9" s="79" t="s">
        <v>26</v>
      </c>
      <c r="L9" s="90"/>
      <c r="M9" s="108"/>
      <c r="N9" s="109"/>
      <c r="O9" s="107"/>
    </row>
    <row r="10" spans="1:15" x14ac:dyDescent="0.2">
      <c r="A10" s="45"/>
      <c r="B10" s="43">
        <v>7</v>
      </c>
      <c r="C10" s="44">
        <v>7.1</v>
      </c>
      <c r="D10" s="44">
        <v>2</v>
      </c>
      <c r="H10" s="76"/>
      <c r="I10" s="75">
        <v>7</v>
      </c>
      <c r="J10" s="79" t="s">
        <v>27</v>
      </c>
      <c r="K10" s="79" t="s">
        <v>25</v>
      </c>
      <c r="L10" s="90"/>
      <c r="M10" s="108"/>
      <c r="N10" s="109"/>
      <c r="O10" s="107"/>
    </row>
    <row r="11" spans="1:15" x14ac:dyDescent="0.2">
      <c r="A11" s="45"/>
      <c r="B11" s="43">
        <v>8</v>
      </c>
      <c r="C11" s="44">
        <v>4.7</v>
      </c>
      <c r="D11" s="44">
        <v>0.2</v>
      </c>
      <c r="H11" s="76"/>
      <c r="I11" s="75">
        <v>8</v>
      </c>
      <c r="J11" s="79" t="s">
        <v>28</v>
      </c>
      <c r="K11" s="79" t="s">
        <v>25</v>
      </c>
      <c r="L11" s="90"/>
      <c r="M11" s="108"/>
      <c r="N11" s="109"/>
      <c r="O11" s="107"/>
    </row>
    <row r="12" spans="1:15" x14ac:dyDescent="0.2">
      <c r="A12" s="45"/>
      <c r="B12" s="43">
        <v>9</v>
      </c>
      <c r="C12" s="44">
        <v>3.2</v>
      </c>
      <c r="D12" s="44">
        <v>0</v>
      </c>
      <c r="H12" s="76"/>
      <c r="I12" s="75">
        <v>9</v>
      </c>
      <c r="J12" s="79" t="s">
        <v>28</v>
      </c>
      <c r="K12" s="79" t="s">
        <v>28</v>
      </c>
      <c r="L12" s="90"/>
      <c r="M12" s="108"/>
      <c r="N12" s="109"/>
      <c r="O12" s="107"/>
    </row>
    <row r="13" spans="1:15" x14ac:dyDescent="0.2">
      <c r="A13" s="45"/>
      <c r="B13" s="43">
        <v>10</v>
      </c>
      <c r="C13" s="44">
        <v>3.7</v>
      </c>
      <c r="D13" s="44">
        <v>0.4</v>
      </c>
      <c r="H13" s="76"/>
      <c r="I13" s="75">
        <v>10</v>
      </c>
      <c r="J13" s="79" t="s">
        <v>29</v>
      </c>
      <c r="K13" s="79" t="s">
        <v>29</v>
      </c>
      <c r="L13" s="90"/>
      <c r="M13" s="108"/>
      <c r="N13" s="109"/>
      <c r="O13" s="107"/>
    </row>
    <row r="14" spans="1:15" x14ac:dyDescent="0.2">
      <c r="A14" s="45"/>
      <c r="B14" s="43">
        <v>11</v>
      </c>
      <c r="C14" s="44">
        <v>4.8</v>
      </c>
      <c r="D14" s="44">
        <v>4.4000000000000004</v>
      </c>
      <c r="H14" s="76"/>
      <c r="I14" s="75">
        <v>11</v>
      </c>
      <c r="J14" s="79" t="s">
        <v>29</v>
      </c>
      <c r="K14" s="79" t="s">
        <v>30</v>
      </c>
      <c r="L14" s="90"/>
      <c r="M14" s="108"/>
      <c r="N14" s="109"/>
      <c r="O14" s="107"/>
    </row>
    <row r="15" spans="1:15" x14ac:dyDescent="0.2">
      <c r="A15" s="45"/>
      <c r="B15" s="43">
        <v>12</v>
      </c>
      <c r="C15" s="44">
        <v>6</v>
      </c>
      <c r="D15" s="44">
        <v>2.5</v>
      </c>
      <c r="H15" s="76"/>
      <c r="I15" s="75">
        <v>12</v>
      </c>
      <c r="J15" s="79" t="s">
        <v>29</v>
      </c>
      <c r="K15" s="79" t="s">
        <v>31</v>
      </c>
      <c r="L15" s="90"/>
      <c r="M15" s="108"/>
      <c r="N15" s="109"/>
      <c r="O15" s="107"/>
    </row>
    <row r="16" spans="1:15" x14ac:dyDescent="0.2">
      <c r="A16" s="45"/>
      <c r="B16" s="43">
        <v>13</v>
      </c>
      <c r="C16" s="44">
        <v>6</v>
      </c>
      <c r="D16" s="44">
        <v>3.2</v>
      </c>
      <c r="H16" s="76"/>
      <c r="I16" s="75">
        <v>13</v>
      </c>
      <c r="J16" s="79" t="s">
        <v>29</v>
      </c>
      <c r="K16" s="79" t="s">
        <v>32</v>
      </c>
      <c r="L16" s="90"/>
      <c r="M16" s="108"/>
      <c r="N16" s="109"/>
      <c r="O16" s="107"/>
    </row>
    <row r="17" spans="1:15" x14ac:dyDescent="0.2">
      <c r="A17" s="45"/>
      <c r="B17" s="43">
        <v>14</v>
      </c>
      <c r="C17" s="44">
        <v>5.7</v>
      </c>
      <c r="D17" s="44">
        <v>4.5</v>
      </c>
      <c r="H17" s="76"/>
      <c r="I17" s="75">
        <v>14</v>
      </c>
      <c r="J17" s="79" t="s">
        <v>29</v>
      </c>
      <c r="K17" s="79" t="s">
        <v>32</v>
      </c>
      <c r="L17" s="90"/>
      <c r="M17" s="108"/>
      <c r="N17" s="109"/>
      <c r="O17" s="107"/>
    </row>
    <row r="18" spans="1:15" x14ac:dyDescent="0.2">
      <c r="A18" s="45"/>
      <c r="B18" s="43">
        <v>15</v>
      </c>
      <c r="C18" s="44">
        <v>5.0999999999999996</v>
      </c>
      <c r="D18" s="44">
        <v>1.6</v>
      </c>
      <c r="H18" s="76"/>
      <c r="I18" s="75">
        <v>15</v>
      </c>
      <c r="J18" s="79" t="s">
        <v>33</v>
      </c>
      <c r="K18" s="79" t="s">
        <v>34</v>
      </c>
      <c r="L18" s="90"/>
      <c r="M18" s="108"/>
      <c r="N18" s="109"/>
      <c r="O18" s="107"/>
    </row>
    <row r="19" spans="1:15" x14ac:dyDescent="0.2">
      <c r="A19" s="45"/>
      <c r="B19" s="43">
        <v>16</v>
      </c>
      <c r="C19" s="44">
        <v>4.4000000000000004</v>
      </c>
      <c r="D19" s="44">
        <v>3</v>
      </c>
      <c r="H19" s="76"/>
      <c r="I19" s="75">
        <v>16</v>
      </c>
      <c r="J19" s="79" t="s">
        <v>29</v>
      </c>
      <c r="K19" s="79" t="s">
        <v>34</v>
      </c>
      <c r="L19" s="90"/>
      <c r="M19" s="108"/>
      <c r="N19" s="109"/>
      <c r="O19" s="107"/>
    </row>
    <row r="20" spans="1:15" x14ac:dyDescent="0.2">
      <c r="A20" s="45"/>
      <c r="B20" s="43">
        <v>17</v>
      </c>
      <c r="C20" s="44">
        <v>4</v>
      </c>
      <c r="D20" s="44">
        <v>7.8</v>
      </c>
      <c r="H20" s="76"/>
      <c r="I20" s="75">
        <v>17</v>
      </c>
      <c r="J20" s="79" t="s">
        <v>35</v>
      </c>
      <c r="K20" s="79" t="s">
        <v>25</v>
      </c>
      <c r="L20" s="90"/>
      <c r="M20" s="108"/>
      <c r="N20" s="109"/>
      <c r="O20" s="107"/>
    </row>
    <row r="21" spans="1:15" x14ac:dyDescent="0.2">
      <c r="A21" s="45"/>
      <c r="B21" s="43">
        <v>18</v>
      </c>
      <c r="C21" s="44">
        <v>4.0999999999999996</v>
      </c>
      <c r="D21" s="44">
        <v>2.2999999999999998</v>
      </c>
      <c r="H21" s="76"/>
      <c r="I21" s="75">
        <v>18</v>
      </c>
      <c r="J21" s="79" t="s">
        <v>36</v>
      </c>
      <c r="K21" s="79" t="s">
        <v>25</v>
      </c>
      <c r="L21" s="90"/>
      <c r="M21" s="108"/>
      <c r="N21" s="109"/>
      <c r="O21" s="107"/>
    </row>
    <row r="22" spans="1:15" x14ac:dyDescent="0.2">
      <c r="A22" s="45"/>
      <c r="B22" s="43">
        <v>19</v>
      </c>
      <c r="C22" s="44">
        <v>6.2</v>
      </c>
      <c r="D22" s="44">
        <v>2.2999999999999998</v>
      </c>
      <c r="H22" s="76"/>
      <c r="I22" s="75">
        <v>19</v>
      </c>
      <c r="J22" s="79" t="s">
        <v>37</v>
      </c>
      <c r="K22" s="79" t="s">
        <v>30</v>
      </c>
      <c r="L22" s="90"/>
      <c r="M22" s="108"/>
      <c r="N22" s="109"/>
      <c r="O22" s="107"/>
    </row>
    <row r="23" spans="1:15" x14ac:dyDescent="0.2">
      <c r="A23" s="45"/>
      <c r="B23" s="43">
        <v>20</v>
      </c>
      <c r="C23" s="44">
        <v>8.1</v>
      </c>
      <c r="D23" s="44">
        <v>4.0999999999999996</v>
      </c>
      <c r="H23" s="76"/>
      <c r="I23" s="75">
        <v>20</v>
      </c>
      <c r="J23" s="79" t="s">
        <v>38</v>
      </c>
      <c r="K23" s="79" t="s">
        <v>30</v>
      </c>
      <c r="L23" s="90"/>
      <c r="M23" s="108"/>
      <c r="N23" s="109"/>
      <c r="O23" s="107"/>
    </row>
    <row r="24" spans="1:15" x14ac:dyDescent="0.2">
      <c r="A24" s="45"/>
      <c r="B24" s="43">
        <v>21</v>
      </c>
      <c r="C24" s="44">
        <v>9.3000000000000007</v>
      </c>
      <c r="D24" s="44">
        <v>2.4</v>
      </c>
      <c r="H24" s="76"/>
      <c r="I24" s="75">
        <v>21</v>
      </c>
      <c r="J24" s="79" t="s">
        <v>37</v>
      </c>
      <c r="K24" s="79" t="s">
        <v>39</v>
      </c>
      <c r="L24" s="90"/>
      <c r="M24" s="108"/>
      <c r="N24" s="109"/>
      <c r="O24" s="107"/>
    </row>
    <row r="25" spans="1:15" x14ac:dyDescent="0.2">
      <c r="A25" s="45"/>
      <c r="B25" s="43">
        <v>22</v>
      </c>
      <c r="C25" s="44">
        <v>8.9</v>
      </c>
      <c r="D25" s="44">
        <v>2.9</v>
      </c>
      <c r="H25" s="76"/>
      <c r="I25" s="75">
        <v>22</v>
      </c>
      <c r="J25" s="79" t="s">
        <v>37</v>
      </c>
      <c r="K25" s="79" t="s">
        <v>40</v>
      </c>
      <c r="L25" s="90"/>
      <c r="M25" s="108"/>
      <c r="N25" s="109"/>
      <c r="O25" s="107"/>
    </row>
    <row r="26" spans="1:15" x14ac:dyDescent="0.2">
      <c r="A26" s="45"/>
      <c r="B26" s="43">
        <v>23</v>
      </c>
      <c r="C26" s="44">
        <v>6.4</v>
      </c>
      <c r="D26" s="44">
        <v>18.399999999999999</v>
      </c>
      <c r="H26" s="76"/>
      <c r="I26" s="75">
        <v>23</v>
      </c>
      <c r="J26" s="79" t="s">
        <v>41</v>
      </c>
      <c r="K26" s="79" t="s">
        <v>42</v>
      </c>
      <c r="L26" s="90"/>
      <c r="M26" s="108"/>
      <c r="N26" s="109"/>
      <c r="O26" s="107"/>
    </row>
    <row r="27" spans="1:15" x14ac:dyDescent="0.2">
      <c r="A27" s="45"/>
      <c r="B27" s="43">
        <v>24</v>
      </c>
      <c r="C27" s="44">
        <v>3.6</v>
      </c>
      <c r="D27" s="44">
        <v>17.2</v>
      </c>
      <c r="H27" s="76"/>
      <c r="I27" s="75">
        <v>24</v>
      </c>
      <c r="J27" s="79" t="s">
        <v>23</v>
      </c>
      <c r="K27" s="79" t="s">
        <v>30</v>
      </c>
      <c r="L27" s="90"/>
      <c r="M27" s="108"/>
      <c r="N27" s="109"/>
      <c r="O27" s="107"/>
    </row>
    <row r="28" spans="1:15" ht="8.4499999999999993" customHeight="1" x14ac:dyDescent="0.2">
      <c r="A28" s="45"/>
      <c r="B28" s="43"/>
      <c r="C28" s="44"/>
      <c r="D28" s="44"/>
      <c r="H28" s="76"/>
      <c r="I28" s="75"/>
      <c r="J28" s="79"/>
      <c r="K28" s="79"/>
      <c r="L28" s="90"/>
      <c r="M28" s="108"/>
      <c r="N28" s="109"/>
      <c r="O28" s="107"/>
    </row>
    <row r="29" spans="1:15" x14ac:dyDescent="0.2">
      <c r="A29" s="42">
        <v>40424</v>
      </c>
      <c r="B29" s="43">
        <v>1</v>
      </c>
      <c r="C29" s="44">
        <v>5.4</v>
      </c>
      <c r="D29" s="44">
        <v>4.7</v>
      </c>
      <c r="H29" s="74">
        <v>40424</v>
      </c>
      <c r="I29" s="75">
        <v>1</v>
      </c>
      <c r="J29" s="79" t="s">
        <v>23</v>
      </c>
      <c r="K29" s="79" t="s">
        <v>23</v>
      </c>
      <c r="L29" s="90"/>
      <c r="M29" s="108"/>
      <c r="N29" s="109"/>
      <c r="O29" s="107"/>
    </row>
    <row r="30" spans="1:15" x14ac:dyDescent="0.2">
      <c r="A30" s="45"/>
      <c r="B30" s="43">
        <v>2</v>
      </c>
      <c r="C30" s="44">
        <v>4.3</v>
      </c>
      <c r="D30" s="44">
        <v>0.8</v>
      </c>
      <c r="H30" s="76"/>
      <c r="I30" s="75">
        <v>2</v>
      </c>
      <c r="J30" s="79" t="s">
        <v>43</v>
      </c>
      <c r="K30" s="79" t="s">
        <v>43</v>
      </c>
      <c r="L30" s="90"/>
      <c r="M30" s="108"/>
      <c r="N30" s="109"/>
      <c r="O30" s="107"/>
    </row>
    <row r="31" spans="1:15" x14ac:dyDescent="0.2">
      <c r="A31" s="45"/>
      <c r="B31" s="43">
        <v>3</v>
      </c>
      <c r="C31" s="44">
        <v>2.9</v>
      </c>
      <c r="D31" s="44">
        <v>0</v>
      </c>
      <c r="H31" s="76"/>
      <c r="I31" s="75">
        <v>3</v>
      </c>
      <c r="J31" s="79" t="s">
        <v>44</v>
      </c>
      <c r="K31" s="79" t="s">
        <v>44</v>
      </c>
      <c r="L31" s="90"/>
      <c r="M31" s="108"/>
      <c r="N31" s="109"/>
      <c r="O31" s="107"/>
    </row>
    <row r="32" spans="1:15" x14ac:dyDescent="0.2">
      <c r="A32" s="45"/>
      <c r="B32" s="43">
        <v>4</v>
      </c>
      <c r="C32" s="44">
        <v>1.8</v>
      </c>
      <c r="D32" s="44">
        <v>0</v>
      </c>
      <c r="H32" s="76"/>
      <c r="I32" s="75">
        <v>4</v>
      </c>
      <c r="J32" s="79" t="s">
        <v>45</v>
      </c>
      <c r="K32" s="79" t="s">
        <v>45</v>
      </c>
      <c r="L32" s="90"/>
      <c r="M32" s="108"/>
      <c r="N32" s="109"/>
      <c r="O32" s="107"/>
    </row>
    <row r="33" spans="1:15" x14ac:dyDescent="0.2">
      <c r="A33" s="45"/>
      <c r="B33" s="43">
        <v>5</v>
      </c>
      <c r="C33" s="44">
        <v>0.8</v>
      </c>
      <c r="D33" s="44">
        <v>0</v>
      </c>
      <c r="H33" s="76"/>
      <c r="I33" s="75">
        <v>5</v>
      </c>
      <c r="J33" s="79" t="s">
        <v>23</v>
      </c>
      <c r="K33" s="79" t="s">
        <v>30</v>
      </c>
      <c r="L33" s="90"/>
      <c r="M33" s="108"/>
      <c r="N33" s="109"/>
      <c r="O33" s="107"/>
    </row>
    <row r="34" spans="1:15" x14ac:dyDescent="0.2">
      <c r="A34" s="45"/>
      <c r="B34" s="43">
        <v>6</v>
      </c>
      <c r="C34" s="44">
        <v>0.2</v>
      </c>
      <c r="D34" s="44">
        <v>0</v>
      </c>
      <c r="H34" s="76"/>
      <c r="I34" s="75">
        <v>6</v>
      </c>
      <c r="J34" s="79" t="s">
        <v>46</v>
      </c>
      <c r="K34" s="79" t="s">
        <v>30</v>
      </c>
      <c r="L34" s="90"/>
      <c r="M34" s="108"/>
      <c r="N34" s="109"/>
      <c r="O34" s="107"/>
    </row>
    <row r="35" spans="1:15" x14ac:dyDescent="0.2">
      <c r="A35" s="45"/>
      <c r="B35" s="43">
        <v>7</v>
      </c>
      <c r="C35" s="44">
        <v>0.1</v>
      </c>
      <c r="D35" s="44">
        <v>0</v>
      </c>
      <c r="H35" s="76"/>
      <c r="I35" s="75">
        <v>7</v>
      </c>
      <c r="J35" s="79" t="s">
        <v>47</v>
      </c>
      <c r="K35" s="79" t="s">
        <v>48</v>
      </c>
      <c r="L35" s="90"/>
      <c r="M35" s="108"/>
      <c r="N35" s="109"/>
      <c r="O35" s="107"/>
    </row>
    <row r="36" spans="1:15" x14ac:dyDescent="0.2">
      <c r="A36" s="45"/>
      <c r="B36" s="43">
        <v>8</v>
      </c>
      <c r="C36" s="44">
        <v>0</v>
      </c>
      <c r="D36" s="44">
        <v>0</v>
      </c>
      <c r="H36" s="76"/>
      <c r="I36" s="75">
        <v>8</v>
      </c>
      <c r="J36" s="79" t="s">
        <v>47</v>
      </c>
      <c r="K36" s="79" t="s">
        <v>49</v>
      </c>
      <c r="L36" s="90"/>
      <c r="M36" s="108"/>
      <c r="N36" s="109"/>
      <c r="O36" s="107"/>
    </row>
    <row r="37" spans="1:15" x14ac:dyDescent="0.2">
      <c r="A37" s="45"/>
      <c r="B37" s="43">
        <v>9</v>
      </c>
      <c r="C37" s="44">
        <v>0</v>
      </c>
      <c r="D37" s="44">
        <v>0</v>
      </c>
      <c r="H37" s="76"/>
      <c r="I37" s="75">
        <v>9</v>
      </c>
      <c r="J37" s="79" t="s">
        <v>47</v>
      </c>
      <c r="K37" s="79" t="s">
        <v>50</v>
      </c>
      <c r="L37" s="90"/>
      <c r="M37" s="108"/>
      <c r="N37" s="109"/>
      <c r="O37" s="107"/>
    </row>
    <row r="38" spans="1:15" x14ac:dyDescent="0.2">
      <c r="A38" s="45"/>
      <c r="B38" s="43">
        <v>10</v>
      </c>
      <c r="C38" s="44">
        <v>0.9</v>
      </c>
      <c r="D38" s="44">
        <v>0.4</v>
      </c>
      <c r="H38" s="76"/>
      <c r="I38" s="75">
        <v>10</v>
      </c>
      <c r="J38" s="79" t="s">
        <v>47</v>
      </c>
      <c r="K38" s="79" t="s">
        <v>51</v>
      </c>
      <c r="L38" s="90"/>
      <c r="M38" s="108"/>
      <c r="N38" s="109"/>
      <c r="O38" s="107"/>
    </row>
    <row r="39" spans="1:15" x14ac:dyDescent="0.2">
      <c r="A39" s="45"/>
      <c r="B39" s="43">
        <v>11</v>
      </c>
      <c r="C39" s="44">
        <v>2.2999999999999998</v>
      </c>
      <c r="D39" s="44">
        <v>1.8</v>
      </c>
      <c r="H39" s="76"/>
      <c r="I39" s="75">
        <v>11</v>
      </c>
      <c r="J39" s="79" t="s">
        <v>52</v>
      </c>
      <c r="K39" s="79" t="s">
        <v>52</v>
      </c>
      <c r="L39" s="90"/>
      <c r="M39" s="108"/>
      <c r="N39" s="109"/>
      <c r="O39" s="107"/>
    </row>
    <row r="40" spans="1:15" x14ac:dyDescent="0.2">
      <c r="A40" s="45"/>
      <c r="B40" s="43">
        <v>12</v>
      </c>
      <c r="C40" s="44">
        <v>3.5</v>
      </c>
      <c r="D40" s="44">
        <v>3.8</v>
      </c>
      <c r="H40" s="76"/>
      <c r="I40" s="75">
        <v>12</v>
      </c>
      <c r="J40" s="79" t="s">
        <v>53</v>
      </c>
      <c r="K40" s="79" t="s">
        <v>53</v>
      </c>
      <c r="L40" s="90"/>
      <c r="M40" s="108"/>
      <c r="N40" s="109"/>
      <c r="O40" s="107"/>
    </row>
    <row r="41" spans="1:15" x14ac:dyDescent="0.2">
      <c r="A41" s="45"/>
      <c r="B41" s="43">
        <v>13</v>
      </c>
      <c r="C41" s="44">
        <v>3.8</v>
      </c>
      <c r="D41" s="44">
        <v>3.8</v>
      </c>
      <c r="H41" s="76"/>
      <c r="I41" s="75">
        <v>13</v>
      </c>
      <c r="J41" s="79" t="s">
        <v>54</v>
      </c>
      <c r="K41" s="79" t="s">
        <v>30</v>
      </c>
      <c r="L41" s="90"/>
      <c r="M41" s="108"/>
      <c r="N41" s="109"/>
      <c r="O41" s="107"/>
    </row>
    <row r="42" spans="1:15" x14ac:dyDescent="0.2">
      <c r="A42" s="45"/>
      <c r="B42" s="43">
        <v>14</v>
      </c>
      <c r="C42" s="44">
        <v>3.9</v>
      </c>
      <c r="D42" s="44">
        <v>3</v>
      </c>
      <c r="H42" s="76"/>
      <c r="I42" s="75">
        <v>14</v>
      </c>
      <c r="J42" s="79" t="s">
        <v>54</v>
      </c>
      <c r="K42" s="79" t="s">
        <v>55</v>
      </c>
      <c r="L42" s="90"/>
      <c r="M42" s="108"/>
      <c r="N42" s="109"/>
      <c r="O42" s="107"/>
    </row>
    <row r="43" spans="1:15" x14ac:dyDescent="0.2">
      <c r="A43" s="45"/>
      <c r="B43" s="43">
        <v>15</v>
      </c>
      <c r="C43" s="44">
        <v>3.7</v>
      </c>
      <c r="D43" s="44">
        <v>3</v>
      </c>
      <c r="H43" s="76"/>
      <c r="I43" s="75">
        <v>15</v>
      </c>
      <c r="J43" s="79" t="s">
        <v>56</v>
      </c>
      <c r="K43" s="79" t="s">
        <v>57</v>
      </c>
      <c r="L43" s="90"/>
      <c r="M43" s="108"/>
      <c r="N43" s="109"/>
      <c r="O43" s="107"/>
    </row>
    <row r="44" spans="1:15" x14ac:dyDescent="0.2">
      <c r="A44" s="45"/>
      <c r="B44" s="43">
        <v>16</v>
      </c>
      <c r="C44" s="44">
        <v>3.4</v>
      </c>
      <c r="D44" s="44">
        <v>4.4000000000000004</v>
      </c>
      <c r="H44" s="76"/>
      <c r="I44" s="75">
        <v>16</v>
      </c>
      <c r="J44" s="79" t="s">
        <v>58</v>
      </c>
      <c r="K44" s="79" t="s">
        <v>30</v>
      </c>
      <c r="L44" s="90"/>
      <c r="M44" s="108"/>
      <c r="N44" s="109"/>
      <c r="O44" s="107"/>
    </row>
    <row r="45" spans="1:15" x14ac:dyDescent="0.2">
      <c r="A45" s="45"/>
      <c r="B45" s="43">
        <v>17</v>
      </c>
      <c r="C45" s="44">
        <v>3.1</v>
      </c>
      <c r="D45" s="44">
        <v>4.9000000000000004</v>
      </c>
      <c r="H45" s="76"/>
      <c r="I45" s="75">
        <v>17</v>
      </c>
      <c r="J45" s="79" t="s">
        <v>59</v>
      </c>
      <c r="K45" s="79" t="s">
        <v>30</v>
      </c>
      <c r="L45" s="90"/>
      <c r="M45" s="108"/>
      <c r="N45" s="109"/>
      <c r="O45" s="107"/>
    </row>
    <row r="46" spans="1:15" x14ac:dyDescent="0.2">
      <c r="A46" s="45"/>
      <c r="B46" s="43">
        <v>18</v>
      </c>
      <c r="C46" s="44">
        <v>2.6</v>
      </c>
      <c r="D46" s="44">
        <v>3.9</v>
      </c>
      <c r="H46" s="76"/>
      <c r="I46" s="75">
        <v>18</v>
      </c>
      <c r="J46" s="79" t="s">
        <v>60</v>
      </c>
      <c r="K46" s="79" t="s">
        <v>30</v>
      </c>
      <c r="L46" s="90"/>
      <c r="M46" s="108"/>
      <c r="N46" s="109"/>
      <c r="O46" s="107"/>
    </row>
    <row r="47" spans="1:15" x14ac:dyDescent="0.2">
      <c r="A47" s="45"/>
      <c r="B47" s="43">
        <v>19</v>
      </c>
      <c r="C47" s="44">
        <v>2</v>
      </c>
      <c r="D47" s="44">
        <v>3.5</v>
      </c>
      <c r="H47" s="76"/>
      <c r="I47" s="75">
        <v>19</v>
      </c>
      <c r="J47" s="79" t="s">
        <v>61</v>
      </c>
      <c r="K47" s="79" t="s">
        <v>62</v>
      </c>
      <c r="L47" s="90"/>
      <c r="M47" s="108"/>
      <c r="N47" s="109"/>
      <c r="O47" s="107"/>
    </row>
    <row r="48" spans="1:15" x14ac:dyDescent="0.2">
      <c r="A48" s="45"/>
      <c r="B48" s="43">
        <v>20</v>
      </c>
      <c r="C48" s="44">
        <v>1.5</v>
      </c>
      <c r="D48" s="44">
        <v>0.3</v>
      </c>
      <c r="H48" s="76"/>
      <c r="I48" s="75">
        <v>20</v>
      </c>
      <c r="J48" s="79" t="s">
        <v>60</v>
      </c>
      <c r="K48" s="79" t="s">
        <v>63</v>
      </c>
      <c r="L48" s="90"/>
      <c r="M48" s="108"/>
      <c r="N48" s="109"/>
      <c r="O48" s="107"/>
    </row>
    <row r="49" spans="1:15" x14ac:dyDescent="0.2">
      <c r="A49" s="45"/>
      <c r="B49" s="43">
        <v>21</v>
      </c>
      <c r="C49" s="44">
        <v>1</v>
      </c>
      <c r="D49" s="44">
        <v>1.8</v>
      </c>
      <c r="H49" s="76"/>
      <c r="I49" s="75">
        <v>21</v>
      </c>
      <c r="J49" s="79" t="s">
        <v>64</v>
      </c>
      <c r="K49" s="79" t="s">
        <v>65</v>
      </c>
      <c r="L49" s="90"/>
      <c r="M49" s="108"/>
      <c r="N49" s="109"/>
      <c r="O49" s="107"/>
    </row>
    <row r="50" spans="1:15" x14ac:dyDescent="0.2">
      <c r="A50" s="45"/>
      <c r="B50" s="43">
        <v>22</v>
      </c>
      <c r="C50" s="44">
        <v>0.8</v>
      </c>
      <c r="D50" s="44">
        <v>0.4</v>
      </c>
      <c r="H50" s="76"/>
      <c r="I50" s="75">
        <v>22</v>
      </c>
      <c r="J50" s="79" t="s">
        <v>66</v>
      </c>
      <c r="K50" s="79" t="s">
        <v>67</v>
      </c>
      <c r="L50" s="90"/>
      <c r="M50" s="108"/>
      <c r="N50" s="109"/>
      <c r="O50" s="107"/>
    </row>
    <row r="51" spans="1:15" x14ac:dyDescent="0.2">
      <c r="A51" s="45"/>
      <c r="B51" s="43">
        <v>23</v>
      </c>
      <c r="C51" s="44">
        <v>0.5</v>
      </c>
      <c r="D51" s="44">
        <v>0</v>
      </c>
      <c r="H51" s="76"/>
      <c r="I51" s="75">
        <v>23</v>
      </c>
      <c r="J51" s="79" t="s">
        <v>23</v>
      </c>
      <c r="K51" s="79" t="s">
        <v>23</v>
      </c>
      <c r="L51" s="90"/>
      <c r="M51" s="108"/>
      <c r="N51" s="109"/>
      <c r="O51" s="107"/>
    </row>
    <row r="52" spans="1:15" ht="13.5" thickBot="1" x14ac:dyDescent="0.25">
      <c r="A52" s="46"/>
      <c r="B52" s="47">
        <v>24</v>
      </c>
      <c r="C52" s="48">
        <v>0.3</v>
      </c>
      <c r="D52" s="48">
        <v>0</v>
      </c>
      <c r="H52" s="77"/>
      <c r="I52" s="78">
        <v>24</v>
      </c>
      <c r="J52" s="81" t="s">
        <v>23</v>
      </c>
      <c r="K52" s="81" t="s">
        <v>24</v>
      </c>
      <c r="L52" s="90"/>
      <c r="M52" s="108"/>
      <c r="N52" s="109"/>
      <c r="O52" s="107"/>
    </row>
    <row r="53" spans="1:15" ht="13.5" thickTop="1" x14ac:dyDescent="0.2">
      <c r="H53" s="73"/>
      <c r="I53" s="73"/>
      <c r="J53" s="73"/>
      <c r="K53" s="73"/>
      <c r="L53" s="90"/>
      <c r="M53" s="108"/>
      <c r="N53" s="109"/>
      <c r="O53" s="107"/>
    </row>
    <row r="54" spans="1:15" ht="15.75" x14ac:dyDescent="0.2">
      <c r="A54" s="39"/>
      <c r="L54" s="79"/>
      <c r="M54" s="109"/>
      <c r="N54" s="109"/>
      <c r="O54" s="107"/>
    </row>
  </sheetData>
  <mergeCells count="6">
    <mergeCell ref="H1:M1"/>
    <mergeCell ref="H2:H3"/>
    <mergeCell ref="I2:I3"/>
    <mergeCell ref="A2:A3"/>
    <mergeCell ref="B2:B3"/>
    <mergeCell ref="A1:F1"/>
  </mergeCells>
  <pageMargins left="0.7" right="0.7" top="0.75" bottom="0.75" header="0.3" footer="0.3"/>
  <pageSetup paperSize="9" orientation="portrait"/>
  <ignoredErrors>
    <ignoredError sqref="J4:K5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0"/>
  <sheetViews>
    <sheetView zoomScale="168" workbookViewId="0">
      <selection activeCell="A5" sqref="A5"/>
    </sheetView>
  </sheetViews>
  <sheetFormatPr defaultColWidth="11.42578125" defaultRowHeight="12.75" x14ac:dyDescent="0.2"/>
  <cols>
    <col min="1" max="1" width="38.7109375" customWidth="1"/>
    <col min="2" max="256" width="8.85546875" customWidth="1"/>
  </cols>
  <sheetData>
    <row r="1" spans="1:11" ht="15" thickBot="1" x14ac:dyDescent="0.25">
      <c r="A1" s="167" t="s">
        <v>156</v>
      </c>
      <c r="B1" s="167"/>
      <c r="C1" s="167"/>
      <c r="D1" s="167"/>
      <c r="E1" s="167"/>
      <c r="F1" s="167"/>
      <c r="G1" s="167"/>
      <c r="H1" s="167"/>
      <c r="I1" s="167"/>
    </row>
    <row r="2" spans="1:11" x14ac:dyDescent="0.2">
      <c r="A2" s="49" t="s">
        <v>145</v>
      </c>
      <c r="B2" s="168" t="s">
        <v>12</v>
      </c>
      <c r="C2" s="169"/>
      <c r="D2" s="50"/>
      <c r="E2" s="50"/>
      <c r="F2" s="50"/>
      <c r="G2" s="50"/>
      <c r="H2" s="50"/>
      <c r="I2" s="51"/>
    </row>
    <row r="3" spans="1:11" x14ac:dyDescent="0.2">
      <c r="A3" s="52" t="s">
        <v>146</v>
      </c>
      <c r="B3" s="170" t="s">
        <v>13</v>
      </c>
      <c r="C3" s="171"/>
      <c r="D3" s="22"/>
      <c r="E3" s="22"/>
      <c r="F3" s="22"/>
      <c r="G3" s="22"/>
      <c r="H3" s="22"/>
      <c r="I3" s="84"/>
    </row>
    <row r="4" spans="1:11" x14ac:dyDescent="0.2">
      <c r="A4" s="52" t="s">
        <v>147</v>
      </c>
      <c r="B4" s="170">
        <v>1272</v>
      </c>
      <c r="C4" s="171"/>
      <c r="D4" s="22"/>
      <c r="E4" s="22"/>
      <c r="F4" s="22"/>
      <c r="G4" s="22"/>
      <c r="H4" s="22"/>
      <c r="I4" s="53"/>
    </row>
    <row r="5" spans="1:11" x14ac:dyDescent="0.2">
      <c r="A5" s="52" t="s">
        <v>148</v>
      </c>
      <c r="B5" s="170">
        <v>351</v>
      </c>
      <c r="C5" s="171"/>
      <c r="D5" s="22"/>
      <c r="E5" s="22"/>
      <c r="F5" s="22"/>
      <c r="G5" s="22"/>
      <c r="H5" s="22"/>
      <c r="I5" s="54"/>
    </row>
    <row r="6" spans="1:11" ht="13.5" thickBot="1" x14ac:dyDescent="0.25">
      <c r="A6" s="94" t="s">
        <v>149</v>
      </c>
      <c r="B6" s="172">
        <v>0.27594339622641512</v>
      </c>
      <c r="C6" s="173"/>
      <c r="D6" s="95"/>
      <c r="E6" s="95"/>
      <c r="F6" s="95"/>
      <c r="G6" s="95"/>
      <c r="H6" s="95"/>
      <c r="I6" s="96"/>
    </row>
    <row r="7" spans="1:11" x14ac:dyDescent="0.2">
      <c r="A7" s="56"/>
      <c r="B7" s="55" t="s">
        <v>14</v>
      </c>
      <c r="C7" s="92" t="s">
        <v>15</v>
      </c>
      <c r="D7" s="92" t="s">
        <v>16</v>
      </c>
      <c r="E7" s="92" t="s">
        <v>17</v>
      </c>
      <c r="F7" s="92" t="s">
        <v>18</v>
      </c>
      <c r="G7" s="92" t="s">
        <v>19</v>
      </c>
      <c r="H7" s="92" t="s">
        <v>20</v>
      </c>
      <c r="I7" s="93" t="s">
        <v>21</v>
      </c>
    </row>
    <row r="8" spans="1:11" x14ac:dyDescent="0.2">
      <c r="A8" s="56" t="s">
        <v>151</v>
      </c>
      <c r="B8" s="97">
        <v>2460.8530000000019</v>
      </c>
      <c r="C8" s="57">
        <v>3402.29</v>
      </c>
      <c r="D8" s="57">
        <v>10872.866999999995</v>
      </c>
      <c r="E8" s="57">
        <v>3755.2769999999982</v>
      </c>
      <c r="F8" s="57">
        <v>2653.873</v>
      </c>
      <c r="G8" s="57">
        <v>1833.3219999999976</v>
      </c>
      <c r="H8" s="57">
        <v>5532.924999999992</v>
      </c>
      <c r="I8" s="58">
        <v>30511.406999999996</v>
      </c>
    </row>
    <row r="9" spans="1:11" x14ac:dyDescent="0.2">
      <c r="A9" s="56"/>
      <c r="B9" s="98"/>
      <c r="C9" s="59"/>
      <c r="D9" s="59"/>
      <c r="E9" s="59"/>
      <c r="F9" s="59"/>
      <c r="G9" s="59"/>
      <c r="H9" s="59"/>
      <c r="I9" s="60"/>
    </row>
    <row r="10" spans="1:11" x14ac:dyDescent="0.2">
      <c r="A10" s="56" t="s">
        <v>152</v>
      </c>
      <c r="B10" s="97">
        <v>1970.655</v>
      </c>
      <c r="C10" s="57">
        <v>2377.2539999999976</v>
      </c>
      <c r="D10" s="57">
        <v>5192.6740000000091</v>
      </c>
      <c r="E10" s="57">
        <v>2808.5580000000004</v>
      </c>
      <c r="F10" s="57">
        <v>1732.5050000000001</v>
      </c>
      <c r="G10" s="57">
        <v>1363.0360000000007</v>
      </c>
      <c r="H10" s="57">
        <v>2832.7370000000024</v>
      </c>
      <c r="I10" s="61">
        <v>13143.616999999998</v>
      </c>
    </row>
    <row r="11" spans="1:11" x14ac:dyDescent="0.2">
      <c r="A11" s="56" t="s">
        <v>153</v>
      </c>
      <c r="B11" s="99">
        <v>0.80080159196831202</v>
      </c>
      <c r="C11" s="62">
        <v>0.69872174329642533</v>
      </c>
      <c r="D11" s="62">
        <v>0.47758093610452623</v>
      </c>
      <c r="E11" s="62">
        <v>0.74789636024186812</v>
      </c>
      <c r="F11" s="62">
        <v>0.65282136711138905</v>
      </c>
      <c r="G11" s="62">
        <v>0.74347877786881</v>
      </c>
      <c r="H11" s="62">
        <v>0.51197820321078025</v>
      </c>
      <c r="I11" s="63">
        <v>0.43077715164036851</v>
      </c>
    </row>
    <row r="12" spans="1:11" x14ac:dyDescent="0.2">
      <c r="A12" s="56" t="s">
        <v>154</v>
      </c>
      <c r="B12" s="97">
        <v>-32079.077898347023</v>
      </c>
      <c r="C12" s="57">
        <v>-41015.961124380017</v>
      </c>
      <c r="D12" s="57">
        <v>-66041.943205811898</v>
      </c>
      <c r="E12" s="57">
        <v>-46299.456270633993</v>
      </c>
      <c r="F12" s="57">
        <v>-29780.308543700001</v>
      </c>
      <c r="G12" s="57">
        <v>-24186.97184014296</v>
      </c>
      <c r="H12" s="57">
        <v>-25157.858457809016</v>
      </c>
      <c r="I12" s="64">
        <v>-264561.57734082494</v>
      </c>
    </row>
    <row r="13" spans="1:11" x14ac:dyDescent="0.2">
      <c r="A13" s="65" t="s">
        <v>155</v>
      </c>
      <c r="B13" s="100">
        <v>-13.035755446728023</v>
      </c>
      <c r="C13" s="66">
        <v>-12.05539831242486</v>
      </c>
      <c r="D13" s="66">
        <v>-6.074013708234629</v>
      </c>
      <c r="E13" s="66">
        <v>-12.329172061244487</v>
      </c>
      <c r="F13" s="66">
        <v>-11.221452022647656</v>
      </c>
      <c r="G13" s="66">
        <v>-13.192975287561591</v>
      </c>
      <c r="H13" s="66">
        <v>-4.546936468108469</v>
      </c>
      <c r="I13" s="67">
        <v>-8.6709071574714649</v>
      </c>
      <c r="J13" s="88"/>
      <c r="K13" s="88"/>
    </row>
    <row r="14" spans="1:11" ht="13.5" thickBot="1" x14ac:dyDescent="0.25">
      <c r="A14" s="68"/>
      <c r="B14" s="101"/>
      <c r="C14" s="69"/>
      <c r="D14" s="69"/>
      <c r="E14" s="69"/>
      <c r="F14" s="69"/>
      <c r="G14" s="69"/>
      <c r="H14" s="69"/>
      <c r="I14" s="70"/>
    </row>
    <row r="15" spans="1:11" ht="16.350000000000001" customHeight="1" x14ac:dyDescent="0.2">
      <c r="A15" s="1" t="s">
        <v>150</v>
      </c>
      <c r="B15" s="71"/>
      <c r="C15" s="71"/>
      <c r="D15" s="71"/>
      <c r="E15" s="71"/>
      <c r="F15" s="71"/>
      <c r="G15" s="71"/>
      <c r="H15" s="71"/>
      <c r="I15" s="71"/>
    </row>
    <row r="20" spans="1:1" x14ac:dyDescent="0.2">
      <c r="A20" s="72" t="s">
        <v>7</v>
      </c>
    </row>
  </sheetData>
  <mergeCells count="6">
    <mergeCell ref="A1:I1"/>
    <mergeCell ref="B2:C2"/>
    <mergeCell ref="B4:C4"/>
    <mergeCell ref="B5:C5"/>
    <mergeCell ref="B6:C6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 1 Castelbuono</vt:lpstr>
      <vt:lpstr>Appendix 2 &amp; 3</vt:lpstr>
      <vt:lpstr>Appendix 4</vt:lpstr>
    </vt:vector>
  </TitlesOfParts>
  <Company>Iberdrola Generación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Gil Pérez</dc:creator>
  <cp:lastModifiedBy>Windows User</cp:lastModifiedBy>
  <cp:lastPrinted>2013-02-06T11:52:01Z</cp:lastPrinted>
  <dcterms:created xsi:type="dcterms:W3CDTF">2012-12-07T06:40:03Z</dcterms:created>
  <dcterms:modified xsi:type="dcterms:W3CDTF">2019-06-30T14:04:25Z</dcterms:modified>
</cp:coreProperties>
</file>