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isplay Ads" sheetId="1" r:id="rId4"/>
    <sheet state="hidden" name="__Solver__" sheetId="2" r:id="rId5"/>
    <sheet state="hidden" name="__Solver___conflict1168413385" sheetId="3" r:id="rId6"/>
    <sheet state="hidden" name="__OpenSolverCache__" sheetId="4" r:id="rId7"/>
    <sheet state="hidden" name="__OpenSolver__" sheetId="5" r:id="rId8"/>
  </sheets>
  <definedNames/>
  <calcPr/>
</workbook>
</file>

<file path=xl/sharedStrings.xml><?xml version="1.0" encoding="utf-8"?>
<sst xmlns="http://schemas.openxmlformats.org/spreadsheetml/2006/main" count="107" uniqueCount="52">
  <si>
    <t>Data</t>
  </si>
  <si>
    <t>Click-Through Rates (CTR)</t>
  </si>
  <si>
    <t>"hotel near MIT"</t>
  </si>
  <si>
    <t>"MIT hotel"</t>
  </si>
  <si>
    <t>"Cambridge hotel"</t>
  </si>
  <si>
    <t>Ad position</t>
  </si>
  <si>
    <t>Hotel</t>
  </si>
  <si>
    <t>Kendall</t>
  </si>
  <si>
    <t>Marriot</t>
  </si>
  <si>
    <t>Sonesta</t>
  </si>
  <si>
    <t>Marlowe</t>
  </si>
  <si>
    <t>Bids per query</t>
  </si>
  <si>
    <t>Daily budget</t>
  </si>
  <si>
    <t>Queries per day</t>
  </si>
  <si>
    <t>Quality scores (QS)</t>
  </si>
  <si>
    <t>Price per click (PPC)</t>
  </si>
  <si>
    <t>Partial budgets</t>
  </si>
  <si>
    <t>Decision variables</t>
  </si>
  <si>
    <t>Expected revenue per display</t>
  </si>
  <si>
    <t>Slate</t>
  </si>
  <si>
    <t>Kendall, Marriot</t>
  </si>
  <si>
    <t>Kendall, Sonesta</t>
  </si>
  <si>
    <t>Kendall, Marlowe</t>
  </si>
  <si>
    <t>Marriot, Kendall</t>
  </si>
  <si>
    <t>Marriot, Sonesta</t>
  </si>
  <si>
    <t>Marriot, Marlowe</t>
  </si>
  <si>
    <t>Sonesta, Kendall</t>
  </si>
  <si>
    <t>Sonesta, Marriot</t>
  </si>
  <si>
    <t>Sonesta, Marlowe</t>
  </si>
  <si>
    <t>Marlowe, Kendall</t>
  </si>
  <si>
    <t>Marlowe, Marriot</t>
  </si>
  <si>
    <t>Marlowe, Sonesta</t>
  </si>
  <si>
    <t>Objective function</t>
  </si>
  <si>
    <t>Revenue</t>
  </si>
  <si>
    <t>Constraints</t>
  </si>
  <si>
    <t>Value</t>
  </si>
  <si>
    <t>Limit</t>
  </si>
  <si>
    <t>Query constraint 1</t>
  </si>
  <si>
    <t>Query constraint 2</t>
  </si>
  <si>
    <t>Query constraint 3</t>
  </si>
  <si>
    <t>Kendall budget</t>
  </si>
  <si>
    <t>Marriot budget</t>
  </si>
  <si>
    <t>Sonesta budget</t>
  </si>
  <si>
    <t>Marlowe budget</t>
  </si>
  <si>
    <t>20236201689858821349</t>
  </si>
  <si>
    <t>cChIcxiu4HtxX0uS</t>
  </si>
  <si>
    <t>JBEv</t>
  </si>
  <si>
    <t>LxM=</t>
  </si>
  <si>
    <t>U21YeVNIWUQYeVhIdAFZY01zWHlSVFlZBXhEVGgcRX1TdF1lUEhFRBh4</t>
  </si>
  <si>
    <t>U21YeVNIWUQYeVhIdAFZY01zWHlQVFlZBXhEVGgcRX1TdF1lUEhFRBh4</t>
  </si>
  <si>
    <t>UnA=</t>
  </si>
  <si>
    <t>UHI=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</si>
</sst>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sz val="9.0"/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2DBBAA"/>
        <bgColor rgb="FF2DBBAA"/>
      </patternFill>
    </fill>
  </fills>
  <borders count="1">
    <border/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readingOrder="0"/>
    </xf>
    <xf borderId="0" fillId="2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2" numFmtId="1" xfId="0" applyFont="1" applyNumberFormat="1"/>
    <xf borderId="0" fillId="0" fontId="2" numFmtId="3" xfId="0" applyAlignment="1" applyFont="1" applyNumberFormat="1">
      <alignment readingOrder="0"/>
    </xf>
    <xf borderId="0" fillId="0" fontId="3" numFmtId="0" xfId="0" applyAlignment="1" applyFont="1">
      <alignment readingOrder="0"/>
    </xf>
    <xf borderId="0" fillId="0" fontId="2" numFmtId="1" xfId="0" applyAlignment="1" applyFont="1" applyNumberFormat="1">
      <alignment readingOrder="0"/>
    </xf>
    <xf borderId="0" fillId="0" fontId="2" numFmtId="2" xfId="0" applyAlignment="1" applyFont="1" applyNumberFormat="1">
      <alignment readingOrder="0"/>
    </xf>
    <xf borderId="0" fillId="0" fontId="2" numFmtId="2" xfId="0" applyFont="1" applyNumberFormat="1"/>
    <xf borderId="0" fillId="0" fontId="2" numFmtId="0" xfId="0" applyAlignment="1" applyFont="1">
      <alignment horizontal="right" readingOrder="0"/>
    </xf>
    <xf borderId="0" fillId="0" fontId="1" numFmtId="0" xfId="0" applyFont="1"/>
    <xf borderId="0" fillId="0" fontId="2" numFmtId="0" xfId="0" applyFont="1"/>
    <xf quotePrefix="1" borderId="0" fillId="0" fontId="2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75"/>
    <col customWidth="1" min="3" max="16" width="5.0"/>
    <col customWidth="1" min="17" max="17" width="15.13"/>
    <col customWidth="1" min="18" max="20" width="19.63"/>
  </cols>
  <sheetData>
    <row r="1">
      <c r="A1" s="1" t="s">
        <v>0</v>
      </c>
      <c r="Q1" s="2"/>
      <c r="R1" s="2"/>
      <c r="S1" s="2"/>
      <c r="T1" s="2"/>
    </row>
    <row r="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3"/>
      <c r="R2" s="3"/>
      <c r="S2" s="3"/>
      <c r="T2" s="3"/>
    </row>
    <row r="3">
      <c r="A3" s="2"/>
      <c r="B3" s="2"/>
      <c r="C3" s="1" t="s">
        <v>1</v>
      </c>
      <c r="Q3" s="3"/>
      <c r="R3" s="3"/>
      <c r="S3" s="3"/>
      <c r="T3" s="3"/>
    </row>
    <row r="4">
      <c r="A4" s="2"/>
      <c r="B4" s="2"/>
      <c r="C4" s="1" t="s">
        <v>2</v>
      </c>
      <c r="H4" s="1" t="s">
        <v>3</v>
      </c>
      <c r="L4" s="3"/>
      <c r="M4" s="1" t="s">
        <v>4</v>
      </c>
      <c r="Q4" s="3"/>
      <c r="R4" s="3"/>
      <c r="S4" s="3"/>
      <c r="T4" s="3"/>
    </row>
    <row r="5">
      <c r="A5" s="2"/>
      <c r="B5" s="2"/>
      <c r="C5" s="1" t="s">
        <v>5</v>
      </c>
      <c r="H5" s="1" t="s">
        <v>5</v>
      </c>
      <c r="L5" s="3"/>
      <c r="M5" s="1" t="s">
        <v>5</v>
      </c>
      <c r="Q5" s="3"/>
      <c r="R5" s="3"/>
      <c r="S5" s="3"/>
      <c r="T5" s="3"/>
    </row>
    <row r="6">
      <c r="A6" s="4" t="s">
        <v>6</v>
      </c>
      <c r="B6" s="2"/>
      <c r="C6" s="1">
        <v>1.0</v>
      </c>
      <c r="D6" s="1">
        <v>2.0</v>
      </c>
      <c r="E6" s="1">
        <v>3.0</v>
      </c>
      <c r="F6" s="1">
        <v>4.0</v>
      </c>
      <c r="H6" s="1">
        <v>1.0</v>
      </c>
      <c r="I6" s="1">
        <v>2.0</v>
      </c>
      <c r="J6" s="1">
        <v>3.0</v>
      </c>
      <c r="K6" s="1">
        <v>4.0</v>
      </c>
      <c r="L6" s="3"/>
      <c r="M6" s="1">
        <v>1.0</v>
      </c>
      <c r="N6" s="1">
        <v>2.0</v>
      </c>
      <c r="O6" s="1">
        <v>3.0</v>
      </c>
      <c r="P6" s="1">
        <v>4.0</v>
      </c>
      <c r="Q6" s="3"/>
      <c r="R6" s="3"/>
      <c r="S6" s="3"/>
      <c r="T6" s="3"/>
    </row>
    <row r="7">
      <c r="A7" s="5" t="s">
        <v>7</v>
      </c>
      <c r="B7" s="6"/>
      <c r="C7" s="6">
        <v>0.097</v>
      </c>
      <c r="D7" s="6">
        <v>0.061</v>
      </c>
      <c r="E7" s="6">
        <v>0.03</v>
      </c>
      <c r="F7" s="6">
        <v>0.02</v>
      </c>
      <c r="H7" s="6">
        <v>0.097</v>
      </c>
      <c r="I7" s="6">
        <v>0.061</v>
      </c>
      <c r="J7" s="6">
        <v>0.03</v>
      </c>
      <c r="K7" s="6">
        <v>0.012</v>
      </c>
      <c r="L7" s="2"/>
      <c r="M7" s="6">
        <v>0.081</v>
      </c>
      <c r="N7" s="6">
        <v>0.051</v>
      </c>
      <c r="O7" s="6">
        <v>0.025</v>
      </c>
      <c r="P7" s="6">
        <v>0.01</v>
      </c>
      <c r="Q7" s="2"/>
      <c r="R7" s="2"/>
      <c r="S7" s="2"/>
      <c r="T7" s="2"/>
    </row>
    <row r="8">
      <c r="A8" s="5" t="s">
        <v>8</v>
      </c>
      <c r="B8" s="6"/>
      <c r="C8" s="6">
        <v>0.048</v>
      </c>
      <c r="D8" s="6">
        <v>0.034</v>
      </c>
      <c r="E8" s="6">
        <v>0.017</v>
      </c>
      <c r="F8" s="6">
        <v>0.007</v>
      </c>
      <c r="H8" s="6">
        <v>0.054</v>
      </c>
      <c r="I8" s="6">
        <v>0.034</v>
      </c>
      <c r="J8" s="6">
        <v>0.017</v>
      </c>
      <c r="K8" s="6">
        <v>0.007</v>
      </c>
      <c r="L8" s="3"/>
      <c r="M8" s="6">
        <v>0.07</v>
      </c>
      <c r="N8" s="6">
        <v>0.044</v>
      </c>
      <c r="O8" s="6">
        <v>0.022</v>
      </c>
      <c r="P8" s="6">
        <v>0.009</v>
      </c>
      <c r="Q8" s="3"/>
      <c r="R8" s="3"/>
      <c r="S8" s="3"/>
      <c r="T8" s="3"/>
    </row>
    <row r="9">
      <c r="A9" s="5" t="s">
        <v>9</v>
      </c>
      <c r="B9" s="6"/>
      <c r="C9" s="6">
        <v>0.065</v>
      </c>
      <c r="D9" s="6">
        <v>0.04</v>
      </c>
      <c r="E9" s="6">
        <v>0.02</v>
      </c>
      <c r="F9" s="6">
        <v>0.008</v>
      </c>
      <c r="H9" s="6">
        <v>0.076</v>
      </c>
      <c r="I9" s="6">
        <v>0.047</v>
      </c>
      <c r="J9" s="6">
        <v>0.024</v>
      </c>
      <c r="K9" s="6">
        <v>0.009</v>
      </c>
      <c r="M9" s="6">
        <v>0.086</v>
      </c>
      <c r="N9" s="6">
        <v>0.054</v>
      </c>
      <c r="O9" s="6">
        <v>0.027</v>
      </c>
      <c r="P9" s="6">
        <v>0.011</v>
      </c>
    </row>
    <row r="10">
      <c r="A10" s="5" t="s">
        <v>10</v>
      </c>
      <c r="B10" s="6"/>
      <c r="C10" s="6">
        <v>0.086</v>
      </c>
      <c r="D10" s="6">
        <v>0.054</v>
      </c>
      <c r="E10" s="6">
        <v>0.027</v>
      </c>
      <c r="F10" s="6">
        <v>0.011</v>
      </c>
      <c r="H10" s="6">
        <v>0.086</v>
      </c>
      <c r="I10" s="6">
        <v>0.054</v>
      </c>
      <c r="J10" s="6">
        <v>0.027</v>
      </c>
      <c r="K10" s="6">
        <v>0.011</v>
      </c>
      <c r="M10" s="6">
        <v>0.108</v>
      </c>
      <c r="N10" s="6">
        <v>0.067</v>
      </c>
      <c r="O10" s="6">
        <v>0.034</v>
      </c>
      <c r="P10" s="6">
        <v>0.013</v>
      </c>
    </row>
    <row r="11">
      <c r="B11" s="6"/>
      <c r="E11" s="7"/>
      <c r="F11" s="8"/>
    </row>
    <row r="12">
      <c r="B12" s="6"/>
      <c r="C12" s="1" t="s">
        <v>11</v>
      </c>
    </row>
    <row r="13">
      <c r="A13" s="4" t="s">
        <v>6</v>
      </c>
      <c r="B13" s="6"/>
      <c r="C13" s="1" t="s">
        <v>2</v>
      </c>
      <c r="H13" s="1" t="s">
        <v>3</v>
      </c>
      <c r="L13" s="3"/>
      <c r="M13" s="1" t="s">
        <v>4</v>
      </c>
    </row>
    <row r="14">
      <c r="A14" s="5" t="s">
        <v>7</v>
      </c>
      <c r="B14" s="6"/>
      <c r="C14" s="5">
        <v>8.0</v>
      </c>
      <c r="H14" s="5">
        <v>12.0</v>
      </c>
      <c r="M14" s="5">
        <v>1.0</v>
      </c>
    </row>
    <row r="15">
      <c r="A15" s="5" t="s">
        <v>8</v>
      </c>
      <c r="B15" s="6"/>
      <c r="C15" s="5">
        <v>25.0</v>
      </c>
      <c r="H15" s="5">
        <v>15.0</v>
      </c>
      <c r="M15" s="5">
        <v>25.0</v>
      </c>
    </row>
    <row r="16">
      <c r="A16" s="5" t="s">
        <v>9</v>
      </c>
      <c r="B16" s="6"/>
      <c r="C16" s="5">
        <v>15.0</v>
      </c>
      <c r="H16" s="5">
        <v>1.0</v>
      </c>
      <c r="M16" s="5">
        <v>15.0</v>
      </c>
    </row>
    <row r="17">
      <c r="A17" s="5" t="s">
        <v>10</v>
      </c>
      <c r="B17" s="6"/>
      <c r="C17" s="5">
        <v>15.0</v>
      </c>
      <c r="H17" s="5">
        <v>20.0</v>
      </c>
      <c r="M17" s="5">
        <v>10.0</v>
      </c>
    </row>
    <row r="18">
      <c r="B18" s="6"/>
      <c r="E18" s="7"/>
      <c r="F18" s="8"/>
    </row>
    <row r="19">
      <c r="B19" s="6"/>
      <c r="C19" s="1" t="s">
        <v>12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>
      <c r="A20" s="4" t="s">
        <v>6</v>
      </c>
      <c r="B20" s="6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>
      <c r="A21" s="5" t="s">
        <v>7</v>
      </c>
      <c r="B21" s="6"/>
      <c r="C21" s="5">
        <v>10.0</v>
      </c>
      <c r="F21" s="5"/>
    </row>
    <row r="22">
      <c r="A22" s="5" t="s">
        <v>8</v>
      </c>
      <c r="B22" s="6"/>
      <c r="C22" s="5">
        <v>50.0</v>
      </c>
      <c r="F22" s="5"/>
    </row>
    <row r="23">
      <c r="A23" s="5" t="s">
        <v>9</v>
      </c>
      <c r="B23" s="6"/>
      <c r="C23" s="5">
        <v>20.0</v>
      </c>
      <c r="F23" s="5"/>
    </row>
    <row r="24">
      <c r="A24" s="5" t="s">
        <v>10</v>
      </c>
      <c r="B24" s="6"/>
      <c r="C24" s="5">
        <v>30.0</v>
      </c>
      <c r="F24" s="5"/>
    </row>
    <row r="25">
      <c r="A25" s="5"/>
      <c r="B25" s="6"/>
      <c r="E25" s="7"/>
      <c r="F25" s="8"/>
    </row>
    <row r="26">
      <c r="B26" s="6"/>
      <c r="C26" s="1" t="s">
        <v>13</v>
      </c>
    </row>
    <row r="27">
      <c r="A27" s="5"/>
      <c r="B27" s="6"/>
      <c r="C27" s="1" t="s">
        <v>2</v>
      </c>
      <c r="H27" s="1" t="s">
        <v>3</v>
      </c>
      <c r="L27" s="3"/>
      <c r="M27" s="1" t="s">
        <v>4</v>
      </c>
    </row>
    <row r="28">
      <c r="B28" s="6"/>
      <c r="C28" s="5">
        <v>15.0</v>
      </c>
      <c r="H28" s="5">
        <v>20.0</v>
      </c>
      <c r="M28" s="5">
        <v>25.0</v>
      </c>
    </row>
    <row r="29">
      <c r="A29" s="5"/>
      <c r="B29" s="6"/>
      <c r="F29" s="9"/>
    </row>
    <row r="30">
      <c r="A30" s="2"/>
      <c r="B30" s="2"/>
      <c r="C30" s="1" t="s">
        <v>14</v>
      </c>
    </row>
    <row r="31">
      <c r="A31" s="2"/>
      <c r="B31" s="2"/>
      <c r="C31" s="1" t="s">
        <v>2</v>
      </c>
      <c r="H31" s="1" t="s">
        <v>3</v>
      </c>
      <c r="L31" s="3"/>
      <c r="M31" s="1" t="s">
        <v>4</v>
      </c>
    </row>
    <row r="32">
      <c r="A32" s="2"/>
      <c r="B32" s="2"/>
      <c r="C32" s="1" t="s">
        <v>5</v>
      </c>
      <c r="H32" s="1" t="s">
        <v>5</v>
      </c>
      <c r="L32" s="3"/>
      <c r="M32" s="1" t="s">
        <v>5</v>
      </c>
    </row>
    <row r="33">
      <c r="A33" s="4" t="s">
        <v>6</v>
      </c>
      <c r="B33" s="2"/>
      <c r="C33" s="1">
        <v>1.0</v>
      </c>
      <c r="D33" s="1">
        <v>2.0</v>
      </c>
      <c r="E33" s="1">
        <v>3.0</v>
      </c>
      <c r="F33" s="1">
        <v>4.0</v>
      </c>
      <c r="H33" s="1">
        <v>1.0</v>
      </c>
      <c r="I33" s="1">
        <v>2.0</v>
      </c>
      <c r="J33" s="1">
        <v>3.0</v>
      </c>
      <c r="K33" s="1">
        <v>4.0</v>
      </c>
      <c r="L33" s="3"/>
      <c r="M33" s="1">
        <v>1.0</v>
      </c>
      <c r="N33" s="1">
        <v>2.0</v>
      </c>
      <c r="O33" s="1">
        <v>3.0</v>
      </c>
      <c r="P33" s="1">
        <v>4.0</v>
      </c>
    </row>
    <row r="34">
      <c r="A34" s="5" t="s">
        <v>7</v>
      </c>
      <c r="B34" s="6"/>
      <c r="C34" s="10">
        <f t="shared" ref="C34:C37" si="1">C14*C7*1000</f>
        <v>776</v>
      </c>
      <c r="D34" s="10">
        <f t="shared" ref="D34:D37" si="2">C14*D7*1000</f>
        <v>488</v>
      </c>
      <c r="E34" s="10">
        <f t="shared" ref="E34:E37" si="3">C14*E7*1000</f>
        <v>240</v>
      </c>
      <c r="F34" s="10">
        <f t="shared" ref="F34:F37" si="4">C14*F7*1000</f>
        <v>160</v>
      </c>
      <c r="H34" s="10">
        <f t="shared" ref="H34:H37" si="5">H14*H7*1000</f>
        <v>1164</v>
      </c>
      <c r="I34" s="10">
        <f t="shared" ref="I34:I37" si="6">H14*I7*1000</f>
        <v>732</v>
      </c>
      <c r="J34" s="10">
        <f t="shared" ref="J34:J37" si="7">H14*J7*1000</f>
        <v>360</v>
      </c>
      <c r="K34" s="10">
        <f t="shared" ref="K34:K37" si="8">H14*K7*1000</f>
        <v>144</v>
      </c>
      <c r="L34" s="2"/>
      <c r="M34" s="10">
        <f t="shared" ref="M34:M37" si="9">M14*M7*1000</f>
        <v>81</v>
      </c>
      <c r="N34" s="10">
        <f t="shared" ref="N34:N37" si="10">M14*N7*1000</f>
        <v>51</v>
      </c>
      <c r="O34" s="10">
        <f t="shared" ref="O34:O37" si="11">M14*O7*1000</f>
        <v>25</v>
      </c>
      <c r="P34" s="10">
        <f t="shared" ref="P34:P37" si="12">M14*P7*1000</f>
        <v>10</v>
      </c>
    </row>
    <row r="35">
      <c r="A35" s="5" t="s">
        <v>8</v>
      </c>
      <c r="B35" s="6"/>
      <c r="C35" s="10">
        <f t="shared" si="1"/>
        <v>1200</v>
      </c>
      <c r="D35" s="10">
        <f t="shared" si="2"/>
        <v>850</v>
      </c>
      <c r="E35" s="10">
        <f t="shared" si="3"/>
        <v>425</v>
      </c>
      <c r="F35" s="10">
        <f t="shared" si="4"/>
        <v>175</v>
      </c>
      <c r="H35" s="10">
        <f t="shared" si="5"/>
        <v>810</v>
      </c>
      <c r="I35" s="10">
        <f t="shared" si="6"/>
        <v>510</v>
      </c>
      <c r="J35" s="10">
        <f t="shared" si="7"/>
        <v>255</v>
      </c>
      <c r="K35" s="10">
        <f t="shared" si="8"/>
        <v>105</v>
      </c>
      <c r="L35" s="3"/>
      <c r="M35" s="10">
        <f t="shared" si="9"/>
        <v>1750</v>
      </c>
      <c r="N35" s="10">
        <f t="shared" si="10"/>
        <v>1100</v>
      </c>
      <c r="O35" s="10">
        <f t="shared" si="11"/>
        <v>550</v>
      </c>
      <c r="P35" s="10">
        <f t="shared" si="12"/>
        <v>225</v>
      </c>
    </row>
    <row r="36">
      <c r="A36" s="5" t="s">
        <v>9</v>
      </c>
      <c r="B36" s="6"/>
      <c r="C36" s="10">
        <f t="shared" si="1"/>
        <v>975</v>
      </c>
      <c r="D36" s="10">
        <f t="shared" si="2"/>
        <v>600</v>
      </c>
      <c r="E36" s="10">
        <f t="shared" si="3"/>
        <v>300</v>
      </c>
      <c r="F36" s="10">
        <f t="shared" si="4"/>
        <v>120</v>
      </c>
      <c r="H36" s="10">
        <f t="shared" si="5"/>
        <v>76</v>
      </c>
      <c r="I36" s="10">
        <f t="shared" si="6"/>
        <v>47</v>
      </c>
      <c r="J36" s="10">
        <f t="shared" si="7"/>
        <v>24</v>
      </c>
      <c r="K36" s="10">
        <f t="shared" si="8"/>
        <v>9</v>
      </c>
      <c r="M36" s="10">
        <f t="shared" si="9"/>
        <v>1290</v>
      </c>
      <c r="N36" s="10">
        <f t="shared" si="10"/>
        <v>810</v>
      </c>
      <c r="O36" s="10">
        <f t="shared" si="11"/>
        <v>405</v>
      </c>
      <c r="P36" s="10">
        <f t="shared" si="12"/>
        <v>165</v>
      </c>
    </row>
    <row r="37">
      <c r="A37" s="5" t="s">
        <v>10</v>
      </c>
      <c r="B37" s="6"/>
      <c r="C37" s="10">
        <f t="shared" si="1"/>
        <v>1290</v>
      </c>
      <c r="D37" s="10">
        <f t="shared" si="2"/>
        <v>810</v>
      </c>
      <c r="E37" s="10">
        <f t="shared" si="3"/>
        <v>405</v>
      </c>
      <c r="F37" s="10">
        <f t="shared" si="4"/>
        <v>165</v>
      </c>
      <c r="H37" s="10">
        <f t="shared" si="5"/>
        <v>1720</v>
      </c>
      <c r="I37" s="10">
        <f t="shared" si="6"/>
        <v>1080</v>
      </c>
      <c r="J37" s="10">
        <f t="shared" si="7"/>
        <v>540</v>
      </c>
      <c r="K37" s="10">
        <f t="shared" si="8"/>
        <v>220</v>
      </c>
      <c r="M37" s="10">
        <f t="shared" si="9"/>
        <v>1080</v>
      </c>
      <c r="N37" s="10">
        <f t="shared" si="10"/>
        <v>670</v>
      </c>
      <c r="O37" s="10">
        <f t="shared" si="11"/>
        <v>340</v>
      </c>
      <c r="P37" s="10">
        <f t="shared" si="12"/>
        <v>130</v>
      </c>
    </row>
    <row r="38">
      <c r="A38" s="5"/>
      <c r="B38" s="6"/>
      <c r="F38" s="9"/>
    </row>
    <row r="39">
      <c r="B39" s="6"/>
      <c r="C39" s="1" t="s">
        <v>15</v>
      </c>
    </row>
    <row r="40">
      <c r="A40" s="4" t="s">
        <v>6</v>
      </c>
      <c r="B40" s="6"/>
      <c r="C40" s="1" t="s">
        <v>2</v>
      </c>
      <c r="H40" s="1" t="s">
        <v>3</v>
      </c>
      <c r="L40" s="3"/>
      <c r="M40" s="1" t="s">
        <v>4</v>
      </c>
    </row>
    <row r="41">
      <c r="A41" s="5" t="s">
        <v>7</v>
      </c>
      <c r="B41" s="6"/>
      <c r="C41" s="11">
        <v>0.01</v>
      </c>
      <c r="H41" s="11">
        <f t="shared" ref="H41:H42" si="13">H35/(H7*1000)+0.01</f>
        <v>8.360515464</v>
      </c>
      <c r="M41" s="11">
        <v>0.01</v>
      </c>
    </row>
    <row r="42">
      <c r="A42" s="5" t="s">
        <v>8</v>
      </c>
      <c r="B42" s="6"/>
      <c r="C42" s="11">
        <f>C36/(C8*1000)+0.01</f>
        <v>20.3225</v>
      </c>
      <c r="H42" s="11">
        <f t="shared" si="13"/>
        <v>1.417407407</v>
      </c>
      <c r="M42" s="11">
        <f t="shared" ref="M42:M43" si="14">M36/(M8*1000)+0.01</f>
        <v>18.43857143</v>
      </c>
    </row>
    <row r="43">
      <c r="A43" s="5" t="s">
        <v>9</v>
      </c>
      <c r="B43" s="6"/>
      <c r="C43" s="11">
        <f t="shared" ref="C43:C44" si="15">C34/(C9*1000)+0.01</f>
        <v>11.94846154</v>
      </c>
      <c r="H43" s="11">
        <v>0.01</v>
      </c>
      <c r="M43" s="11">
        <f t="shared" si="14"/>
        <v>12.56813953</v>
      </c>
    </row>
    <row r="44">
      <c r="A44" s="5" t="s">
        <v>10</v>
      </c>
      <c r="B44" s="6"/>
      <c r="C44" s="11">
        <f t="shared" si="15"/>
        <v>13.96348837</v>
      </c>
      <c r="H44" s="11">
        <f>H34/(H10*1000)+0.01</f>
        <v>13.54488372</v>
      </c>
      <c r="M44" s="11">
        <f>M34/(M10*1000)+0.01</f>
        <v>0.76</v>
      </c>
    </row>
    <row r="45">
      <c r="A45" s="5"/>
      <c r="B45" s="6"/>
      <c r="C45" s="5"/>
      <c r="D45" s="5"/>
      <c r="E45" s="5"/>
      <c r="F45" s="5"/>
      <c r="H45" s="5"/>
      <c r="I45" s="5"/>
      <c r="J45" s="5"/>
      <c r="K45" s="5"/>
      <c r="M45" s="5"/>
      <c r="N45" s="5"/>
      <c r="O45" s="5"/>
      <c r="P45" s="5"/>
    </row>
    <row r="46">
      <c r="B46" s="6"/>
      <c r="C46" s="1" t="s">
        <v>16</v>
      </c>
    </row>
    <row r="47">
      <c r="A47" s="4" t="s">
        <v>6</v>
      </c>
      <c r="B47" s="6"/>
      <c r="C47" s="1" t="s">
        <v>2</v>
      </c>
      <c r="H47" s="1" t="s">
        <v>3</v>
      </c>
      <c r="L47" s="3"/>
      <c r="M47" s="1" t="s">
        <v>4</v>
      </c>
    </row>
    <row r="48">
      <c r="A48" s="5" t="s">
        <v>7</v>
      </c>
      <c r="B48" s="6"/>
      <c r="C48" s="12">
        <f>C41*(C7*C55+C7*C59+C7*C60+C7*C61+D7*C62+D7*C65+D7*C68)</f>
        <v>0</v>
      </c>
      <c r="G48" s="12"/>
      <c r="H48" s="12">
        <f>H41*(H7*H55+H7*H59+H7*H60+H7*H61+I7*H62+I7*H65+I7*H68)</f>
        <v>9.990815979</v>
      </c>
      <c r="L48" s="12"/>
      <c r="M48" s="12">
        <f>M41*(M7*M55+M7*M59+M7*M60+M7*M61+N7*M62+N7*M65+N7*M68)</f>
        <v>0</v>
      </c>
    </row>
    <row r="49">
      <c r="A49" s="5" t="s">
        <v>8</v>
      </c>
      <c r="B49" s="6"/>
      <c r="C49" s="12">
        <f>C42*(C8*C56+D8*C59+C8*C62+C8*C63+C8*C64+D8*C66+D8*C69)</f>
        <v>14.6322</v>
      </c>
      <c r="G49" s="12"/>
      <c r="H49" s="12">
        <f>H42*(H8*H56+I8*H59+H8*H62+H8*H63+H8*H64+I8*H66+I8*H69)</f>
        <v>0.04819185185</v>
      </c>
      <c r="L49" s="12"/>
      <c r="M49" s="12">
        <f>M42*(M8*M56+N8*M59+M8*M62+M8*M63+M8*M64+N8*M66+N8*M69)</f>
        <v>32.2675</v>
      </c>
    </row>
    <row r="50">
      <c r="A50" s="5" t="s">
        <v>9</v>
      </c>
      <c r="B50" s="6"/>
      <c r="C50" s="12">
        <f>C43*(C9*C57+D9*C60+D9*C63+C9*C65+C9*C66+C9*C67+D9*C70)</f>
        <v>2.867630769</v>
      </c>
      <c r="G50" s="12"/>
      <c r="H50" s="12">
        <f>H43*(H9*H57+I9*H60+I9*H63+H9*H65+H9*H66+H9*H67+I9*H70)</f>
        <v>0</v>
      </c>
      <c r="L50" s="12"/>
      <c r="M50" s="12">
        <f>M43*(M9*M57+N9*M60+N9*M63+M9*M65+M9*M66+M9*M67+N9*M70)</f>
        <v>16.96698837</v>
      </c>
    </row>
    <row r="51">
      <c r="A51" s="5" t="s">
        <v>10</v>
      </c>
      <c r="B51" s="6"/>
      <c r="C51" s="12">
        <f>C44*(C10*C58+D10*C61+D10*C64+D10*C67+C10*C68+C10*C69+C10*C70)</f>
        <v>6.786255349</v>
      </c>
      <c r="G51" s="12"/>
      <c r="H51" s="12">
        <f>H44*(H10*H58+I10*H61+I10*H64+I10*H67+H10*H68+H10*H69+H10*H70)</f>
        <v>22.86376372</v>
      </c>
      <c r="L51" s="12"/>
      <c r="M51" s="12">
        <f>M44*(M10*M58+N10*M61+N10*M64+N10*M67+M10*M68+M10*M69+M10*M70)</f>
        <v>0</v>
      </c>
    </row>
    <row r="52">
      <c r="A52" s="5"/>
      <c r="B52" s="6"/>
      <c r="F52" s="9"/>
    </row>
    <row r="53">
      <c r="A53" s="1" t="s">
        <v>17</v>
      </c>
      <c r="R53" s="1" t="s">
        <v>18</v>
      </c>
      <c r="U53" s="2"/>
    </row>
    <row r="54">
      <c r="A54" s="4" t="s">
        <v>19</v>
      </c>
      <c r="B54" s="6"/>
      <c r="C54" s="1" t="s">
        <v>2</v>
      </c>
      <c r="H54" s="1" t="s">
        <v>3</v>
      </c>
      <c r="L54" s="3"/>
      <c r="M54" s="1" t="s">
        <v>4</v>
      </c>
      <c r="R54" s="1" t="s">
        <v>2</v>
      </c>
      <c r="S54" s="1" t="s">
        <v>3</v>
      </c>
      <c r="T54" s="1" t="s">
        <v>4</v>
      </c>
      <c r="U54" s="2"/>
    </row>
    <row r="55">
      <c r="A55" s="5" t="s">
        <v>7</v>
      </c>
      <c r="B55" s="6"/>
      <c r="C55" s="13">
        <v>0.0</v>
      </c>
      <c r="H55" s="5">
        <v>0.0</v>
      </c>
      <c r="M55" s="5">
        <v>0.0</v>
      </c>
      <c r="R55" s="12">
        <f t="shared" ref="R55:R58" si="16">C41*C7</f>
        <v>0.00097</v>
      </c>
      <c r="S55" s="12">
        <f t="shared" ref="S55:S58" si="17">H41*H7</f>
        <v>0.81097</v>
      </c>
      <c r="T55" s="12">
        <f t="shared" ref="T55:T58" si="18">M41*M7</f>
        <v>0.00081</v>
      </c>
      <c r="U55" s="12"/>
    </row>
    <row r="56">
      <c r="A56" s="5" t="s">
        <v>8</v>
      </c>
      <c r="B56" s="6"/>
      <c r="C56" s="5">
        <v>0.0</v>
      </c>
      <c r="H56" s="5">
        <v>0.0</v>
      </c>
      <c r="M56" s="5">
        <v>0.0</v>
      </c>
      <c r="R56" s="12">
        <f t="shared" si="16"/>
        <v>0.97548</v>
      </c>
      <c r="S56" s="12">
        <f t="shared" si="17"/>
        <v>0.07654</v>
      </c>
      <c r="T56" s="12">
        <f t="shared" si="18"/>
        <v>1.2907</v>
      </c>
      <c r="U56" s="12"/>
    </row>
    <row r="57">
      <c r="A57" s="5" t="s">
        <v>9</v>
      </c>
      <c r="B57" s="6"/>
      <c r="C57" s="5">
        <v>0.0</v>
      </c>
      <c r="H57" s="5">
        <v>0.0</v>
      </c>
      <c r="M57" s="5">
        <v>0.0</v>
      </c>
      <c r="R57" s="12">
        <f t="shared" si="16"/>
        <v>0.77665</v>
      </c>
      <c r="S57" s="12">
        <f t="shared" si="17"/>
        <v>0.00076</v>
      </c>
      <c r="T57" s="12">
        <f t="shared" si="18"/>
        <v>1.08086</v>
      </c>
      <c r="U57" s="12"/>
    </row>
    <row r="58">
      <c r="A58" s="5" t="s">
        <v>10</v>
      </c>
      <c r="B58" s="6"/>
      <c r="C58" s="5">
        <v>0.0</v>
      </c>
      <c r="H58" s="5">
        <v>0.0</v>
      </c>
      <c r="M58" s="5">
        <v>0.0</v>
      </c>
      <c r="R58" s="12">
        <f t="shared" si="16"/>
        <v>1.20086</v>
      </c>
      <c r="S58" s="12">
        <f t="shared" si="17"/>
        <v>1.16486</v>
      </c>
      <c r="T58" s="12">
        <f t="shared" si="18"/>
        <v>0.08208</v>
      </c>
      <c r="U58" s="12"/>
    </row>
    <row r="59">
      <c r="A59" s="5" t="s">
        <v>20</v>
      </c>
      <c r="B59" s="6"/>
      <c r="C59" s="5">
        <v>0.0</v>
      </c>
      <c r="H59" s="5">
        <v>0.0</v>
      </c>
      <c r="M59" s="5">
        <v>0.0</v>
      </c>
      <c r="R59" s="12">
        <f>R55+C42*D8</f>
        <v>0.691935</v>
      </c>
      <c r="S59" s="12">
        <f>S55+H42*I8</f>
        <v>0.8591618519</v>
      </c>
      <c r="T59" s="12">
        <f>T55+M42*N8</f>
        <v>0.8121071429</v>
      </c>
      <c r="U59" s="12"/>
    </row>
    <row r="60">
      <c r="A60" s="5" t="s">
        <v>21</v>
      </c>
      <c r="B60" s="6"/>
      <c r="C60" s="5">
        <v>0.0</v>
      </c>
      <c r="H60" s="5">
        <v>0.0</v>
      </c>
      <c r="M60" s="5">
        <v>0.0</v>
      </c>
      <c r="R60" s="12">
        <f>R55+C43*D9</f>
        <v>0.4789084615</v>
      </c>
      <c r="S60" s="12">
        <f>S55+H43*I9</f>
        <v>0.81144</v>
      </c>
      <c r="T60" s="12">
        <f>T55+M43*N9</f>
        <v>0.6794895349</v>
      </c>
      <c r="U60" s="12"/>
    </row>
    <row r="61">
      <c r="A61" s="5" t="s">
        <v>22</v>
      </c>
      <c r="B61" s="6"/>
      <c r="C61" s="5">
        <v>0.0</v>
      </c>
      <c r="H61" s="5">
        <v>1.0</v>
      </c>
      <c r="M61" s="5">
        <v>0.0</v>
      </c>
      <c r="R61" s="12">
        <f>R55+C44*D10</f>
        <v>0.7549983721</v>
      </c>
      <c r="S61" s="12">
        <f>S55+H44*I10</f>
        <v>1.542393721</v>
      </c>
      <c r="T61" s="12">
        <f>T55+M44*N10</f>
        <v>0.05173</v>
      </c>
      <c r="U61" s="12"/>
    </row>
    <row r="62">
      <c r="A62" s="5" t="s">
        <v>23</v>
      </c>
      <c r="B62" s="6"/>
      <c r="C62" s="5">
        <v>0.0</v>
      </c>
      <c r="H62" s="5">
        <v>0.0</v>
      </c>
      <c r="M62" s="5">
        <v>0.0</v>
      </c>
      <c r="R62" s="12">
        <f>R56+C41*D7</f>
        <v>0.97609</v>
      </c>
      <c r="S62" s="12">
        <f>S56+H41*I7</f>
        <v>0.5865314433</v>
      </c>
      <c r="T62" s="12">
        <f>T56+M41*N7</f>
        <v>1.29121</v>
      </c>
      <c r="U62" s="12"/>
    </row>
    <row r="63">
      <c r="A63" s="5" t="s">
        <v>24</v>
      </c>
      <c r="B63" s="6"/>
      <c r="C63" s="5">
        <v>6.0</v>
      </c>
      <c r="H63" s="5">
        <v>0.0</v>
      </c>
      <c r="M63" s="5">
        <v>25.0</v>
      </c>
      <c r="R63" s="12">
        <f>R56+C43*D9</f>
        <v>1.453418462</v>
      </c>
      <c r="S63" s="12">
        <f>S56+H43*I9</f>
        <v>0.07701</v>
      </c>
      <c r="T63" s="12">
        <f>T56+M43*N9</f>
        <v>1.969379535</v>
      </c>
      <c r="U63" s="12"/>
    </row>
    <row r="64">
      <c r="A64" s="5" t="s">
        <v>25</v>
      </c>
      <c r="B64" s="6"/>
      <c r="C64" s="5">
        <v>9.0</v>
      </c>
      <c r="H64" s="5">
        <v>0.0</v>
      </c>
      <c r="M64" s="5">
        <v>0.0</v>
      </c>
      <c r="R64" s="12">
        <f>R56+C44*D10</f>
        <v>1.729508372</v>
      </c>
      <c r="S64" s="12">
        <f>S56+H44*I10</f>
        <v>0.8079637209</v>
      </c>
      <c r="T64" s="12">
        <f>T56+M44*N10</f>
        <v>1.34162</v>
      </c>
      <c r="U64" s="12"/>
    </row>
    <row r="65">
      <c r="A65" s="5" t="s">
        <v>26</v>
      </c>
      <c r="B65" s="6"/>
      <c r="C65" s="5">
        <v>0.0</v>
      </c>
      <c r="H65" s="5">
        <v>0.0</v>
      </c>
      <c r="M65" s="5">
        <v>0.0</v>
      </c>
      <c r="R65" s="12">
        <f>R57+C41*D7</f>
        <v>0.77726</v>
      </c>
      <c r="S65" s="12">
        <f>S57+H41*I7</f>
        <v>0.5107514433</v>
      </c>
      <c r="T65" s="12">
        <f>T57+M41*N7</f>
        <v>1.08137</v>
      </c>
      <c r="U65" s="12"/>
    </row>
    <row r="66">
      <c r="A66" s="5" t="s">
        <v>27</v>
      </c>
      <c r="B66" s="6"/>
      <c r="C66" s="5">
        <v>0.0</v>
      </c>
      <c r="H66" s="5">
        <v>0.0</v>
      </c>
      <c r="M66" s="5">
        <v>0.0</v>
      </c>
      <c r="R66" s="12">
        <f>R57+C42*D8</f>
        <v>1.467615</v>
      </c>
      <c r="S66" s="12">
        <f>S57+H42*I8</f>
        <v>0.04895185185</v>
      </c>
      <c r="T66" s="12">
        <f>T57+M42*N8</f>
        <v>1.892157143</v>
      </c>
      <c r="U66" s="12"/>
    </row>
    <row r="67">
      <c r="A67" s="5" t="s">
        <v>28</v>
      </c>
      <c r="B67" s="6"/>
      <c r="C67" s="5">
        <v>0.0</v>
      </c>
      <c r="H67" s="5">
        <v>0.0</v>
      </c>
      <c r="M67" s="5">
        <v>0.0</v>
      </c>
      <c r="R67" s="12">
        <f>R57+C44*D10</f>
        <v>1.530678372</v>
      </c>
      <c r="S67" s="12">
        <f>S57+H44*I10</f>
        <v>0.7321837209</v>
      </c>
      <c r="T67" s="12">
        <f>T57+M44*N10</f>
        <v>1.13178</v>
      </c>
      <c r="U67" s="12"/>
    </row>
    <row r="68">
      <c r="A68" s="5" t="s">
        <v>29</v>
      </c>
      <c r="B68" s="6"/>
      <c r="C68" s="5">
        <v>0.0</v>
      </c>
      <c r="H68" s="5">
        <v>18.0</v>
      </c>
      <c r="M68" s="5">
        <v>0.0</v>
      </c>
      <c r="R68" s="12">
        <f>R58+C41*D7</f>
        <v>1.20147</v>
      </c>
      <c r="S68" s="12">
        <f>S58+H41*I7</f>
        <v>1.674851443</v>
      </c>
      <c r="T68" s="12">
        <f>T58+M41*N7</f>
        <v>0.08259</v>
      </c>
      <c r="U68" s="12"/>
    </row>
    <row r="69">
      <c r="A69" s="5" t="s">
        <v>30</v>
      </c>
      <c r="B69" s="6"/>
      <c r="C69" s="5">
        <v>0.0</v>
      </c>
      <c r="H69" s="5">
        <v>1.0</v>
      </c>
      <c r="M69" s="5">
        <v>0.0</v>
      </c>
      <c r="R69" s="12">
        <f>R58+C42*D8</f>
        <v>1.891825</v>
      </c>
      <c r="S69" s="12">
        <f>S58+H42*I8</f>
        <v>1.213051852</v>
      </c>
      <c r="T69" s="12">
        <f>T58+M42*N8</f>
        <v>0.8933771429</v>
      </c>
      <c r="U69" s="12"/>
    </row>
    <row r="70">
      <c r="A70" s="5" t="s">
        <v>31</v>
      </c>
      <c r="B70" s="6"/>
      <c r="C70" s="5">
        <v>0.0</v>
      </c>
      <c r="H70" s="5">
        <v>0.0</v>
      </c>
      <c r="M70" s="5">
        <v>0.0</v>
      </c>
      <c r="R70" s="12">
        <f>R58+C43*D9</f>
        <v>1.678798462</v>
      </c>
      <c r="S70" s="12">
        <f>S58+H43*I9</f>
        <v>1.16533</v>
      </c>
      <c r="T70" s="12">
        <f>T58+M43*N9</f>
        <v>0.7607595349</v>
      </c>
      <c r="U70" s="12"/>
    </row>
    <row r="72">
      <c r="A72" s="1" t="s">
        <v>32</v>
      </c>
    </row>
    <row r="73">
      <c r="A73" s="4" t="s">
        <v>33</v>
      </c>
      <c r="B73" s="12">
        <f>SUMPRODUCT(C55:C70,R55:R70)+SUMPRODUCT(H55:H70,S55:S70)+SUMPRODUCT(M55:M70,T55:T70)</f>
        <v>106.423346</v>
      </c>
    </row>
    <row r="75">
      <c r="A75" s="1" t="s">
        <v>34</v>
      </c>
    </row>
    <row r="76">
      <c r="A76" s="14"/>
      <c r="B76" s="3" t="s">
        <v>35</v>
      </c>
      <c r="C76" s="3" t="s">
        <v>36</v>
      </c>
    </row>
    <row r="77">
      <c r="A77" s="3" t="s">
        <v>37</v>
      </c>
      <c r="B77" s="15">
        <f>sum(C55:F70)</f>
        <v>15</v>
      </c>
      <c r="C77" s="5">
        <f>C28</f>
        <v>15</v>
      </c>
    </row>
    <row r="78">
      <c r="A78" s="3" t="s">
        <v>38</v>
      </c>
      <c r="B78" s="15">
        <f>sum(H55:K70)</f>
        <v>20</v>
      </c>
      <c r="C78" s="5">
        <f>H28</f>
        <v>20</v>
      </c>
    </row>
    <row r="79">
      <c r="A79" s="3" t="s">
        <v>39</v>
      </c>
      <c r="B79" s="15">
        <f>sum(M55:P70)</f>
        <v>25</v>
      </c>
      <c r="C79" s="5">
        <f>M28</f>
        <v>25</v>
      </c>
    </row>
    <row r="80">
      <c r="A80" s="3" t="s">
        <v>40</v>
      </c>
      <c r="B80" s="12">
        <f t="shared" ref="B80:B83" si="19">sum(C48:P48)</f>
        <v>9.990815979</v>
      </c>
      <c r="C80" s="15">
        <f t="shared" ref="C80:C83" si="20">C21</f>
        <v>10</v>
      </c>
    </row>
    <row r="81">
      <c r="A81" s="3" t="s">
        <v>41</v>
      </c>
      <c r="B81" s="12">
        <f t="shared" si="19"/>
        <v>46.94789185</v>
      </c>
      <c r="C81" s="15">
        <f t="shared" si="20"/>
        <v>50</v>
      </c>
    </row>
    <row r="82">
      <c r="A82" s="3" t="s">
        <v>42</v>
      </c>
      <c r="B82" s="12">
        <f t="shared" si="19"/>
        <v>19.83461914</v>
      </c>
      <c r="C82" s="15">
        <f t="shared" si="20"/>
        <v>20</v>
      </c>
    </row>
    <row r="83">
      <c r="A83" s="3" t="s">
        <v>43</v>
      </c>
      <c r="B83" s="12">
        <f t="shared" si="19"/>
        <v>29.65001907</v>
      </c>
      <c r="C83" s="15">
        <f t="shared" si="20"/>
        <v>30</v>
      </c>
    </row>
    <row r="84">
      <c r="A84" s="3"/>
    </row>
    <row r="85">
      <c r="A85" s="3"/>
    </row>
    <row r="86">
      <c r="A86" s="3"/>
    </row>
    <row r="87">
      <c r="A87" s="3"/>
    </row>
    <row r="88">
      <c r="A88" s="3"/>
    </row>
    <row r="89">
      <c r="A89" s="3"/>
    </row>
  </sheetData>
  <mergeCells count="130">
    <mergeCell ref="A1:P1"/>
    <mergeCell ref="C3:P3"/>
    <mergeCell ref="C4:F4"/>
    <mergeCell ref="H4:K4"/>
    <mergeCell ref="M4:P4"/>
    <mergeCell ref="C5:F5"/>
    <mergeCell ref="H5:K5"/>
    <mergeCell ref="M5:P5"/>
    <mergeCell ref="C12:P12"/>
    <mergeCell ref="C13:F13"/>
    <mergeCell ref="H13:K13"/>
    <mergeCell ref="M13:P13"/>
    <mergeCell ref="H14:K14"/>
    <mergeCell ref="M14:P14"/>
    <mergeCell ref="H16:K16"/>
    <mergeCell ref="H17:K17"/>
    <mergeCell ref="C14:F14"/>
    <mergeCell ref="C15:F15"/>
    <mergeCell ref="H15:K15"/>
    <mergeCell ref="M15:P15"/>
    <mergeCell ref="C16:F16"/>
    <mergeCell ref="M16:P16"/>
    <mergeCell ref="M17:P17"/>
    <mergeCell ref="C17:F17"/>
    <mergeCell ref="C19:E19"/>
    <mergeCell ref="C21:E21"/>
    <mergeCell ref="C22:E22"/>
    <mergeCell ref="C23:E23"/>
    <mergeCell ref="C24:E24"/>
    <mergeCell ref="C26:P26"/>
    <mergeCell ref="C27:F27"/>
    <mergeCell ref="H27:K27"/>
    <mergeCell ref="M27:P27"/>
    <mergeCell ref="C28:F28"/>
    <mergeCell ref="H28:K28"/>
    <mergeCell ref="M28:P28"/>
    <mergeCell ref="C30:P30"/>
    <mergeCell ref="C31:F31"/>
    <mergeCell ref="H31:K31"/>
    <mergeCell ref="M31:P31"/>
    <mergeCell ref="C32:F32"/>
    <mergeCell ref="H32:K32"/>
    <mergeCell ref="M32:P32"/>
    <mergeCell ref="C39:P39"/>
    <mergeCell ref="H51:K51"/>
    <mergeCell ref="H54:K54"/>
    <mergeCell ref="H55:K55"/>
    <mergeCell ref="H56:K56"/>
    <mergeCell ref="H57:K57"/>
    <mergeCell ref="H58:K58"/>
    <mergeCell ref="H59:K59"/>
    <mergeCell ref="H67:K67"/>
    <mergeCell ref="H68:K68"/>
    <mergeCell ref="H69:K69"/>
    <mergeCell ref="H70:K70"/>
    <mergeCell ref="H60:K60"/>
    <mergeCell ref="H61:K61"/>
    <mergeCell ref="H62:K62"/>
    <mergeCell ref="H63:K63"/>
    <mergeCell ref="H64:K64"/>
    <mergeCell ref="H65:K65"/>
    <mergeCell ref="H66:K66"/>
    <mergeCell ref="C54:F54"/>
    <mergeCell ref="C55:F55"/>
    <mergeCell ref="C56:F56"/>
    <mergeCell ref="C57:F57"/>
    <mergeCell ref="C58:F58"/>
    <mergeCell ref="C59:F59"/>
    <mergeCell ref="C60:F60"/>
    <mergeCell ref="C68:F68"/>
    <mergeCell ref="C69:F69"/>
    <mergeCell ref="C70:F70"/>
    <mergeCell ref="C61:F61"/>
    <mergeCell ref="C62:F62"/>
    <mergeCell ref="C63:F63"/>
    <mergeCell ref="C64:F64"/>
    <mergeCell ref="C65:F65"/>
    <mergeCell ref="C66:F66"/>
    <mergeCell ref="C67:F67"/>
    <mergeCell ref="C46:P46"/>
    <mergeCell ref="A53:P53"/>
    <mergeCell ref="R53:T53"/>
    <mergeCell ref="C40:F40"/>
    <mergeCell ref="H40:K40"/>
    <mergeCell ref="M40:P40"/>
    <mergeCell ref="C41:F41"/>
    <mergeCell ref="H41:K41"/>
    <mergeCell ref="C42:F42"/>
    <mergeCell ref="M43:P43"/>
    <mergeCell ref="H42:K42"/>
    <mergeCell ref="H43:K43"/>
    <mergeCell ref="H44:K44"/>
    <mergeCell ref="H47:K47"/>
    <mergeCell ref="H48:K48"/>
    <mergeCell ref="H49:K49"/>
    <mergeCell ref="H50:K50"/>
    <mergeCell ref="M41:P41"/>
    <mergeCell ref="M42:P42"/>
    <mergeCell ref="M44:P44"/>
    <mergeCell ref="M47:P47"/>
    <mergeCell ref="M48:P48"/>
    <mergeCell ref="M49:P49"/>
    <mergeCell ref="M50:P50"/>
    <mergeCell ref="C43:F43"/>
    <mergeCell ref="C44:F44"/>
    <mergeCell ref="C47:F47"/>
    <mergeCell ref="C48:F48"/>
    <mergeCell ref="C49:F49"/>
    <mergeCell ref="C50:F50"/>
    <mergeCell ref="C51:F51"/>
    <mergeCell ref="M51:P51"/>
    <mergeCell ref="M54:P54"/>
    <mergeCell ref="M55:P55"/>
    <mergeCell ref="M56:P56"/>
    <mergeCell ref="M57:P57"/>
    <mergeCell ref="M58:P58"/>
    <mergeCell ref="M59:P59"/>
    <mergeCell ref="M67:P67"/>
    <mergeCell ref="M68:P68"/>
    <mergeCell ref="M69:P69"/>
    <mergeCell ref="M70:P70"/>
    <mergeCell ref="A72:B72"/>
    <mergeCell ref="A75:C75"/>
    <mergeCell ref="M60:P60"/>
    <mergeCell ref="M61:P61"/>
    <mergeCell ref="M62:P62"/>
    <mergeCell ref="M63:P63"/>
    <mergeCell ref="M64:P64"/>
    <mergeCell ref="M65:P65"/>
    <mergeCell ref="M66:P66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6" t="s">
        <v>44</v>
      </c>
      <c r="C1" s="15" t="str">
        <f>'Display Ads'!F9:F27 &lt;= 'Display Ads'!C78</f>
        <v>#VALUE!</v>
      </c>
      <c r="D1" s="16" t="s">
        <v>45</v>
      </c>
      <c r="J1" s="17">
        <v>1.0</v>
      </c>
    </row>
    <row r="2">
      <c r="A2" s="12">
        <f>Max('Display Ads'!B73)</f>
        <v>106.423346</v>
      </c>
      <c r="B2" s="15" t="str">
        <f>Max(ProductMix_Example!F13)</f>
        <v>#REF!</v>
      </c>
    </row>
    <row r="3">
      <c r="A3" s="15" t="str">
        <f>'Display Ads'!F9:F27</f>
        <v>#VALUE!</v>
      </c>
      <c r="B3" s="15" t="str">
        <f>ProductMix_Example!B3:D3</f>
        <v>#REF!</v>
      </c>
    </row>
    <row r="4">
      <c r="A4" s="16" t="s">
        <v>46</v>
      </c>
      <c r="B4" s="16" t="s">
        <v>47</v>
      </c>
    </row>
    <row r="5">
      <c r="A5" s="5" t="s">
        <v>48</v>
      </c>
      <c r="B5" s="5" t="s">
        <v>49</v>
      </c>
    </row>
    <row r="6">
      <c r="A6" s="16" t="s">
        <v>50</v>
      </c>
      <c r="B6" s="16" t="s">
        <v>51</v>
      </c>
    </row>
    <row r="7">
      <c r="A7" s="15" t="str">
        <f>'Display Ads'!B77:B89 &lt;= 'Display Ads'!C77:C89</f>
        <v>#VALUE!</v>
      </c>
      <c r="B7" s="15" t="str">
        <f>ProductMix_Example!B3:D3 &lt;= 0</f>
        <v>#REF!</v>
      </c>
    </row>
    <row r="8">
      <c r="A8" s="15" t="str">
        <f>'Display Ads'!B77:B89 &lt;= 'Display Ads'!D77:D89</f>
        <v>#VALUE!</v>
      </c>
      <c r="B8" s="15" t="str">
        <f>ProductMix_Example!F7:F11 &lt;= ProductMix_Example!G7:G11</f>
        <v>#REF!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8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5" t="str">
        <f>ModelSheet=Maximize fuel efficiency!A:Z</f>
        <v>#ERROR!</v>
      </c>
      <c r="B1" s="15" t="str">
        <f>ModelSheet=Minimize cost!A:Z</f>
        <v>#ERROR!</v>
      </c>
      <c r="C1" s="15" t="str">
        <f>ModelSheet=Maximize seats in new buses!A:Z</f>
        <v>#ERROR!</v>
      </c>
      <c r="D1" s="15" t="str">
        <f>ModelSheet=Filatoi Riuniti!A:Z</f>
        <v>#ERROR!</v>
      </c>
      <c r="E1" s="15" t="str">
        <f>ModelSheet=New Bedford Steel!A:Z</f>
        <v>#ERROR!</v>
      </c>
      <c r="F1" s="15" t="str">
        <f>ModelSheet=Cocoa pricing!A:Z</f>
        <v>#ERROR!</v>
      </c>
      <c r="G1" s="15" t="str">
        <f>ModelSheet=Display Ads!A:Z</f>
        <v>#ERROR!</v>
      </c>
    </row>
    <row r="2">
      <c r="A2" s="15" t="str">
        <f>OpenSolver_AdjNum=0</f>
        <v>#NAME?</v>
      </c>
      <c r="B2" s="15" t="str">
        <f t="shared" ref="B2:E2" si="1">OpenSolver_AdjNum=1</f>
        <v>#NAME?</v>
      </c>
      <c r="C2" s="15" t="str">
        <f t="shared" si="1"/>
        <v>#NAME?</v>
      </c>
      <c r="D2" s="15" t="str">
        <f t="shared" si="1"/>
        <v>#NAME?</v>
      </c>
      <c r="E2" s="15" t="str">
        <f t="shared" si="1"/>
        <v>#NAME?</v>
      </c>
      <c r="F2" s="15" t="str">
        <f t="shared" ref="F2:G2" si="2">OpenSolver_AdjNum=3</f>
        <v>#NAME?</v>
      </c>
      <c r="G2" s="15" t="str">
        <f t="shared" si="2"/>
        <v>#NAME?</v>
      </c>
    </row>
    <row r="3">
      <c r="A3" s="15" t="str">
        <f t="shared" ref="A3:G3" si="3">OpenSolver_ChosenSolver=Google</f>
        <v>#NAME?</v>
      </c>
      <c r="B3" s="15" t="str">
        <f t="shared" si="3"/>
        <v>#NAME?</v>
      </c>
      <c r="C3" s="15" t="str">
        <f t="shared" si="3"/>
        <v>#NAME?</v>
      </c>
      <c r="D3" s="15" t="str">
        <f t="shared" si="3"/>
        <v>#NAME?</v>
      </c>
      <c r="E3" s="15" t="str">
        <f t="shared" si="3"/>
        <v>#NAME?</v>
      </c>
      <c r="F3" s="15" t="str">
        <f t="shared" si="3"/>
        <v>#NAME?</v>
      </c>
      <c r="G3" s="15" t="str">
        <f t="shared" si="3"/>
        <v>#NAME?</v>
      </c>
    </row>
    <row r="4">
      <c r="A4" s="15" t="str">
        <f t="shared" ref="A4:G4" si="4">OpenSolver_FastBuild=0</f>
        <v>#NAME?</v>
      </c>
      <c r="B4" s="15" t="str">
        <f t="shared" si="4"/>
        <v>#NAME?</v>
      </c>
      <c r="C4" s="15" t="str">
        <f t="shared" si="4"/>
        <v>#NAME?</v>
      </c>
      <c r="D4" s="15" t="str">
        <f t="shared" si="4"/>
        <v>#NAME?</v>
      </c>
      <c r="E4" s="15" t="str">
        <f t="shared" si="4"/>
        <v>#NAME?</v>
      </c>
      <c r="F4" s="15" t="str">
        <f t="shared" si="4"/>
        <v>#NAME?</v>
      </c>
      <c r="G4" s="15" t="str">
        <f t="shared" si="4"/>
        <v>#NAME?</v>
      </c>
    </row>
    <row r="5">
      <c r="A5" s="15" t="str">
        <f t="shared" ref="A5:G5" si="5">OpenSolver_LinearityCheck=1</f>
        <v>#NAME?</v>
      </c>
      <c r="B5" s="15" t="str">
        <f t="shared" si="5"/>
        <v>#NAME?</v>
      </c>
      <c r="C5" s="15" t="str">
        <f t="shared" si="5"/>
        <v>#NAME?</v>
      </c>
      <c r="D5" s="15" t="str">
        <f t="shared" si="5"/>
        <v>#NAME?</v>
      </c>
      <c r="E5" s="15" t="str">
        <f t="shared" si="5"/>
        <v>#NAME?</v>
      </c>
      <c r="F5" s="15" t="str">
        <f t="shared" si="5"/>
        <v>#NAME?</v>
      </c>
      <c r="G5" s="15" t="str">
        <f t="shared" si="5"/>
        <v>#NAME?</v>
      </c>
    </row>
    <row r="6">
      <c r="A6" s="15" t="str">
        <f>solver_neg=1</f>
        <v>#NAME?</v>
      </c>
      <c r="B6" s="15" t="str">
        <f>solver_adj=Minimize cost!B16:D16</f>
        <v>#ERROR!</v>
      </c>
      <c r="C6" s="15" t="str">
        <f>solver_adj=Maximize seats in new buses!B16:D16</f>
        <v>#ERROR!</v>
      </c>
      <c r="D6" s="15" t="str">
        <f>solver_adj=Filatoi Riuniti!B25:H28</f>
        <v>#ERROR!</v>
      </c>
      <c r="E6" s="15" t="str">
        <f>solver_adj=New Bedford Steel!B19:I19</f>
        <v>#ERROR!</v>
      </c>
      <c r="F6" s="15" t="str">
        <f>solver_adj=Cocoa pricing!C55:C70</f>
        <v>#ERROR!</v>
      </c>
      <c r="G6" s="15" t="str">
        <f>solver_adj=Display Ads!C55:F70</f>
        <v>#ERROR!</v>
      </c>
    </row>
    <row r="7">
      <c r="A7" s="15" t="str">
        <f>solver_num=0</f>
        <v>#NAME?</v>
      </c>
      <c r="B7" s="15" t="str">
        <f>solver_lhs1=Minimize cost!B23</f>
        <v>#ERROR!</v>
      </c>
      <c r="C7" s="15" t="str">
        <f>solver_lhs1=Maximize seats in new buses!B23</f>
        <v>#ERROR!</v>
      </c>
      <c r="D7" s="15" t="str">
        <f>solver_lhs1=Filatoi Riuniti!B35:B38</f>
        <v>#ERROR!</v>
      </c>
      <c r="E7" s="15" t="str">
        <f>solver_lhs1=New Bedford Steel!B27</f>
        <v>#ERROR!</v>
      </c>
      <c r="F7" s="15" t="str">
        <f>solver_adj1=Cocoa pricing!H55:H70</f>
        <v>#ERROR!</v>
      </c>
      <c r="G7" s="15" t="str">
        <f>solver_adj1=Display Ads!H55:K70</f>
        <v>#ERROR!</v>
      </c>
    </row>
    <row r="8">
      <c r="A8" s="15" t="str">
        <f>solver_sho=1</f>
        <v>#NAME?</v>
      </c>
      <c r="B8" s="15" t="str">
        <f>solver_lhs2=Minimize cost!B24</f>
        <v>#ERROR!</v>
      </c>
      <c r="C8" s="15" t="str">
        <f>solver_lhs2=Maximize seats in new buses!B24</f>
        <v>#ERROR!</v>
      </c>
      <c r="D8" s="15" t="str">
        <f>solver_lhs2=Filatoi Riuniti!B39:B45</f>
        <v>#ERROR!</v>
      </c>
      <c r="E8" s="15" t="str">
        <f>solver_lhs2=New Bedford Steel!B28</f>
        <v>#ERROR!</v>
      </c>
      <c r="F8" s="15" t="str">
        <f>solver_adj2=Cocoa pricing!M55:M70</f>
        <v>#ERROR!</v>
      </c>
      <c r="G8" s="15" t="str">
        <f>solver_adj2=Display Ads!M55:P70</f>
        <v>#ERROR!</v>
      </c>
    </row>
    <row r="9">
      <c r="A9" s="15" t="str">
        <f>solver_typ=1</f>
        <v>#NAME?</v>
      </c>
      <c r="B9" s="15" t="str">
        <f>solver_lhs3=Minimize cost!B25</f>
        <v>#ERROR!</v>
      </c>
      <c r="C9" s="15" t="str">
        <f>solver_lhs3=Maximize seats in new buses!B25</f>
        <v>#ERROR!</v>
      </c>
      <c r="D9" s="15" t="str">
        <f>solver_lhs3=Filatoi Riuniti!B46:B47</f>
        <v>#ERROR!</v>
      </c>
      <c r="E9" s="15" t="str">
        <f>solver_lhs3=New Bedford Steel!B29:B30</f>
        <v>#ERROR!</v>
      </c>
      <c r="F9" s="15" t="str">
        <f>solver_lhs1=Cocoa pricing!B77:B79</f>
        <v>#ERROR!</v>
      </c>
      <c r="G9" s="15" t="str">
        <f>solver_lhs1=Display Ads!B77:B79</f>
        <v>#ERROR!</v>
      </c>
    </row>
    <row r="10">
      <c r="A10" s="15" t="str">
        <f>solver_val=0</f>
        <v>#NAME?</v>
      </c>
      <c r="B10" s="15" t="str">
        <f>solver_lhs4=Minimize cost!B26</f>
        <v>#ERROR!</v>
      </c>
      <c r="C10" s="15" t="str">
        <f>solver_lhs4=Maximize seats in new buses!B26</f>
        <v>#ERROR!</v>
      </c>
      <c r="D10" s="15" t="str">
        <f>solver_lhs4=Filatoi Riuniti!B25:H28</f>
        <v>#ERROR!</v>
      </c>
      <c r="E10" s="15" t="str">
        <f>solver_lhs4=New Bedford Steel!B31</f>
        <v>#ERROR!</v>
      </c>
      <c r="F10" s="15" t="str">
        <f>solver_lhs2=Cocoa pricing!B80:B83</f>
        <v>#ERROR!</v>
      </c>
      <c r="G10" s="15" t="str">
        <f>solver_lhs2=Display Ads!B80:B83</f>
        <v>#ERROR!</v>
      </c>
    </row>
    <row r="11">
      <c r="B11" s="15" t="str">
        <f>solver_neg=1</f>
        <v>#NAME?</v>
      </c>
      <c r="C11" s="15" t="str">
        <f>solver_lhs5=Maximize seats in new buses!B16:D16</f>
        <v>#ERROR!</v>
      </c>
      <c r="D11" s="15" t="str">
        <f>solver_neg=1</f>
        <v>#NAME?</v>
      </c>
      <c r="E11" s="15" t="str">
        <f>solver_lhs5=New Bedford Steel!B32:B39</f>
        <v>#ERROR!</v>
      </c>
      <c r="F11" s="15" t="str">
        <f>solver_lhs3=Cocoa pricing!C55:C70</f>
        <v>#ERROR!</v>
      </c>
      <c r="G11" s="15" t="str">
        <f>solver_lhs3=Display Ads!C55:F70</f>
        <v>#ERROR!</v>
      </c>
    </row>
    <row r="12">
      <c r="B12" s="15" t="str">
        <f>solver_num=4</f>
        <v>#NAME?</v>
      </c>
      <c r="C12" s="15" t="str">
        <f>solver_neg=1</f>
        <v>#NAME?</v>
      </c>
      <c r="D12" s="15" t="str">
        <f>solver_num=4</f>
        <v>#NAME?</v>
      </c>
      <c r="E12" s="15" t="str">
        <f>solver_neg=1</f>
        <v>#NAME?</v>
      </c>
      <c r="F12" s="15" t="str">
        <f>solver_lhs4=Cocoa pricing!H55:H70</f>
        <v>#ERROR!</v>
      </c>
      <c r="G12" s="15" t="str">
        <f>solver_lhs4=Display Ads!H55:K70</f>
        <v>#ERROR!</v>
      </c>
    </row>
    <row r="13">
      <c r="B13" s="15" t="str">
        <f>solver_opt=Minimize cost!B19</f>
        <v>#ERROR!</v>
      </c>
      <c r="C13" s="15" t="str">
        <f>solver_num=5</f>
        <v>#NAME?</v>
      </c>
      <c r="D13" s="15" t="str">
        <f>solver_opt=Filatoi Riuniti!B31</f>
        <v>#ERROR!</v>
      </c>
      <c r="E13" s="15" t="str">
        <f>solver_num=5</f>
        <v>#NAME?</v>
      </c>
      <c r="F13" s="15" t="str">
        <f>solver_lhs5=Cocoa pricing!M55:M70</f>
        <v>#ERROR!</v>
      </c>
      <c r="G13" s="15" t="str">
        <f>solver_lhs5=Display Ads!M55:P70</f>
        <v>#ERROR!</v>
      </c>
    </row>
    <row r="14">
      <c r="B14" s="15" t="str">
        <f>solver_rel1=3</f>
        <v>#NAME?</v>
      </c>
      <c r="C14" s="15" t="str">
        <f>solver_opt=Maximize seats in new buses!B19</f>
        <v>#ERROR!</v>
      </c>
      <c r="D14" s="15" t="str">
        <f>solver_rel1=3</f>
        <v>#NAME?</v>
      </c>
      <c r="E14" s="15" t="str">
        <f>solver_opt=New Bedford Steel!B23</f>
        <v>#ERROR!</v>
      </c>
      <c r="F14" s="15" t="str">
        <f t="shared" ref="F14:G14" si="6">solver_neg=1</f>
        <v>#NAME?</v>
      </c>
      <c r="G14" s="15" t="str">
        <f t="shared" si="6"/>
        <v>#NAME?</v>
      </c>
    </row>
    <row r="15">
      <c r="B15" s="15" t="str">
        <f>solver_rel2=3</f>
        <v>#NAME?</v>
      </c>
      <c r="C15" s="15" t="str">
        <f>solver_rel1=3</f>
        <v>#NAME?</v>
      </c>
      <c r="D15" s="15" t="str">
        <f>solver_rel2=1</f>
        <v>#NAME?</v>
      </c>
      <c r="E15" s="15" t="str">
        <f>solver_rel1=2</f>
        <v>#NAME?</v>
      </c>
      <c r="F15" s="15" t="str">
        <f t="shared" ref="F15:G15" si="7">solver_num=5</f>
        <v>#NAME?</v>
      </c>
      <c r="G15" s="15" t="str">
        <f t="shared" si="7"/>
        <v>#NAME?</v>
      </c>
    </row>
    <row r="16">
      <c r="B16" s="15" t="str">
        <f>solver_rel3=1</f>
        <v>#NAME?</v>
      </c>
      <c r="C16" s="15" t="str">
        <f>solver_rel2=1</f>
        <v>#NAME?</v>
      </c>
      <c r="D16" s="15" t="str">
        <f>solver_rel3=2</f>
        <v>#NAME?</v>
      </c>
      <c r="E16" s="15" t="str">
        <f>solver_rel2=3</f>
        <v>#NAME?</v>
      </c>
      <c r="F16" s="15" t="str">
        <f>solver_opt=Cocoa pricing!B73</f>
        <v>#ERROR!</v>
      </c>
      <c r="G16" s="15" t="str">
        <f>solver_opt=Display Ads!B73</f>
        <v>#ERROR!</v>
      </c>
    </row>
    <row r="17">
      <c r="B17" s="15" t="str">
        <f>solver_rel4=1</f>
        <v>#NAME?</v>
      </c>
      <c r="C17" s="15" t="str">
        <f>solver_rel3=1</f>
        <v>#NAME?</v>
      </c>
      <c r="D17" s="15" t="str">
        <f>solver_rel4=4</f>
        <v>#NAME?</v>
      </c>
      <c r="E17" s="15" t="str">
        <f>solver_rel3=1</f>
        <v>#NAME?</v>
      </c>
      <c r="F17" s="15" t="str">
        <f t="shared" ref="F17:G17" si="8">solver_rel1=1</f>
        <v>#NAME?</v>
      </c>
      <c r="G17" s="15" t="str">
        <f t="shared" si="8"/>
        <v>#NAME?</v>
      </c>
    </row>
    <row r="18">
      <c r="B18" s="15" t="str">
        <f>solver_rhs1=Minimize cost!C23</f>
        <v>#ERROR!</v>
      </c>
      <c r="C18" s="15" t="str">
        <f>solver_rel4=1</f>
        <v>#NAME?</v>
      </c>
      <c r="D18" s="15" t="str">
        <f>solver_rhs1=Filatoi Riuniti!C35:C38</f>
        <v>#ERROR!</v>
      </c>
      <c r="E18" s="15" t="str">
        <f>solver_rel4=3</f>
        <v>#NAME?</v>
      </c>
      <c r="F18" s="15" t="str">
        <f t="shared" ref="F18:G18" si="9">solver_rel2=1</f>
        <v>#NAME?</v>
      </c>
      <c r="G18" s="15" t="str">
        <f t="shared" si="9"/>
        <v>#NAME?</v>
      </c>
    </row>
    <row r="19">
      <c r="B19" s="15" t="str">
        <f>solver_rhs2=Minimize cost!C24</f>
        <v>#ERROR!</v>
      </c>
      <c r="C19" s="15" t="str">
        <f>solver_rel5=4</f>
        <v>#NAME?</v>
      </c>
      <c r="D19" s="15" t="str">
        <f>solver_rhs2=Filatoi Riuniti!C39:C45</f>
        <v>#ERROR!</v>
      </c>
      <c r="E19" s="15" t="str">
        <f>solver_rel5=1</f>
        <v>#NAME?</v>
      </c>
      <c r="F19" s="15" t="str">
        <f t="shared" ref="F19:G19" si="10">solver_rel3=4</f>
        <v>#NAME?</v>
      </c>
      <c r="G19" s="15" t="str">
        <f t="shared" si="10"/>
        <v>#NAME?</v>
      </c>
    </row>
    <row r="20">
      <c r="B20" s="15" t="str">
        <f>solver_rhs3=Minimize cost!C25</f>
        <v>#ERROR!</v>
      </c>
      <c r="C20" s="15" t="str">
        <f>solver_rhs1=Maximize seats in new buses!C23</f>
        <v>#ERROR!</v>
      </c>
      <c r="D20" s="15" t="str">
        <f>solver_rhs3=Filatoi Riuniti!C46:C47</f>
        <v>#ERROR!</v>
      </c>
      <c r="E20" s="15" t="str">
        <f>solver_rhs1=New Bedford Steel!C27</f>
        <v>#ERROR!</v>
      </c>
      <c r="F20" s="15" t="str">
        <f t="shared" ref="F20:G20" si="11">solver_rel4=4</f>
        <v>#NAME?</v>
      </c>
      <c r="G20" s="15" t="str">
        <f t="shared" si="11"/>
        <v>#NAME?</v>
      </c>
    </row>
    <row r="21">
      <c r="B21" s="15" t="str">
        <f>solver_rhs4=Minimize cost!C26</f>
        <v>#ERROR!</v>
      </c>
      <c r="C21" s="15" t="str">
        <f>solver_rhs2=Maximize seats in new buses!C24</f>
        <v>#ERROR!</v>
      </c>
      <c r="D21" s="15" t="str">
        <f>solver_rhs4=integer</f>
        <v>#NAME?</v>
      </c>
      <c r="E21" s="15" t="str">
        <f>solver_rhs2=New Bedford Steel!C28</f>
        <v>#ERROR!</v>
      </c>
      <c r="F21" s="15" t="str">
        <f t="shared" ref="F21:G21" si="12">solver_rel5=4</f>
        <v>#NAME?</v>
      </c>
      <c r="G21" s="15" t="str">
        <f t="shared" si="12"/>
        <v>#NAME?</v>
      </c>
    </row>
    <row r="22">
      <c r="B22" s="15" t="str">
        <f>solver_sho=1</f>
        <v>#NAME?</v>
      </c>
      <c r="C22" s="15" t="str">
        <f>solver_rhs3=Maximize seats in new buses!C25</f>
        <v>#ERROR!</v>
      </c>
      <c r="D22" s="15" t="str">
        <f>solver_sho=1</f>
        <v>#NAME?</v>
      </c>
      <c r="E22" s="15" t="str">
        <f>solver_rhs3=New Bedford Steel!C29:C30</f>
        <v>#ERROR!</v>
      </c>
      <c r="F22" s="15" t="str">
        <f>solver_rhs1=Cocoa pricing!C77:C79</f>
        <v>#ERROR!</v>
      </c>
      <c r="G22" s="15" t="str">
        <f>solver_rhs1=Display Ads!C77:C79</f>
        <v>#ERROR!</v>
      </c>
    </row>
    <row r="23">
      <c r="B23" s="15" t="str">
        <f>solver_typ=2</f>
        <v>#NAME?</v>
      </c>
      <c r="C23" s="15" t="str">
        <f>solver_rhs4=Maximize seats in new buses!C26</f>
        <v>#ERROR!</v>
      </c>
      <c r="D23" s="15" t="str">
        <f>solver_typ=2</f>
        <v>#NAME?</v>
      </c>
      <c r="E23" s="15" t="str">
        <f>solver_rhs4=New Bedford Steel!C31</f>
        <v>#ERROR!</v>
      </c>
      <c r="F23" s="15" t="str">
        <f>solver_rhs2=Cocoa pricing!C80:C83</f>
        <v>#ERROR!</v>
      </c>
      <c r="G23" s="15" t="str">
        <f>solver_rhs2=Display Ads!C80:C83</f>
        <v>#ERROR!</v>
      </c>
    </row>
    <row r="24">
      <c r="B24" s="15" t="str">
        <f>solver_val=0</f>
        <v>#NAME?</v>
      </c>
      <c r="C24" s="15" t="str">
        <f>solver_rhs5=integer</f>
        <v>#NAME?</v>
      </c>
      <c r="D24" s="15" t="str">
        <f>solver_val=0</f>
        <v>#NAME?</v>
      </c>
      <c r="E24" s="15" t="str">
        <f>solver_rhs5=New Bedford Steel!C32:C39</f>
        <v>#ERROR!</v>
      </c>
      <c r="F24" s="15" t="str">
        <f t="shared" ref="F24:G24" si="13">solver_rhs3=integer</f>
        <v>#NAME?</v>
      </c>
      <c r="G24" s="15" t="str">
        <f t="shared" si="13"/>
        <v>#NAME?</v>
      </c>
    </row>
    <row r="25">
      <c r="C25" s="15" t="str">
        <f>solver_sho=1</f>
        <v>#NAME?</v>
      </c>
      <c r="E25" s="15" t="str">
        <f>solver_sho=1</f>
        <v>#NAME?</v>
      </c>
      <c r="F25" s="15" t="str">
        <f t="shared" ref="F25:G25" si="14">solver_rhs4=integer</f>
        <v>#NAME?</v>
      </c>
      <c r="G25" s="15" t="str">
        <f t="shared" si="14"/>
        <v>#NAME?</v>
      </c>
    </row>
    <row r="26">
      <c r="C26" s="15" t="str">
        <f>solver_typ=1</f>
        <v>#NAME?</v>
      </c>
      <c r="E26" s="15" t="str">
        <f>solver_typ=2</f>
        <v>#NAME?</v>
      </c>
      <c r="F26" s="15" t="str">
        <f t="shared" ref="F26:G26" si="15">solver_rhs5=integer</f>
        <v>#NAME?</v>
      </c>
      <c r="G26" s="15" t="str">
        <f t="shared" si="15"/>
        <v>#NAME?</v>
      </c>
    </row>
    <row r="27">
      <c r="C27" s="15" t="str">
        <f>solver_val=0</f>
        <v>#NAME?</v>
      </c>
      <c r="E27" s="15" t="str">
        <f>solver_val=0</f>
        <v>#NAME?</v>
      </c>
      <c r="F27" s="15" t="str">
        <f t="shared" ref="F27:G27" si="16">solver_sho=1</f>
        <v>#NAME?</v>
      </c>
      <c r="G27" s="15" t="str">
        <f t="shared" si="16"/>
        <v>#NAME?</v>
      </c>
    </row>
    <row r="28">
      <c r="F28" s="15" t="str">
        <f t="shared" ref="F28:G28" si="17">solver_typ=1</f>
        <v>#NAME?</v>
      </c>
      <c r="G28" s="15" t="str">
        <f t="shared" si="17"/>
        <v>#NAME?</v>
      </c>
    </row>
    <row r="29">
      <c r="F29" s="15" t="str">
        <f t="shared" ref="F29:G29" si="18">solver_val=0</f>
        <v>#NAME?</v>
      </c>
      <c r="G29" s="15" t="str">
        <f t="shared" si="18"/>
        <v>#NAME?</v>
      </c>
    </row>
  </sheetData>
  <drawing r:id="rId1"/>
</worksheet>
</file>