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ompartir\Copia de Respaldo 2013\Italtel\2021\CRISTINA\INFORME LOCAL 2021\"/>
    </mc:Choice>
  </mc:AlternateContent>
  <xr:revisionPtr revIDLastSave="0" documentId="13_ncr:1_{62657004-8D70-4007-939B-83821F09F359}" xr6:coauthVersionLast="47" xr6:coauthVersionMax="47" xr10:uidLastSave="{00000000-0000-0000-0000-000000000000}"/>
  <bookViews>
    <workbookView xWindow="-110" yWindow="-110" windowWidth="19420" windowHeight="10420" activeTab="4" xr2:uid="{11BD5A98-F835-4E68-81E3-E1BC7E53DE03}"/>
  </bookViews>
  <sheets>
    <sheet name="Ingresos_EBITDA_Net_Income" sheetId="1" r:id="rId1"/>
    <sheet name="BS_soles" sheetId="2" r:id="rId2"/>
    <sheet name="IS_soles" sheetId="3" r:id="rId3"/>
    <sheet name="Ratios" sheetId="4" r:id="rId4"/>
    <sheet name="Gráficos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" l="1"/>
  <c r="P10" i="1"/>
  <c r="Q9" i="1"/>
  <c r="P9" i="1"/>
  <c r="Q8" i="1"/>
  <c r="P8" i="1"/>
  <c r="D34" i="4"/>
  <c r="E34" i="4"/>
  <c r="F34" i="4"/>
  <c r="G34" i="4"/>
  <c r="H34" i="4"/>
  <c r="I34" i="4"/>
  <c r="J34" i="4"/>
  <c r="K34" i="4"/>
  <c r="M34" i="4"/>
  <c r="N34" i="4"/>
  <c r="C34" i="4"/>
  <c r="D32" i="4"/>
  <c r="E32" i="4"/>
  <c r="F32" i="4"/>
  <c r="G32" i="4"/>
  <c r="H32" i="4"/>
  <c r="I32" i="4"/>
  <c r="J32" i="4"/>
  <c r="K32" i="4"/>
  <c r="M32" i="4"/>
  <c r="N32" i="4"/>
  <c r="C32" i="4"/>
  <c r="Q12" i="4"/>
  <c r="Q16" i="4"/>
  <c r="Q14" i="4"/>
  <c r="Q64" i="2"/>
  <c r="Q40" i="2"/>
  <c r="Q69" i="2"/>
  <c r="P70" i="2"/>
  <c r="Q56" i="2" l="1"/>
  <c r="Q18" i="2"/>
  <c r="Q42" i="2" s="1"/>
  <c r="AJ78" i="3" l="1"/>
  <c r="AJ72" i="3"/>
  <c r="AJ29" i="3"/>
  <c r="AJ14" i="3"/>
  <c r="AJ8" i="3"/>
  <c r="AJ6" i="3"/>
  <c r="AJ25" i="3" l="1"/>
  <c r="AJ33" i="3" s="1"/>
  <c r="AJ34" i="3" s="1"/>
  <c r="AJ31" i="3"/>
  <c r="Q11" i="4"/>
  <c r="Q19" i="4"/>
  <c r="O26" i="4"/>
  <c r="M26" i="4"/>
  <c r="L26" i="4"/>
  <c r="K26" i="4"/>
  <c r="J26" i="4"/>
  <c r="I26" i="4"/>
  <c r="H26" i="4"/>
  <c r="G26" i="4"/>
  <c r="F26" i="4"/>
  <c r="E26" i="4"/>
  <c r="Q25" i="4"/>
  <c r="O25" i="4"/>
  <c r="M25" i="4"/>
  <c r="L25" i="4"/>
  <c r="K25" i="4"/>
  <c r="J25" i="4"/>
  <c r="I25" i="4"/>
  <c r="H25" i="4"/>
  <c r="G25" i="4"/>
  <c r="F25" i="4"/>
  <c r="E25" i="4"/>
  <c r="D25" i="4"/>
  <c r="C25" i="4"/>
  <c r="Q24" i="4"/>
  <c r="M24" i="4"/>
  <c r="L24" i="4"/>
  <c r="K24" i="4"/>
  <c r="J24" i="4"/>
  <c r="I24" i="4"/>
  <c r="H24" i="4"/>
  <c r="G24" i="4"/>
  <c r="F24" i="4"/>
  <c r="E24" i="4"/>
  <c r="D24" i="4"/>
  <c r="C24" i="4"/>
  <c r="N23" i="4"/>
  <c r="M23" i="4"/>
  <c r="L23" i="4"/>
  <c r="K23" i="4"/>
  <c r="J23" i="4"/>
  <c r="I23" i="4"/>
  <c r="H23" i="4"/>
  <c r="G23" i="4"/>
  <c r="F23" i="4"/>
  <c r="E23" i="4"/>
  <c r="O22" i="4"/>
  <c r="M22" i="4"/>
  <c r="L22" i="4"/>
  <c r="K22" i="4"/>
  <c r="J22" i="4"/>
  <c r="I22" i="4"/>
  <c r="H22" i="4"/>
  <c r="G22" i="4"/>
  <c r="F22" i="4"/>
  <c r="E22" i="4"/>
  <c r="N19" i="4"/>
  <c r="M19" i="4"/>
  <c r="L19" i="4"/>
  <c r="K19" i="4"/>
  <c r="J19" i="4"/>
  <c r="I19" i="4"/>
  <c r="H19" i="4"/>
  <c r="G19" i="4"/>
  <c r="F19" i="4"/>
  <c r="E19" i="4"/>
  <c r="D19" i="4"/>
  <c r="C19" i="4"/>
  <c r="N16" i="4"/>
  <c r="M16" i="4"/>
  <c r="L16" i="4"/>
  <c r="K16" i="4"/>
  <c r="J16" i="4"/>
  <c r="I16" i="4"/>
  <c r="H16" i="4"/>
  <c r="G16" i="4"/>
  <c r="F16" i="4"/>
  <c r="E16" i="4"/>
  <c r="D16" i="4"/>
  <c r="C16" i="4"/>
  <c r="N15" i="4"/>
  <c r="M15" i="4"/>
  <c r="L15" i="4"/>
  <c r="K15" i="4"/>
  <c r="J15" i="4"/>
  <c r="I15" i="4"/>
  <c r="H15" i="4"/>
  <c r="G15" i="4"/>
  <c r="F15" i="4"/>
  <c r="E15" i="4"/>
  <c r="D15" i="4"/>
  <c r="C15" i="4"/>
  <c r="N14" i="4"/>
  <c r="M14" i="4"/>
  <c r="L14" i="4"/>
  <c r="K14" i="4"/>
  <c r="J14" i="4"/>
  <c r="I14" i="4"/>
  <c r="H14" i="4"/>
  <c r="G14" i="4"/>
  <c r="F14" i="4"/>
  <c r="E14" i="4"/>
  <c r="D14" i="4"/>
  <c r="C14" i="4"/>
  <c r="N13" i="4"/>
  <c r="M13" i="4"/>
  <c r="L13" i="4"/>
  <c r="K13" i="4"/>
  <c r="J13" i="4"/>
  <c r="I13" i="4"/>
  <c r="H13" i="4"/>
  <c r="G13" i="4"/>
  <c r="F13" i="4"/>
  <c r="E13" i="4"/>
  <c r="D13" i="4"/>
  <c r="C13" i="4"/>
  <c r="N12" i="4"/>
  <c r="M12" i="4"/>
  <c r="L12" i="4"/>
  <c r="L17" i="4" s="1"/>
  <c r="L18" i="4" s="1"/>
  <c r="K12" i="4"/>
  <c r="J12" i="4"/>
  <c r="I12" i="4"/>
  <c r="H12" i="4"/>
  <c r="G12" i="4"/>
  <c r="F12" i="4"/>
  <c r="E12" i="4"/>
  <c r="D12" i="4"/>
  <c r="D17" i="4" s="1"/>
  <c r="C12" i="4"/>
  <c r="N11" i="4"/>
  <c r="M11" i="4"/>
  <c r="L11" i="4"/>
  <c r="K11" i="4"/>
  <c r="J11" i="4"/>
  <c r="I11" i="4"/>
  <c r="H11" i="4"/>
  <c r="G11" i="4"/>
  <c r="F11" i="4"/>
  <c r="E11" i="4"/>
  <c r="D11" i="4"/>
  <c r="C11" i="4"/>
  <c r="Q8" i="4"/>
  <c r="O8" i="4"/>
  <c r="N8" i="4"/>
  <c r="M8" i="4"/>
  <c r="L8" i="4"/>
  <c r="K8" i="4"/>
  <c r="J8" i="4"/>
  <c r="I8" i="4"/>
  <c r="H8" i="4"/>
  <c r="G8" i="4"/>
  <c r="F8" i="4"/>
  <c r="E8" i="4"/>
  <c r="D8" i="4"/>
  <c r="C8" i="4"/>
  <c r="Q7" i="4"/>
  <c r="N7" i="4"/>
  <c r="M7" i="4"/>
  <c r="L7" i="4"/>
  <c r="K7" i="4"/>
  <c r="J7" i="4"/>
  <c r="I7" i="4"/>
  <c r="H7" i="4"/>
  <c r="G7" i="4"/>
  <c r="F7" i="4"/>
  <c r="E7" i="4"/>
  <c r="D7" i="4"/>
  <c r="C7" i="4"/>
  <c r="Q6" i="4"/>
  <c r="N6" i="4"/>
  <c r="M6" i="4"/>
  <c r="L6" i="4"/>
  <c r="K6" i="4"/>
  <c r="J6" i="4"/>
  <c r="I6" i="4"/>
  <c r="H6" i="4"/>
  <c r="G6" i="4"/>
  <c r="F6" i="4"/>
  <c r="E6" i="4"/>
  <c r="D6" i="4"/>
  <c r="C6" i="4"/>
  <c r="Q5" i="4"/>
  <c r="N5" i="4"/>
  <c r="M5" i="4"/>
  <c r="L5" i="4"/>
  <c r="K5" i="4"/>
  <c r="J5" i="4"/>
  <c r="I5" i="4"/>
  <c r="H5" i="4"/>
  <c r="G5" i="4"/>
  <c r="F5" i="4"/>
  <c r="E5" i="4"/>
  <c r="D5" i="4"/>
  <c r="C5" i="4"/>
  <c r="J55" i="3"/>
  <c r="R55" i="3"/>
  <c r="N55" i="3"/>
  <c r="M55" i="3"/>
  <c r="O55" i="3"/>
  <c r="L55" i="3"/>
  <c r="K55" i="3"/>
  <c r="I55" i="3"/>
  <c r="H55" i="3"/>
  <c r="P28" i="3"/>
  <c r="P55" i="3"/>
  <c r="D18" i="4" l="1"/>
  <c r="AJ26" i="3"/>
  <c r="AJ41" i="3"/>
  <c r="Q17" i="4"/>
  <c r="Q18" i="4" s="1"/>
  <c r="E17" i="4"/>
  <c r="E18" i="4" s="1"/>
  <c r="M17" i="4"/>
  <c r="M18" i="4" s="1"/>
  <c r="G17" i="4"/>
  <c r="G18" i="4" s="1"/>
  <c r="H17" i="4"/>
  <c r="H18" i="4" s="1"/>
  <c r="I17" i="4"/>
  <c r="I18" i="4" s="1"/>
  <c r="F17" i="4"/>
  <c r="F18" i="4" s="1"/>
  <c r="N17" i="4"/>
  <c r="N18" i="4" s="1"/>
  <c r="J17" i="4"/>
  <c r="J18" i="4" s="1"/>
  <c r="C17" i="4"/>
  <c r="C18" i="4" s="1"/>
  <c r="K17" i="4"/>
  <c r="K18" i="4" s="1"/>
  <c r="Q28" i="3"/>
  <c r="Q55" i="3"/>
  <c r="AJ52" i="3" l="1"/>
  <c r="AJ42" i="3"/>
  <c r="D49" i="2"/>
  <c r="C51" i="2"/>
  <c r="I11" i="3"/>
  <c r="C49" i="2"/>
  <c r="H57" i="3"/>
  <c r="O57" i="3"/>
  <c r="AJ53" i="3" l="1"/>
  <c r="G51" i="2"/>
  <c r="G50" i="2"/>
  <c r="G49" i="2"/>
  <c r="G16" i="2"/>
  <c r="G11" i="2"/>
  <c r="F16" i="2"/>
  <c r="F49" i="2"/>
  <c r="E47" i="2"/>
  <c r="E49" i="2"/>
  <c r="L69" i="3"/>
  <c r="M68" i="3"/>
  <c r="J51" i="2" l="1"/>
  <c r="K10" i="2"/>
  <c r="Q53" i="3"/>
  <c r="N61" i="2"/>
  <c r="E72" i="2" l="1"/>
  <c r="F72" i="2"/>
  <c r="G72" i="2"/>
  <c r="H72" i="2"/>
  <c r="I72" i="2"/>
  <c r="J72" i="2"/>
  <c r="K72" i="2"/>
  <c r="L72" i="2"/>
  <c r="M72" i="2"/>
  <c r="N72" i="2"/>
  <c r="O72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56" i="2"/>
  <c r="P64" i="2"/>
  <c r="P40" i="2"/>
  <c r="N22" i="4" l="1"/>
  <c r="N25" i="4"/>
  <c r="N26" i="4"/>
  <c r="N24" i="4"/>
  <c r="P25" i="4"/>
  <c r="O5" i="4"/>
  <c r="O6" i="4"/>
  <c r="O7" i="4"/>
  <c r="D42" i="2"/>
  <c r="F42" i="2"/>
  <c r="E42" i="2"/>
  <c r="I42" i="2"/>
  <c r="K74" i="2"/>
  <c r="L42" i="2"/>
  <c r="M42" i="2"/>
  <c r="H74" i="2"/>
  <c r="J42" i="2"/>
  <c r="L74" i="2"/>
  <c r="H42" i="2"/>
  <c r="J74" i="2"/>
  <c r="K42" i="2"/>
  <c r="C42" i="2"/>
  <c r="G42" i="2"/>
  <c r="N42" i="2"/>
  <c r="O42" i="2"/>
  <c r="N74" i="2"/>
  <c r="F74" i="2"/>
  <c r="M74" i="2"/>
  <c r="E74" i="2"/>
  <c r="I74" i="2"/>
  <c r="O74" i="2"/>
  <c r="G74" i="2"/>
  <c r="O24" i="4" l="1"/>
  <c r="O23" i="4"/>
  <c r="M76" i="2"/>
  <c r="E76" i="2"/>
  <c r="G76" i="2"/>
  <c r="F76" i="2"/>
  <c r="H76" i="2"/>
  <c r="K76" i="2"/>
  <c r="I76" i="2"/>
  <c r="J76" i="2"/>
  <c r="L76" i="2"/>
  <c r="O76" i="2"/>
  <c r="N76" i="2"/>
  <c r="S78" i="3" l="1"/>
  <c r="R78" i="3"/>
  <c r="Q78" i="3"/>
  <c r="P78" i="3"/>
  <c r="O78" i="3"/>
  <c r="N78" i="3"/>
  <c r="M78" i="3"/>
  <c r="L78" i="3"/>
  <c r="K78" i="3"/>
  <c r="J78" i="3"/>
  <c r="I78" i="3"/>
  <c r="H78" i="3"/>
  <c r="S72" i="3"/>
  <c r="R72" i="3"/>
  <c r="Q72" i="3"/>
  <c r="P72" i="3"/>
  <c r="O72" i="3"/>
  <c r="N72" i="3"/>
  <c r="M72" i="3"/>
  <c r="L72" i="3"/>
  <c r="K72" i="3"/>
  <c r="J72" i="3"/>
  <c r="I72" i="3"/>
  <c r="H72" i="3"/>
  <c r="L31" i="3"/>
  <c r="S21" i="3"/>
  <c r="S31" i="3" s="1"/>
  <c r="R21" i="3"/>
  <c r="R31" i="3" s="1"/>
  <c r="Q21" i="3"/>
  <c r="Q31" i="3" s="1"/>
  <c r="P21" i="3"/>
  <c r="P31" i="3" s="1"/>
  <c r="O21" i="3"/>
  <c r="O31" i="3" s="1"/>
  <c r="N21" i="3"/>
  <c r="N31" i="3" s="1"/>
  <c r="M21" i="3"/>
  <c r="M31" i="3" s="1"/>
  <c r="L21" i="3"/>
  <c r="K21" i="3"/>
  <c r="K31" i="3" s="1"/>
  <c r="J21" i="3"/>
  <c r="I21" i="3"/>
  <c r="H21" i="3"/>
  <c r="S14" i="3"/>
  <c r="R14" i="3"/>
  <c r="Q14" i="3"/>
  <c r="P14" i="3"/>
  <c r="O14" i="3"/>
  <c r="N14" i="3"/>
  <c r="M14" i="3"/>
  <c r="L14" i="3"/>
  <c r="K14" i="3"/>
  <c r="J14" i="3"/>
  <c r="I14" i="3"/>
  <c r="H14" i="3"/>
  <c r="S6" i="3"/>
  <c r="R6" i="3"/>
  <c r="Q6" i="3"/>
  <c r="P6" i="3"/>
  <c r="O6" i="3"/>
  <c r="N6" i="3"/>
  <c r="M6" i="3"/>
  <c r="L6" i="3"/>
  <c r="K6" i="3"/>
  <c r="J6" i="3"/>
  <c r="I6" i="3"/>
  <c r="H6" i="3"/>
  <c r="AH78" i="3"/>
  <c r="AA78" i="3"/>
  <c r="Z78" i="3"/>
  <c r="Y78" i="3"/>
  <c r="F78" i="3"/>
  <c r="AG77" i="3"/>
  <c r="AG78" i="3" s="1"/>
  <c r="W77" i="3"/>
  <c r="T77" i="3"/>
  <c r="V77" i="3" s="1"/>
  <c r="V76" i="3"/>
  <c r="AH72" i="3"/>
  <c r="AA72" i="3"/>
  <c r="Z72" i="3"/>
  <c r="X72" i="3"/>
  <c r="F72" i="3"/>
  <c r="AD71" i="3"/>
  <c r="AB71" i="3"/>
  <c r="T71" i="3"/>
  <c r="V71" i="3" s="1"/>
  <c r="AG70" i="3"/>
  <c r="W70" i="3"/>
  <c r="T70" i="3"/>
  <c r="V70" i="3" s="1"/>
  <c r="AG69" i="3"/>
  <c r="W69" i="3"/>
  <c r="Y69" i="3" s="1"/>
  <c r="T69" i="3"/>
  <c r="V69" i="3" s="1"/>
  <c r="AG68" i="3"/>
  <c r="W68" i="3"/>
  <c r="Y68" i="3" s="1"/>
  <c r="T68" i="3"/>
  <c r="V68" i="3" s="1"/>
  <c r="AG63" i="3"/>
  <c r="AF63" i="3"/>
  <c r="AE63" i="3"/>
  <c r="V63" i="3"/>
  <c r="T59" i="3"/>
  <c r="F59" i="3"/>
  <c r="T58" i="3"/>
  <c r="V58" i="3" s="1"/>
  <c r="AG57" i="3"/>
  <c r="W57" i="3"/>
  <c r="V57" i="3"/>
  <c r="AB56" i="3"/>
  <c r="Y56" i="3"/>
  <c r="V56" i="3"/>
  <c r="AG55" i="3"/>
  <c r="AF55" i="3"/>
  <c r="AE55" i="3"/>
  <c r="AD55" i="3"/>
  <c r="AC55" i="3"/>
  <c r="AB55" i="3"/>
  <c r="AA55" i="3"/>
  <c r="Z55" i="3"/>
  <c r="Y55" i="3"/>
  <c r="X55" i="3"/>
  <c r="W55" i="3"/>
  <c r="V55" i="3"/>
  <c r="V46" i="3"/>
  <c r="T45" i="3"/>
  <c r="F45" i="3"/>
  <c r="W39" i="3"/>
  <c r="AI39" i="3" s="1"/>
  <c r="V39" i="3"/>
  <c r="AG38" i="3"/>
  <c r="AC38" i="3"/>
  <c r="V38" i="3"/>
  <c r="AG37" i="3"/>
  <c r="AC37" i="3"/>
  <c r="V37" i="3"/>
  <c r="AI29" i="3"/>
  <c r="V29" i="3"/>
  <c r="AG28" i="3"/>
  <c r="AE28" i="3"/>
  <c r="AD28" i="3"/>
  <c r="AC28" i="3"/>
  <c r="V28" i="3"/>
  <c r="V23" i="3"/>
  <c r="T21" i="3"/>
  <c r="F21" i="3"/>
  <c r="F31" i="3" s="1"/>
  <c r="V20" i="3"/>
  <c r="V19" i="3"/>
  <c r="V18" i="3"/>
  <c r="AA14" i="3"/>
  <c r="Z14" i="3"/>
  <c r="F14" i="3"/>
  <c r="AH13" i="3"/>
  <c r="W13" i="3"/>
  <c r="T13" i="3"/>
  <c r="V13" i="3" s="1"/>
  <c r="AB12" i="3"/>
  <c r="AE12" i="3" s="1"/>
  <c r="W12" i="3"/>
  <c r="T12" i="3"/>
  <c r="V12" i="3" s="1"/>
  <c r="AG11" i="3"/>
  <c r="AG14" i="3" s="1"/>
  <c r="W11" i="3"/>
  <c r="X11" i="3" s="1"/>
  <c r="T11" i="3"/>
  <c r="V9" i="3"/>
  <c r="AI8" i="3"/>
  <c r="T8" i="3"/>
  <c r="V8" i="3" s="1"/>
  <c r="AG7" i="3"/>
  <c r="AF7" i="3"/>
  <c r="AF6" i="3" s="1"/>
  <c r="W7" i="3"/>
  <c r="X7" i="3" s="1"/>
  <c r="T7" i="3"/>
  <c r="AH6" i="3"/>
  <c r="AG6" i="3"/>
  <c r="AA6" i="3"/>
  <c r="Z6" i="3"/>
  <c r="F6" i="3"/>
  <c r="V59" i="3" l="1"/>
  <c r="V7" i="3"/>
  <c r="O12" i="4"/>
  <c r="O11" i="4"/>
  <c r="O19" i="4"/>
  <c r="O15" i="4"/>
  <c r="O13" i="4"/>
  <c r="O16" i="4"/>
  <c r="O14" i="4"/>
  <c r="H16" i="3"/>
  <c r="AI13" i="3"/>
  <c r="I16" i="3"/>
  <c r="N16" i="3"/>
  <c r="M25" i="3"/>
  <c r="M33" i="3" s="1"/>
  <c r="M41" i="3" s="1"/>
  <c r="M42" i="3" s="1"/>
  <c r="AI28" i="3"/>
  <c r="AI31" i="3" s="1"/>
  <c r="H25" i="3"/>
  <c r="H33" i="3" s="1"/>
  <c r="H41" i="3" s="1"/>
  <c r="H52" i="3" s="1"/>
  <c r="H53" i="3" s="1"/>
  <c r="I25" i="3"/>
  <c r="I33" i="3" s="1"/>
  <c r="I41" i="3" s="1"/>
  <c r="I52" i="3" s="1"/>
  <c r="I53" i="3" s="1"/>
  <c r="H31" i="3"/>
  <c r="J16" i="3"/>
  <c r="J25" i="3"/>
  <c r="J33" i="3" s="1"/>
  <c r="J41" i="3" s="1"/>
  <c r="J52" i="3" s="1"/>
  <c r="J53" i="3" s="1"/>
  <c r="I31" i="3"/>
  <c r="J31" i="3"/>
  <c r="N25" i="3"/>
  <c r="N33" i="3" s="1"/>
  <c r="N41" i="3" s="1"/>
  <c r="N52" i="3" s="1"/>
  <c r="K25" i="3"/>
  <c r="K33" i="3" s="1"/>
  <c r="K41" i="3" s="1"/>
  <c r="K52" i="3" s="1"/>
  <c r="K16" i="3"/>
  <c r="L25" i="3"/>
  <c r="L33" i="3" s="1"/>
  <c r="L16" i="3"/>
  <c r="M26" i="3"/>
  <c r="M16" i="3"/>
  <c r="M34" i="3"/>
  <c r="O16" i="3"/>
  <c r="O25" i="3"/>
  <c r="O33" i="3" s="1"/>
  <c r="O41" i="3" s="1"/>
  <c r="O52" i="3" s="1"/>
  <c r="O53" i="3" s="1"/>
  <c r="P16" i="3"/>
  <c r="P25" i="3"/>
  <c r="P33" i="3" s="1"/>
  <c r="P41" i="3" s="1"/>
  <c r="P52" i="3" s="1"/>
  <c r="Q16" i="3"/>
  <c r="Q25" i="3"/>
  <c r="Q33" i="3" s="1"/>
  <c r="Q41" i="3" s="1"/>
  <c r="Q52" i="3" s="1"/>
  <c r="R25" i="3"/>
  <c r="R33" i="3" s="1"/>
  <c r="R41" i="3" s="1"/>
  <c r="R52" i="3" s="1"/>
  <c r="R53" i="3" s="1"/>
  <c r="R16" i="3"/>
  <c r="S25" i="3"/>
  <c r="S33" i="3" s="1"/>
  <c r="S41" i="3" s="1"/>
  <c r="S52" i="3" s="1"/>
  <c r="S53" i="3" s="1"/>
  <c r="S16" i="3"/>
  <c r="T14" i="3"/>
  <c r="V14" i="3" s="1"/>
  <c r="V21" i="3"/>
  <c r="F25" i="3"/>
  <c r="F33" i="3" s="1"/>
  <c r="F34" i="3" s="1"/>
  <c r="AI56" i="3"/>
  <c r="AI37" i="3"/>
  <c r="AI63" i="3"/>
  <c r="AI12" i="3"/>
  <c r="T31" i="3"/>
  <c r="V31" i="3" s="1"/>
  <c r="W58" i="3"/>
  <c r="AI58" i="3" s="1"/>
  <c r="AJ58" i="3" s="1"/>
  <c r="AJ61" i="3" s="1"/>
  <c r="T6" i="3"/>
  <c r="V45" i="3"/>
  <c r="W6" i="3"/>
  <c r="AG72" i="3"/>
  <c r="AH14" i="3"/>
  <c r="AH25" i="3" s="1"/>
  <c r="AH33" i="3" s="1"/>
  <c r="AH41" i="3" s="1"/>
  <c r="AH52" i="3" s="1"/>
  <c r="AI55" i="3"/>
  <c r="AE71" i="3"/>
  <c r="AF71" i="3" s="1"/>
  <c r="AB68" i="3"/>
  <c r="X6" i="3"/>
  <c r="Y7" i="3"/>
  <c r="Y6" i="3" s="1"/>
  <c r="Y11" i="3"/>
  <c r="Y14" i="3" s="1"/>
  <c r="W14" i="3"/>
  <c r="AI71" i="3"/>
  <c r="X77" i="3"/>
  <c r="X78" i="3" s="1"/>
  <c r="X14" i="3"/>
  <c r="AI38" i="3"/>
  <c r="T78" i="3"/>
  <c r="AB69" i="3"/>
  <c r="T72" i="3"/>
  <c r="W78" i="3"/>
  <c r="AG25" i="3"/>
  <c r="AG33" i="3" s="1"/>
  <c r="Y57" i="3"/>
  <c r="AB57" i="3" s="1"/>
  <c r="Y70" i="3"/>
  <c r="AB70" i="3" s="1"/>
  <c r="W72" i="3"/>
  <c r="V11" i="3"/>
  <c r="F16" i="3"/>
  <c r="Z25" i="3"/>
  <c r="Z33" i="3" s="1"/>
  <c r="Z41" i="3" s="1"/>
  <c r="Z52" i="3" s="1"/>
  <c r="AA25" i="3"/>
  <c r="AA33" i="3" s="1"/>
  <c r="O17" i="4" l="1"/>
  <c r="O18" i="4" s="1"/>
  <c r="Q31" i="4"/>
  <c r="AJ74" i="3"/>
  <c r="AJ80" i="3" s="1"/>
  <c r="AJ65" i="3"/>
  <c r="AJ62" i="3"/>
  <c r="Q32" i="4" s="1"/>
  <c r="Q27" i="4"/>
  <c r="M52" i="3"/>
  <c r="M53" i="3" s="1"/>
  <c r="K34" i="3"/>
  <c r="I34" i="3"/>
  <c r="I42" i="3"/>
  <c r="I26" i="3"/>
  <c r="H42" i="3"/>
  <c r="H26" i="3"/>
  <c r="H34" i="3"/>
  <c r="N26" i="3"/>
  <c r="N53" i="3"/>
  <c r="N61" i="3" s="1"/>
  <c r="N34" i="3"/>
  <c r="N42" i="3"/>
  <c r="I61" i="3"/>
  <c r="T25" i="3"/>
  <c r="T26" i="3" s="1"/>
  <c r="J42" i="3"/>
  <c r="J26" i="3"/>
  <c r="J34" i="3"/>
  <c r="F41" i="3"/>
  <c r="F52" i="3" s="1"/>
  <c r="F53" i="3" s="1"/>
  <c r="F61" i="3" s="1"/>
  <c r="H61" i="3"/>
  <c r="L26" i="3"/>
  <c r="J61" i="3"/>
  <c r="K42" i="3"/>
  <c r="K26" i="3"/>
  <c r="K53" i="3"/>
  <c r="L41" i="3"/>
  <c r="L34" i="3"/>
  <c r="O42" i="3"/>
  <c r="O34" i="3"/>
  <c r="O26" i="3"/>
  <c r="O61" i="3"/>
  <c r="P26" i="3"/>
  <c r="P42" i="3"/>
  <c r="P53" i="3"/>
  <c r="P61" i="3" s="1"/>
  <c r="P34" i="3"/>
  <c r="Q34" i="3"/>
  <c r="Q26" i="3"/>
  <c r="Q61" i="3"/>
  <c r="Q42" i="3"/>
  <c r="R34" i="3"/>
  <c r="R26" i="3"/>
  <c r="R42" i="3"/>
  <c r="R61" i="3"/>
  <c r="S42" i="3"/>
  <c r="S34" i="3"/>
  <c r="S26" i="3"/>
  <c r="S61" i="3"/>
  <c r="V6" i="3"/>
  <c r="T16" i="3"/>
  <c r="V16" i="3" s="1"/>
  <c r="AH42" i="3"/>
  <c r="AH26" i="3"/>
  <c r="AH53" i="3"/>
  <c r="AH61" i="3" s="1"/>
  <c r="AH34" i="3"/>
  <c r="AB7" i="3"/>
  <c r="AB6" i="3" s="1"/>
  <c r="F26" i="3"/>
  <c r="AG41" i="3"/>
  <c r="AG52" i="3" s="1"/>
  <c r="AG34" i="3"/>
  <c r="AG26" i="3"/>
  <c r="AD70" i="3"/>
  <c r="AI70" i="3" s="1"/>
  <c r="W25" i="3"/>
  <c r="W33" i="3" s="1"/>
  <c r="AF57" i="3"/>
  <c r="AI57" i="3" s="1"/>
  <c r="V72" i="3"/>
  <c r="V78" i="3"/>
  <c r="Z34" i="3"/>
  <c r="AB77" i="3"/>
  <c r="AB78" i="3" s="1"/>
  <c r="AA41" i="3"/>
  <c r="AA34" i="3"/>
  <c r="AA26" i="3"/>
  <c r="AC69" i="3"/>
  <c r="AD69" i="3" s="1"/>
  <c r="Y25" i="3"/>
  <c r="Y33" i="3" s="1"/>
  <c r="Y41" i="3" s="1"/>
  <c r="Y52" i="3" s="1"/>
  <c r="Y53" i="3" s="1"/>
  <c r="F42" i="3"/>
  <c r="F43" i="3" s="1"/>
  <c r="X25" i="3"/>
  <c r="X33" i="3" s="1"/>
  <c r="X41" i="3" s="1"/>
  <c r="X52" i="3" s="1"/>
  <c r="X53" i="3" s="1"/>
  <c r="AB72" i="3"/>
  <c r="Z53" i="3"/>
  <c r="Z61" i="3" s="1"/>
  <c r="Z26" i="3"/>
  <c r="F35" i="3"/>
  <c r="Y72" i="3"/>
  <c r="Z42" i="3"/>
  <c r="AC68" i="3"/>
  <c r="T33" i="3"/>
  <c r="V25" i="3"/>
  <c r="AB11" i="3"/>
  <c r="Q33" i="4" l="1"/>
  <c r="Q40" i="4" s="1"/>
  <c r="AJ66" i="3"/>
  <c r="Q34" i="4" s="1"/>
  <c r="Q71" i="2"/>
  <c r="Q30" i="4"/>
  <c r="Q35" i="4"/>
  <c r="AJ81" i="3"/>
  <c r="J31" i="4"/>
  <c r="J27" i="4"/>
  <c r="I74" i="3"/>
  <c r="I80" i="3" s="1"/>
  <c r="D27" i="4"/>
  <c r="D31" i="4"/>
  <c r="L31" i="4"/>
  <c r="L27" i="4"/>
  <c r="J62" i="3"/>
  <c r="E31" i="4"/>
  <c r="E27" i="4"/>
  <c r="H62" i="3"/>
  <c r="C31" i="4"/>
  <c r="C27" i="4"/>
  <c r="I27" i="4"/>
  <c r="I31" i="4"/>
  <c r="N27" i="4"/>
  <c r="N31" i="4"/>
  <c r="M27" i="4"/>
  <c r="M31" i="4"/>
  <c r="K31" i="4"/>
  <c r="K27" i="4"/>
  <c r="M61" i="3"/>
  <c r="I81" i="3"/>
  <c r="I65" i="3"/>
  <c r="I62" i="3"/>
  <c r="N65" i="3"/>
  <c r="N62" i="3"/>
  <c r="N74" i="3"/>
  <c r="N80" i="3" s="1"/>
  <c r="AG42" i="3"/>
  <c r="Y42" i="3"/>
  <c r="H65" i="3"/>
  <c r="H74" i="3"/>
  <c r="H80" i="3" s="1"/>
  <c r="J65" i="3"/>
  <c r="J74" i="3"/>
  <c r="J80" i="3" s="1"/>
  <c r="AC7" i="3"/>
  <c r="AC6" i="3" s="1"/>
  <c r="L52" i="3"/>
  <c r="L42" i="3"/>
  <c r="M65" i="3"/>
  <c r="M62" i="3"/>
  <c r="O65" i="3"/>
  <c r="O74" i="3"/>
  <c r="O80" i="3" s="1"/>
  <c r="O62" i="3"/>
  <c r="P65" i="3"/>
  <c r="P62" i="3"/>
  <c r="P74" i="3"/>
  <c r="P80" i="3" s="1"/>
  <c r="Q74" i="3"/>
  <c r="Q80" i="3" s="1"/>
  <c r="Q65" i="3"/>
  <c r="Q62" i="3"/>
  <c r="L32" i="4" s="1"/>
  <c r="R65" i="3"/>
  <c r="R62" i="3"/>
  <c r="R74" i="3"/>
  <c r="R80" i="3" s="1"/>
  <c r="S65" i="3"/>
  <c r="S74" i="3"/>
  <c r="S80" i="3" s="1"/>
  <c r="S62" i="3"/>
  <c r="AH65" i="3"/>
  <c r="AH66" i="3" s="1"/>
  <c r="AH62" i="3"/>
  <c r="AH74" i="3"/>
  <c r="AH80" i="3" s="1"/>
  <c r="AH81" i="3" s="1"/>
  <c r="X26" i="3"/>
  <c r="W26" i="3"/>
  <c r="X34" i="3"/>
  <c r="Z65" i="3"/>
  <c r="Z66" i="3" s="1"/>
  <c r="Z62" i="3"/>
  <c r="Z74" i="3"/>
  <c r="Z80" i="3" s="1"/>
  <c r="Z81" i="3" s="1"/>
  <c r="AF69" i="3"/>
  <c r="AB14" i="3"/>
  <c r="AB25" i="3" s="1"/>
  <c r="AC11" i="3"/>
  <c r="AC14" i="3" s="1"/>
  <c r="Y26" i="3"/>
  <c r="W34" i="3"/>
  <c r="W41" i="3"/>
  <c r="Y61" i="3"/>
  <c r="Y74" i="3" s="1"/>
  <c r="Y80" i="3" s="1"/>
  <c r="Y81" i="3" s="1"/>
  <c r="AE69" i="3"/>
  <c r="AC77" i="3"/>
  <c r="F65" i="3"/>
  <c r="F66" i="3" s="1"/>
  <c r="F74" i="3"/>
  <c r="F80" i="3" s="1"/>
  <c r="F81" i="3" s="1"/>
  <c r="F62" i="3"/>
  <c r="X61" i="3"/>
  <c r="T41" i="3"/>
  <c r="V33" i="3"/>
  <c r="T34" i="3"/>
  <c r="T35" i="3" s="1"/>
  <c r="AC72" i="3"/>
  <c r="AD68" i="3"/>
  <c r="AE68" i="3" s="1"/>
  <c r="X42" i="3"/>
  <c r="Y34" i="3"/>
  <c r="AA52" i="3"/>
  <c r="AA42" i="3"/>
  <c r="AG53" i="3"/>
  <c r="AG61" i="3" s="1"/>
  <c r="AC25" i="3" l="1"/>
  <c r="AC33" i="3" s="1"/>
  <c r="AC41" i="3" s="1"/>
  <c r="AC52" i="3" s="1"/>
  <c r="J36" i="4"/>
  <c r="J35" i="4"/>
  <c r="J30" i="4"/>
  <c r="M30" i="4"/>
  <c r="M35" i="4"/>
  <c r="M36" i="4"/>
  <c r="P66" i="3"/>
  <c r="K33" i="4"/>
  <c r="E35" i="4"/>
  <c r="E36" i="4"/>
  <c r="E30" i="4"/>
  <c r="N66" i="3"/>
  <c r="I33" i="4"/>
  <c r="Q66" i="3"/>
  <c r="L34" i="4" s="1"/>
  <c r="L33" i="4"/>
  <c r="H66" i="3"/>
  <c r="C33" i="4"/>
  <c r="R66" i="3"/>
  <c r="M33" i="4"/>
  <c r="J66" i="3"/>
  <c r="E33" i="4"/>
  <c r="O66" i="3"/>
  <c r="J33" i="4"/>
  <c r="Q81" i="3"/>
  <c r="L30" i="4"/>
  <c r="L35" i="4"/>
  <c r="L36" i="4"/>
  <c r="M66" i="3"/>
  <c r="H33" i="4"/>
  <c r="M74" i="3"/>
  <c r="M80" i="3" s="1"/>
  <c r="H27" i="4"/>
  <c r="H31" i="4"/>
  <c r="D71" i="2"/>
  <c r="D72" i="2" s="1"/>
  <c r="D30" i="4"/>
  <c r="D35" i="4"/>
  <c r="C30" i="4"/>
  <c r="C35" i="4"/>
  <c r="N36" i="4"/>
  <c r="N35" i="4"/>
  <c r="N30" i="4"/>
  <c r="P81" i="3"/>
  <c r="K35" i="4"/>
  <c r="K36" i="4"/>
  <c r="K30" i="4"/>
  <c r="I66" i="3"/>
  <c r="D33" i="4"/>
  <c r="S66" i="3"/>
  <c r="N33" i="4"/>
  <c r="I35" i="4"/>
  <c r="I36" i="4"/>
  <c r="I30" i="4"/>
  <c r="R81" i="3"/>
  <c r="S81" i="3"/>
  <c r="N81" i="3"/>
  <c r="C10" i="1"/>
  <c r="C71" i="2"/>
  <c r="C72" i="2" s="1"/>
  <c r="H81" i="3"/>
  <c r="O81" i="3"/>
  <c r="J81" i="3"/>
  <c r="AD7" i="3"/>
  <c r="AD6" i="3" s="1"/>
  <c r="L53" i="3"/>
  <c r="L61" i="3" s="1"/>
  <c r="M81" i="3"/>
  <c r="AE72" i="3"/>
  <c r="AI69" i="3"/>
  <c r="AG65" i="3"/>
  <c r="AG66" i="3" s="1"/>
  <c r="AG62" i="3"/>
  <c r="AG74" i="3"/>
  <c r="AG80" i="3" s="1"/>
  <c r="AG81" i="3" s="1"/>
  <c r="AC78" i="3"/>
  <c r="AA53" i="3"/>
  <c r="AA61" i="3" s="1"/>
  <c r="T52" i="3"/>
  <c r="V41" i="3"/>
  <c r="T42" i="3"/>
  <c r="T43" i="3" s="1"/>
  <c r="AC34" i="3"/>
  <c r="X65" i="3"/>
  <c r="X66" i="3" s="1"/>
  <c r="X74" i="3"/>
  <c r="X80" i="3" s="1"/>
  <c r="X81" i="3" s="1"/>
  <c r="X62" i="3"/>
  <c r="AC53" i="3"/>
  <c r="AC61" i="3" s="1"/>
  <c r="Y65" i="3"/>
  <c r="Y66" i="3" s="1"/>
  <c r="Y62" i="3"/>
  <c r="AD72" i="3"/>
  <c r="AF68" i="3"/>
  <c r="AF72" i="3" s="1"/>
  <c r="W52" i="3"/>
  <c r="W42" i="3"/>
  <c r="AC26" i="3"/>
  <c r="AD11" i="3"/>
  <c r="AD14" i="3" s="1"/>
  <c r="AD25" i="3" s="1"/>
  <c r="AC42" i="3"/>
  <c r="AD77" i="3"/>
  <c r="AD78" i="3" s="1"/>
  <c r="AB33" i="3"/>
  <c r="AB26" i="3"/>
  <c r="G31" i="4" l="1"/>
  <c r="G27" i="4"/>
  <c r="H36" i="4"/>
  <c r="H35" i="4"/>
  <c r="H30" i="4"/>
  <c r="D23" i="4"/>
  <c r="D36" i="4"/>
  <c r="D74" i="2"/>
  <c r="D76" i="2" s="1"/>
  <c r="D26" i="4"/>
  <c r="D22" i="4"/>
  <c r="C74" i="2"/>
  <c r="C76" i="2" s="1"/>
  <c r="C26" i="4"/>
  <c r="C22" i="4"/>
  <c r="C23" i="4"/>
  <c r="C36" i="4"/>
  <c r="AE7" i="3"/>
  <c r="AI68" i="3"/>
  <c r="AI72" i="3" s="1"/>
  <c r="L65" i="3"/>
  <c r="L62" i="3"/>
  <c r="L74" i="3"/>
  <c r="L80" i="3" s="1"/>
  <c r="AC65" i="3"/>
  <c r="AC66" i="3" s="1"/>
  <c r="AC62" i="3"/>
  <c r="AC74" i="3"/>
  <c r="AC80" i="3" s="1"/>
  <c r="AC81" i="3" s="1"/>
  <c r="AA65" i="3"/>
  <c r="AA66" i="3" s="1"/>
  <c r="AA74" i="3"/>
  <c r="AA80" i="3" s="1"/>
  <c r="AA81" i="3" s="1"/>
  <c r="AA62" i="3"/>
  <c r="AE77" i="3"/>
  <c r="AE78" i="3" s="1"/>
  <c r="AE11" i="3"/>
  <c r="AE14" i="3" s="1"/>
  <c r="W53" i="3"/>
  <c r="W61" i="3" s="1"/>
  <c r="V52" i="3"/>
  <c r="T53" i="3"/>
  <c r="T61" i="3" s="1"/>
  <c r="O27" i="4" s="1"/>
  <c r="AD33" i="3"/>
  <c r="AD26" i="3"/>
  <c r="AB41" i="3"/>
  <c r="AB34" i="3"/>
  <c r="O31" i="4" l="1"/>
  <c r="L81" i="3"/>
  <c r="G30" i="4"/>
  <c r="G36" i="4"/>
  <c r="G35" i="4"/>
  <c r="L66" i="3"/>
  <c r="G33" i="4"/>
  <c r="AE6" i="3"/>
  <c r="AI7" i="3"/>
  <c r="AF77" i="3"/>
  <c r="AF78" i="3" s="1"/>
  <c r="T65" i="3"/>
  <c r="O33" i="4" s="1"/>
  <c r="O40" i="4" s="1"/>
  <c r="V61" i="3"/>
  <c r="T62" i="3"/>
  <c r="O32" i="4" s="1"/>
  <c r="T74" i="3"/>
  <c r="W65" i="3"/>
  <c r="W66" i="3" s="1"/>
  <c r="W62" i="3"/>
  <c r="W74" i="3"/>
  <c r="W80" i="3" s="1"/>
  <c r="W81" i="3" s="1"/>
  <c r="AF11" i="3"/>
  <c r="AF14" i="3" s="1"/>
  <c r="AF25" i="3" s="1"/>
  <c r="AD41" i="3"/>
  <c r="AD34" i="3"/>
  <c r="AB52" i="3"/>
  <c r="AB42" i="3"/>
  <c r="AI11" i="3" l="1"/>
  <c r="AI6" i="3"/>
  <c r="P11" i="4"/>
  <c r="P12" i="4"/>
  <c r="AE25" i="3"/>
  <c r="AE33" i="3" s="1"/>
  <c r="AE41" i="3" s="1"/>
  <c r="AI77" i="3"/>
  <c r="AI78" i="3" s="1"/>
  <c r="V74" i="3"/>
  <c r="T80" i="3"/>
  <c r="AF33" i="3"/>
  <c r="AF26" i="3"/>
  <c r="AD52" i="3"/>
  <c r="AD42" i="3"/>
  <c r="AB53" i="3"/>
  <c r="AB61" i="3" s="1"/>
  <c r="V65" i="3"/>
  <c r="T66" i="3"/>
  <c r="O34" i="4" s="1"/>
  <c r="P16" i="4" l="1"/>
  <c r="P14" i="4"/>
  <c r="P17" i="4" s="1"/>
  <c r="P18" i="4" s="1"/>
  <c r="P13" i="4"/>
  <c r="P15" i="4"/>
  <c r="AK11" i="3"/>
  <c r="AI14" i="3"/>
  <c r="AI25" i="3" s="1"/>
  <c r="AI26" i="3" s="1"/>
  <c r="AE26" i="3"/>
  <c r="AE34" i="3"/>
  <c r="O35" i="4"/>
  <c r="O36" i="4"/>
  <c r="O30" i="4"/>
  <c r="AB65" i="3"/>
  <c r="AB66" i="3" s="1"/>
  <c r="AB62" i="3"/>
  <c r="AB74" i="3"/>
  <c r="AB80" i="3" s="1"/>
  <c r="AB81" i="3" s="1"/>
  <c r="AE52" i="3"/>
  <c r="AE42" i="3"/>
  <c r="AI33" i="3"/>
  <c r="AF41" i="3"/>
  <c r="AF34" i="3"/>
  <c r="V80" i="3"/>
  <c r="T81" i="3"/>
  <c r="AD53" i="3"/>
  <c r="AD61" i="3" s="1"/>
  <c r="Q13" i="4" l="1"/>
  <c r="Q15" i="4"/>
  <c r="AD65" i="3"/>
  <c r="AD66" i="3" s="1"/>
  <c r="AD62" i="3"/>
  <c r="AD74" i="3"/>
  <c r="AD80" i="3" s="1"/>
  <c r="AD81" i="3" s="1"/>
  <c r="AF52" i="3"/>
  <c r="AF42" i="3"/>
  <c r="AI41" i="3"/>
  <c r="AI34" i="3"/>
  <c r="AE53" i="3"/>
  <c r="AE61" i="3" s="1"/>
  <c r="AI52" i="3" l="1"/>
  <c r="AI42" i="3"/>
  <c r="AF53" i="3"/>
  <c r="AF61" i="3" s="1"/>
  <c r="AE65" i="3"/>
  <c r="AE66" i="3" s="1"/>
  <c r="AE62" i="3"/>
  <c r="AE74" i="3"/>
  <c r="AE80" i="3" s="1"/>
  <c r="AE81" i="3" s="1"/>
  <c r="AF62" i="3" l="1"/>
  <c r="AF65" i="3"/>
  <c r="AF66" i="3" s="1"/>
  <c r="AF74" i="3"/>
  <c r="AF80" i="3" s="1"/>
  <c r="AF81" i="3" s="1"/>
  <c r="AI53" i="3"/>
  <c r="AI61" i="3" s="1"/>
  <c r="P31" i="4" l="1"/>
  <c r="P27" i="4"/>
  <c r="AI65" i="3"/>
  <c r="AI74" i="3"/>
  <c r="AI80" i="3" s="1"/>
  <c r="P71" i="2" s="1"/>
  <c r="Q70" i="2" s="1"/>
  <c r="Q72" i="2" s="1"/>
  <c r="AI62" i="3"/>
  <c r="P32" i="4" s="1"/>
  <c r="Q39" i="2" l="1"/>
  <c r="Q74" i="2"/>
  <c r="Q76" i="2" s="1"/>
  <c r="Q23" i="4"/>
  <c r="Q26" i="4"/>
  <c r="Q22" i="4"/>
  <c r="Q36" i="4"/>
  <c r="AI81" i="3"/>
  <c r="P30" i="4"/>
  <c r="AI66" i="3"/>
  <c r="P34" i="4" s="1"/>
  <c r="P33" i="4"/>
  <c r="P40" i="4" s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D21" i="1"/>
  <c r="E21" i="1"/>
  <c r="F21" i="1"/>
  <c r="G21" i="1"/>
  <c r="H21" i="1"/>
  <c r="I21" i="1"/>
  <c r="J21" i="1"/>
  <c r="K21" i="1"/>
  <c r="L21" i="1"/>
  <c r="M21" i="1"/>
  <c r="N21" i="1"/>
  <c r="O21" i="1"/>
  <c r="C21" i="1"/>
  <c r="D20" i="1"/>
  <c r="E20" i="1"/>
  <c r="F20" i="1"/>
  <c r="G20" i="1"/>
  <c r="H20" i="1"/>
  <c r="I20" i="1"/>
  <c r="J20" i="1"/>
  <c r="K20" i="1"/>
  <c r="L20" i="1"/>
  <c r="M20" i="1"/>
  <c r="N20" i="1"/>
  <c r="O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P72" i="2" l="1"/>
  <c r="K61" i="3"/>
  <c r="K62" i="3" l="1"/>
  <c r="F31" i="4"/>
  <c r="F27" i="4"/>
  <c r="P74" i="2"/>
  <c r="P22" i="4"/>
  <c r="P26" i="4"/>
  <c r="P36" i="4"/>
  <c r="K74" i="3"/>
  <c r="K80" i="3" s="1"/>
  <c r="K65" i="3"/>
  <c r="K81" i="3" l="1"/>
  <c r="F35" i="4"/>
  <c r="F30" i="4"/>
  <c r="F36" i="4"/>
  <c r="K66" i="3"/>
  <c r="F33" i="4"/>
  <c r="P8" i="4"/>
  <c r="P18" i="2"/>
  <c r="P42" i="2" s="1"/>
  <c r="P19" i="4" l="1"/>
  <c r="P35" i="4"/>
  <c r="P23" i="4"/>
  <c r="P76" i="2"/>
  <c r="P24" i="4"/>
  <c r="P7" i="4"/>
  <c r="P5" i="4"/>
  <c r="P6" i="4"/>
</calcChain>
</file>

<file path=xl/sharedStrings.xml><?xml version="1.0" encoding="utf-8"?>
<sst xmlns="http://schemas.openxmlformats.org/spreadsheetml/2006/main" count="264" uniqueCount="200">
  <si>
    <t>ITALTEL PERU</t>
  </si>
  <si>
    <t>Datos históricos</t>
  </si>
  <si>
    <t>En Soles</t>
  </si>
  <si>
    <t>Sales</t>
  </si>
  <si>
    <t>Ebitda</t>
  </si>
  <si>
    <t>Net Income</t>
  </si>
  <si>
    <t>Miles USD</t>
  </si>
  <si>
    <t>Q Manpower</t>
  </si>
  <si>
    <t>Q Adecco</t>
  </si>
  <si>
    <t>Q W Planilla</t>
  </si>
  <si>
    <t>Q Honorarios</t>
  </si>
  <si>
    <t>Total Terceros</t>
  </si>
  <si>
    <t>Tipo Cambio</t>
  </si>
  <si>
    <t>Full Year con NIIF 16</t>
  </si>
  <si>
    <t>Variance</t>
  </si>
  <si>
    <t>Actual</t>
  </si>
  <si>
    <t>Total</t>
  </si>
  <si>
    <t>(PEN)</t>
  </si>
  <si>
    <t>2019A</t>
  </si>
  <si>
    <t>2020A vs. 2019A</t>
  </si>
  <si>
    <t>PEN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</si>
  <si>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</si>
  <si>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</si>
  <si>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</si>
  <si>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</si>
  <si>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</si>
  <si>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</si>
  <si>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</si>
  <si>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</si>
  <si>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</si>
  <si>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</si>
  <si>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</si>
  <si>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</si>
  <si>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S/</t>
  </si>
  <si>
    <t>Revenues</t>
  </si>
  <si>
    <t>+ extra</t>
  </si>
  <si>
    <t>+ intra ITL</t>
  </si>
  <si>
    <t>=</t>
  </si>
  <si>
    <t>+ intra EXP</t>
  </si>
  <si>
    <t>- Reselling external costs</t>
  </si>
  <si>
    <r>
      <t xml:space="preserve">- Reselling internal costs from ITL SpA - </t>
    </r>
    <r>
      <rPr>
        <b/>
        <sz val="11"/>
        <rFont val="Calibri"/>
        <family val="2"/>
        <scheme val="minor"/>
      </rPr>
      <t>Reversas</t>
    </r>
    <r>
      <rPr>
        <sz val="11"/>
        <rFont val="Calibri"/>
        <family val="2"/>
        <scheme val="minor"/>
      </rPr>
      <t xml:space="preserve"> (Savings)</t>
    </r>
  </si>
  <si>
    <t>+ VIP Cisco</t>
  </si>
  <si>
    <t>- Tot Reselling</t>
  </si>
  <si>
    <t>Revenues net of Reselling costs</t>
  </si>
  <si>
    <t>- Reselling internal costs from ITL SpA</t>
  </si>
  <si>
    <t>- Costs intra from EXP Group</t>
  </si>
  <si>
    <t>- Services external costs (FTE)</t>
  </si>
  <si>
    <t>- Tot Services</t>
  </si>
  <si>
    <t>- Travel costs of local direct personnel</t>
  </si>
  <si>
    <t>1st margin</t>
  </si>
  <si>
    <t>% of Revenues</t>
  </si>
  <si>
    <r>
      <t xml:space="preserve">- Labour cost of </t>
    </r>
    <r>
      <rPr>
        <b/>
        <sz val="12"/>
        <rFont val="Calibri"/>
        <family val="2"/>
        <scheme val="minor"/>
      </rPr>
      <t>production direct</t>
    </r>
    <r>
      <rPr>
        <sz val="11"/>
        <rFont val="Calibri"/>
        <family val="2"/>
        <scheme val="minor"/>
      </rPr>
      <t xml:space="preserve"> local personnel</t>
    </r>
  </si>
  <si>
    <t>- Labour cost of direct personnel from ITL SpA (ex Serv.Agr )</t>
  </si>
  <si>
    <t>- Sum of FTE costs (external, direct, travels)</t>
  </si>
  <si>
    <t>2nd margin (or project margin)</t>
  </si>
  <si>
    <t>% of Revenues net of Reselling costs</t>
  </si>
  <si>
    <r>
      <t xml:space="preserve">- Local </t>
    </r>
    <r>
      <rPr>
        <b/>
        <sz val="11"/>
        <rFont val="Calibri"/>
        <family val="2"/>
        <scheme val="minor"/>
      </rPr>
      <t>selling</t>
    </r>
    <r>
      <rPr>
        <sz val="11"/>
        <rFont val="Calibri"/>
        <family val="2"/>
        <scheme val="minor"/>
      </rPr>
      <t xml:space="preserve"> costs (labour opex depreciation)</t>
    </r>
  </si>
  <si>
    <r>
      <t xml:space="preserve">- Local </t>
    </r>
    <r>
      <rPr>
        <b/>
        <sz val="11"/>
        <rFont val="Calibri"/>
        <family val="2"/>
        <scheme val="minor"/>
      </rPr>
      <t>offering</t>
    </r>
    <r>
      <rPr>
        <sz val="11"/>
        <rFont val="Calibri"/>
        <family val="2"/>
        <scheme val="minor"/>
      </rPr>
      <t xml:space="preserve"> &amp; presales costs (labour opex depreciation)</t>
    </r>
  </si>
  <si>
    <r>
      <t>- Selling, offering &amp; presales costs from</t>
    </r>
    <r>
      <rPr>
        <b/>
        <sz val="11"/>
        <rFont val="Calibri"/>
        <family val="2"/>
        <scheme val="minor"/>
      </rPr>
      <t xml:space="preserve"> ITL SpA (CMSSA</t>
    </r>
    <r>
      <rPr>
        <sz val="11"/>
        <rFont val="Calibri"/>
        <family val="2"/>
        <scheme val="minor"/>
      </rPr>
      <t>)(labour opex depreciation)</t>
    </r>
  </si>
  <si>
    <t>Commercial Margin</t>
  </si>
  <si>
    <t>- Local production direct personnel inefficiency (labour opex)</t>
  </si>
  <si>
    <t>- Local production indirect costs (labour opex depreciation)</t>
  </si>
  <si>
    <t>- Local R&amp;D costs (lavoro opex ammort)</t>
  </si>
  <si>
    <t>- Local R&amp;D costs capitalized</t>
  </si>
  <si>
    <t>+ Grants</t>
  </si>
  <si>
    <t>- Depreciation of capitalized R&amp;D costs not linked to year's revenues</t>
  </si>
  <si>
    <t>Operating margin</t>
  </si>
  <si>
    <r>
      <t xml:space="preserve">- Local </t>
    </r>
    <r>
      <rPr>
        <b/>
        <sz val="11"/>
        <rFont val="Calibri"/>
        <family val="2"/>
        <scheme val="minor"/>
      </rPr>
      <t>G&amp;A</t>
    </r>
    <r>
      <rPr>
        <sz val="11"/>
        <rFont val="Calibri"/>
        <family val="2"/>
        <scheme val="minor"/>
      </rPr>
      <t xml:space="preserve"> costs (labour opex depreciation)</t>
    </r>
  </si>
  <si>
    <r>
      <t xml:space="preserve">- G&amp;A costs from </t>
    </r>
    <r>
      <rPr>
        <b/>
        <sz val="11"/>
        <rFont val="Calibri"/>
        <family val="2"/>
        <scheme val="minor"/>
      </rPr>
      <t>ITL SpA (ASA) + MSA</t>
    </r>
  </si>
  <si>
    <t>- Other income/charges</t>
  </si>
  <si>
    <t>- Risk provisions</t>
  </si>
  <si>
    <t>- Local labour cost adjustment (eff./std)</t>
  </si>
  <si>
    <t>Operating Income (EBIT)</t>
  </si>
  <si>
    <t>+ Total depreciation</t>
  </si>
  <si>
    <t>EBITDA</t>
  </si>
  <si>
    <t>-/+ Cash interest</t>
  </si>
  <si>
    <t>- Factoring costs</t>
  </si>
  <si>
    <t>-/+ Net exchange effect</t>
  </si>
  <si>
    <t>-/+ Financial expenses intra-group ITL</t>
  </si>
  <si>
    <t>- Financial expenses</t>
  </si>
  <si>
    <t>=Profit before tax</t>
  </si>
  <si>
    <t>-Income tax</t>
  </si>
  <si>
    <t>+/-Deferred tax</t>
  </si>
  <si>
    <t>-/+ Tax</t>
  </si>
  <si>
    <t>= Net income/loss</t>
  </si>
  <si>
    <t>FCST</t>
  </si>
  <si>
    <t>ITALTEL PERU SAC</t>
  </si>
  <si>
    <t>ITALTEL PERU S.A.C.</t>
  </si>
  <si>
    <t>Estado de Situación Financiera</t>
  </si>
  <si>
    <t>ACTIVO CORRIENTE</t>
  </si>
  <si>
    <t>S/.</t>
  </si>
  <si>
    <t>PASIVO CORRIENTE</t>
  </si>
  <si>
    <t>Caja y Bancos  (Anexo 01)</t>
  </si>
  <si>
    <t>Tributos por Pagar (Anexo 09)</t>
  </si>
  <si>
    <t>Cuentas por cobrar comerciales (Anexo 02)</t>
  </si>
  <si>
    <t>Remuneraciones por Pagar (Anexo 10)</t>
  </si>
  <si>
    <t>Cuentas por cobrar comerciales - Relacionadas (Anexo 2.1)</t>
  </si>
  <si>
    <t>Cuentas por Pagar Comerciales (Anexo 11)</t>
  </si>
  <si>
    <t>Cuentas por Cobrar Acc. Y Pers. (Anexo 03)</t>
  </si>
  <si>
    <t>Cuentas por pagar a Afiliadas (anexo 11.1)</t>
  </si>
  <si>
    <t>Cuentas por cobrar diversas relacionadas (Anexo 3.1)</t>
  </si>
  <si>
    <t>Cuentas por Pagar Diversas (Anexo 12)</t>
  </si>
  <si>
    <t>Cuentas por Cobrar diversas (Anexo 4)</t>
  </si>
  <si>
    <t>Otras Obligacione Financieras Corto Plazo (Anexo 13.2)</t>
  </si>
  <si>
    <t>Crédito Fiscal (Anexo 08)</t>
  </si>
  <si>
    <t>NIIF 16 Obligación Financiera Corto Plazo (Anexo 13)</t>
  </si>
  <si>
    <t>Existencias  (Anexo 05)</t>
  </si>
  <si>
    <t>NIIF 16 Intereses por pagar  (Anexo 13)</t>
  </si>
  <si>
    <t>TOTAL  ACTIVO CORRIENTE</t>
  </si>
  <si>
    <t>Ingresos Diferidos Reactiva (Anexo 14)</t>
  </si>
  <si>
    <t>TOTAL PASIVO CORRIENTE</t>
  </si>
  <si>
    <t>ACTIVO  NO  CORRIENTE</t>
  </si>
  <si>
    <t>Activos Diferidos (Anexo 06)</t>
  </si>
  <si>
    <t>Impuesto a la Renta Diferido (Anexo 06)</t>
  </si>
  <si>
    <t>Aporte Capital Consorcio TdP SAA-Italtel Perú Sac</t>
  </si>
  <si>
    <t>PASIVO NO CORRIENTE</t>
  </si>
  <si>
    <t>Depósitos y Garantías a Largo Plazo (Anexo 4.1)</t>
  </si>
  <si>
    <t>NIIF 16 Obligación Financiera Largo Plazo (Anexo 13.1)</t>
  </si>
  <si>
    <t>Cuentas por Pagar Diversas Largo Plazo (Anexo 12)</t>
  </si>
  <si>
    <t>Activo Fijo Propio</t>
  </si>
  <si>
    <t>Otras Obligacione Financieras Largo Plazo (Anexo 13.2)</t>
  </si>
  <si>
    <t>Inmueble, maquinas y equipo (Anexo 07)</t>
  </si>
  <si>
    <t>TOTAL PASIVO NO CORRIENTE</t>
  </si>
  <si>
    <t>Depreciación acumulada maquinaria y equipo</t>
  </si>
  <si>
    <t>Equipos para Proyectos cedidos en uso a clientes</t>
  </si>
  <si>
    <t>PATRIMONIO</t>
  </si>
  <si>
    <t>Depreciación Acumulada :Equipos cedidos en uso de clientes</t>
  </si>
  <si>
    <t>Capital (Anexo 15)</t>
  </si>
  <si>
    <t>Reserva Legal (Anexo 16)</t>
  </si>
  <si>
    <t>Intangibles</t>
  </si>
  <si>
    <t>Reserva Especial (Consorcios) y Voluntaria (Anexo 16)</t>
  </si>
  <si>
    <t>Amortización</t>
  </si>
  <si>
    <t>Resultados Acumulados (Anexo 17)</t>
  </si>
  <si>
    <t>Resultado del Periodo</t>
  </si>
  <si>
    <t>Activo Fijo NIIF 16 - Alquileres Oficinas y autos</t>
  </si>
  <si>
    <t>TOTAL PATRIMONIO</t>
  </si>
  <si>
    <t>Oficinas y Vehículos - Derechos de Uso NIIF 16 (Anexo 07)</t>
  </si>
  <si>
    <t>Equipo informatico en arrendamiento financiero (Anexo 7)</t>
  </si>
  <si>
    <t>Depreciación acumulada NIIF 16 (Anexo 07)</t>
  </si>
  <si>
    <t>TOTAL ACTIVO NO CORRIENTE</t>
  </si>
  <si>
    <t>TOTAL ACTIVO</t>
  </si>
  <si>
    <t>TOTAL PASIVO Y PATRIMONIO</t>
  </si>
  <si>
    <t>(Expresado en Soles)</t>
  </si>
  <si>
    <t>ITALTEL PERÚ</t>
  </si>
  <si>
    <t>Ratios</t>
  </si>
  <si>
    <t>Liquidez</t>
  </si>
  <si>
    <t>Activo Corriente/Pasivo Corriente</t>
  </si>
  <si>
    <t>Prueba Ácida</t>
  </si>
  <si>
    <t>(Activo Corriente-Inventario)/Pasivo Corriente</t>
  </si>
  <si>
    <t xml:space="preserve">Capital de Trabajo </t>
  </si>
  <si>
    <t>Activo Corriente - Pasivo Corriente</t>
  </si>
  <si>
    <t>Prueba Defensiva</t>
  </si>
  <si>
    <t>Caja Bancos / Pasivo Corriente</t>
  </si>
  <si>
    <t>Rotación de Cuentas por Cobrar</t>
  </si>
  <si>
    <t>Ventas / Cuentas por Cobrar Comerciales</t>
  </si>
  <si>
    <t>Periodo Promedio de Cobro PPC</t>
  </si>
  <si>
    <t>Cuentas por Cobrar Comerciales *360/Ventas Netas</t>
  </si>
  <si>
    <t>Rotación de Inventarios</t>
  </si>
  <si>
    <t>Costo de Ventas / Inventarios</t>
  </si>
  <si>
    <t>Periodo Promedio Inventario PPI</t>
  </si>
  <si>
    <t>Inventarios*360/Costo Ventas</t>
  </si>
  <si>
    <t>Rotación Cuentas por Pagar</t>
  </si>
  <si>
    <t>Costo Ventas / Cuentas Pagar Comerciales</t>
  </si>
  <si>
    <t>Periodo Promedio Cuentas x Pagar PPP</t>
  </si>
  <si>
    <t>Cuentas Pagar Comerciales*360/Costo Ventas</t>
  </si>
  <si>
    <t>Ciclo Operativo (CO)</t>
  </si>
  <si>
    <t>PPC + PPI</t>
  </si>
  <si>
    <t>Ciclo de Efectivo (CE)</t>
  </si>
  <si>
    <t>CO - PPP</t>
  </si>
  <si>
    <t>Rotación de Activos</t>
  </si>
  <si>
    <t>Ventas / Activos</t>
  </si>
  <si>
    <t>Endeudamiento / DEBT</t>
  </si>
  <si>
    <t>Razón de Deuda/Patrimonio</t>
  </si>
  <si>
    <t>Pasivo / Patrimonio</t>
  </si>
  <si>
    <t>Razón Patrimonio a Activo</t>
  </si>
  <si>
    <t>Patrimonio*100/Activos</t>
  </si>
  <si>
    <t>Razón Deuda / Activo</t>
  </si>
  <si>
    <t>Pasivos*100 / Activos</t>
  </si>
  <si>
    <t>Razón Composición Deuda</t>
  </si>
  <si>
    <t>Pasivo Corriente * 100 / Pasivos</t>
  </si>
  <si>
    <t>Ratio de Capitalización</t>
  </si>
  <si>
    <t>Pasivo No Corriente / (Pasivo No Corriente + Patrimonio)</t>
  </si>
  <si>
    <t>Razón Cobertura de Intereses</t>
  </si>
  <si>
    <t>EBIT / Intereses pagados</t>
  </si>
  <si>
    <t>Rentabilidad</t>
  </si>
  <si>
    <t>Rentabilidad sobre Ventas</t>
  </si>
  <si>
    <t>Utilidad Neta / Ventas</t>
  </si>
  <si>
    <t>Utilidad Neta / Patrimonio</t>
  </si>
  <si>
    <t>Utilidad Neta / Activo</t>
  </si>
  <si>
    <t>EBIT</t>
  </si>
  <si>
    <t>Composición</t>
  </si>
  <si>
    <t>BDG</t>
  </si>
  <si>
    <t>% EBIT</t>
  </si>
  <si>
    <t>% EBITDA</t>
  </si>
  <si>
    <t>Liquidez Corriente</t>
  </si>
  <si>
    <t>Pese a la crisis económico sanitaria mundial, Italtel continúa con liquidez y el incremento de su capital del trabajo.</t>
  </si>
  <si>
    <t>Actividad, Gestión y Rotación</t>
  </si>
  <si>
    <t>ROA : Rentabilidad sobre Activos</t>
  </si>
  <si>
    <t>ROE: Rentabilidad sobre Patrimonio</t>
  </si>
  <si>
    <t>Desde el 2021 Italtel empieza a presentar nuevamente rentabilidad, se puede observar también la recuperación del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</si>
</sst>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4">
    <numFmt numFmtId="41" formatCode="_ * #,##0_ ;_ * \-#,##0_ ;_ * &quot;-&quot;_ ;_ @_ "/>
    <numFmt numFmtId="43" formatCode="_ * #,##0.00_ ;_ * \-#,##0.00_ ;_ * &quot;-&quot;??_ ;_ @_ "/>
    <numFmt numFmtId="164" formatCode="0.0"/>
    <numFmt numFmtId="165" formatCode="_-* #,##0.00\ _€_-;\-* #,##0.00\ _€_-;_-* &quot;-&quot;??\ _€_-;_-@_-"/>
    <numFmt numFmtId="166" formatCode="_ * #,##0_ ;_ * \-#,##0_ ;_ * &quot;-&quot;??_ ;_ @_ "/>
    <numFmt numFmtId="167" formatCode="_(* #,##0_);_(* \(#,##0\);_(* &quot;-&quot;??_);_(@_)"/>
    <numFmt numFmtId="168" formatCode="0.0%"/>
    <numFmt numFmtId="169" formatCode="_ * #,##0.0_ ;_ * \-#,##0.0_ ;_ * &quot;-&quot;??_ ;_ @_ "/>
    <numFmt numFmtId="170" formatCode="#,##0.000000000"/>
    <numFmt numFmtId="171" formatCode="&quot;$&quot;#,##0_);\(&quot;$&quot;#,##0\)"/>
    <numFmt numFmtId="172" formatCode="&quot;$&quot;#,##0_);[Red]\(&quot;$&quot;#,##0\)"/>
    <numFmt numFmtId="173" formatCode="&quot;$&quot;#,##0.00_);\(&quot;$&quot;#,##0.00\)"/>
    <numFmt numFmtId="174" formatCode="_(&quot;$&quot;* #,##0_);_(&quot;$&quot;* \(#,##0\);_(&quot;$&quot;* &quot;-&quot;_);_(@_)"/>
    <numFmt numFmtId="175" formatCode="_-* #,##0.0_-;\-* #,##0.0_-;_-* &quot;-&quot;??_-;_-@_-"/>
    <numFmt numFmtId="176" formatCode="#,##0.0_);\(#,##0.0\)"/>
    <numFmt numFmtId="177" formatCode="&quot;$&quot;_(#,##0.00_);&quot;$&quot;\(#,##0.00\)"/>
    <numFmt numFmtId="178" formatCode="&quot;€&quot;#,##0.0_);\(&quot;€&quot;#,##0.0\)"/>
    <numFmt numFmtId="179" formatCode="&quot;$&quot;#,##0.0_);\(&quot;$&quot;#,##0.0\)"/>
    <numFmt numFmtId="180" formatCode="&quot;L.&quot;#,##0.0_);\(&quot;L.&quot;#,##0.0\)"/>
    <numFmt numFmtId="181" formatCode="#,##0.00_%_);\(#,##0.00\)_%;#,##0.00_%_);@_%_)"/>
    <numFmt numFmtId="182" formatCode="\€\ 0.00000"/>
    <numFmt numFmtId="183" formatCode="#,##0.00&quot; &quot;;&quot;(&quot;#,##0.00&quot;)&quot;;&quot;- &quot;"/>
    <numFmt numFmtId="184" formatCode="#,##0_ ;[Red]\(#,##0\)\ "/>
    <numFmt numFmtId="185" formatCode="_-* #,##0\ &quot;€&quot;_-;_-* #,##0\ &quot;€&quot;\-;_-* &quot;-&quot;\ &quot;€&quot;_-;_-@_-"/>
    <numFmt numFmtId="186" formatCode="_-* #,##0\ &quot;$&quot;_-;_-* #,##0\ &quot;$&quot;\-;_-* &quot;-&quot;\ &quot;$&quot;_-;_-@_-"/>
    <numFmt numFmtId="187" formatCode="0.00000&quot;  &quot;"/>
    <numFmt numFmtId="188" formatCode="&quot;€&quot;#,##0.00_%_);\(&quot;€&quot;#,##0.00\)_%;&quot;€&quot;#,##0.00_%_);@_%_)"/>
    <numFmt numFmtId="189" formatCode="#,##0.000\%_);\(#,##0.000\%\);#,##0.000\%_);@_%_)"/>
    <numFmt numFmtId="190" formatCode="#,##0_);\(#,##0\);\-"/>
    <numFmt numFmtId="191" formatCode="_(&quot;F&quot;* #,##0.00_);_(&quot;F&quot;* \(#,##0.00\);_(&quot;F&quot;* &quot;-&quot;??_);_(@_)"/>
    <numFmt numFmtId="192" formatCode="0.00E+00;;;"/>
    <numFmt numFmtId="193" formatCode="&quot;€&quot;#,##0_%_);\(&quot;€&quot;#,##0\)_%;&quot;€&quot;#,##0_%_);@_%_)"/>
    <numFmt numFmtId="194" formatCode="&quot;$&quot;#,##0_%_);\(&quot;$&quot;#,##0\)_%;&quot;$&quot;#,##0_%_);@_%_)"/>
    <numFmt numFmtId="195" formatCode="&quot;L.&quot;#,##0_%_);\(&quot;L.&quot;#,##0\)_%;&quot;L.&quot;#,##0_%_);@_%_)"/>
    <numFmt numFmtId="196" formatCode="#,##0.0\x_);\(#,##0.0\x\);#,##0.0\x_);@_)"/>
    <numFmt numFmtId="197" formatCode="#,##0.00\x"/>
    <numFmt numFmtId="198" formatCode="&quot;F&quot;#,##0.00_);[Red]\(&quot;F&quot;#,##0.00\)"/>
    <numFmt numFmtId="199" formatCode="0.00000000000"/>
    <numFmt numFmtId="200" formatCode="&quot;Source: &quot;@_%_)"/>
    <numFmt numFmtId="201" formatCode="#,##0%_);\(#,##0%\)"/>
    <numFmt numFmtId="202" formatCode="#,##0.0\x_)_&quot;;\(#,##0.0\x\)_&quot;;#,##0.0\x_)_&quot;;@_)"/>
    <numFmt numFmtId="203" formatCode="_(&quot;€&quot;* #,##0_);_(&quot;€&quot;* \(#,##0\);_(&quot;€&quot;* &quot;-&quot;_);_(@_)"/>
    <numFmt numFmtId="204" formatCode="#,##0_);\(#,##0\);\(###\-\)"/>
    <numFmt numFmtId="205" formatCode="_(* #,##0.0_);_(* \(#,##0.0\);_(* &quot;-&quot;_);@"/>
    <numFmt numFmtId="206" formatCode="#,##0.0_%_);;#,##0.0_%_);@_%_)"/>
    <numFmt numFmtId="207" formatCode="#,##0_%_);\(#,##0\)_%;#,##0_%_);@_%_)"/>
    <numFmt numFmtId="208" formatCode="\+\ 0.00%"/>
    <numFmt numFmtId="209" formatCode="&quot;F&quot;#,##0_);\(&quot;F&quot;#,##0\)"/>
    <numFmt numFmtId="210" formatCode="\€#,##0.00_);\(\€#,##0.00\)"/>
    <numFmt numFmtId="211" formatCode="0.00000000"/>
    <numFmt numFmtId="212" formatCode="#,##0.0\x"/>
    <numFmt numFmtId="213" formatCode="#,##0.0_)\x;\(#,##0.0\)\x"/>
    <numFmt numFmtId="214" formatCode="#,##0.0&quot;x&quot;_);\(#,##0.0&quot;x&quot;\)"/>
    <numFmt numFmtId="215" formatCode="0.0\x"/>
    <numFmt numFmtId="216" formatCode="&quot;Yes&quot;_%_);;&quot;No&quot;_%_)"/>
    <numFmt numFmtId="217" formatCode=";;;@*."/>
    <numFmt numFmtId="218" formatCode="_(&quot;€&quot;* #,##0.00_);_(&quot;€&quot;* \(#,##0.00\);_(&quot;€&quot;* &quot;-&quot;??_);_(@_)"/>
    <numFmt numFmtId="219" formatCode="0.000000000000"/>
    <numFmt numFmtId="220" formatCode="_(&quot;F&quot;* #,##0_);_(&quot;F&quot;* \(#,##0\);_(&quot;F&quot;* &quot;-&quot;_);_(@_)"/>
    <numFmt numFmtId="221" formatCode="0.0000000000"/>
    <numFmt numFmtId="222" formatCode="#,##0.000000_);\(#,##0.000000\)"/>
    <numFmt numFmtId="223" formatCode="#,###;\ \(#,###\);* &quot;-&quot;"/>
    <numFmt numFmtId="224" formatCode="#,##0.0\x_)_%_);\(#,##0.0\x\)_%_);#,##0.0\x_)_%_);@_)"/>
    <numFmt numFmtId="225" formatCode="#,##0_);\(#,##0\);###\-"/>
    <numFmt numFmtId="226" formatCode="_(&quot;$&quot;* #,##0.0_);_(&quot;$&quot;* \(#,##0.0\);_(&quot;$&quot;* &quot;-&quot;_);@"/>
    <numFmt numFmtId="227" formatCode="0_);\(0\);0_);@_)"/>
    <numFmt numFmtId="228" formatCode="0.000000"/>
    <numFmt numFmtId="229" formatCode="0."/>
    <numFmt numFmtId="230" formatCode="0000\ &quot;Calendar Mean EPS&quot;"/>
    <numFmt numFmtId="231" formatCode="\+\ 0%"/>
    <numFmt numFmtId="232" formatCode="&quot;F&quot;#,##0_);[Red]\(&quot;F&quot;#,##0\)"/>
    <numFmt numFmtId="233" formatCode="\€#,##0.0_);\(\€#,##0.0\)"/>
    <numFmt numFmtId="234" formatCode="0.0000000"/>
    <numFmt numFmtId="235" formatCode="#,##0.0_)_x;\(#,##0.0\)_x"/>
    <numFmt numFmtId="236" formatCode="#,##0.0_);\(#,##0.0\);#,###.0\-"/>
    <numFmt numFmtId="237" formatCode="&quot;A$ &quot;#,##0.00_);\(&quot;$&quot;#,##0.00\)"/>
    <numFmt numFmtId="238" formatCode="#,###.0;\ \(#,###.0\);* &quot;-&quot;"/>
    <numFmt numFmtId="239" formatCode="#,##0.0_)_%_);\(#,##0.0\)_%_);#,##0.0_)_%_);@_)"/>
    <numFmt numFmtId="240" formatCode="_(* #,##0.000_);_(* \(#,##0.000\);_(* &quot;-&quot;??_);_(@_)"/>
    <numFmt numFmtId="241" formatCode="&quot;$&quot;#,##0.00_%_);\(&quot;$&quot;#,##0.00\)_%;&quot;$&quot;#,##0.00_%_);@_%_)"/>
    <numFmt numFmtId="242" formatCode="&quot;L.&quot;#,##0.00_%_);\(&quot;L.&quot;#,##0.00\)_%;&quot;L.&quot;#,##0.00_%_);@_%_)"/>
    <numFmt numFmtId="243" formatCode="&quot;F&quot;#,##0.00_);\(&quot;F&quot;#,##0.00\)"/>
    <numFmt numFmtId="244" formatCode="\€#,##0.00_);[Red]\(\€#,##0.00\)"/>
    <numFmt numFmtId="245" formatCode="0.0%.\50.0\ù"/>
    <numFmt numFmtId="246" formatCode="[$£-809]#,##0.0;\-[$£-809]#,##0.0"/>
    <numFmt numFmtId="247" formatCode="0.0_)\%;\(0.0\)\%"/>
    <numFmt numFmtId="248" formatCode="&quot;€&quot;#,##0.000_%_);\(&quot;€&quot;#,##0.000\)_%;&quot;€&quot;#,##0.000_%_);@_%_)"/>
    <numFmt numFmtId="249" formatCode="&quot;$&quot;#,##0.000_%_);\(&quot;$&quot;#,##0.000\)_%;&quot;$&quot;#,##0.000_%_);@_%_)"/>
    <numFmt numFmtId="250" formatCode="&quot;L.&quot;#,##0.000_%_);\(&quot;L.&quot;#,##0.000\)_%;&quot;L.&quot;#,##0.000_%_);@_%_)"/>
    <numFmt numFmtId="251" formatCode="0.0000000000000"/>
    <numFmt numFmtId="252" formatCode="dd\-mmm\-yy_)"/>
    <numFmt numFmtId="253" formatCode="#,###.0&quot; &quot;;\ \(#,###.0\);* &quot;-&quot;"/>
    <numFmt numFmtId="254" formatCode="#,##0.0_)_x_&quot;;\(#,##0.0\)_x_&quot;;#,##0.0_)_x_&quot;;@_)"/>
    <numFmt numFmtId="255" formatCode="\£#,##0_);\(\£#,##0\)"/>
    <numFmt numFmtId="256" formatCode="0.00_);\(0.00\)"/>
    <numFmt numFmtId="257" formatCode="[$£-809]#,##0.00"/>
    <numFmt numFmtId="258" formatCode="#,##0.0_)_%;\(#,##0.0\)_%"/>
    <numFmt numFmtId="259" formatCode="0.0_);\(0.0\);0.0_);@_)"/>
    <numFmt numFmtId="260" formatCode="#,##0\ &quot;€&quot;_-;[Red]#,##0\ &quot;€&quot;\-"/>
    <numFmt numFmtId="261" formatCode="#,##0\ &quot;$&quot;_-;[Red]#,##0\ &quot;$&quot;\-"/>
    <numFmt numFmtId="262" formatCode="&quot;£ &quot;#,##0;[Red]\-&quot;£ &quot;#,##0"/>
    <numFmt numFmtId="263" formatCode="#,##0.000\x;&quot;NM&quot;_x"/>
    <numFmt numFmtId="264" formatCode="#,##0.000_%_);\(#,##0.000\)_%;#,##0.000_%_);@_%_)"/>
    <numFmt numFmtId="265" formatCode="_-* #,##0.0\ _F_-;\-* #,##0.0\ _F_-;_-* &quot;-&quot;?\ _F_-;_-@_-"/>
    <numFmt numFmtId="266" formatCode="mmm\-yy_)"/>
    <numFmt numFmtId="267" formatCode="#,##0_);\(#,##0\);#,###\-"/>
    <numFmt numFmtId="268" formatCode="#,##0\x;&quot;NM&quot;_x"/>
    <numFmt numFmtId="269" formatCode="#,###&quot; &quot;;\ \(#,###\);* &quot;-&quot;"/>
    <numFmt numFmtId="270" formatCode="#,##0.0_)_x_%_);\(#,##0.0\)_x_%_);#,##0.0_)_x_%_);@_)"/>
    <numFmt numFmtId="271" formatCode="&quot;$&quot;#,##0.000_);\(&quot;$&quot;#,##0.000\)"/>
    <numFmt numFmtId="272" formatCode="&quot;$&quot;#,##0.0_%_);;&quot;$&quot;#,##0.0_%_);@_%_)"/>
    <numFmt numFmtId="273" formatCode="_(* #,##0%_);_(* \(#,##0%\);_(* &quot;-&quot;??_);_(@_)"/>
    <numFmt numFmtId="274" formatCode="hh:mm\ AM/PM_)"/>
    <numFmt numFmtId="275" formatCode="##0&quot;E&quot;"/>
    <numFmt numFmtId="276" formatCode="0%_);\(0%\)"/>
    <numFmt numFmtId="277" formatCode="#,##0&quot;M€&quot;_);\(#,##0\);#,###\-"/>
    <numFmt numFmtId="278" formatCode="_(* #,##0.0_);_(* \(#,##0.0\);_(* &quot;-&quot;?_);_(@_)"/>
    <numFmt numFmtId="279" formatCode="\€#,##0.0;\€\(#,##0.0\)"/>
    <numFmt numFmtId="280" formatCode="d/m"/>
    <numFmt numFmtId="281" formatCode="0.0%;\(0.0%\)"/>
    <numFmt numFmtId="282" formatCode="_(* #,##0.0_);_(* \(#,##0.0\);_(* &quot;-&quot;_);_(@_)"/>
    <numFmt numFmtId="283" formatCode="&quot;$&quot;#,##0.0;[Red]\(&quot;$&quot;#,##0.0\)"/>
    <numFmt numFmtId="284" formatCode="0.0\¢"/>
    <numFmt numFmtId="285" formatCode="0\¢"/>
    <numFmt numFmtId="286" formatCode="#,##0;\(#,##0\)"/>
    <numFmt numFmtId="287" formatCode="_(* #,##0.00\ \x_);_(* \(#,##0.00\ \x\);_(* &quot;-&quot;??_);_(@_)"/>
    <numFmt numFmtId="288" formatCode="#,##0.0"/>
    <numFmt numFmtId="289" formatCode="* #,##0.0\ \x_);&quot;NM&quot;_)"/>
    <numFmt numFmtId="290" formatCode="#,##0.0\ \ _);&quot;NM&quot;_)"/>
    <numFmt numFmtId="291" formatCode="_-* #,##0.00\ _D_M_-;\-* #,##0.00\ _D_M_-;_-* &quot;-&quot;??\ _D_M_-;_-@_-"/>
    <numFmt numFmtId="292" formatCode="&quot;L.&quot;\ #,##0.00;[Red]\-&quot;L.&quot;\ #,##0.00"/>
    <numFmt numFmtId="293" formatCode="&quot;€&quot;#,##0.00_);[Red]\(&quot;€&quot;#,##0.00\)"/>
    <numFmt numFmtId="294" formatCode="&quot;L.&quot;\ #,##0.00;\-&quot;L.&quot;\ #,##0.00"/>
    <numFmt numFmtId="295" formatCode="&quot;Pryca&quot;"/>
    <numFmt numFmtId="296" formatCode="_(&quot;$&quot;\ #,##0.00_);_(&quot;$&quot;\ #,##0.00\);_(&quot;$&quot;* &quot;-&quot;??_);_(@_)"/>
    <numFmt numFmtId="297" formatCode="* #,##0.00_);* \(#,##0.00\);* \ "/>
    <numFmt numFmtId="298" formatCode="&quot;$&quot;#,##0"/>
    <numFmt numFmtId="299" formatCode="\$#,##0\ ;\(\$#,##0\)"/>
    <numFmt numFmtId="300" formatCode="&quot;L.&quot;\ #,##0;\-&quot;L.&quot;\ #,##0"/>
    <numFmt numFmtId="301" formatCode="_-* #,##0\ _€_-;_-* #,##0\ _€\-;_-* &quot;-&quot;\ _€_-;_-@_-"/>
    <numFmt numFmtId="302" formatCode="mmmm\ d\,\ yyyy"/>
    <numFmt numFmtId="303" formatCode="* #,##0.00_);* \(#,##0.00\);* &quot;$&quot;\ \-"/>
    <numFmt numFmtId="304" formatCode="* \£\ #,##0.00_);* \(\£\ #,##0.00\);* \£\ \-"/>
    <numFmt numFmtId="305" formatCode="\$#,##0.000;\(\$#,##0.000\)"/>
    <numFmt numFmtId="306" formatCode="_-[$€-2]\ * #,##0.00_-;\-[$€-2]\ * #,##0.00_-;_-[$€-2]\ * &quot;-&quot;??_-"/>
    <numFmt numFmtId="307" formatCode="#,#00"/>
    <numFmt numFmtId="308" formatCode="0.00%;\(0.00%\)"/>
    <numFmt numFmtId="309" formatCode="* #,##0_);* \(\ #,##0\);* \-"/>
    <numFmt numFmtId="310" formatCode="0.00%_);\(0.00%\)"/>
    <numFmt numFmtId="311" formatCode="General_)"/>
    <numFmt numFmtId="312" formatCode="#,##0.0;\(#,##0.0\);0.0"/>
    <numFmt numFmtId="313" formatCode="_(* &quot;€&quot;#,##0_);_(* \(&quot;€&quot;#,##0\)"/>
    <numFmt numFmtId="314" formatCode="_-* #,##0\ _D_M_-;\-* #,##0\ _D_M_-;_-* &quot;-&quot;\ _D_M_-;_-@_-"/>
    <numFmt numFmtId="315" formatCode="#,##0.00\x_);\(#,##0.00\x\)"/>
    <numFmt numFmtId="316" formatCode="0.0_);\(0.0\)"/>
    <numFmt numFmtId="317" formatCode="* \£\ #,##0.0000_);* \(\£\ #,##0.0000\);* \£\ \-"/>
    <numFmt numFmtId="318" formatCode="_-* #,##0\x_-;* \(#,##0\x\);_-* &quot;na&quot;_-;_-@_-"/>
    <numFmt numFmtId="319" formatCode="&quot;Casino&quot;"/>
    <numFmt numFmtId="320" formatCode="#,##0.0;\(#,##0.0\)"/>
    <numFmt numFmtId="321" formatCode="#,##0.0_);\(#,##0.0\);\-"/>
    <numFmt numFmtId="322" formatCode="#,##0_ ;\-#,##0\ "/>
    <numFmt numFmtId="323" formatCode="&quot;€&quot;#,##0.00_);\(&quot;€&quot;#,##0.00\)"/>
    <numFmt numFmtId="324" formatCode="#,##0.00;\(#,##0.00\)"/>
    <numFmt numFmtId="325" formatCode="_(* #,##0.0_);_(* \(#,##0.0\);_(* &quot;-&quot;??_);_(@_)"/>
    <numFmt numFmtId="326" formatCode="#,##0.0%_);\(#,##0.0%\)"/>
    <numFmt numFmtId="327" formatCode="#,##0.0\%_);\(#,##0.0\%\);#,##0.0\%_);@_%_)"/>
    <numFmt numFmtId="328" formatCode="%#,#00"/>
    <numFmt numFmtId="329" formatCode="#,##0.00\x;&quot;NM&quot;_x"/>
    <numFmt numFmtId="330" formatCode="\£#,##0.0_);\(\£#,##0.0\)"/>
    <numFmt numFmtId="331" formatCode="#.##000"/>
    <numFmt numFmtId="332" formatCode="#,##0.0_);[Red]\(#,##0.0\)"/>
    <numFmt numFmtId="333" formatCode="0.000%"/>
    <numFmt numFmtId="334" formatCode="0.000"/>
    <numFmt numFmtId="335" formatCode="hh:mm_)"/>
    <numFmt numFmtId="336" formatCode="&quot;€&quot;#,##0_);\(&quot;€&quot;#,##0\)"/>
    <numFmt numFmtId="337" formatCode="_-* #,##0_-;* \(#,##0\);_-* &quot;-&quot;_-;_-@_-"/>
    <numFmt numFmtId="338" formatCode="#,"/>
    <numFmt numFmtId="339" formatCode="#,##0.00\ ;\(#,##0.00\)"/>
    <numFmt numFmtId="340" formatCode="0.00000;\(0.00\)"/>
    <numFmt numFmtId="341" formatCode="0_ ;\-0\ "/>
    <numFmt numFmtId="342" formatCode="0.0000"/>
    <numFmt numFmtId="343" formatCode="\$#,#00"/>
    <numFmt numFmtId="344" formatCode="0.00\x"/>
    <numFmt numFmtId="345" formatCode="_(* #,##0.00\ _x_);_(* \(#,##0.00\)\ _x;_(* &quot;-&quot;??_);_(@_)"/>
  </numFmts>
  <fonts count="19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0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theme="4"/>
      <name val="Arial"/>
      <family val="2"/>
    </font>
    <font>
      <b/>
      <sz val="14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0"/>
      <name val="Arial CE"/>
      <charset val="238"/>
    </font>
    <font>
      <sz val="14"/>
      <name val="System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i/>
      <sz val="10"/>
      <color indexed="13"/>
      <name val="Arial"/>
      <family val="2"/>
    </font>
    <font>
      <sz val="10"/>
      <color indexed="13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0"/>
      <name val="Helv"/>
      <charset val="204"/>
    </font>
    <font>
      <sz val="12"/>
      <name val="Times New Roman"/>
      <family val="1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sz val="10"/>
      <name val="MS Sans Serif"/>
      <family val="2"/>
    </font>
    <font>
      <u/>
      <sz val="10"/>
      <name val="Arial"/>
      <family val="2"/>
    </font>
    <font>
      <sz val="10"/>
      <name val="Palatino"/>
      <family val="1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8"/>
      <name val="Arial"/>
      <family val="2"/>
    </font>
    <font>
      <b/>
      <sz val="12"/>
      <name val="Tms Rmn"/>
    </font>
    <font>
      <sz val="10"/>
      <name val="Garamond"/>
      <family val="1"/>
    </font>
    <font>
      <sz val="12"/>
      <color indexed="12"/>
      <name val="Arial"/>
      <family val="2"/>
    </font>
    <font>
      <sz val="11"/>
      <color indexed="16"/>
      <name val="Calibri"/>
      <family val="2"/>
    </font>
    <font>
      <sz val="8"/>
      <color indexed="12"/>
      <name val="Tms Rmn"/>
    </font>
    <font>
      <sz val="12"/>
      <name val="Tms Rmn"/>
      <family val="1"/>
    </font>
    <font>
      <sz val="10"/>
      <name val="Univers 47 CondensedLight"/>
    </font>
    <font>
      <b/>
      <sz val="11"/>
      <color indexed="52"/>
      <name val="Calibri"/>
      <family val="2"/>
    </font>
    <font>
      <b/>
      <sz val="11"/>
      <color indexed="53"/>
      <name val="Calibri"/>
      <family val="2"/>
    </font>
    <font>
      <sz val="9"/>
      <color indexed="10"/>
      <name val="Geneva"/>
    </font>
    <font>
      <b/>
      <sz val="10"/>
      <name val="Helv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color indexed="10"/>
      <name val="Arial"/>
      <family val="2"/>
    </font>
    <font>
      <b/>
      <i/>
      <sz val="8"/>
      <name val="Arial"/>
      <family val="2"/>
    </font>
    <font>
      <b/>
      <sz val="8"/>
      <name val="Book Antiqua"/>
      <family val="1"/>
    </font>
    <font>
      <sz val="8"/>
      <color indexed="12"/>
      <name val="Times New Roman"/>
      <family val="1"/>
    </font>
    <font>
      <sz val="10"/>
      <color indexed="24"/>
      <name val="Arial"/>
      <family val="2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8"/>
      <color indexed="8"/>
      <name val="Times New Roman"/>
      <family val="1"/>
    </font>
    <font>
      <sz val="10"/>
      <name val="Book Antiqua"/>
      <family val="1"/>
    </font>
    <font>
      <b/>
      <sz val="14"/>
      <color indexed="10"/>
      <name val="Times New Roman"/>
      <family val="1"/>
    </font>
    <font>
      <sz val="8"/>
      <name val="Palatino"/>
      <family val="1"/>
    </font>
    <font>
      <sz val="12"/>
      <color indexed="10"/>
      <name val="Times New Roman"/>
      <family val="1"/>
    </font>
    <font>
      <sz val="8"/>
      <color indexed="14"/>
      <name val="Times New Roman"/>
      <family val="1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0"/>
      <color indexed="23"/>
      <name val="Arial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1"/>
      <color indexed="62"/>
      <name val="Arial"/>
      <family val="2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sz val="7"/>
      <name val="Arial"/>
      <family val="2"/>
    </font>
    <font>
      <sz val="12"/>
      <name val="Garamond"/>
      <family val="1"/>
    </font>
    <font>
      <sz val="11"/>
      <color indexed="17"/>
      <name val="Calibri"/>
      <family val="2"/>
    </font>
    <font>
      <b/>
      <sz val="12"/>
      <name val="Helv"/>
    </font>
    <font>
      <sz val="6"/>
      <name val="Palatino"/>
      <family val="1"/>
    </font>
    <font>
      <b/>
      <sz val="16"/>
      <color indexed="10"/>
      <name val="FrankfurtGothicHeavy"/>
    </font>
    <font>
      <b/>
      <sz val="8"/>
      <name val="Palatino"/>
      <family val="1"/>
    </font>
    <font>
      <b/>
      <sz val="18"/>
      <color indexed="24"/>
      <name val="Arial"/>
      <family val="2"/>
    </font>
    <font>
      <b/>
      <sz val="15"/>
      <color indexed="62"/>
      <name val="Calibri"/>
      <family val="2"/>
    </font>
    <font>
      <sz val="10"/>
      <name val="Helvetica-Black"/>
    </font>
    <font>
      <sz val="28"/>
      <name val="Helvetica-Black"/>
    </font>
    <font>
      <b/>
      <sz val="12"/>
      <color indexed="24"/>
      <name val="Arial"/>
      <family val="2"/>
    </font>
    <font>
      <b/>
      <sz val="13"/>
      <color indexed="62"/>
      <name val="Calibri"/>
      <family val="2"/>
    </font>
    <font>
      <sz val="18"/>
      <name val="Helvetica-Black"/>
    </font>
    <font>
      <sz val="18"/>
      <name val="Palatino"/>
      <family val="1"/>
    </font>
    <font>
      <b/>
      <sz val="11"/>
      <color indexed="62"/>
      <name val="Calibri"/>
      <family val="2"/>
    </font>
    <font>
      <i/>
      <sz val="14"/>
      <name val="Palatino"/>
      <family val="1"/>
    </font>
    <font>
      <b/>
      <sz val="8"/>
      <name val="Times New Roman"/>
      <family val="1"/>
    </font>
    <font>
      <b/>
      <u/>
      <sz val="8"/>
      <name val="Times New Roman"/>
      <family val="1"/>
    </font>
    <font>
      <b/>
      <sz val="6"/>
      <name val="Palatino"/>
      <family val="1"/>
    </font>
    <font>
      <b/>
      <sz val="11"/>
      <color indexed="18"/>
      <name val="Arial"/>
      <family val="2"/>
    </font>
    <font>
      <sz val="7"/>
      <color indexed="8"/>
      <name val="Tms Rmn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12"/>
      <color indexed="10"/>
      <name val="Bookman Old Style"/>
      <family val="1"/>
    </font>
    <font>
      <i/>
      <sz val="12"/>
      <color indexed="10"/>
      <name val="Bookman Old Style"/>
      <family val="1"/>
    </font>
    <font>
      <sz val="10"/>
      <color indexed="16"/>
      <name val="Times New Roman"/>
      <family val="1"/>
    </font>
    <font>
      <sz val="9"/>
      <color indexed="12"/>
      <name val="Times New Roman"/>
      <family val="1"/>
    </font>
    <font>
      <sz val="8"/>
      <color indexed="12"/>
      <name val="Helv"/>
    </font>
    <font>
      <sz val="10"/>
      <color indexed="12"/>
      <name val="Garamond"/>
      <family val="1"/>
    </font>
    <font>
      <sz val="10"/>
      <name val="Courier"/>
      <family val="3"/>
    </font>
    <font>
      <sz val="10"/>
      <name val="Tms Rmn"/>
    </font>
    <font>
      <sz val="11"/>
      <color indexed="53"/>
      <name val="Calibri"/>
      <family val="2"/>
    </font>
    <font>
      <b/>
      <sz val="12"/>
      <color indexed="17"/>
      <name val="Wingdings"/>
      <charset val="2"/>
    </font>
    <font>
      <b/>
      <sz val="18"/>
      <name val="Times New Roman"/>
      <family val="1"/>
    </font>
    <font>
      <sz val="8"/>
      <name val="Helv"/>
    </font>
    <font>
      <b/>
      <sz val="11"/>
      <name val="Helv"/>
    </font>
    <font>
      <sz val="11"/>
      <color indexed="60"/>
      <name val="Calibri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0"/>
      <name val="Helv"/>
    </font>
    <font>
      <b/>
      <i/>
      <sz val="16"/>
      <name val="Helv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i/>
      <sz val="10"/>
      <name val="Helv"/>
    </font>
    <font>
      <sz val="8"/>
      <name val="Book Antiqua"/>
      <family val="1"/>
    </font>
    <font>
      <sz val="9"/>
      <color indexed="72"/>
      <name val="Arial"/>
      <family val="2"/>
    </font>
    <font>
      <b/>
      <sz val="11"/>
      <color indexed="63"/>
      <name val="Calibri"/>
      <family val="2"/>
    </font>
    <font>
      <b/>
      <sz val="11"/>
      <color indexed="16"/>
      <name val="Times New Roman"/>
      <family val="1"/>
    </font>
    <font>
      <sz val="10"/>
      <color indexed="12"/>
      <name val="Times New Roman"/>
      <family val="1"/>
    </font>
    <font>
      <b/>
      <sz val="26"/>
      <name val="Times New Roman"/>
      <family val="1"/>
    </font>
    <font>
      <sz val="10"/>
      <color indexed="16"/>
      <name val="Helvetica-Black"/>
    </font>
    <font>
      <sz val="12"/>
      <name val="Arial MT"/>
    </font>
    <font>
      <b/>
      <sz val="11"/>
      <name val="Arial"/>
      <family val="2"/>
    </font>
    <font>
      <b/>
      <sz val="8"/>
      <color indexed="18"/>
      <name val="Times New Roman"/>
      <family val="1"/>
    </font>
    <font>
      <sz val="10"/>
      <name val="MS Sans Serif"/>
      <family val="2"/>
    </font>
    <font>
      <sz val="12"/>
      <color indexed="24"/>
      <name val="Arial"/>
      <family val="2"/>
    </font>
    <font>
      <sz val="10"/>
      <color indexed="10"/>
      <name val="Arial"/>
      <family val="2"/>
    </font>
    <font>
      <b/>
      <sz val="10"/>
      <name val="Times New Roman"/>
      <family val="1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4"/>
      <name val="Times New Roman"/>
      <family val="1"/>
    </font>
    <font>
      <b/>
      <i/>
      <sz val="12"/>
      <color indexed="9"/>
      <name val="Arial"/>
      <family val="2"/>
    </font>
    <font>
      <b/>
      <sz val="18"/>
      <color indexed="62"/>
      <name val="Cambria"/>
      <family val="2"/>
    </font>
    <font>
      <b/>
      <sz val="16"/>
      <color indexed="24"/>
      <name val="Arial"/>
      <family val="2"/>
    </font>
    <font>
      <b/>
      <i/>
      <sz val="14"/>
      <color indexed="24"/>
      <name val="Arial"/>
      <family val="2"/>
    </font>
    <font>
      <b/>
      <sz val="8"/>
      <color indexed="16"/>
      <name val="Times New Roman"/>
      <family val="1"/>
    </font>
    <font>
      <b/>
      <sz val="8"/>
      <color indexed="8"/>
      <name val="Helv"/>
      <family val="2"/>
    </font>
    <font>
      <sz val="10"/>
      <name val="Univers 55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sz val="7"/>
      <name val="Times New Roman"/>
      <family val="1"/>
    </font>
    <font>
      <b/>
      <u val="singleAccounting"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2"/>
      <color indexed="8"/>
      <name val="Palatino"/>
      <family val="1"/>
    </font>
    <font>
      <sz val="12"/>
      <name val="Palatino"/>
      <family val="1"/>
    </font>
    <font>
      <sz val="11"/>
      <color indexed="8"/>
      <name val="Helvetica-Black"/>
    </font>
    <font>
      <sz val="11"/>
      <name val="Helvetica-Black"/>
    </font>
    <font>
      <b/>
      <sz val="7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"/>
      <color indexed="8"/>
      <name val="Courier"/>
      <family val="3"/>
    </font>
    <font>
      <b/>
      <sz val="10"/>
      <color indexed="9"/>
      <name val="Times New Roman"/>
      <family val="1"/>
    </font>
    <font>
      <u/>
      <sz val="8"/>
      <color indexed="8"/>
      <name val="Arial"/>
      <family val="2"/>
    </font>
    <font>
      <b/>
      <u/>
      <sz val="14"/>
      <name val="SWISS"/>
    </font>
    <font>
      <sz val="11"/>
      <color indexed="20"/>
      <name val="Calibri"/>
      <family val="2"/>
    </font>
    <font>
      <b/>
      <sz val="8"/>
      <color indexed="10"/>
      <name val="FrankfurtGothicHeavy"/>
    </font>
    <font>
      <sz val="12"/>
      <name val="新細明體"/>
      <charset val="136"/>
    </font>
    <font>
      <sz val="14"/>
      <name val="AngsanaUPC"/>
      <family val="1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0"/>
      <name val="Arial"/>
      <family val="2"/>
    </font>
    <font>
      <b/>
      <sz val="14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8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ABAB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54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gray0625">
        <fgColor indexed="15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lightGray">
        <fgColor indexed="13"/>
      </patternFill>
    </fill>
  </fills>
  <borders count="5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tted">
        <color indexed="64"/>
      </bottom>
      <diagonal/>
    </border>
    <border>
      <left style="thick">
        <color indexed="9"/>
      </left>
      <right style="thick">
        <color indexed="9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5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thin">
        <color indexed="64"/>
      </top>
      <bottom/>
      <diagonal/>
    </border>
  </borders>
  <cellStyleXfs count="1414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6" fillId="0" borderId="0"/>
    <xf numFmtId="0" fontId="16" fillId="0" borderId="0"/>
    <xf numFmtId="0" fontId="1" fillId="0" borderId="0"/>
    <xf numFmtId="0" fontId="1" fillId="0" borderId="0"/>
    <xf numFmtId="0" fontId="6" fillId="0" borderId="0"/>
    <xf numFmtId="0" fontId="26" fillId="0" borderId="0"/>
    <xf numFmtId="0" fontId="16" fillId="0" borderId="0"/>
    <xf numFmtId="0" fontId="27" fillId="0" borderId="0" applyBorder="0"/>
    <xf numFmtId="0" fontId="26" fillId="0" borderId="0" applyFont="0" applyFill="0" applyBorder="0" applyAlignment="0"/>
    <xf numFmtId="0" fontId="16" fillId="0" borderId="0"/>
    <xf numFmtId="0" fontId="16" fillId="0" borderId="0"/>
    <xf numFmtId="0" fontId="16" fillId="0" borderId="0"/>
    <xf numFmtId="0" fontId="16" fillId="0" borderId="0" applyFont="0" applyFill="0" applyBorder="0" applyAlignment="0" applyProtection="0"/>
    <xf numFmtId="0" fontId="28" fillId="0" borderId="0"/>
    <xf numFmtId="0" fontId="28" fillId="0" borderId="0"/>
    <xf numFmtId="0" fontId="29" fillId="0" borderId="0"/>
    <xf numFmtId="0" fontId="16" fillId="0" borderId="0" applyFont="0" applyFill="0" applyBorder="0" applyAlignment="0" applyProtection="0"/>
    <xf numFmtId="0" fontId="16" fillId="0" borderId="0"/>
    <xf numFmtId="0" fontId="16" fillId="9" borderId="0"/>
    <xf numFmtId="0" fontId="16" fillId="9" borderId="0"/>
    <xf numFmtId="0" fontId="16" fillId="9" borderId="0"/>
    <xf numFmtId="0" fontId="30" fillId="10" borderId="16">
      <alignment horizontal="center" vertical="center" wrapText="1"/>
    </xf>
    <xf numFmtId="0" fontId="30" fillId="10" borderId="16">
      <alignment horizontal="center" vertical="center" wrapText="1"/>
    </xf>
    <xf numFmtId="0" fontId="30" fillId="10" borderId="16">
      <alignment horizontal="center" vertical="center" wrapText="1"/>
    </xf>
    <xf numFmtId="0" fontId="16" fillId="9" borderId="0"/>
    <xf numFmtId="0" fontId="16" fillId="9" borderId="0"/>
    <xf numFmtId="0" fontId="30" fillId="10" borderId="16">
      <alignment horizontal="center" vertical="center" wrapText="1"/>
    </xf>
    <xf numFmtId="0" fontId="16" fillId="9" borderId="0"/>
    <xf numFmtId="0" fontId="16" fillId="9" borderId="0"/>
    <xf numFmtId="0" fontId="31" fillId="11" borderId="0"/>
    <xf numFmtId="0" fontId="31" fillId="11" borderId="0"/>
    <xf numFmtId="0" fontId="31" fillId="11" borderId="0"/>
    <xf numFmtId="0" fontId="16" fillId="0" borderId="16">
      <alignment horizontal="center" vertical="center" wrapText="1"/>
    </xf>
    <xf numFmtId="0" fontId="16" fillId="0" borderId="16">
      <alignment horizontal="center" vertical="center" wrapText="1"/>
    </xf>
    <xf numFmtId="0" fontId="16" fillId="0" borderId="16">
      <alignment horizontal="center" vertical="center" wrapText="1"/>
    </xf>
    <xf numFmtId="0" fontId="31" fillId="11" borderId="0"/>
    <xf numFmtId="0" fontId="31" fillId="11" borderId="0"/>
    <xf numFmtId="0" fontId="16" fillId="0" borderId="16">
      <alignment horizontal="center" vertical="center" wrapText="1"/>
    </xf>
    <xf numFmtId="0" fontId="31" fillId="11" borderId="0"/>
    <xf numFmtId="0" fontId="31" fillId="11" borderId="0"/>
    <xf numFmtId="0" fontId="32" fillId="12" borderId="0">
      <alignment horizontal="center" vertical="center" wrapText="1"/>
    </xf>
    <xf numFmtId="0" fontId="32" fillId="12" borderId="0">
      <alignment horizontal="center" vertical="center" wrapText="1"/>
    </xf>
    <xf numFmtId="0" fontId="32" fillId="12" borderId="0">
      <alignment horizontal="center" vertical="center" wrapText="1"/>
    </xf>
    <xf numFmtId="0" fontId="32" fillId="12" borderId="0"/>
    <xf numFmtId="0" fontId="32" fillId="12" borderId="0"/>
    <xf numFmtId="0" fontId="33" fillId="13" borderId="0"/>
    <xf numFmtId="0" fontId="34" fillId="0" borderId="0"/>
    <xf numFmtId="0" fontId="35" fillId="0" borderId="0"/>
    <xf numFmtId="0" fontId="17" fillId="0" borderId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0" fontId="36" fillId="0" borderId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2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6" fontId="26" fillId="0" borderId="0" applyFont="0" applyFill="0" applyBorder="0" applyAlignment="0" applyProtection="0"/>
    <xf numFmtId="187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6" fontId="26" fillId="0" borderId="0" applyFont="0" applyFill="0" applyBorder="0" applyAlignment="0" applyProtection="0"/>
    <xf numFmtId="187" fontId="16" fillId="0" borderId="0" applyFont="0" applyFill="0" applyBorder="0" applyAlignment="0" applyProtection="0"/>
    <xf numFmtId="186" fontId="26" fillId="0" borderId="0" applyFont="0" applyFill="0" applyBorder="0" applyAlignment="0" applyProtection="0"/>
    <xf numFmtId="187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82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9" fontId="16" fillId="0" borderId="0" applyFont="0" applyFill="0" applyBorder="0" applyAlignment="0" applyProtection="0"/>
    <xf numFmtId="190" fontId="16" fillId="0" borderId="0" applyFont="0" applyFill="0" applyBorder="0" applyAlignment="0" applyProtection="0"/>
    <xf numFmtId="175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1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91" fontId="26" fillId="0" borderId="0" applyFont="0" applyFill="0" applyBorder="0" applyAlignment="0" applyProtection="0"/>
    <xf numFmtId="192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6" fontId="37" fillId="0" borderId="0" applyFont="0" applyFill="0" applyBorder="0" applyAlignment="0" applyProtection="0"/>
    <xf numFmtId="195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96" fontId="37" fillId="0" borderId="0" applyFont="0" applyFill="0" applyBorder="0" applyAlignment="0" applyProtection="0"/>
    <xf numFmtId="0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94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6" fontId="37" fillId="0" borderId="0" applyFont="0" applyFill="0" applyBorder="0" applyAlignment="0" applyProtection="0"/>
    <xf numFmtId="195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7" fontId="26" fillId="0" borderId="0" applyFont="0" applyFill="0" applyBorder="0" applyAlignment="0" applyProtection="0"/>
    <xf numFmtId="195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8" fontId="2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99" fontId="26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26" fillId="0" borderId="0" applyFont="0" applyFill="0" applyBorder="0" applyAlignment="0" applyProtection="0"/>
    <xf numFmtId="200" fontId="16" fillId="0" borderId="0" applyFont="0" applyFill="0" applyBorder="0" applyAlignment="0" applyProtection="0"/>
    <xf numFmtId="200" fontId="16" fillId="0" borderId="0" applyFont="0" applyFill="0" applyBorder="0" applyAlignment="0" applyProtection="0"/>
    <xf numFmtId="201" fontId="26" fillId="0" borderId="0" applyFont="0" applyFill="0" applyBorder="0" applyAlignment="0" applyProtection="0"/>
    <xf numFmtId="202" fontId="16" fillId="0" borderId="0" applyFont="0" applyFill="0" applyBorder="0" applyAlignment="0" applyProtection="0"/>
    <xf numFmtId="20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00" fontId="16" fillId="0" borderId="0" applyFont="0" applyFill="0" applyBorder="0" applyAlignment="0" applyProtection="0"/>
    <xf numFmtId="200" fontId="16" fillId="0" borderId="0" applyFont="0" applyFill="0" applyBorder="0" applyAlignment="0" applyProtection="0"/>
    <xf numFmtId="203" fontId="26" fillId="0" borderId="0" applyFont="0" applyFill="0" applyBorder="0" applyAlignment="0" applyProtection="0"/>
    <xf numFmtId="203" fontId="26" fillId="0" borderId="0" applyFont="0" applyFill="0" applyBorder="0" applyAlignment="0" applyProtection="0"/>
    <xf numFmtId="203" fontId="26" fillId="0" borderId="0" applyFont="0" applyFill="0" applyBorder="0" applyAlignment="0" applyProtection="0"/>
    <xf numFmtId="202" fontId="16" fillId="0" borderId="0" applyFont="0" applyFill="0" applyBorder="0" applyAlignment="0" applyProtection="0"/>
    <xf numFmtId="200" fontId="16" fillId="0" borderId="0" applyFont="0" applyFill="0" applyBorder="0" applyAlignment="0" applyProtection="0"/>
    <xf numFmtId="201" fontId="26" fillId="0" borderId="0" applyFont="0" applyFill="0" applyBorder="0" applyAlignment="0" applyProtection="0"/>
    <xf numFmtId="204" fontId="26" fillId="0" borderId="0" applyFont="0" applyFill="0" applyBorder="0" applyAlignment="0" applyProtection="0"/>
    <xf numFmtId="205" fontId="26" fillId="0" borderId="0" applyFont="0" applyFill="0" applyBorder="0" applyAlignment="0" applyProtection="0"/>
    <xf numFmtId="206" fontId="16" fillId="0" borderId="0" applyFont="0" applyFill="0" applyBorder="0" applyAlignment="0" applyProtection="0"/>
    <xf numFmtId="207" fontId="16" fillId="0" borderId="0" applyFont="0" applyFill="0" applyBorder="0" applyAlignment="0" applyProtection="0"/>
    <xf numFmtId="207" fontId="16" fillId="0" borderId="0" applyFont="0" applyFill="0" applyBorder="0" applyAlignment="0" applyProtection="0"/>
    <xf numFmtId="207" fontId="16" fillId="0" borderId="0" applyFont="0" applyFill="0" applyBorder="0" applyAlignment="0" applyProtection="0"/>
    <xf numFmtId="207" fontId="16" fillId="0" borderId="0" applyFont="0" applyFill="0" applyBorder="0" applyAlignment="0" applyProtection="0"/>
    <xf numFmtId="208" fontId="26" fillId="0" borderId="0" applyFont="0" applyFill="0" applyBorder="0" applyAlignment="0" applyProtection="0"/>
    <xf numFmtId="206" fontId="16" fillId="0" borderId="0" applyFont="0" applyFill="0" applyBorder="0" applyAlignment="0" applyProtection="0"/>
    <xf numFmtId="206" fontId="16" fillId="0" borderId="0" applyFont="0" applyFill="0" applyBorder="0" applyAlignment="0" applyProtection="0"/>
    <xf numFmtId="206" fontId="16" fillId="0" borderId="0" applyFont="0" applyFill="0" applyBorder="0" applyAlignment="0" applyProtection="0"/>
    <xf numFmtId="209" fontId="26" fillId="0" borderId="0" applyFont="0" applyFill="0" applyBorder="0" applyAlignment="0" applyProtection="0"/>
    <xf numFmtId="210" fontId="16" fillId="0" borderId="0" applyFont="0" applyFill="0" applyBorder="0" applyAlignment="0" applyProtection="0"/>
    <xf numFmtId="0" fontId="26" fillId="0" borderId="0" applyFont="0" applyFill="0" applyBorder="0" applyAlignment="0" applyProtection="0"/>
    <xf numFmtId="210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0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6" fillId="0" borderId="0" applyFont="0" applyFill="0" applyBorder="0" applyAlignment="0" applyProtection="0"/>
    <xf numFmtId="210" fontId="16" fillId="0" borderId="0" applyFont="0" applyFill="0" applyBorder="0" applyAlignment="0" applyProtection="0"/>
    <xf numFmtId="212" fontId="26" fillId="0" borderId="0" applyFont="0" applyFill="0" applyBorder="0" applyAlignment="0" applyProtection="0"/>
    <xf numFmtId="200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4" fontId="16" fillId="14" borderId="0"/>
    <xf numFmtId="4" fontId="16" fillId="14" borderId="0"/>
    <xf numFmtId="4" fontId="16" fillId="14" borderId="0"/>
    <xf numFmtId="38" fontId="30" fillId="15" borderId="16">
      <alignment horizontal="right"/>
    </xf>
    <xf numFmtId="38" fontId="30" fillId="15" borderId="16">
      <alignment horizontal="right"/>
    </xf>
    <xf numFmtId="38" fontId="30" fillId="15" borderId="16">
      <alignment horizontal="right"/>
    </xf>
    <xf numFmtId="4" fontId="16" fillId="14" borderId="0"/>
    <xf numFmtId="4" fontId="16" fillId="14" borderId="0"/>
    <xf numFmtId="38" fontId="30" fillId="15" borderId="16">
      <alignment horizontal="right"/>
    </xf>
    <xf numFmtId="4" fontId="16" fillId="14" borderId="0"/>
    <xf numFmtId="4" fontId="16" fillId="14" borderId="0"/>
    <xf numFmtId="0" fontId="16" fillId="0" borderId="0" applyFont="0" applyFill="0" applyBorder="0" applyAlignment="0" applyProtection="0"/>
    <xf numFmtId="0" fontId="37" fillId="0" borderId="0"/>
    <xf numFmtId="0" fontId="28" fillId="0" borderId="0"/>
    <xf numFmtId="0" fontId="38" fillId="16" borderId="11">
      <alignment vertical="center"/>
    </xf>
    <xf numFmtId="0" fontId="38" fillId="16" borderId="11">
      <alignment vertical="center"/>
    </xf>
    <xf numFmtId="0" fontId="38" fillId="16" borderId="11">
      <alignment vertical="center"/>
    </xf>
    <xf numFmtId="0" fontId="39" fillId="17" borderId="0"/>
    <xf numFmtId="0" fontId="39" fillId="17" borderId="0"/>
    <xf numFmtId="0" fontId="40" fillId="0" borderId="0" applyNumberForma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215" fontId="37" fillId="0" borderId="0" applyFont="0" applyFill="0" applyBorder="0" applyAlignment="0" applyProtection="0"/>
    <xf numFmtId="216" fontId="16" fillId="0" borderId="0" applyFont="0" applyFill="0" applyBorder="0" applyAlignment="0" applyProtection="0"/>
    <xf numFmtId="217" fontId="16" fillId="0" borderId="0" applyFont="0" applyFill="0" applyBorder="0" applyAlignment="0" applyProtection="0"/>
    <xf numFmtId="217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17" fontId="16" fillId="0" borderId="0" applyFont="0" applyFill="0" applyBorder="0" applyAlignment="0" applyProtection="0"/>
    <xf numFmtId="217" fontId="16" fillId="0" borderId="0" applyFont="0" applyFill="0" applyBorder="0" applyAlignment="0" applyProtection="0"/>
    <xf numFmtId="218" fontId="26" fillId="0" borderId="0" applyFont="0" applyFill="0" applyBorder="0" applyAlignment="0" applyProtection="0"/>
    <xf numFmtId="218" fontId="26" fillId="0" borderId="0" applyFont="0" applyFill="0" applyBorder="0" applyAlignment="0" applyProtection="0"/>
    <xf numFmtId="218" fontId="26" fillId="0" borderId="0" applyFont="0" applyFill="0" applyBorder="0" applyAlignment="0" applyProtection="0"/>
    <xf numFmtId="219" fontId="26" fillId="0" borderId="0" applyFont="0" applyFill="0" applyBorder="0" applyAlignment="0" applyProtection="0"/>
    <xf numFmtId="216" fontId="16" fillId="0" borderId="0" applyFont="0" applyFill="0" applyBorder="0" applyAlignment="0" applyProtection="0"/>
    <xf numFmtId="216" fontId="16" fillId="0" borderId="0" applyFont="0" applyFill="0" applyBorder="0" applyAlignment="0" applyProtection="0"/>
    <xf numFmtId="216" fontId="16" fillId="0" borderId="0" applyFont="0" applyFill="0" applyBorder="0" applyAlignment="0" applyProtection="0"/>
    <xf numFmtId="220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222" fontId="2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223" fontId="26" fillId="0" borderId="0" applyFont="0" applyFill="0" applyBorder="0" applyAlignment="0" applyProtection="0"/>
    <xf numFmtId="224" fontId="16" fillId="0" borderId="0" applyFont="0" applyFill="0" applyBorder="0" applyAlignment="0" applyProtection="0"/>
    <xf numFmtId="224" fontId="16" fillId="0" borderId="0" applyFont="0" applyFill="0" applyBorder="0" applyAlignment="0" applyProtection="0"/>
    <xf numFmtId="222" fontId="26" fillId="0" borderId="0" applyFont="0" applyFill="0" applyBorder="0" applyAlignment="0" applyProtection="0"/>
    <xf numFmtId="224" fontId="16" fillId="0" borderId="0" applyFont="0" applyFill="0" applyBorder="0" applyAlignment="0" applyProtection="0"/>
    <xf numFmtId="223" fontId="26" fillId="0" borderId="0" applyFont="0" applyFill="0" applyBorder="0" applyAlignment="0" applyProtection="0"/>
    <xf numFmtId="224" fontId="16" fillId="0" borderId="0" applyFont="0" applyFill="0" applyBorder="0" applyAlignment="0" applyProtection="0"/>
    <xf numFmtId="224" fontId="16" fillId="0" borderId="0" applyFont="0" applyFill="0" applyBorder="0" applyAlignment="0" applyProtection="0"/>
    <xf numFmtId="223" fontId="26" fillId="0" borderId="0" applyFont="0" applyFill="0" applyBorder="0" applyAlignment="0" applyProtection="0"/>
    <xf numFmtId="225" fontId="26" fillId="0" borderId="0" applyFont="0" applyFill="0" applyBorder="0" applyAlignment="0" applyProtection="0"/>
    <xf numFmtId="226" fontId="26" fillId="0" borderId="0" applyFont="0" applyFill="0" applyBorder="0" applyAlignment="0" applyProtection="0"/>
    <xf numFmtId="224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6" fontId="37" fillId="0" borderId="0" applyFont="0" applyFill="0" applyBorder="0" applyAlignment="0" applyProtection="0"/>
    <xf numFmtId="195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96" fontId="37" fillId="0" borderId="0" applyFont="0" applyFill="0" applyBorder="0" applyAlignment="0" applyProtection="0"/>
    <xf numFmtId="0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223" fontId="26" fillId="0" borderId="0" applyFont="0" applyFill="0" applyBorder="0" applyAlignment="0" applyProtection="0"/>
    <xf numFmtId="225" fontId="26" fillId="0" borderId="0" applyFont="0" applyFill="0" applyBorder="0" applyAlignment="0" applyProtection="0"/>
    <xf numFmtId="226" fontId="26" fillId="0" borderId="0" applyFont="0" applyFill="0" applyBorder="0" applyAlignment="0" applyProtection="0"/>
    <xf numFmtId="192" fontId="16" fillId="0" borderId="0" applyFont="0" applyFill="0" applyBorder="0" applyAlignment="0" applyProtection="0"/>
    <xf numFmtId="227" fontId="16" fillId="0" borderId="0" applyFont="0" applyFill="0" applyBorder="0" applyAlignment="0" applyProtection="0"/>
    <xf numFmtId="227" fontId="16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27" fontId="16" fillId="0" borderId="0" applyFont="0" applyFill="0" applyBorder="0" applyAlignment="0" applyProtection="0"/>
    <xf numFmtId="227" fontId="16" fillId="0" borderId="0" applyFont="0" applyFill="0" applyBorder="0" applyAlignment="0" applyProtection="0"/>
    <xf numFmtId="228" fontId="37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92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8" fontId="26" fillId="0" borderId="0" applyFont="0" applyFill="0" applyBorder="0" applyAlignment="0" applyProtection="0"/>
    <xf numFmtId="229" fontId="16" fillId="0" borderId="0" applyFont="0" applyFill="0" applyBorder="0" applyAlignment="0" applyProtection="0"/>
    <xf numFmtId="230" fontId="16" fillId="0" borderId="0" applyFont="0" applyFill="0" applyBorder="0" applyAlignment="0" applyProtection="0"/>
    <xf numFmtId="230" fontId="16" fillId="0" borderId="0" applyFont="0" applyFill="0" applyBorder="0" applyAlignment="0" applyProtection="0"/>
    <xf numFmtId="230" fontId="16" fillId="0" borderId="0" applyFont="0" applyFill="0" applyBorder="0" applyAlignment="0" applyProtection="0"/>
    <xf numFmtId="230" fontId="16" fillId="0" borderId="0" applyFont="0" applyFill="0" applyBorder="0" applyAlignment="0" applyProtection="0"/>
    <xf numFmtId="231" fontId="26" fillId="0" borderId="0" applyFont="0" applyFill="0" applyBorder="0" applyAlignment="0" applyProtection="0"/>
    <xf numFmtId="229" fontId="16" fillId="0" borderId="0" applyFont="0" applyFill="0" applyBorder="0" applyAlignment="0" applyProtection="0"/>
    <xf numFmtId="229" fontId="16" fillId="0" borderId="0" applyFont="0" applyFill="0" applyBorder="0" applyAlignment="0" applyProtection="0"/>
    <xf numFmtId="229" fontId="16" fillId="0" borderId="0" applyFont="0" applyFill="0" applyBorder="0" applyAlignment="0" applyProtection="0"/>
    <xf numFmtId="232" fontId="2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33" fontId="16" fillId="0" borderId="0" applyFont="0" applyFill="0" applyBorder="0" applyAlignment="0" applyProtection="0"/>
    <xf numFmtId="0" fontId="26" fillId="0" borderId="0" applyFont="0" applyFill="0" applyBorder="0" applyAlignment="0" applyProtection="0"/>
    <xf numFmtId="233" fontId="16" fillId="0" borderId="0" applyFont="0" applyFill="0" applyBorder="0" applyAlignment="0" applyProtection="0"/>
    <xf numFmtId="234" fontId="16" fillId="0" borderId="0" applyFont="0" applyFill="0" applyBorder="0" applyAlignment="0" applyProtection="0"/>
    <xf numFmtId="233" fontId="16" fillId="0" borderId="0" applyFont="0" applyFill="0" applyBorder="0" applyAlignment="0" applyProtection="0"/>
    <xf numFmtId="234" fontId="16" fillId="0" borderId="0" applyFont="0" applyFill="0" applyBorder="0" applyAlignment="0" applyProtection="0"/>
    <xf numFmtId="234" fontId="16" fillId="0" borderId="0" applyFont="0" applyFill="0" applyBorder="0" applyAlignment="0" applyProtection="0"/>
    <xf numFmtId="0" fontId="26" fillId="0" borderId="0" applyFont="0" applyFill="0" applyBorder="0" applyAlignment="0" applyProtection="0"/>
    <xf numFmtId="233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6" fontId="37" fillId="0" borderId="0" applyFont="0" applyFill="0" applyBorder="0" applyAlignment="0" applyProtection="0"/>
    <xf numFmtId="195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7" fontId="26" fillId="0" borderId="0" applyFont="0" applyFill="0" applyBorder="0" applyAlignment="0" applyProtection="0"/>
    <xf numFmtId="195" fontId="16" fillId="0" borderId="0" applyFont="0" applyFill="0" applyBorder="0" applyAlignment="0" applyProtection="0"/>
    <xf numFmtId="235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99" fontId="26" fillId="0" borderId="0" applyFont="0" applyFill="0" applyBorder="0" applyAlignment="0" applyProtection="0"/>
    <xf numFmtId="180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91" fontId="26" fillId="0" borderId="0" applyFont="0" applyFill="0" applyBorder="0" applyAlignment="0" applyProtection="0"/>
    <xf numFmtId="176" fontId="16" fillId="0" borderId="0" applyFont="0" applyFill="0" applyBorder="0" applyAlignment="0" applyProtection="0"/>
    <xf numFmtId="236" fontId="26" fillId="0" borderId="0" applyFont="0" applyFill="0" applyBorder="0" applyAlignment="0" applyProtection="0"/>
    <xf numFmtId="237" fontId="16" fillId="0" borderId="0" applyFont="0" applyFill="0" applyBorder="0" applyAlignment="0" applyProtection="0"/>
    <xf numFmtId="217" fontId="16" fillId="0" borderId="0" applyFont="0" applyFill="0" applyBorder="0" applyAlignment="0" applyProtection="0"/>
    <xf numFmtId="217" fontId="16" fillId="0" borderId="0" applyFont="0" applyFill="0" applyBorder="0" applyAlignment="0" applyProtection="0"/>
    <xf numFmtId="238" fontId="26" fillId="0" borderId="0" applyFont="0" applyFill="0" applyBorder="0" applyAlignment="0" applyProtection="0"/>
    <xf numFmtId="239" fontId="16" fillId="0" borderId="0" applyFont="0" applyFill="0" applyBorder="0" applyAlignment="0" applyProtection="0"/>
    <xf numFmtId="217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17" fontId="16" fillId="0" borderId="0" applyFont="0" applyFill="0" applyBorder="0" applyAlignment="0" applyProtection="0"/>
    <xf numFmtId="217" fontId="16" fillId="0" borderId="0" applyFont="0" applyFill="0" applyBorder="0" applyAlignment="0" applyProtection="0"/>
    <xf numFmtId="218" fontId="26" fillId="0" borderId="0" applyFont="0" applyFill="0" applyBorder="0" applyAlignment="0" applyProtection="0"/>
    <xf numFmtId="218" fontId="26" fillId="0" borderId="0" applyFont="0" applyFill="0" applyBorder="0" applyAlignment="0" applyProtection="0"/>
    <xf numFmtId="218" fontId="26" fillId="0" borderId="0" applyFont="0" applyFill="0" applyBorder="0" applyAlignment="0" applyProtection="0"/>
    <xf numFmtId="239" fontId="16" fillId="0" borderId="0" applyFont="0" applyFill="0" applyBorder="0" applyAlignment="0" applyProtection="0"/>
    <xf numFmtId="217" fontId="16" fillId="0" borderId="0" applyFont="0" applyFill="0" applyBorder="0" applyAlignment="0" applyProtection="0"/>
    <xf numFmtId="238" fontId="26" fillId="0" borderId="0" applyFont="0" applyFill="0" applyBorder="0" applyAlignment="0" applyProtection="0"/>
    <xf numFmtId="240" fontId="26" fillId="0" borderId="0" applyFont="0" applyFill="0" applyBorder="0" applyAlignment="0" applyProtection="0"/>
    <xf numFmtId="188" fontId="16" fillId="0" borderId="0" applyFont="0" applyFill="0" applyBorder="0" applyAlignment="0" applyProtection="0"/>
    <xf numFmtId="200" fontId="16" fillId="0" borderId="0" applyFont="0" applyFill="0" applyBorder="0" applyAlignment="0" applyProtection="0"/>
    <xf numFmtId="20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00" fontId="16" fillId="0" borderId="0" applyFont="0" applyFill="0" applyBorder="0" applyAlignment="0" applyProtection="0"/>
    <xf numFmtId="200" fontId="16" fillId="0" borderId="0" applyFont="0" applyFill="0" applyBorder="0" applyAlignment="0" applyProtection="0"/>
    <xf numFmtId="203" fontId="26" fillId="0" borderId="0" applyFont="0" applyFill="0" applyBorder="0" applyAlignment="0" applyProtection="0"/>
    <xf numFmtId="203" fontId="26" fillId="0" borderId="0" applyFont="0" applyFill="0" applyBorder="0" applyAlignment="0" applyProtection="0"/>
    <xf numFmtId="203" fontId="26" fillId="0" borderId="0" applyFont="0" applyFill="0" applyBorder="0" applyAlignment="0" applyProtection="0"/>
    <xf numFmtId="212" fontId="26" fillId="0" borderId="0" applyFont="0" applyFill="0" applyBorder="0" applyAlignment="0" applyProtection="0"/>
    <xf numFmtId="241" fontId="16" fillId="0" borderId="0" applyFont="0" applyFill="0" applyBorder="0" applyAlignment="0" applyProtection="0"/>
    <xf numFmtId="241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242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241" fontId="16" fillId="0" borderId="0" applyFont="0" applyFill="0" applyBorder="0" applyAlignment="0" applyProtection="0"/>
    <xf numFmtId="242" fontId="16" fillId="0" borderId="0" applyFont="0" applyFill="0" applyBorder="0" applyAlignment="0" applyProtection="0"/>
    <xf numFmtId="242" fontId="16" fillId="0" borderId="0" applyFont="0" applyFill="0" applyBorder="0" applyAlignment="0" applyProtection="0"/>
    <xf numFmtId="194" fontId="37" fillId="0" borderId="0" applyFont="0" applyFill="0" applyBorder="0" applyAlignment="0" applyProtection="0"/>
    <xf numFmtId="242" fontId="16" fillId="0" borderId="0" applyFont="0" applyFill="0" applyBorder="0" applyAlignment="0" applyProtection="0"/>
    <xf numFmtId="242" fontId="16" fillId="0" borderId="0" applyFont="0" applyFill="0" applyBorder="0" applyAlignment="0" applyProtection="0"/>
    <xf numFmtId="242" fontId="16" fillId="0" borderId="0" applyFont="0" applyFill="0" applyBorder="0" applyAlignment="0" applyProtection="0"/>
    <xf numFmtId="242" fontId="16" fillId="0" borderId="0" applyFont="0" applyFill="0" applyBorder="0" applyAlignment="0" applyProtection="0"/>
    <xf numFmtId="194" fontId="37" fillId="0" borderId="0" applyFont="0" applyFill="0" applyBorder="0" applyAlignment="0" applyProtection="0"/>
    <xf numFmtId="241" fontId="16" fillId="0" borderId="0" applyFont="0" applyFill="0" applyBorder="0" applyAlignment="0" applyProtection="0"/>
    <xf numFmtId="241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241" fontId="16" fillId="0" borderId="0" applyFont="0" applyFill="0" applyBorder="0" applyAlignment="0" applyProtection="0"/>
    <xf numFmtId="241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241" fontId="16" fillId="0" borderId="0" applyFont="0" applyFill="0" applyBorder="0" applyAlignment="0" applyProtection="0"/>
    <xf numFmtId="242" fontId="16" fillId="0" borderId="0" applyFont="0" applyFill="0" applyBorder="0" applyAlignment="0" applyProtection="0"/>
    <xf numFmtId="242" fontId="16" fillId="0" borderId="0" applyFont="0" applyFill="0" applyBorder="0" applyAlignment="0" applyProtection="0"/>
    <xf numFmtId="194" fontId="37" fillId="0" borderId="0" applyFont="0" applyFill="0" applyBorder="0" applyAlignment="0" applyProtection="0"/>
    <xf numFmtId="242" fontId="16" fillId="0" borderId="0" applyFont="0" applyFill="0" applyBorder="0" applyAlignment="0" applyProtection="0"/>
    <xf numFmtId="242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241" fontId="16" fillId="0" borderId="0" applyFont="0" applyFill="0" applyBorder="0" applyAlignment="0" applyProtection="0"/>
    <xf numFmtId="243" fontId="26" fillId="0" borderId="0" applyFont="0" applyFill="0" applyBorder="0" applyAlignment="0" applyProtection="0"/>
    <xf numFmtId="242" fontId="16" fillId="0" borderId="0" applyFont="0" applyFill="0" applyBorder="0" applyAlignment="0" applyProtection="0"/>
    <xf numFmtId="244" fontId="16" fillId="0" borderId="0" applyFont="0" applyFill="0" applyBorder="0" applyAlignment="0" applyProtection="0"/>
    <xf numFmtId="0" fontId="26" fillId="0" borderId="0" applyFont="0" applyFill="0" applyBorder="0" applyAlignment="0" applyProtection="0"/>
    <xf numFmtId="244" fontId="16" fillId="0" borderId="0" applyFont="0" applyFill="0" applyBorder="0" applyAlignment="0" applyProtection="0"/>
    <xf numFmtId="228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28" fontId="16" fillId="0" borderId="0" applyFont="0" applyFill="0" applyBorder="0" applyAlignment="0" applyProtection="0"/>
    <xf numFmtId="228" fontId="16" fillId="0" borderId="0" applyFont="0" applyFill="0" applyBorder="0" applyAlignment="0" applyProtection="0"/>
    <xf numFmtId="245" fontId="26" fillId="0" borderId="0" applyFont="0" applyFill="0" applyBorder="0" applyAlignment="0" applyProtection="0"/>
    <xf numFmtId="246" fontId="16" fillId="0" borderId="0" applyFont="0" applyFill="0" applyBorder="0" applyAlignment="0" applyProtection="0"/>
    <xf numFmtId="244" fontId="16" fillId="0" borderId="0" applyFont="0" applyFill="0" applyBorder="0" applyAlignment="0" applyProtection="0"/>
    <xf numFmtId="219" fontId="26" fillId="0" borderId="0" applyFont="0" applyFill="0" applyBorder="0" applyAlignment="0" applyProtection="0"/>
    <xf numFmtId="217" fontId="16" fillId="0" borderId="0" applyFont="0" applyFill="0" applyBorder="0" applyAlignment="0" applyProtection="0"/>
    <xf numFmtId="247" fontId="16" fillId="0" borderId="0" applyFont="0" applyFill="0" applyBorder="0" applyAlignment="0" applyProtection="0"/>
    <xf numFmtId="196" fontId="16" fillId="0" borderId="0" applyFont="0" applyFill="0" applyBorder="0" applyAlignment="0" applyProtection="0"/>
    <xf numFmtId="196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96" fontId="16" fillId="0" borderId="0" applyFont="0" applyFill="0" applyBorder="0" applyAlignment="0" applyProtection="0"/>
    <xf numFmtId="196" fontId="16" fillId="0" borderId="0" applyFont="0" applyFill="0" applyBorder="0" applyAlignment="0" applyProtection="0"/>
    <xf numFmtId="0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248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215" fontId="37" fillId="0" borderId="0" applyFont="0" applyFill="0" applyBorder="0" applyAlignment="0" applyProtection="0"/>
    <xf numFmtId="221" fontId="26" fillId="0" borderId="0" applyFont="0" applyFill="0" applyBorder="0" applyAlignment="0" applyProtection="0"/>
    <xf numFmtId="249" fontId="16" fillId="0" borderId="0" applyFont="0" applyFill="0" applyBorder="0" applyAlignment="0" applyProtection="0"/>
    <xf numFmtId="249" fontId="16" fillId="0" borderId="0" applyFont="0" applyFill="0" applyBorder="0" applyAlignment="0" applyProtection="0"/>
    <xf numFmtId="248" fontId="16" fillId="0" borderId="0" applyFont="0" applyFill="0" applyBorder="0" applyAlignment="0" applyProtection="0"/>
    <xf numFmtId="250" fontId="16" fillId="0" borderId="0" applyFont="0" applyFill="0" applyBorder="0" applyAlignment="0" applyProtection="0"/>
    <xf numFmtId="248" fontId="16" fillId="0" borderId="0" applyFont="0" applyFill="0" applyBorder="0" applyAlignment="0" applyProtection="0"/>
    <xf numFmtId="249" fontId="16" fillId="0" borderId="0" applyFont="0" applyFill="0" applyBorder="0" applyAlignment="0" applyProtection="0"/>
    <xf numFmtId="250" fontId="16" fillId="0" borderId="0" applyFont="0" applyFill="0" applyBorder="0" applyAlignment="0" applyProtection="0"/>
    <xf numFmtId="250" fontId="16" fillId="0" borderId="0" applyFont="0" applyFill="0" applyBorder="0" applyAlignment="0" applyProtection="0"/>
    <xf numFmtId="214" fontId="37" fillId="0" borderId="0" applyFont="0" applyFill="0" applyBorder="0" applyAlignment="0" applyProtection="0"/>
    <xf numFmtId="250" fontId="16" fillId="0" borderId="0" applyFont="0" applyFill="0" applyBorder="0" applyAlignment="0" applyProtection="0"/>
    <xf numFmtId="250" fontId="16" fillId="0" borderId="0" applyFont="0" applyFill="0" applyBorder="0" applyAlignment="0" applyProtection="0"/>
    <xf numFmtId="250" fontId="16" fillId="0" borderId="0" applyFont="0" applyFill="0" applyBorder="0" applyAlignment="0" applyProtection="0"/>
    <xf numFmtId="250" fontId="16" fillId="0" borderId="0" applyFont="0" applyFill="0" applyBorder="0" applyAlignment="0" applyProtection="0"/>
    <xf numFmtId="214" fontId="37" fillId="0" borderId="0" applyFont="0" applyFill="0" applyBorder="0" applyAlignment="0" applyProtection="0"/>
    <xf numFmtId="249" fontId="16" fillId="0" borderId="0" applyFont="0" applyFill="0" applyBorder="0" applyAlignment="0" applyProtection="0"/>
    <xf numFmtId="249" fontId="16" fillId="0" borderId="0" applyFont="0" applyFill="0" applyBorder="0" applyAlignment="0" applyProtection="0"/>
    <xf numFmtId="248" fontId="16" fillId="0" borderId="0" applyFont="0" applyFill="0" applyBorder="0" applyAlignment="0" applyProtection="0"/>
    <xf numFmtId="249" fontId="16" fillId="0" borderId="0" applyFont="0" applyFill="0" applyBorder="0" applyAlignment="0" applyProtection="0"/>
    <xf numFmtId="249" fontId="16" fillId="0" borderId="0" applyFont="0" applyFill="0" applyBorder="0" applyAlignment="0" applyProtection="0"/>
    <xf numFmtId="248" fontId="16" fillId="0" borderId="0" applyFont="0" applyFill="0" applyBorder="0" applyAlignment="0" applyProtection="0"/>
    <xf numFmtId="249" fontId="16" fillId="0" borderId="0" applyFont="0" applyFill="0" applyBorder="0" applyAlignment="0" applyProtection="0"/>
    <xf numFmtId="250" fontId="16" fillId="0" borderId="0" applyFont="0" applyFill="0" applyBorder="0" applyAlignment="0" applyProtection="0"/>
    <xf numFmtId="250" fontId="16" fillId="0" borderId="0" applyFont="0" applyFill="0" applyBorder="0" applyAlignment="0" applyProtection="0"/>
    <xf numFmtId="214" fontId="37" fillId="0" borderId="0" applyFont="0" applyFill="0" applyBorder="0" applyAlignment="0" applyProtection="0"/>
    <xf numFmtId="250" fontId="16" fillId="0" borderId="0" applyFont="0" applyFill="0" applyBorder="0" applyAlignment="0" applyProtection="0"/>
    <xf numFmtId="250" fontId="16" fillId="0" borderId="0" applyFont="0" applyFill="0" applyBorder="0" applyAlignment="0" applyProtection="0"/>
    <xf numFmtId="248" fontId="16" fillId="0" borderId="0" applyFont="0" applyFill="0" applyBorder="0" applyAlignment="0" applyProtection="0"/>
    <xf numFmtId="248" fontId="16" fillId="0" borderId="0" applyFont="0" applyFill="0" applyBorder="0" applyAlignment="0" applyProtection="0"/>
    <xf numFmtId="248" fontId="16" fillId="0" borderId="0" applyFont="0" applyFill="0" applyBorder="0" applyAlignment="0" applyProtection="0"/>
    <xf numFmtId="249" fontId="16" fillId="0" borderId="0" applyFont="0" applyFill="0" applyBorder="0" applyAlignment="0" applyProtection="0"/>
    <xf numFmtId="251" fontId="26" fillId="0" borderId="0" applyFont="0" applyFill="0" applyBorder="0" applyAlignment="0" applyProtection="0"/>
    <xf numFmtId="250" fontId="16" fillId="0" borderId="0" applyFont="0" applyFill="0" applyBorder="0" applyAlignment="0" applyProtection="0"/>
    <xf numFmtId="252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253" fontId="26" fillId="0" borderId="0" applyFont="0" applyFill="0" applyBorder="0" applyAlignment="0" applyProtection="0"/>
    <xf numFmtId="254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254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253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2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186" fontId="26" fillId="0" borderId="0" applyFont="0" applyFill="0" applyBorder="0" applyAlignment="0" applyProtection="0"/>
    <xf numFmtId="187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6" fontId="26" fillId="0" borderId="0" applyFont="0" applyFill="0" applyBorder="0" applyAlignment="0" applyProtection="0"/>
    <xf numFmtId="187" fontId="16" fillId="0" borderId="0" applyFont="0" applyFill="0" applyBorder="0" applyAlignment="0" applyProtection="0"/>
    <xf numFmtId="186" fontId="26" fillId="0" borderId="0" applyFont="0" applyFill="0" applyBorder="0" applyAlignment="0" applyProtection="0"/>
    <xf numFmtId="187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82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9" fontId="16" fillId="0" borderId="0" applyFont="0" applyFill="0" applyBorder="0" applyAlignment="0" applyProtection="0"/>
    <xf numFmtId="190" fontId="16" fillId="0" borderId="0" applyFont="0" applyFill="0" applyBorder="0" applyAlignment="0" applyProtection="0"/>
    <xf numFmtId="175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1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91" fontId="26" fillId="0" borderId="0" applyFont="0" applyFill="0" applyBorder="0" applyAlignment="0" applyProtection="0"/>
    <xf numFmtId="192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6" fontId="37" fillId="0" borderId="0" applyFont="0" applyFill="0" applyBorder="0" applyAlignment="0" applyProtection="0"/>
    <xf numFmtId="195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96" fontId="37" fillId="0" borderId="0" applyFont="0" applyFill="0" applyBorder="0" applyAlignment="0" applyProtection="0"/>
    <xf numFmtId="0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94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6" fontId="37" fillId="0" borderId="0" applyFont="0" applyFill="0" applyBorder="0" applyAlignment="0" applyProtection="0"/>
    <xf numFmtId="195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7" fontId="26" fillId="0" borderId="0" applyFont="0" applyFill="0" applyBorder="0" applyAlignment="0" applyProtection="0"/>
    <xf numFmtId="195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98" fontId="26" fillId="0" borderId="0" applyFont="0" applyFill="0" applyBorder="0" applyAlignment="0" applyProtection="0"/>
    <xf numFmtId="255" fontId="16" fillId="0" borderId="0" applyFont="0" applyFill="0" applyBorder="0" applyAlignment="0" applyProtection="0"/>
    <xf numFmtId="0" fontId="26" fillId="0" borderId="0" applyFont="0" applyFill="0" applyBorder="0" applyAlignment="0" applyProtection="0"/>
    <xf numFmtId="255" fontId="1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256" fontId="16" fillId="0" borderId="0" applyFont="0" applyFill="0" applyBorder="0" applyAlignment="0" applyProtection="0"/>
    <xf numFmtId="255" fontId="16" fillId="0" borderId="0" applyFont="0" applyFill="0" applyBorder="0" applyAlignment="0" applyProtection="0"/>
    <xf numFmtId="0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256" fontId="1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90" fontId="26" fillId="0" borderId="0" applyFont="0" applyFill="0" applyBorder="0" applyAlignment="0" applyProtection="0"/>
    <xf numFmtId="257" fontId="16" fillId="0" borderId="0" applyFont="0" applyFill="0" applyBorder="0" applyAlignment="0" applyProtection="0"/>
    <xf numFmtId="255" fontId="16" fillId="0" borderId="0" applyFont="0" applyFill="0" applyBorder="0" applyAlignment="0" applyProtection="0"/>
    <xf numFmtId="167" fontId="2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99" fontId="26" fillId="0" borderId="0" applyFont="0" applyFill="0" applyBorder="0" applyAlignment="0" applyProtection="0"/>
    <xf numFmtId="180" fontId="16" fillId="0" borderId="0" applyFont="0" applyFill="0" applyBorder="0" applyAlignment="0" applyProtection="0"/>
    <xf numFmtId="258" fontId="16" fillId="0" borderId="0" applyFont="0" applyFill="0" applyBorder="0" applyAlignment="0" applyProtection="0"/>
    <xf numFmtId="259" fontId="16" fillId="0" borderId="0" applyFont="0" applyFill="0" applyBorder="0" applyAlignment="0" applyProtection="0"/>
    <xf numFmtId="259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59" fontId="16" fillId="0" borderId="0" applyFont="0" applyFill="0" applyBorder="0" applyAlignment="0" applyProtection="0"/>
    <xf numFmtId="259" fontId="16" fillId="0" borderId="0" applyFont="0" applyFill="0" applyBorder="0" applyAlignment="0" applyProtection="0"/>
    <xf numFmtId="260" fontId="26" fillId="0" borderId="0" applyFont="0" applyFill="0" applyBorder="0" applyAlignment="0" applyProtection="0"/>
    <xf numFmtId="261" fontId="26" fillId="0" borderId="0" applyFont="0" applyFill="0" applyBorder="0" applyAlignment="0" applyProtection="0"/>
    <xf numFmtId="262" fontId="16" fillId="0" borderId="0" applyFont="0" applyFill="0" applyBorder="0" applyAlignment="0" applyProtection="0"/>
    <xf numFmtId="263" fontId="16" fillId="0" borderId="0" applyFont="0" applyFill="0" applyBorder="0" applyAlignment="0" applyProtection="0"/>
    <xf numFmtId="261" fontId="26" fillId="0" borderId="0" applyFont="0" applyFill="0" applyBorder="0" applyAlignment="0" applyProtection="0"/>
    <xf numFmtId="262" fontId="16" fillId="0" borderId="0" applyFont="0" applyFill="0" applyBorder="0" applyAlignment="0" applyProtection="0"/>
    <xf numFmtId="261" fontId="26" fillId="0" borderId="0" applyFont="0" applyFill="0" applyBorder="0" applyAlignment="0" applyProtection="0"/>
    <xf numFmtId="262" fontId="16" fillId="0" borderId="0" applyFont="0" applyFill="0" applyBorder="0" applyAlignment="0" applyProtection="0"/>
    <xf numFmtId="263" fontId="16" fillId="0" borderId="0" applyFont="0" applyFill="0" applyBorder="0" applyAlignment="0" applyProtection="0"/>
    <xf numFmtId="263" fontId="16" fillId="0" borderId="0" applyFont="0" applyFill="0" applyBorder="0" applyAlignment="0" applyProtection="0"/>
    <xf numFmtId="260" fontId="16" fillId="0" borderId="0" applyFont="0" applyFill="0" applyBorder="0" applyAlignment="0" applyProtection="0"/>
    <xf numFmtId="260" fontId="16" fillId="0" borderId="0" applyFont="0" applyFill="0" applyBorder="0" applyAlignment="0" applyProtection="0"/>
    <xf numFmtId="264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264" fontId="16" fillId="0" borderId="0" applyFont="0" applyFill="0" applyBorder="0" applyAlignment="0" applyProtection="0"/>
    <xf numFmtId="264" fontId="16" fillId="0" borderId="0" applyFont="0" applyFill="0" applyBorder="0" applyAlignment="0" applyProtection="0"/>
    <xf numFmtId="264" fontId="16" fillId="0" borderId="0" applyFont="0" applyFill="0" applyBorder="0" applyAlignment="0" applyProtection="0"/>
    <xf numFmtId="265" fontId="26" fillId="0" borderId="0" applyFont="0" applyFill="0" applyBorder="0" applyAlignment="0" applyProtection="0"/>
    <xf numFmtId="266" fontId="26" fillId="0" borderId="0" applyFont="0" applyFill="0" applyBorder="0" applyAlignment="0" applyProtection="0"/>
    <xf numFmtId="267" fontId="26" fillId="0" borderId="0" applyFont="0" applyFill="0" applyBorder="0" applyAlignment="0" applyProtection="0"/>
    <xf numFmtId="268" fontId="26" fillId="0" borderId="0" applyFont="0" applyFill="0" applyBorder="0" applyAlignment="0" applyProtection="0"/>
    <xf numFmtId="214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269" fontId="26" fillId="0" borderId="0" applyFont="0" applyFill="0" applyBorder="0" applyAlignment="0" applyProtection="0"/>
    <xf numFmtId="270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215" fontId="37" fillId="0" borderId="0" applyFont="0" applyFill="0" applyBorder="0" applyAlignment="0" applyProtection="0"/>
    <xf numFmtId="270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269" fontId="26" fillId="0" borderId="0" applyFont="0" applyFill="0" applyBorder="0" applyAlignment="0" applyProtection="0"/>
    <xf numFmtId="271" fontId="26" fillId="0" borderId="0" applyFont="0" applyFill="0" applyBorder="0" applyAlignment="0" applyProtection="0"/>
    <xf numFmtId="216" fontId="16" fillId="0" borderId="0" applyFont="0" applyFill="0" applyBorder="0" applyAlignment="0" applyProtection="0"/>
    <xf numFmtId="217" fontId="16" fillId="0" borderId="0" applyFont="0" applyFill="0" applyBorder="0" applyAlignment="0" applyProtection="0"/>
    <xf numFmtId="217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17" fontId="16" fillId="0" borderId="0" applyFont="0" applyFill="0" applyBorder="0" applyAlignment="0" applyProtection="0"/>
    <xf numFmtId="217" fontId="16" fillId="0" borderId="0" applyFont="0" applyFill="0" applyBorder="0" applyAlignment="0" applyProtection="0"/>
    <xf numFmtId="218" fontId="26" fillId="0" borderId="0" applyFont="0" applyFill="0" applyBorder="0" applyAlignment="0" applyProtection="0"/>
    <xf numFmtId="218" fontId="26" fillId="0" borderId="0" applyFont="0" applyFill="0" applyBorder="0" applyAlignment="0" applyProtection="0"/>
    <xf numFmtId="218" fontId="26" fillId="0" borderId="0" applyFont="0" applyFill="0" applyBorder="0" applyAlignment="0" applyProtection="0"/>
    <xf numFmtId="219" fontId="26" fillId="0" borderId="0" applyFont="0" applyFill="0" applyBorder="0" applyAlignment="0" applyProtection="0"/>
    <xf numFmtId="216" fontId="16" fillId="0" borderId="0" applyFont="0" applyFill="0" applyBorder="0" applyAlignment="0" applyProtection="0"/>
    <xf numFmtId="216" fontId="16" fillId="0" borderId="0" applyFont="0" applyFill="0" applyBorder="0" applyAlignment="0" applyProtection="0"/>
    <xf numFmtId="216" fontId="16" fillId="0" borderId="0" applyFont="0" applyFill="0" applyBorder="0" applyAlignment="0" applyProtection="0"/>
    <xf numFmtId="220" fontId="26" fillId="0" borderId="0" applyFont="0" applyFill="0" applyBorder="0" applyAlignment="0" applyProtection="0"/>
    <xf numFmtId="272" fontId="16" fillId="0" borderId="0" applyFont="0" applyFill="0" applyBorder="0" applyAlignment="0" applyProtection="0"/>
    <xf numFmtId="273" fontId="26" fillId="0" borderId="0" applyFont="0" applyFill="0" applyBorder="0" applyAlignment="0" applyProtection="0"/>
    <xf numFmtId="274" fontId="16" fillId="0" borderId="0" applyFont="0" applyFill="0" applyBorder="0" applyAlignment="0" applyProtection="0"/>
    <xf numFmtId="272" fontId="16" fillId="0" borderId="0" applyFont="0" applyFill="0" applyBorder="0" applyAlignment="0" applyProtection="0"/>
    <xf numFmtId="275" fontId="26" fillId="0" borderId="0" applyFont="0" applyFill="0" applyBorder="0" applyAlignment="0" applyProtection="0"/>
    <xf numFmtId="276" fontId="16" fillId="0" borderId="0" applyFont="0" applyFill="0" applyBorder="0" applyAlignment="0" applyProtection="0"/>
    <xf numFmtId="272" fontId="16" fillId="0" borderId="0" applyFont="0" applyFill="0" applyBorder="0" applyAlignment="0" applyProtection="0"/>
    <xf numFmtId="272" fontId="16" fillId="0" borderId="0" applyFont="0" applyFill="0" applyBorder="0" applyAlignment="0" applyProtection="0"/>
    <xf numFmtId="275" fontId="26" fillId="0" borderId="0" applyFont="0" applyFill="0" applyBorder="0" applyAlignment="0" applyProtection="0"/>
    <xf numFmtId="277" fontId="26" fillId="0" borderId="0" applyFont="0" applyFill="0" applyBorder="0" applyAlignment="0" applyProtection="0"/>
    <xf numFmtId="263" fontId="16" fillId="0" borderId="0" applyFont="0" applyFill="0" applyBorder="0" applyAlignment="0" applyProtection="0"/>
    <xf numFmtId="272" fontId="16" fillId="0" borderId="0" applyFont="0" applyFill="0" applyBorder="0" applyAlignment="0" applyProtection="0"/>
    <xf numFmtId="263" fontId="16" fillId="0" borderId="0" applyFont="0" applyFill="0" applyBorder="0" applyAlignment="0" applyProtection="0"/>
    <xf numFmtId="221" fontId="26" fillId="0" borderId="0" applyFont="0" applyFill="0" applyBorder="0" applyAlignment="0" applyProtection="0"/>
    <xf numFmtId="214" fontId="16" fillId="0" borderId="0" applyFont="0" applyFill="0" applyBorder="0" applyAlignment="0" applyProtection="0"/>
    <xf numFmtId="0" fontId="16" fillId="9" borderId="0"/>
    <xf numFmtId="0" fontId="16" fillId="9" borderId="0"/>
    <xf numFmtId="0" fontId="16" fillId="9" borderId="0"/>
    <xf numFmtId="0" fontId="31" fillId="18" borderId="16">
      <alignment vertical="center" wrapText="1"/>
    </xf>
    <xf numFmtId="0" fontId="31" fillId="18" borderId="16">
      <alignment vertical="center" wrapText="1"/>
    </xf>
    <xf numFmtId="0" fontId="31" fillId="18" borderId="16">
      <alignment vertical="center" wrapText="1"/>
    </xf>
    <xf numFmtId="0" fontId="16" fillId="9" borderId="0"/>
    <xf numFmtId="0" fontId="16" fillId="9" borderId="0"/>
    <xf numFmtId="0" fontId="31" fillId="18" borderId="16">
      <alignment vertical="center" wrapText="1"/>
    </xf>
    <xf numFmtId="0" fontId="16" fillId="9" borderId="0"/>
    <xf numFmtId="0" fontId="16" fillId="9" borderId="0"/>
    <xf numFmtId="0" fontId="16" fillId="0" borderId="16">
      <alignment vertical="center" wrapText="1"/>
    </xf>
    <xf numFmtId="0" fontId="16" fillId="0" borderId="16">
      <alignment vertical="center" wrapText="1"/>
    </xf>
    <xf numFmtId="0" fontId="16" fillId="0" borderId="16">
      <alignment vertical="center" wrapText="1"/>
    </xf>
    <xf numFmtId="0" fontId="31" fillId="11" borderId="0"/>
    <xf numFmtId="0" fontId="31" fillId="11" borderId="0"/>
    <xf numFmtId="0" fontId="32" fillId="12" borderId="0"/>
    <xf numFmtId="0" fontId="33" fillId="13" borderId="0"/>
    <xf numFmtId="0" fontId="34" fillId="0" borderId="0"/>
    <xf numFmtId="0" fontId="35" fillId="0" borderId="0"/>
    <xf numFmtId="0" fontId="17" fillId="0" borderId="0"/>
    <xf numFmtId="0" fontId="36" fillId="0" borderId="0"/>
    <xf numFmtId="0" fontId="16" fillId="0" borderId="0"/>
    <xf numFmtId="278" fontId="26" fillId="0" borderId="0"/>
    <xf numFmtId="279" fontId="26" fillId="0" borderId="0"/>
    <xf numFmtId="278" fontId="26" fillId="0" borderId="0"/>
    <xf numFmtId="278" fontId="26" fillId="0" borderId="0"/>
    <xf numFmtId="201" fontId="26" fillId="0" borderId="0"/>
    <xf numFmtId="0" fontId="26" fillId="0" borderId="0"/>
    <xf numFmtId="279" fontId="26" fillId="0" borderId="0"/>
    <xf numFmtId="278" fontId="26" fillId="0" borderId="0"/>
    <xf numFmtId="279" fontId="26" fillId="0" borderId="0"/>
    <xf numFmtId="0" fontId="26" fillId="0" borderId="0"/>
    <xf numFmtId="278" fontId="26" fillId="0" borderId="0"/>
    <xf numFmtId="1" fontId="41" fillId="0" borderId="0"/>
    <xf numFmtId="0" fontId="37" fillId="0" borderId="0">
      <alignment horizontal="center"/>
    </xf>
    <xf numFmtId="0" fontId="37" fillId="0" borderId="0">
      <alignment horizontal="center"/>
    </xf>
    <xf numFmtId="0" fontId="37" fillId="0" borderId="0"/>
    <xf numFmtId="0" fontId="37" fillId="0" borderId="0">
      <alignment horizontal="center"/>
    </xf>
    <xf numFmtId="0" fontId="37" fillId="0" borderId="0">
      <alignment horizontal="center"/>
    </xf>
    <xf numFmtId="0" fontId="42" fillId="0" borderId="0">
      <alignment horizontal="center"/>
    </xf>
    <xf numFmtId="215" fontId="42" fillId="0" borderId="0">
      <alignment horizont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" fontId="41" fillId="0" borderId="0"/>
    <xf numFmtId="0" fontId="35" fillId="0" borderId="0" applyNumberFormat="0" applyFill="0" applyBorder="0" applyAlignment="0" applyProtection="0"/>
    <xf numFmtId="1" fontId="41" fillId="0" borderId="0"/>
    <xf numFmtId="0" fontId="35" fillId="0" borderId="0" applyNumberFormat="0" applyFill="0" applyBorder="0" applyAlignment="0" applyProtection="0"/>
    <xf numFmtId="1" fontId="41" fillId="0" borderId="0"/>
    <xf numFmtId="0" fontId="35" fillId="0" borderId="0" applyNumberFormat="0" applyFill="0" applyBorder="0" applyAlignment="0" applyProtection="0"/>
    <xf numFmtId="215" fontId="16" fillId="0" borderId="0">
      <alignment horizontal="center"/>
    </xf>
    <xf numFmtId="280" fontId="16" fillId="0" borderId="0">
      <alignment horizontal="center"/>
    </xf>
    <xf numFmtId="0" fontId="37" fillId="0" borderId="0">
      <alignment horizontal="center"/>
    </xf>
    <xf numFmtId="215" fontId="16" fillId="0" borderId="0">
      <alignment horizontal="center"/>
    </xf>
    <xf numFmtId="0" fontId="17" fillId="0" borderId="0"/>
    <xf numFmtId="0" fontId="27" fillId="0" borderId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4" borderId="0" applyNumberFormat="0" applyBorder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27" fillId="0" borderId="0"/>
    <xf numFmtId="40" fontId="27" fillId="0" borderId="0"/>
    <xf numFmtId="0" fontId="43" fillId="30" borderId="0" applyNumberFormat="0" applyBorder="0" applyAlignment="0" applyProtection="0"/>
    <xf numFmtId="0" fontId="43" fillId="2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0" borderId="0" applyNumberFormat="0" applyBorder="0" applyAlignment="0" applyProtection="0"/>
    <xf numFmtId="0" fontId="43" fillId="29" borderId="0" applyNumberFormat="0" applyBorder="0" applyAlignment="0" applyProtection="0"/>
    <xf numFmtId="0" fontId="44" fillId="23" borderId="0" applyNumberFormat="0" applyBorder="0" applyAlignment="0" applyProtection="0"/>
    <xf numFmtId="0" fontId="44" fillId="20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3" borderId="0" applyNumberFormat="0" applyBorder="0" applyAlignment="0" applyProtection="0"/>
    <xf numFmtId="0" fontId="44" fillId="34" borderId="0" applyNumberFormat="0" applyBorder="0" applyAlignment="0" applyProtection="0"/>
    <xf numFmtId="0" fontId="31" fillId="30" borderId="0" applyNumberFormat="0" applyBorder="0" applyAlignment="0" applyProtection="0"/>
    <xf numFmtId="0" fontId="31" fillId="2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0" borderId="0" applyNumberFormat="0" applyBorder="0" applyAlignment="0" applyProtection="0"/>
    <xf numFmtId="0" fontId="31" fillId="29" borderId="0" applyNumberFormat="0" applyBorder="0" applyAlignment="0" applyProtection="0"/>
    <xf numFmtId="0" fontId="45" fillId="35" borderId="0" applyNumberFormat="0" applyBorder="0" applyAlignment="0" applyProtection="0"/>
    <xf numFmtId="0" fontId="45" fillId="20" borderId="0" applyNumberFormat="0" applyBorder="0" applyAlignment="0" applyProtection="0"/>
    <xf numFmtId="0" fontId="45" fillId="33" borderId="0" applyNumberFormat="0" applyBorder="0" applyAlignment="0" applyProtection="0"/>
    <xf numFmtId="0" fontId="45" fillId="36" borderId="0" applyNumberFormat="0" applyBorder="0" applyAlignment="0" applyProtection="0"/>
    <xf numFmtId="0" fontId="45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1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5" fillId="49" borderId="0" applyNumberFormat="0" applyBorder="0" applyAlignment="0" applyProtection="0"/>
    <xf numFmtId="0" fontId="45" fillId="50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51" borderId="0" applyNumberFormat="0" applyBorder="0" applyAlignment="0" applyProtection="0"/>
    <xf numFmtId="0" fontId="44" fillId="40" borderId="0" applyNumberFormat="0" applyBorder="0" applyAlignment="0" applyProtection="0"/>
    <xf numFmtId="0" fontId="44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52" borderId="0" applyNumberFormat="0" applyBorder="0" applyAlignment="0" applyProtection="0"/>
    <xf numFmtId="0" fontId="44" fillId="53" borderId="0" applyNumberFormat="0" applyBorder="0" applyAlignment="0" applyProtection="0"/>
    <xf numFmtId="0" fontId="44" fillId="45" borderId="0" applyNumberFormat="0" applyBorder="0" applyAlignment="0" applyProtection="0"/>
    <xf numFmtId="0" fontId="45" fillId="54" borderId="0" applyNumberFormat="0" applyBorder="0" applyAlignment="0" applyProtection="0"/>
    <xf numFmtId="0" fontId="46" fillId="55" borderId="0" applyNumberFormat="0" applyBorder="0" applyAlignment="0" applyProtection="0"/>
    <xf numFmtId="0" fontId="16" fillId="0" borderId="14"/>
    <xf numFmtId="0" fontId="26" fillId="0" borderId="3"/>
    <xf numFmtId="0" fontId="26" fillId="0" borderId="15" applyBorder="0"/>
    <xf numFmtId="0" fontId="47" fillId="0" borderId="0"/>
    <xf numFmtId="0" fontId="48" fillId="0" borderId="0"/>
    <xf numFmtId="173" fontId="37" fillId="0" borderId="0" applyNumberFormat="0" applyFill="0" applyBorder="0" applyAlignment="0" applyProtection="0"/>
    <xf numFmtId="173" fontId="37" fillId="0" borderId="0" applyNumberFormat="0" applyFill="0" applyBorder="0" applyAlignment="0" applyProtection="0"/>
    <xf numFmtId="176" fontId="49" fillId="0" borderId="0" applyNumberFormat="0" applyFill="0" applyBorder="0" applyAlignment="0" applyProtection="0"/>
    <xf numFmtId="0" fontId="16" fillId="56" borderId="2" applyBorder="0"/>
    <xf numFmtId="0" fontId="50" fillId="45" borderId="0" applyNumberFormat="0" applyBorder="0" applyAlignment="0" applyProtection="0"/>
    <xf numFmtId="281" fontId="17" fillId="0" borderId="0" applyNumberFormat="0" applyFont="0" applyAlignment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6" fillId="0" borderId="11" applyNumberFormat="0" applyFont="0" applyFill="0" applyAlignment="0" applyProtection="0"/>
    <xf numFmtId="0" fontId="27" fillId="0" borderId="17" applyNumberFormat="0" applyFont="0" applyFill="0" applyAlignment="0" applyProtection="0"/>
    <xf numFmtId="0" fontId="27" fillId="0" borderId="18" applyNumberFormat="0" applyFont="0" applyFill="0" applyAlignment="0" applyProtection="0"/>
    <xf numFmtId="0" fontId="53" fillId="0" borderId="3" applyNumberFormat="0" applyFont="0" applyFill="0" applyAlignment="0" applyProtection="0"/>
    <xf numFmtId="0" fontId="16" fillId="0" borderId="0" applyFont="0" applyBorder="0"/>
    <xf numFmtId="0" fontId="34" fillId="0" borderId="0" applyNumberFormat="0" applyFill="0" applyBorder="0" applyAlignment="0" applyProtection="0"/>
    <xf numFmtId="282" fontId="26" fillId="0" borderId="0" applyFill="0" applyBorder="0" applyAlignment="0"/>
    <xf numFmtId="0" fontId="54" fillId="32" borderId="19" applyNumberFormat="0" applyAlignment="0" applyProtection="0"/>
    <xf numFmtId="0" fontId="55" fillId="57" borderId="19" applyNumberFormat="0" applyAlignment="0" applyProtection="0"/>
    <xf numFmtId="283" fontId="26" fillId="0" borderId="0" applyFill="0" applyBorder="0" applyAlignment="0"/>
    <xf numFmtId="0" fontId="56" fillId="0" borderId="0"/>
    <xf numFmtId="0" fontId="57" fillId="0" borderId="0"/>
    <xf numFmtId="0" fontId="58" fillId="0" borderId="20" applyNumberFormat="0" applyFill="0" applyAlignment="0" applyProtection="0"/>
    <xf numFmtId="0" fontId="59" fillId="58" borderId="21" applyNumberFormat="0" applyAlignment="0" applyProtection="0"/>
    <xf numFmtId="0" fontId="17" fillId="0" borderId="0" applyFont="0" applyFill="0" applyBorder="0" applyAlignment="0" applyProtection="0"/>
    <xf numFmtId="284" fontId="17" fillId="0" borderId="0" applyFont="0" applyFill="0" applyBorder="0" applyAlignment="0" applyProtection="0"/>
    <xf numFmtId="285" fontId="17" fillId="0" borderId="0" applyFont="0" applyFill="0" applyBorder="0" applyAlignment="0" applyProtection="0"/>
    <xf numFmtId="0" fontId="59" fillId="46" borderId="21" applyNumberFormat="0" applyAlignment="0" applyProtection="0"/>
    <xf numFmtId="286" fontId="60" fillId="0" borderId="0"/>
    <xf numFmtId="287" fontId="26" fillId="0" borderId="2" applyFont="0" applyFill="0" applyBorder="0" applyAlignment="0" applyProtection="0">
      <alignment horizontal="right"/>
    </xf>
    <xf numFmtId="0" fontId="16" fillId="0" borderId="0" applyNumberFormat="0" applyFont="0" applyFill="0" applyAlignment="0" applyProtection="0"/>
    <xf numFmtId="0" fontId="1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2" fillId="0" borderId="3" applyNumberFormat="0" applyFill="0" applyBorder="0" applyAlignment="0" applyProtection="0">
      <alignment horizontal="center"/>
    </xf>
    <xf numFmtId="168" fontId="17" fillId="0" borderId="0" applyNumberFormat="0" applyFill="0" applyBorder="0" applyProtection="0">
      <alignment horizontal="center" wrapText="1"/>
    </xf>
    <xf numFmtId="0" fontId="45" fillId="59" borderId="0" applyNumberFormat="0" applyBorder="0" applyAlignment="0" applyProtection="0"/>
    <xf numFmtId="0" fontId="45" fillId="60" borderId="0" applyNumberFormat="0" applyBorder="0" applyAlignment="0" applyProtection="0"/>
    <xf numFmtId="0" fontId="45" fillId="31" borderId="0" applyNumberFormat="0" applyBorder="0" applyAlignment="0" applyProtection="0"/>
    <xf numFmtId="0" fontId="45" fillId="36" borderId="0" applyNumberFormat="0" applyBorder="0" applyAlignment="0" applyProtection="0"/>
    <xf numFmtId="0" fontId="45" fillId="37" borderId="0" applyNumberFormat="0" applyBorder="0" applyAlignment="0" applyProtection="0"/>
    <xf numFmtId="0" fontId="45" fillId="61" borderId="0" applyNumberFormat="0" applyBorder="0" applyAlignment="0" applyProtection="0"/>
    <xf numFmtId="288" fontId="24" fillId="0" borderId="0" applyFill="0" applyBorder="0" applyAlignment="0" applyProtection="0"/>
    <xf numFmtId="0" fontId="26" fillId="0" borderId="0"/>
    <xf numFmtId="0" fontId="63" fillId="0" borderId="0" applyFont="0" applyFill="0" applyBorder="0" applyAlignment="0" applyProtection="0"/>
    <xf numFmtId="0" fontId="26" fillId="0" borderId="0" applyFont="0" applyFill="0" applyBorder="0" applyAlignment="0" applyProtection="0">
      <alignment horizontal="center"/>
    </xf>
    <xf numFmtId="289" fontId="16" fillId="0" borderId="0" applyFont="0" applyFill="0" applyBorder="0" applyAlignment="0" applyProtection="0">
      <alignment horizontal="right"/>
    </xf>
    <xf numFmtId="288" fontId="16" fillId="0" borderId="0" applyFont="0" applyFill="0" applyBorder="0" applyAlignment="0" applyProtection="0"/>
    <xf numFmtId="289" fontId="16" fillId="0" borderId="0" applyFont="0" applyFill="0" applyBorder="0" applyAlignment="0" applyProtection="0">
      <alignment horizontal="right"/>
    </xf>
    <xf numFmtId="290" fontId="16" fillId="0" borderId="0" applyFont="0" applyFill="0" applyBorder="0" applyAlignment="0" applyProtection="0">
      <alignment horizontal="right"/>
    </xf>
    <xf numFmtId="291" fontId="16" fillId="0" borderId="0" applyFont="0" applyFill="0" applyBorder="0" applyAlignment="0" applyProtection="0"/>
    <xf numFmtId="176" fontId="17" fillId="0" borderId="0"/>
    <xf numFmtId="3" fontId="64" fillId="0" borderId="0" applyFont="0" applyFill="0" applyBorder="0" applyAlignment="0" applyProtection="0"/>
    <xf numFmtId="3" fontId="16" fillId="0" borderId="0" applyFill="0" applyBorder="0" applyAlignment="0" applyProtection="0"/>
    <xf numFmtId="0" fontId="65" fillId="0" borderId="0" applyNumberFormat="0" applyAlignment="0">
      <alignment horizontal="left"/>
    </xf>
    <xf numFmtId="0" fontId="16" fillId="9" borderId="0">
      <protection hidden="1"/>
    </xf>
    <xf numFmtId="221" fontId="37" fillId="9" borderId="0">
      <protection hidden="1"/>
    </xf>
    <xf numFmtId="172" fontId="16" fillId="9" borderId="0">
      <protection hidden="1"/>
    </xf>
    <xf numFmtId="292" fontId="16" fillId="9" borderId="0">
      <protection hidden="1"/>
    </xf>
    <xf numFmtId="43" fontId="16" fillId="9" borderId="0">
      <protection hidden="1"/>
    </xf>
    <xf numFmtId="293" fontId="16" fillId="9" borderId="0">
      <protection hidden="1"/>
    </xf>
    <xf numFmtId="0" fontId="66" fillId="0" borderId="0">
      <alignment horizontal="left"/>
    </xf>
    <xf numFmtId="0" fontId="67" fillId="0" borderId="0"/>
    <xf numFmtId="0" fontId="68" fillId="0" borderId="0">
      <alignment horizontal="left"/>
    </xf>
    <xf numFmtId="294" fontId="24" fillId="0" borderId="0" applyFill="0" applyBorder="0" applyAlignment="0" applyProtection="0"/>
    <xf numFmtId="0" fontId="69" fillId="0" borderId="0" applyFont="0" applyFill="0" applyBorder="0" applyAlignment="0" applyProtection="0"/>
    <xf numFmtId="292" fontId="70" fillId="0" borderId="0" applyBorder="0"/>
    <xf numFmtId="295" fontId="26" fillId="0" borderId="0" applyFont="0" applyFill="0" applyBorder="0" applyAlignment="0" applyProtection="0"/>
    <xf numFmtId="296" fontId="16" fillId="0" borderId="0" applyFont="0" applyFill="0" applyBorder="0" applyAlignment="0" applyProtection="0">
      <alignment horizontal="right"/>
    </xf>
    <xf numFmtId="297" fontId="16" fillId="0" borderId="0" applyFont="0" applyFill="0" applyBorder="0" applyAlignment="0" applyProtection="0">
      <alignment horizontal="right"/>
    </xf>
    <xf numFmtId="298" fontId="16" fillId="0" borderId="0" applyFont="0" applyFill="0" applyBorder="0" applyAlignment="0" applyProtection="0">
      <alignment vertical="top"/>
      <protection hidden="1"/>
    </xf>
    <xf numFmtId="299" fontId="64" fillId="0" borderId="0" applyFont="0" applyFill="0" applyBorder="0" applyAlignment="0" applyProtection="0"/>
    <xf numFmtId="300" fontId="16" fillId="0" borderId="0" applyFill="0" applyBorder="0" applyAlignment="0" applyProtection="0"/>
    <xf numFmtId="301" fontId="26" fillId="9" borderId="0">
      <alignment horizontal="right"/>
    </xf>
    <xf numFmtId="215" fontId="26" fillId="15" borderId="0"/>
    <xf numFmtId="178" fontId="37" fillId="0" borderId="0"/>
    <xf numFmtId="286" fontId="16" fillId="0" borderId="0"/>
    <xf numFmtId="215" fontId="26" fillId="15" borderId="0"/>
    <xf numFmtId="286" fontId="16" fillId="0" borderId="0"/>
    <xf numFmtId="176" fontId="71" fillId="0" borderId="0"/>
    <xf numFmtId="0" fontId="72" fillId="0" borderId="0" applyNumberFormat="0">
      <alignment horizontal="right"/>
    </xf>
    <xf numFmtId="0" fontId="64" fillId="0" borderId="0" applyFont="0" applyFill="0" applyBorder="0" applyAlignment="0" applyProtection="0"/>
    <xf numFmtId="302" fontId="16" fillId="0" borderId="0" applyFill="0" applyBorder="0" applyAlignment="0" applyProtection="0"/>
    <xf numFmtId="303" fontId="16" fillId="0" borderId="0" applyFont="0" applyFill="0" applyBorder="0" applyAlignment="0" applyProtection="0"/>
    <xf numFmtId="225" fontId="26" fillId="0" borderId="0" applyFont="0" applyFill="0" applyBorder="0" applyProtection="0">
      <alignment horizontal="right"/>
    </xf>
    <xf numFmtId="17" fontId="16" fillId="0" borderId="0" applyFont="0" applyFill="0" applyBorder="0" applyAlignment="0" applyProtection="0">
      <alignment horizontal="center"/>
    </xf>
    <xf numFmtId="174" fontId="16" fillId="0" borderId="0">
      <protection hidden="1"/>
    </xf>
    <xf numFmtId="221" fontId="37" fillId="0" borderId="0">
      <protection hidden="1"/>
    </xf>
    <xf numFmtId="0" fontId="16" fillId="0" borderId="0">
      <protection hidden="1"/>
    </xf>
    <xf numFmtId="171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304" fontId="16" fillId="0" borderId="22" applyNumberFormat="0" applyFont="0" applyFill="0" applyAlignment="0" applyProtection="0"/>
    <xf numFmtId="0" fontId="75" fillId="62" borderId="0" applyNumberFormat="0" applyBorder="0" applyAlignment="0" applyProtection="0"/>
    <xf numFmtId="0" fontId="75" fillId="63" borderId="0" applyNumberFormat="0" applyBorder="0" applyAlignment="0" applyProtection="0"/>
    <xf numFmtId="0" fontId="75" fillId="64" borderId="0" applyNumberFormat="0" applyBorder="0" applyAlignment="0" applyProtection="0"/>
    <xf numFmtId="0" fontId="76" fillId="0" borderId="0" applyNumberFormat="0" applyAlignment="0">
      <alignment horizontal="left"/>
    </xf>
    <xf numFmtId="305" fontId="48" fillId="0" borderId="0"/>
    <xf numFmtId="0" fontId="16" fillId="0" borderId="0" applyFont="0" applyFill="0" applyBorder="0" applyAlignment="0" applyProtection="0"/>
    <xf numFmtId="306" fontId="16" fillId="0" borderId="0" applyFont="0" applyFill="0" applyBorder="0" applyAlignment="0" applyProtection="0"/>
    <xf numFmtId="37" fontId="37" fillId="0" borderId="23" applyFont="0" applyFill="0" applyBorder="0" applyAlignment="0" applyProtection="0">
      <alignment horizontal="center" wrapText="1"/>
    </xf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9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9" fillId="0" borderId="0">
      <protection locked="0"/>
    </xf>
    <xf numFmtId="286" fontId="16" fillId="0" borderId="0" applyBorder="0"/>
    <xf numFmtId="184" fontId="80" fillId="0" borderId="0" applyNumberFormat="0"/>
    <xf numFmtId="286" fontId="17" fillId="0" borderId="0"/>
    <xf numFmtId="307" fontId="78" fillId="0" borderId="0">
      <protection locked="0"/>
    </xf>
    <xf numFmtId="2" fontId="64" fillId="0" borderId="0" applyFont="0" applyFill="0" applyBorder="0" applyAlignment="0" applyProtection="0"/>
    <xf numFmtId="2" fontId="16" fillId="0" borderId="0" applyFill="0" applyBorder="0" applyAlignment="0" applyProtection="0"/>
    <xf numFmtId="0" fontId="81" fillId="0" borderId="0">
      <alignment horizontal="left"/>
    </xf>
    <xf numFmtId="0" fontId="82" fillId="0" borderId="0">
      <alignment horizontal="left"/>
    </xf>
    <xf numFmtId="0" fontId="83" fillId="0" borderId="0" applyFill="0" applyBorder="0" applyProtection="0">
      <alignment horizontal="left"/>
    </xf>
    <xf numFmtId="0" fontId="83" fillId="0" borderId="0" applyNumberFormat="0" applyFill="0" applyBorder="0" applyProtection="0">
      <alignment horizontal="left"/>
    </xf>
    <xf numFmtId="0" fontId="83" fillId="0" borderId="0">
      <alignment horizontal="left"/>
    </xf>
    <xf numFmtId="0" fontId="84" fillId="0" borderId="0" applyNumberFormat="0" applyFill="0" applyBorder="0" applyAlignment="0" applyProtection="0"/>
    <xf numFmtId="0" fontId="17" fillId="0" borderId="0">
      <protection hidden="1"/>
    </xf>
    <xf numFmtId="0" fontId="46" fillId="0" borderId="0" applyBorder="0" applyProtection="0"/>
    <xf numFmtId="164" fontId="26" fillId="0" borderId="23" applyFont="0" applyFill="0" applyBorder="0" applyAlignment="0" applyProtection="0">
      <alignment horizontal="center" wrapText="1"/>
    </xf>
    <xf numFmtId="176" fontId="85" fillId="0" borderId="0"/>
    <xf numFmtId="2" fontId="16" fillId="14" borderId="10" applyFill="0" applyBorder="0" applyProtection="0">
      <alignment horizontal="center"/>
    </xf>
    <xf numFmtId="0" fontId="86" fillId="65" borderId="0" applyNumberFormat="0" applyBorder="0" applyAlignment="0" applyProtection="0"/>
    <xf numFmtId="38" fontId="17" fillId="9" borderId="0" applyNumberFormat="0" applyBorder="0" applyAlignment="0" applyProtection="0"/>
    <xf numFmtId="308" fontId="46" fillId="14" borderId="11" applyNumberFormat="0" applyFont="0" applyAlignment="0"/>
    <xf numFmtId="309" fontId="16" fillId="0" borderId="0" applyFont="0" applyFill="0" applyBorder="0" applyAlignment="0" applyProtection="0">
      <alignment horizontal="right"/>
    </xf>
    <xf numFmtId="0" fontId="87" fillId="0" borderId="0">
      <alignment horizontal="left"/>
    </xf>
    <xf numFmtId="0" fontId="88" fillId="0" borderId="0">
      <alignment horizontal="left"/>
    </xf>
    <xf numFmtId="0" fontId="89" fillId="0" borderId="0"/>
    <xf numFmtId="0" fontId="25" fillId="0" borderId="24" applyNumberFormat="0" applyAlignment="0" applyProtection="0">
      <alignment horizontal="left" vertical="center"/>
    </xf>
    <xf numFmtId="0" fontId="25" fillId="0" borderId="7">
      <alignment horizontal="left" vertical="center"/>
    </xf>
    <xf numFmtId="0" fontId="90" fillId="0" borderId="0">
      <alignment horizontal="center"/>
    </xf>
    <xf numFmtId="0" fontId="90" fillId="0" borderId="0">
      <alignment horizontal="center"/>
    </xf>
    <xf numFmtId="0" fontId="91" fillId="0" borderId="0" applyNumberFormat="0" applyFill="0" applyBorder="0" applyAlignment="0" applyProtection="0"/>
    <xf numFmtId="0" fontId="92" fillId="0" borderId="25" applyNumberFormat="0" applyFill="0" applyAlignment="0" applyProtection="0"/>
    <xf numFmtId="0" fontId="93" fillId="0" borderId="0">
      <alignment horizontal="left"/>
    </xf>
    <xf numFmtId="0" fontId="25" fillId="0" borderId="0" applyNumberFormat="0" applyFill="0" applyBorder="0" applyAlignment="0" applyProtection="0"/>
    <xf numFmtId="0" fontId="94" fillId="0" borderId="13">
      <alignment horizontal="left" vertical="top"/>
    </xf>
    <xf numFmtId="0" fontId="95" fillId="0" borderId="0" applyNumberFormat="0" applyFill="0" applyBorder="0" applyAlignment="0" applyProtection="0"/>
    <xf numFmtId="0" fontId="96" fillId="0" borderId="26" applyNumberFormat="0" applyFill="0" applyAlignment="0" applyProtection="0"/>
    <xf numFmtId="0" fontId="42" fillId="0" borderId="0">
      <alignment horizontal="left"/>
    </xf>
    <xf numFmtId="0" fontId="97" fillId="0" borderId="13">
      <alignment horizontal="left" vertical="top"/>
    </xf>
    <xf numFmtId="0" fontId="98" fillId="0" borderId="13">
      <alignment horizontal="left" vertical="top"/>
    </xf>
    <xf numFmtId="0" fontId="99" fillId="0" borderId="27" applyNumberFormat="0" applyFill="0" applyAlignment="0" applyProtection="0"/>
    <xf numFmtId="0" fontId="100" fillId="0" borderId="0">
      <alignment horizontal="left"/>
    </xf>
    <xf numFmtId="0" fontId="99" fillId="0" borderId="0" applyNumberFormat="0" applyFill="0" applyBorder="0" applyAlignment="0" applyProtection="0"/>
    <xf numFmtId="0" fontId="101" fillId="0" borderId="0" applyNumberFormat="0" applyFill="0" applyBorder="0" applyAlignment="0" applyProtection="0">
      <alignment horizontal="center"/>
    </xf>
    <xf numFmtId="0" fontId="102" fillId="0" borderId="0" applyNumberFormat="0" applyFill="0" applyBorder="0" applyAlignment="0" applyProtection="0">
      <alignment horizontal="center"/>
    </xf>
    <xf numFmtId="0" fontId="103" fillId="0" borderId="0">
      <alignment horizontal="left"/>
    </xf>
    <xf numFmtId="0" fontId="104" fillId="0" borderId="0"/>
    <xf numFmtId="173" fontId="16" fillId="0" borderId="0">
      <protection hidden="1"/>
    </xf>
    <xf numFmtId="0" fontId="105" fillId="0" borderId="0" applyNumberFormat="0" applyFill="0" applyBorder="0" applyAlignment="0" applyProtection="0"/>
    <xf numFmtId="288" fontId="106" fillId="0" borderId="0"/>
    <xf numFmtId="168" fontId="16" fillId="66" borderId="11"/>
    <xf numFmtId="210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222" fontId="16" fillId="0" borderId="0" applyFont="0" applyFill="0" applyBorder="0" applyAlignment="0" applyProtection="0"/>
    <xf numFmtId="10" fontId="17" fillId="14" borderId="11" applyNumberFormat="0" applyBorder="0" applyAlignment="0" applyProtection="0"/>
    <xf numFmtId="0" fontId="107" fillId="29" borderId="19" applyNumberFormat="0" applyAlignment="0" applyProtection="0"/>
    <xf numFmtId="0" fontId="16" fillId="66" borderId="0">
      <protection locked="0"/>
    </xf>
    <xf numFmtId="173" fontId="16" fillId="66" borderId="0">
      <protection locked="0"/>
    </xf>
    <xf numFmtId="172" fontId="16" fillId="66" borderId="0">
      <protection locked="0"/>
    </xf>
    <xf numFmtId="0" fontId="108" fillId="0" borderId="28"/>
    <xf numFmtId="184" fontId="16" fillId="67" borderId="0"/>
    <xf numFmtId="266" fontId="37" fillId="0" borderId="0"/>
    <xf numFmtId="9" fontId="109" fillId="0" borderId="28" applyFill="0" applyAlignment="0" applyProtection="0"/>
    <xf numFmtId="292" fontId="16" fillId="66" borderId="0">
      <protection locked="0"/>
    </xf>
    <xf numFmtId="43" fontId="16" fillId="66" borderId="0">
      <protection locked="0"/>
    </xf>
    <xf numFmtId="293" fontId="16" fillId="66" borderId="0">
      <protection locked="0"/>
    </xf>
    <xf numFmtId="0" fontId="110" fillId="0" borderId="28"/>
    <xf numFmtId="210" fontId="37" fillId="0" borderId="0" applyFont="0" applyFill="0" applyBorder="0" applyAlignment="0" applyProtection="0">
      <alignment vertical="center"/>
      <protection locked="0"/>
    </xf>
    <xf numFmtId="310" fontId="16" fillId="0" borderId="0" applyFont="0" applyFill="0" applyBorder="0" applyAlignment="0" applyProtection="0"/>
    <xf numFmtId="222" fontId="16" fillId="0" borderId="0" applyFont="0" applyFill="0" applyBorder="0" applyAlignment="0" applyProtection="0">
      <alignment vertical="center"/>
      <protection locked="0"/>
    </xf>
    <xf numFmtId="0" fontId="111" fillId="0" borderId="0" applyNumberFormat="0" applyFill="0" applyBorder="0" applyAlignment="0">
      <protection locked="0"/>
    </xf>
    <xf numFmtId="168" fontId="16" fillId="0" borderId="11" applyNumberFormat="0">
      <alignment horizontal="left" wrapText="1"/>
      <protection locked="0"/>
    </xf>
    <xf numFmtId="255" fontId="37" fillId="0" borderId="0"/>
    <xf numFmtId="0" fontId="112" fillId="0" borderId="0"/>
    <xf numFmtId="187" fontId="16" fillId="0" borderId="0"/>
    <xf numFmtId="288" fontId="113" fillId="0" borderId="0" applyFill="0" applyBorder="0" applyAlignment="0" applyProtection="0"/>
    <xf numFmtId="311" fontId="114" fillId="0" borderId="0"/>
    <xf numFmtId="0" fontId="1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15" fillId="0" borderId="0" applyNumberFormat="0" applyFill="0" applyBorder="0" applyAlignment="0"/>
    <xf numFmtId="301" fontId="26" fillId="9" borderId="0" applyFont="0">
      <alignment horizontal="center"/>
    </xf>
    <xf numFmtId="0" fontId="16" fillId="14" borderId="11" applyNumberFormat="0" applyProtection="0">
      <alignment vertical="center" wrapText="1"/>
    </xf>
    <xf numFmtId="0" fontId="16" fillId="0" borderId="0"/>
    <xf numFmtId="217" fontId="27" fillId="0" borderId="0" applyFont="0" applyFill="0" applyBorder="0" applyAlignment="0" applyProtection="0"/>
    <xf numFmtId="2" fontId="16" fillId="0" borderId="0" applyNumberFormat="0" applyBorder="0">
      <alignment horizontal="left"/>
    </xf>
    <xf numFmtId="0" fontId="116" fillId="0" borderId="29" applyNumberFormat="0" applyFill="0" applyAlignment="0" applyProtection="0"/>
    <xf numFmtId="176" fontId="117" fillId="0" borderId="0" applyNumberFormat="0" applyFont="0" applyFill="0" applyBorder="0" applyAlignment="0">
      <protection hidden="1"/>
    </xf>
    <xf numFmtId="0" fontId="118" fillId="0" borderId="0" applyNumberFormat="0" applyFill="0" applyBorder="0" applyProtection="0">
      <alignment horizontal="left" vertical="center"/>
    </xf>
    <xf numFmtId="312" fontId="37" fillId="0" borderId="0">
      <alignment horizontal="center"/>
    </xf>
    <xf numFmtId="41" fontId="16" fillId="0" borderId="0" applyFont="0" applyFill="0" applyBorder="0" applyAlignment="0" applyProtection="0"/>
    <xf numFmtId="183" fontId="37" fillId="0" borderId="0" applyFont="0" applyFill="0" applyBorder="0" applyAlignment="0" applyProtection="0"/>
    <xf numFmtId="313" fontId="37" fillId="0" borderId="0" applyFont="0" applyFill="0" applyBorder="0" applyAlignment="0" applyProtection="0">
      <alignment vertical="center"/>
      <protection locked="0"/>
    </xf>
    <xf numFmtId="313" fontId="37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16" fillId="0" borderId="0" applyFont="0" applyFill="0" applyBorder="0" applyAlignment="0" applyProtection="0"/>
    <xf numFmtId="314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29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263" fontId="16" fillId="0" borderId="0" applyFont="0" applyFill="0" applyBorder="0" applyAlignment="0" applyProtection="0"/>
    <xf numFmtId="0" fontId="26" fillId="0" borderId="0"/>
    <xf numFmtId="0" fontId="16" fillId="0" borderId="0" applyFont="0" applyFill="0" applyBorder="0" applyAlignment="0" applyProtection="0"/>
    <xf numFmtId="43" fontId="26" fillId="0" borderId="0" applyFont="0" applyFill="0" applyBorder="0" applyAlignment="0" applyProtection="0"/>
    <xf numFmtId="2" fontId="119" fillId="0" borderId="30" applyFont="0" applyFill="0" applyBorder="0" applyAlignment="0"/>
    <xf numFmtId="0" fontId="120" fillId="0" borderId="17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7" fillId="0" borderId="0" applyFont="0" applyFill="0" applyBorder="0" applyAlignment="0" applyProtection="0"/>
    <xf numFmtId="315" fontId="48" fillId="66" borderId="31" applyFill="0" applyBorder="0" applyProtection="0">
      <alignment vertical="top"/>
    </xf>
    <xf numFmtId="316" fontId="26" fillId="0" borderId="0" applyFill="0" applyBorder="0" applyProtection="0">
      <alignment horizontal="right"/>
    </xf>
    <xf numFmtId="317" fontId="16" fillId="0" borderId="0" applyFont="0" applyFill="0" applyBorder="0" applyAlignment="0" applyProtection="0">
      <alignment horizontal="right"/>
    </xf>
    <xf numFmtId="318" fontId="16" fillId="0" borderId="0"/>
    <xf numFmtId="0" fontId="121" fillId="54" borderId="0" applyNumberFormat="0" applyBorder="0" applyAlignment="0" applyProtection="0"/>
    <xf numFmtId="0" fontId="121" fillId="68" borderId="0" applyNumberFormat="0" applyBorder="0" applyAlignment="0" applyProtection="0"/>
    <xf numFmtId="40" fontId="122" fillId="0" borderId="0" applyFont="0" applyFill="0" applyBorder="0" applyAlignment="0" applyProtection="0">
      <alignment horizontal="center"/>
    </xf>
    <xf numFmtId="319" fontId="26" fillId="0" borderId="0"/>
    <xf numFmtId="37" fontId="37" fillId="0" borderId="0" applyFont="0"/>
    <xf numFmtId="0" fontId="16" fillId="9" borderId="11" applyNumberFormat="0" applyAlignment="0"/>
    <xf numFmtId="320" fontId="26" fillId="0" borderId="0"/>
    <xf numFmtId="0" fontId="114" fillId="0" borderId="0"/>
    <xf numFmtId="0" fontId="16" fillId="0" borderId="0"/>
    <xf numFmtId="0" fontId="123" fillId="55" borderId="0" applyNumberFormat="0" applyFont="0" applyAlignment="0">
      <alignment horizontal="centerContinuous"/>
    </xf>
    <xf numFmtId="0" fontId="124" fillId="0" borderId="0"/>
    <xf numFmtId="0" fontId="125" fillId="0" borderId="0"/>
    <xf numFmtId="0" fontId="6" fillId="0" borderId="0"/>
    <xf numFmtId="187" fontId="16" fillId="0" borderId="0"/>
    <xf numFmtId="321" fontId="113" fillId="0" borderId="0" applyFill="0" applyBorder="0" applyProtection="0">
      <alignment vertical="top"/>
    </xf>
    <xf numFmtId="49" fontId="80" fillId="0" borderId="0">
      <alignment horizontal="left"/>
    </xf>
    <xf numFmtId="322" fontId="26" fillId="0" borderId="0">
      <alignment horizontal="right"/>
    </xf>
    <xf numFmtId="2" fontId="40" fillId="0" borderId="0" applyNumberFormat="0" applyBorder="0" applyAlignment="0">
      <alignment horizontal="left"/>
    </xf>
    <xf numFmtId="0" fontId="1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6" fillId="0" borderId="0" applyNumberFormat="0" applyFill="0" applyBorder="0" applyAlignment="0" applyProtection="0"/>
    <xf numFmtId="0" fontId="126" fillId="0" borderId="0"/>
    <xf numFmtId="0" fontId="16" fillId="0" borderId="0"/>
    <xf numFmtId="0" fontId="6" fillId="0" borderId="0"/>
    <xf numFmtId="0" fontId="16" fillId="0" borderId="0"/>
    <xf numFmtId="0" fontId="16" fillId="0" borderId="0"/>
    <xf numFmtId="0" fontId="16" fillId="0" borderId="0" applyNumberFormat="0"/>
    <xf numFmtId="0" fontId="16" fillId="0" borderId="0" applyNumberFormat="0"/>
    <xf numFmtId="0" fontId="43" fillId="0" borderId="0"/>
    <xf numFmtId="0" fontId="16" fillId="0" borderId="0"/>
    <xf numFmtId="0" fontId="16" fillId="0" borderId="0"/>
    <xf numFmtId="0" fontId="6" fillId="0" borderId="0"/>
    <xf numFmtId="0" fontId="43" fillId="0" borderId="0"/>
    <xf numFmtId="0" fontId="43" fillId="0" borderId="0"/>
    <xf numFmtId="0" fontId="43" fillId="0" borderId="0"/>
    <xf numFmtId="0" fontId="16" fillId="0" borderId="0"/>
    <xf numFmtId="0" fontId="127" fillId="0" borderId="0"/>
    <xf numFmtId="0" fontId="16" fillId="0" borderId="0"/>
    <xf numFmtId="0" fontId="128" fillId="0" borderId="0"/>
    <xf numFmtId="0" fontId="16" fillId="0" borderId="0"/>
    <xf numFmtId="0" fontId="6" fillId="0" borderId="0"/>
    <xf numFmtId="0" fontId="17" fillId="69" borderId="0"/>
    <xf numFmtId="0" fontId="16" fillId="0" borderId="0" applyNumberFormat="0"/>
    <xf numFmtId="0" fontId="16" fillId="0" borderId="0" applyNumberFormat="0"/>
    <xf numFmtId="0" fontId="16" fillId="0" borderId="0"/>
    <xf numFmtId="0" fontId="16" fillId="0" borderId="0"/>
    <xf numFmtId="0" fontId="16" fillId="0" borderId="0" applyNumberFormat="0"/>
    <xf numFmtId="164" fontId="16" fillId="0" borderId="0"/>
    <xf numFmtId="323" fontId="26" fillId="0" borderId="0">
      <alignment horizontal="right"/>
    </xf>
    <xf numFmtId="0" fontId="42" fillId="0" borderId="0"/>
    <xf numFmtId="40" fontId="16" fillId="0" borderId="0" applyBorder="0">
      <alignment horizontal="right"/>
    </xf>
    <xf numFmtId="0" fontId="16" fillId="21" borderId="32" applyNumberFormat="0" applyFont="0" applyAlignment="0" applyProtection="0"/>
    <xf numFmtId="0" fontId="16" fillId="53" borderId="32" applyNumberFormat="0" applyFont="0" applyAlignment="0" applyProtection="0"/>
    <xf numFmtId="0" fontId="129" fillId="0" borderId="12"/>
    <xf numFmtId="38" fontId="26" fillId="0" borderId="14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112" fillId="0" borderId="0"/>
    <xf numFmtId="0" fontId="131" fillId="0" borderId="0">
      <alignment horizontal="left" vertical="top"/>
      <protection locked="0"/>
    </xf>
    <xf numFmtId="0" fontId="132" fillId="32" borderId="33" applyNumberFormat="0" applyAlignment="0" applyProtection="0"/>
    <xf numFmtId="0" fontId="133" fillId="55" borderId="14"/>
    <xf numFmtId="37" fontId="134" fillId="0" borderId="0"/>
    <xf numFmtId="0" fontId="135" fillId="0" borderId="0" applyFill="0" applyBorder="0" applyProtection="0">
      <alignment horizontal="left"/>
    </xf>
    <xf numFmtId="0" fontId="118" fillId="0" borderId="0" applyFill="0" applyBorder="0" applyProtection="0">
      <alignment horizontal="left"/>
    </xf>
    <xf numFmtId="1" fontId="136" fillId="0" borderId="0" applyProtection="0">
      <alignment horizontal="right" vertical="center"/>
    </xf>
    <xf numFmtId="324" fontId="16" fillId="0" borderId="0">
      <alignment horizontal="center"/>
    </xf>
    <xf numFmtId="310" fontId="17" fillId="0" borderId="0" applyFill="0" applyBorder="0"/>
    <xf numFmtId="325" fontId="26" fillId="0" borderId="0" applyFont="0" applyFill="0" applyBorder="0" applyAlignment="0" applyProtection="0">
      <protection locked="0"/>
    </xf>
    <xf numFmtId="168" fontId="17" fillId="0" borderId="0"/>
    <xf numFmtId="9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0" fontId="16" fillId="0" borderId="0" applyFont="0" applyFill="0" applyBorder="0" applyAlignment="0" applyProtection="0"/>
    <xf numFmtId="292" fontId="16" fillId="0" borderId="0">
      <protection hidden="1"/>
    </xf>
    <xf numFmtId="41" fontId="16" fillId="0" borderId="0">
      <protection hidden="1"/>
    </xf>
    <xf numFmtId="293" fontId="16" fillId="0" borderId="0">
      <protection hidden="1"/>
    </xf>
    <xf numFmtId="326" fontId="113" fillId="66" borderId="31" applyProtection="0">
      <alignment vertical="top"/>
    </xf>
    <xf numFmtId="327" fontId="27" fillId="0" borderId="0" applyFont="0" applyFill="0" applyBorder="0" applyProtection="0">
      <alignment horizontal="right"/>
    </xf>
    <xf numFmtId="326" fontId="113" fillId="0" borderId="0" applyFill="0" applyBorder="0" applyProtection="0">
      <alignment vertical="top"/>
    </xf>
    <xf numFmtId="328" fontId="78" fillId="0" borderId="0">
      <protection locked="0"/>
    </xf>
    <xf numFmtId="329" fontId="37" fillId="0" borderId="0"/>
    <xf numFmtId="0" fontId="13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290" fontId="16" fillId="0" borderId="0" applyFont="0" applyFill="0" applyBorder="0" applyAlignment="0" applyProtection="0"/>
    <xf numFmtId="309" fontId="16" fillId="0" borderId="0" applyFont="0" applyFill="0" applyBorder="0" applyAlignment="0" applyProtection="0"/>
    <xf numFmtId="1" fontId="138" fillId="0" borderId="0">
      <alignment horizontal="center"/>
    </xf>
    <xf numFmtId="293" fontId="16" fillId="0" borderId="0" applyFont="0" applyFill="0" applyBorder="0" applyAlignment="0" applyProtection="0"/>
    <xf numFmtId="0" fontId="113" fillId="0" borderId="0"/>
    <xf numFmtId="330" fontId="134" fillId="66" borderId="0" applyFont="0" applyFill="0" applyBorder="0" applyAlignment="0" applyProtection="0">
      <alignment horizontal="center"/>
    </xf>
    <xf numFmtId="293" fontId="139" fillId="0" borderId="34">
      <alignment horizontal="right"/>
    </xf>
    <xf numFmtId="0" fontId="27" fillId="0" borderId="0"/>
    <xf numFmtId="0" fontId="27" fillId="0" borderId="35">
      <alignment horizontal="right"/>
    </xf>
    <xf numFmtId="0" fontId="27" fillId="0" borderId="0"/>
    <xf numFmtId="210" fontId="37" fillId="0" borderId="11" applyFont="0" applyFill="0" applyBorder="0" applyAlignment="0"/>
    <xf numFmtId="313" fontId="37" fillId="0" borderId="11" applyFont="0" applyFill="0" applyBorder="0" applyAlignment="0"/>
    <xf numFmtId="0" fontId="140" fillId="0" borderId="0" applyNumberFormat="0" applyFont="0" applyFill="0" applyBorder="0" applyAlignment="0" applyProtection="0">
      <alignment horizontal="left"/>
    </xf>
    <xf numFmtId="0" fontId="40" fillId="0" borderId="17">
      <alignment horizontal="center"/>
    </xf>
    <xf numFmtId="331" fontId="78" fillId="0" borderId="0">
      <protection locked="0"/>
    </xf>
    <xf numFmtId="332" fontId="16" fillId="0" borderId="0" applyFont="0" applyFill="0" applyBorder="0" applyAlignment="0" applyProtection="0"/>
    <xf numFmtId="333" fontId="16" fillId="0" borderId="0" applyFont="0" applyFill="0" applyBorder="0" applyAlignment="0" applyProtection="0"/>
    <xf numFmtId="0" fontId="26" fillId="0" borderId="0">
      <alignment vertical="top"/>
    </xf>
    <xf numFmtId="164" fontId="141" fillId="0" borderId="0"/>
    <xf numFmtId="326" fontId="142" fillId="0" borderId="0" applyNumberFormat="0" applyFill="0" applyBorder="0" applyAlignment="0" applyProtection="0"/>
    <xf numFmtId="310" fontId="16" fillId="0" borderId="0" applyNumberFormat="0" applyFill="0" applyBorder="0" applyAlignment="0" applyProtection="0">
      <alignment horizontal="left"/>
    </xf>
    <xf numFmtId="0" fontId="143" fillId="70" borderId="36" applyNumberFormat="0" applyBorder="0" applyProtection="0">
      <alignment horizontal="left" wrapText="1"/>
    </xf>
    <xf numFmtId="3" fontId="46" fillId="71" borderId="37" applyNumberFormat="0" applyFill="0" applyBorder="0" applyProtection="0">
      <alignment horizontal="left"/>
    </xf>
    <xf numFmtId="0" fontId="82" fillId="0" borderId="38">
      <alignment vertical="center"/>
    </xf>
    <xf numFmtId="4" fontId="144" fillId="68" borderId="39" applyNumberFormat="0" applyProtection="0">
      <alignment vertical="center"/>
    </xf>
    <xf numFmtId="4" fontId="145" fillId="66" borderId="39" applyNumberFormat="0" applyProtection="0">
      <alignment vertical="center"/>
    </xf>
    <xf numFmtId="4" fontId="145" fillId="68" borderId="39" applyNumberFormat="0" applyProtection="0">
      <alignment vertical="center"/>
    </xf>
    <xf numFmtId="4" fontId="144" fillId="66" borderId="39" applyNumberFormat="0" applyProtection="0">
      <alignment horizontal="left" vertical="center" indent="1"/>
    </xf>
    <xf numFmtId="4" fontId="144" fillId="68" borderId="39" applyNumberFormat="0" applyProtection="0">
      <alignment horizontal="left" vertical="center" indent="1"/>
    </xf>
    <xf numFmtId="0" fontId="144" fillId="66" borderId="39" applyNumberFormat="0" applyProtection="0">
      <alignment horizontal="left" vertical="top" indent="1"/>
    </xf>
    <xf numFmtId="0" fontId="144" fillId="68" borderId="39" applyNumberFormat="0" applyProtection="0">
      <alignment horizontal="left" vertical="top" indent="1"/>
    </xf>
    <xf numFmtId="4" fontId="144" fillId="72" borderId="0" applyNumberFormat="0" applyProtection="0">
      <alignment horizontal="left" vertical="center" indent="1"/>
    </xf>
    <xf numFmtId="4" fontId="144" fillId="19" borderId="0" applyNumberFormat="0" applyProtection="0">
      <alignment horizontal="left" vertical="center" indent="1"/>
    </xf>
    <xf numFmtId="4" fontId="43" fillId="24" borderId="39" applyNumberFormat="0" applyProtection="0">
      <alignment horizontal="right" vertical="center"/>
    </xf>
    <xf numFmtId="4" fontId="43" fillId="20" borderId="39" applyNumberFormat="0" applyProtection="0">
      <alignment horizontal="right" vertical="center"/>
    </xf>
    <xf numFmtId="4" fontId="43" fillId="60" borderId="39" applyNumberFormat="0" applyProtection="0">
      <alignment horizontal="right" vertical="center"/>
    </xf>
    <xf numFmtId="4" fontId="43" fillId="34" borderId="39" applyNumberFormat="0" applyProtection="0">
      <alignment horizontal="right" vertical="center"/>
    </xf>
    <xf numFmtId="4" fontId="43" fillId="38" borderId="39" applyNumberFormat="0" applyProtection="0">
      <alignment horizontal="right" vertical="center"/>
    </xf>
    <xf numFmtId="4" fontId="43" fillId="61" borderId="39" applyNumberFormat="0" applyProtection="0">
      <alignment horizontal="right" vertical="center"/>
    </xf>
    <xf numFmtId="4" fontId="43" fillId="31" borderId="39" applyNumberFormat="0" applyProtection="0">
      <alignment horizontal="right" vertical="center"/>
    </xf>
    <xf numFmtId="4" fontId="43" fillId="73" borderId="39" applyNumberFormat="0" applyProtection="0">
      <alignment horizontal="right" vertical="center"/>
    </xf>
    <xf numFmtId="4" fontId="43" fillId="33" borderId="39" applyNumberFormat="0" applyProtection="0">
      <alignment horizontal="right" vertical="center"/>
    </xf>
    <xf numFmtId="4" fontId="144" fillId="74" borderId="40" applyNumberFormat="0" applyProtection="0">
      <alignment horizontal="left" vertical="center" indent="1"/>
    </xf>
    <xf numFmtId="4" fontId="43" fillId="75" borderId="0" applyNumberFormat="0" applyProtection="0">
      <alignment horizontal="left" vertical="center" indent="1"/>
    </xf>
    <xf numFmtId="4" fontId="146" fillId="12" borderId="0" applyNumberFormat="0" applyProtection="0">
      <alignment horizontal="left" vertical="center" indent="1"/>
    </xf>
    <xf numFmtId="4" fontId="146" fillId="30" borderId="0" applyNumberFormat="0" applyProtection="0">
      <alignment horizontal="left" vertical="center" indent="1"/>
    </xf>
    <xf numFmtId="4" fontId="43" fillId="19" borderId="39" applyNumberFormat="0" applyProtection="0">
      <alignment horizontal="right" vertical="center"/>
    </xf>
    <xf numFmtId="4" fontId="43" fillId="75" borderId="0" applyNumberFormat="0" applyProtection="0">
      <alignment horizontal="left" vertical="center" indent="1"/>
    </xf>
    <xf numFmtId="4" fontId="43" fillId="75" borderId="0" applyNumberFormat="0" applyProtection="0">
      <alignment horizontal="left" vertical="center" indent="1"/>
    </xf>
    <xf numFmtId="4" fontId="43" fillId="72" borderId="0" applyNumberFormat="0" applyProtection="0">
      <alignment horizontal="left" vertical="center" indent="1"/>
    </xf>
    <xf numFmtId="4" fontId="43" fillId="19" borderId="0" applyNumberFormat="0" applyProtection="0">
      <alignment horizontal="left" vertical="center" indent="1"/>
    </xf>
    <xf numFmtId="4" fontId="43" fillId="19" borderId="0" applyNumberFormat="0" applyProtection="0">
      <alignment horizontal="left" vertical="center" indent="1"/>
    </xf>
    <xf numFmtId="0" fontId="16" fillId="12" borderId="39" applyNumberFormat="0" applyProtection="0">
      <alignment horizontal="left" vertical="center" indent="1"/>
    </xf>
    <xf numFmtId="0" fontId="16" fillId="30" borderId="39" applyNumberFormat="0" applyProtection="0">
      <alignment horizontal="left" vertical="center" indent="1"/>
    </xf>
    <xf numFmtId="0" fontId="16" fillId="12" borderId="39" applyNumberFormat="0" applyProtection="0">
      <alignment horizontal="left" vertical="top" indent="1"/>
    </xf>
    <xf numFmtId="0" fontId="16" fillId="30" borderId="39" applyNumberFormat="0" applyProtection="0">
      <alignment horizontal="left" vertical="top" indent="1"/>
    </xf>
    <xf numFmtId="0" fontId="16" fillId="72" borderId="39" applyNumberFormat="0" applyProtection="0">
      <alignment horizontal="left" vertical="center" indent="1"/>
    </xf>
    <xf numFmtId="0" fontId="16" fillId="19" borderId="39" applyNumberFormat="0" applyProtection="0">
      <alignment horizontal="left" vertical="center" indent="1"/>
    </xf>
    <xf numFmtId="0" fontId="16" fillId="72" borderId="39" applyNumberFormat="0" applyProtection="0">
      <alignment horizontal="left" vertical="top" indent="1"/>
    </xf>
    <xf numFmtId="0" fontId="16" fillId="19" borderId="39" applyNumberFormat="0" applyProtection="0">
      <alignment horizontal="left" vertical="top" indent="1"/>
    </xf>
    <xf numFmtId="0" fontId="16" fillId="76" borderId="39" applyNumberFormat="0" applyProtection="0">
      <alignment horizontal="left" vertical="center" indent="1"/>
    </xf>
    <xf numFmtId="0" fontId="16" fillId="23" borderId="39" applyNumberFormat="0" applyProtection="0">
      <alignment horizontal="left" vertical="center" indent="1"/>
    </xf>
    <xf numFmtId="0" fontId="16" fillId="76" borderId="39" applyNumberFormat="0" applyProtection="0">
      <alignment horizontal="left" vertical="top" indent="1"/>
    </xf>
    <xf numFmtId="0" fontId="16" fillId="23" borderId="39" applyNumberFormat="0" applyProtection="0">
      <alignment horizontal="left" vertical="top" indent="1"/>
    </xf>
    <xf numFmtId="0" fontId="16" fillId="77" borderId="39" applyNumberFormat="0" applyProtection="0">
      <alignment horizontal="left" vertical="center" indent="1"/>
    </xf>
    <xf numFmtId="0" fontId="16" fillId="75" borderId="39" applyNumberFormat="0" applyProtection="0">
      <alignment horizontal="left" vertical="center" indent="1"/>
    </xf>
    <xf numFmtId="0" fontId="16" fillId="77" borderId="39" applyNumberFormat="0" applyProtection="0">
      <alignment horizontal="left" vertical="top" indent="1"/>
    </xf>
    <xf numFmtId="0" fontId="16" fillId="75" borderId="39" applyNumberFormat="0" applyProtection="0">
      <alignment horizontal="left" vertical="top" indent="1"/>
    </xf>
    <xf numFmtId="0" fontId="16" fillId="22" borderId="11" applyNumberFormat="0">
      <protection locked="0"/>
    </xf>
    <xf numFmtId="0" fontId="46" fillId="30" borderId="41" applyBorder="0"/>
    <xf numFmtId="4" fontId="43" fillId="14" borderId="39" applyNumberFormat="0" applyProtection="0">
      <alignment vertical="center"/>
    </xf>
    <xf numFmtId="4" fontId="43" fillId="21" borderId="39" applyNumberFormat="0" applyProtection="0">
      <alignment vertical="center"/>
    </xf>
    <xf numFmtId="4" fontId="147" fillId="14" borderId="39" applyNumberFormat="0" applyProtection="0">
      <alignment vertical="center"/>
    </xf>
    <xf numFmtId="4" fontId="147" fillId="21" borderId="39" applyNumberFormat="0" applyProtection="0">
      <alignment vertical="center"/>
    </xf>
    <xf numFmtId="4" fontId="43" fillId="14" borderId="39" applyNumberFormat="0" applyProtection="0">
      <alignment horizontal="left" vertical="center" indent="1"/>
    </xf>
    <xf numFmtId="4" fontId="43" fillId="21" borderId="39" applyNumberFormat="0" applyProtection="0">
      <alignment horizontal="left" vertical="center" indent="1"/>
    </xf>
    <xf numFmtId="0" fontId="43" fillId="14" borderId="39" applyNumberFormat="0" applyProtection="0">
      <alignment horizontal="left" vertical="top" indent="1"/>
    </xf>
    <xf numFmtId="0" fontId="43" fillId="21" borderId="39" applyNumberFormat="0" applyProtection="0">
      <alignment horizontal="left" vertical="top" indent="1"/>
    </xf>
    <xf numFmtId="4" fontId="43" fillId="75" borderId="39" applyNumberFormat="0" applyProtection="0">
      <alignment horizontal="right" vertical="center"/>
    </xf>
    <xf numFmtId="4" fontId="147" fillId="75" borderId="39" applyNumberFormat="0" applyProtection="0">
      <alignment horizontal="right" vertical="center"/>
    </xf>
    <xf numFmtId="4" fontId="43" fillId="19" borderId="39" applyNumberFormat="0" applyProtection="0">
      <alignment horizontal="left" vertical="center" indent="1"/>
    </xf>
    <xf numFmtId="0" fontId="43" fillId="72" borderId="39" applyNumberFormat="0" applyProtection="0">
      <alignment horizontal="left" vertical="top" indent="1"/>
    </xf>
    <xf numFmtId="0" fontId="43" fillId="19" borderId="39" applyNumberFormat="0" applyProtection="0">
      <alignment horizontal="left" vertical="top" indent="1"/>
    </xf>
    <xf numFmtId="4" fontId="148" fillId="78" borderId="0" applyNumberFormat="0" applyProtection="0">
      <alignment horizontal="left" vertical="center" indent="1"/>
    </xf>
    <xf numFmtId="0" fontId="17" fillId="79" borderId="11"/>
    <xf numFmtId="4" fontId="142" fillId="75" borderId="39" applyNumberFormat="0" applyProtection="0">
      <alignment horizontal="right" vertical="center"/>
    </xf>
    <xf numFmtId="4" fontId="142" fillId="75" borderId="39" applyNumberFormat="0" applyProtection="0">
      <alignment horizontal="right" vertical="center"/>
    </xf>
    <xf numFmtId="0" fontId="149" fillId="0" borderId="0" applyNumberFormat="0" applyFill="0" applyBorder="0" applyProtection="0">
      <alignment horizontal="left" vertical="center"/>
    </xf>
    <xf numFmtId="43" fontId="16" fillId="0" borderId="0" applyFont="0" applyFill="0" applyBorder="0" applyAlignment="0" applyProtection="0"/>
    <xf numFmtId="0" fontId="26" fillId="80" borderId="0" applyNumberFormat="0" applyFont="0" applyBorder="0" applyAlignment="0" applyProtection="0"/>
    <xf numFmtId="334" fontId="26" fillId="0" borderId="0"/>
    <xf numFmtId="37" fontId="16" fillId="0" borderId="11" applyBorder="0">
      <alignment horizontal="right"/>
      <protection locked="0"/>
    </xf>
    <xf numFmtId="0" fontId="150" fillId="56" borderId="0" applyAlignment="0"/>
    <xf numFmtId="0" fontId="151" fillId="0" borderId="0" applyNumberFormat="0" applyFill="0" applyBorder="0" applyAlignment="0" applyProtection="0"/>
    <xf numFmtId="293" fontId="37" fillId="0" borderId="0" applyFont="0" applyFill="0" applyBorder="0" applyAlignment="0" applyProtection="0"/>
    <xf numFmtId="164" fontId="152" fillId="0" borderId="0" applyProtection="0"/>
    <xf numFmtId="1" fontId="153" fillId="0" borderId="0" applyProtection="0"/>
    <xf numFmtId="308" fontId="16" fillId="0" borderId="11" applyFont="0" applyFill="0" applyBorder="0" applyAlignment="0" applyProtection="0"/>
    <xf numFmtId="0" fontId="140" fillId="0" borderId="0"/>
    <xf numFmtId="0" fontId="28" fillId="0" borderId="0"/>
    <xf numFmtId="324" fontId="16" fillId="9" borderId="0">
      <alignment horizontal="center"/>
    </xf>
    <xf numFmtId="0" fontId="37" fillId="9" borderId="0">
      <alignment horizontal="center"/>
    </xf>
    <xf numFmtId="0" fontId="120" fillId="0" borderId="0"/>
    <xf numFmtId="0" fontId="154" fillId="0" borderId="0"/>
    <xf numFmtId="0" fontId="27" fillId="0" borderId="0"/>
    <xf numFmtId="40" fontId="155" fillId="0" borderId="0" applyBorder="0">
      <alignment horizontal="right"/>
    </xf>
    <xf numFmtId="335" fontId="16" fillId="0" borderId="0"/>
    <xf numFmtId="0" fontId="35" fillId="0" borderId="0" applyFill="0" applyBorder="0" applyProtection="0">
      <alignment horizontal="center" vertical="center"/>
    </xf>
    <xf numFmtId="3" fontId="156" fillId="0" borderId="0">
      <alignment horizontal="right"/>
    </xf>
    <xf numFmtId="0" fontId="157" fillId="0" borderId="0" applyBorder="0" applyProtection="0">
      <alignment vertical="center"/>
    </xf>
    <xf numFmtId="304" fontId="16" fillId="0" borderId="3" applyBorder="0" applyProtection="0">
      <alignment horizontal="right" vertical="center"/>
    </xf>
    <xf numFmtId="0" fontId="158" fillId="81" borderId="0" applyBorder="0" applyProtection="0">
      <alignment horizontal="centerContinuous" vertical="center"/>
    </xf>
    <xf numFmtId="0" fontId="158" fillId="82" borderId="3" applyBorder="0" applyProtection="0">
      <alignment horizontal="centerContinuous" vertical="center"/>
    </xf>
    <xf numFmtId="0" fontId="159" fillId="0" borderId="0" applyNumberFormat="0" applyFill="0" applyBorder="0" applyProtection="0">
      <alignment horizontal="left"/>
    </xf>
    <xf numFmtId="0" fontId="83" fillId="0" borderId="0" applyNumberFormat="0" applyFill="0" applyBorder="0" applyProtection="0">
      <alignment horizontal="left"/>
    </xf>
    <xf numFmtId="0" fontId="35" fillId="0" borderId="0" applyFill="0" applyBorder="0" applyProtection="0"/>
    <xf numFmtId="0" fontId="42" fillId="0" borderId="0"/>
    <xf numFmtId="0" fontId="122" fillId="0" borderId="0" applyFill="0" applyBorder="0" applyProtection="0">
      <alignment horizontal="left"/>
    </xf>
    <xf numFmtId="0" fontId="160" fillId="0" borderId="0" applyFill="0" applyBorder="0" applyProtection="0">
      <alignment horizontal="left" vertical="top"/>
    </xf>
    <xf numFmtId="0" fontId="143" fillId="0" borderId="0">
      <alignment horizontal="centerContinuous"/>
    </xf>
    <xf numFmtId="0" fontId="161" fillId="0" borderId="0" applyFill="0" applyBorder="0" applyProtection="0">
      <alignment horizontal="center" vertical="center"/>
    </xf>
    <xf numFmtId="0" fontId="122" fillId="14" borderId="11" applyNumberFormat="0" applyAlignment="0">
      <alignment horizontal="center"/>
    </xf>
    <xf numFmtId="0" fontId="162" fillId="0" borderId="0" applyFill="0" applyBorder="0" applyProtection="0">
      <alignment vertical="top"/>
    </xf>
    <xf numFmtId="0" fontId="163" fillId="0" borderId="0" applyFill="0" applyBorder="0" applyProtection="0">
      <alignment vertical="center"/>
    </xf>
    <xf numFmtId="0" fontId="123" fillId="0" borderId="0" applyFill="0" applyBorder="0" applyProtection="0"/>
    <xf numFmtId="0" fontId="164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6" fillId="0" borderId="0"/>
    <xf numFmtId="0" fontId="167" fillId="0" borderId="0" applyNumberFormat="0" applyFill="0" applyBorder="0" applyProtection="0"/>
    <xf numFmtId="0" fontId="168" fillId="0" borderId="0"/>
    <xf numFmtId="0" fontId="169" fillId="0" borderId="0" applyNumberFormat="0" applyFill="0" applyBorder="0" applyProtection="0"/>
    <xf numFmtId="0" fontId="167" fillId="0" borderId="0" applyNumberFormat="0" applyFill="0" applyBorder="0" applyProtection="0"/>
    <xf numFmtId="0" fontId="167" fillId="0" borderId="0"/>
    <xf numFmtId="0" fontId="123" fillId="0" borderId="23" applyNumberFormat="0">
      <alignment horizontal="center" wrapText="1"/>
    </xf>
    <xf numFmtId="39" fontId="16" fillId="14" borderId="11" applyFont="0" applyFill="0" applyBorder="0" applyAlignment="0" applyProtection="0">
      <alignment horizontal="center"/>
      <protection locked="0"/>
    </xf>
    <xf numFmtId="0" fontId="46" fillId="0" borderId="0" applyBorder="0" applyProtection="0">
      <alignment horizontal="right"/>
    </xf>
    <xf numFmtId="260" fontId="16" fillId="0" borderId="0"/>
    <xf numFmtId="336" fontId="37" fillId="0" borderId="42" applyNumberFormat="0" applyFill="0" applyProtection="0">
      <alignment vertical="center"/>
    </xf>
    <xf numFmtId="0" fontId="15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337" fontId="26" fillId="0" borderId="7" applyFill="0" applyProtection="0">
      <alignment horizontal="center" vertical="center" wrapText="1"/>
    </xf>
    <xf numFmtId="0" fontId="16" fillId="0" borderId="0">
      <alignment horizontal="center"/>
    </xf>
    <xf numFmtId="0" fontId="16" fillId="0" borderId="0">
      <alignment horizontal="center"/>
    </xf>
    <xf numFmtId="322" fontId="26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1" fillId="0" borderId="43" applyNumberFormat="0" applyFill="0" applyAlignment="0" applyProtection="0"/>
    <xf numFmtId="0" fontId="172" fillId="0" borderId="26" applyNumberFormat="0" applyFill="0" applyAlignment="0" applyProtection="0"/>
    <xf numFmtId="0" fontId="173" fillId="0" borderId="44" applyNumberFormat="0" applyFill="0" applyAlignment="0" applyProtection="0"/>
    <xf numFmtId="0" fontId="173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338" fontId="175" fillId="0" borderId="0">
      <protection locked="0"/>
    </xf>
    <xf numFmtId="338" fontId="175" fillId="0" borderId="0">
      <protection locked="0"/>
    </xf>
    <xf numFmtId="3" fontId="176" fillId="18" borderId="45">
      <alignment horizontal="center" vertical="justify" wrapText="1"/>
    </xf>
    <xf numFmtId="10" fontId="122" fillId="0" borderId="17" applyNumberFormat="0">
      <alignment horizontal="center" wrapText="1"/>
    </xf>
    <xf numFmtId="0" fontId="169" fillId="0" borderId="0"/>
    <xf numFmtId="0" fontId="167" fillId="0" borderId="0"/>
    <xf numFmtId="176" fontId="16" fillId="0" borderId="2" applyNumberFormat="0" applyFont="0" applyFill="0" applyAlignment="0"/>
    <xf numFmtId="0" fontId="64" fillId="0" borderId="46" applyNumberFormat="0" applyFont="0" applyFill="0" applyAlignment="0" applyProtection="0"/>
    <xf numFmtId="0" fontId="75" fillId="0" borderId="47" applyNumberFormat="0" applyFill="0" applyAlignment="0" applyProtection="0"/>
    <xf numFmtId="0" fontId="8" fillId="0" borderId="1" applyNumberFormat="0" applyFill="0" applyAlignment="0" applyProtection="0"/>
    <xf numFmtId="339" fontId="17" fillId="0" borderId="0" applyBorder="0" applyProtection="0">
      <alignment horizontal="right"/>
    </xf>
    <xf numFmtId="340" fontId="16" fillId="22" borderId="0"/>
    <xf numFmtId="0" fontId="177" fillId="0" borderId="0">
      <alignment horizontal="fill"/>
    </xf>
    <xf numFmtId="0" fontId="178" fillId="0" borderId="0"/>
    <xf numFmtId="0" fontId="179" fillId="24" borderId="0" applyNumberFormat="0" applyBorder="0" applyAlignment="0" applyProtection="0"/>
    <xf numFmtId="0" fontId="86" fillId="26" borderId="0" applyNumberFormat="0" applyBorder="0" applyAlignment="0" applyProtection="0"/>
    <xf numFmtId="18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218" fontId="16" fillId="0" borderId="0" applyFont="0" applyFill="0" applyBorder="0" applyAlignment="0" applyProtection="0"/>
    <xf numFmtId="218" fontId="44" fillId="0" borderId="0" applyFont="0" applyFill="0" applyBorder="0" applyAlignment="0" applyProtection="0"/>
    <xf numFmtId="218" fontId="44" fillId="0" borderId="0" applyFont="0" applyFill="0" applyBorder="0" applyAlignment="0" applyProtection="0"/>
    <xf numFmtId="218" fontId="6" fillId="0" borderId="0" applyFont="0" applyFill="0" applyBorder="0" applyAlignment="0" applyProtection="0"/>
    <xf numFmtId="218" fontId="16" fillId="0" borderId="0" applyFont="0" applyFill="0" applyBorder="0" applyAlignment="0" applyProtection="0"/>
    <xf numFmtId="218" fontId="16" fillId="0" borderId="0" applyFont="0" applyFill="0" applyBorder="0" applyAlignment="0" applyProtection="0"/>
    <xf numFmtId="218" fontId="16" fillId="0" borderId="0" applyFont="0" applyFill="0" applyBorder="0" applyAlignment="0" applyProtection="0"/>
    <xf numFmtId="341" fontId="16" fillId="0" borderId="0" applyFont="0" applyFill="0" applyBorder="0" applyAlignment="0" applyProtection="0"/>
    <xf numFmtId="218" fontId="16" fillId="0" borderId="0" applyFont="0" applyFill="0" applyBorder="0" applyAlignment="0" applyProtection="0"/>
    <xf numFmtId="21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341" fontId="16" fillId="0" borderId="0" applyFont="0" applyFill="0" applyBorder="0" applyAlignment="0" applyProtection="0"/>
    <xf numFmtId="341" fontId="16" fillId="0" borderId="0" applyFont="0" applyFill="0" applyBorder="0" applyAlignment="0" applyProtection="0"/>
    <xf numFmtId="342" fontId="16" fillId="0" borderId="0" applyFont="0" applyFill="0" applyBorder="0" applyAlignment="0" applyProtection="0"/>
    <xf numFmtId="343" fontId="78" fillId="0" borderId="0">
      <protection locked="0"/>
    </xf>
    <xf numFmtId="344" fontId="16" fillId="0" borderId="0" applyFont="0" applyFill="0" applyBorder="0" applyAlignment="0" applyProtection="0"/>
    <xf numFmtId="0" fontId="164" fillId="0" borderId="0" applyNumberFormat="0" applyFill="0" applyBorder="0" applyAlignment="0" applyProtection="0"/>
    <xf numFmtId="1" fontId="27" fillId="0" borderId="0">
      <alignment horizontal="right"/>
    </xf>
    <xf numFmtId="0" fontId="26" fillId="0" borderId="0"/>
    <xf numFmtId="1" fontId="180" fillId="0" borderId="0">
      <alignment horizontal="right"/>
    </xf>
    <xf numFmtId="0" fontId="130" fillId="83" borderId="48" applyNumberFormat="0" applyFont="0" applyBorder="0" applyAlignment="0" applyProtection="0">
      <alignment horizontal="right"/>
    </xf>
    <xf numFmtId="345" fontId="26" fillId="0" borderId="0" applyFont="0" applyFill="0" applyAlignment="0" applyProtection="0"/>
    <xf numFmtId="0" fontId="16" fillId="0" borderId="0"/>
    <xf numFmtId="0" fontId="181" fillId="0" borderId="0"/>
    <xf numFmtId="4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6" fontId="16" fillId="0" borderId="0" applyFont="0" applyFill="0" applyBorder="0" applyAlignment="0" applyProtection="0"/>
    <xf numFmtId="183" fontId="37" fillId="0" borderId="0" applyFont="0" applyFill="0" applyBorder="0" applyAlignment="0" applyProtection="0"/>
    <xf numFmtId="183" fontId="16" fillId="0" borderId="0" applyFont="0" applyFill="0" applyBorder="0" applyAlignment="0" applyProtection="0"/>
    <xf numFmtId="263" fontId="16" fillId="0" borderId="0" applyFont="0" applyFill="0" applyBorder="0" applyAlignment="0" applyProtection="0"/>
    <xf numFmtId="0" fontId="16" fillId="0" borderId="0"/>
    <xf numFmtId="0" fontId="37" fillId="0" borderId="0"/>
    <xf numFmtId="0" fontId="16" fillId="0" borderId="0"/>
    <xf numFmtId="262" fontId="16" fillId="0" borderId="0" applyFont="0" applyFill="0" applyBorder="0" applyAlignment="0" applyProtection="0"/>
    <xf numFmtId="0" fontId="182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183" fillId="0" borderId="0"/>
    <xf numFmtId="9" fontId="183" fillId="0" borderId="0" applyFont="0" applyFill="0" applyBorder="0" applyAlignment="0" applyProtection="0"/>
    <xf numFmtId="0" fontId="6" fillId="0" borderId="0"/>
  </cellStyleXfs>
  <cellXfs count="259">
    <xf numFmtId="0" fontId="0" fillId="0" borderId="0" xfId="0"/>
    <xf numFmtId="0" fontId="1" fillId="2" borderId="0" xfId="0" applyFont="1" applyFill="1"/>
    <xf numFmtId="3" fontId="1" fillId="2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3" borderId="0" xfId="0" applyNumberFormat="1" applyFont="1" applyFill="1"/>
    <xf numFmtId="0" fontId="3" fillId="2" borderId="0" xfId="0" applyFont="1" applyFill="1" applyAlignment="1">
      <alignment horizontal="center"/>
    </xf>
    <xf numFmtId="0" fontId="2" fillId="4" borderId="0" xfId="0" applyFont="1" applyFill="1"/>
    <xf numFmtId="3" fontId="2" fillId="4" borderId="0" xfId="0" applyNumberFormat="1" applyFont="1" applyFill="1"/>
    <xf numFmtId="0" fontId="4" fillId="2" borderId="0" xfId="0" applyFont="1" applyFill="1" applyAlignment="1">
      <alignment horizontal="center"/>
    </xf>
    <xf numFmtId="3" fontId="5" fillId="2" borderId="0" xfId="0" applyNumberFormat="1" applyFont="1" applyFill="1"/>
    <xf numFmtId="0" fontId="10" fillId="5" borderId="0" xfId="0" applyFont="1" applyFill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5" borderId="0" xfId="0" applyFont="1" applyFill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1" fillId="6" borderId="0" xfId="0" applyFont="1" applyFill="1"/>
    <xf numFmtId="0" fontId="11" fillId="6" borderId="0" xfId="0" applyFont="1" applyFill="1" applyAlignment="1">
      <alignment horizontal="center"/>
    </xf>
    <xf numFmtId="0" fontId="14" fillId="0" borderId="3" xfId="0" applyFont="1" applyBorder="1"/>
    <xf numFmtId="164" fontId="14" fillId="0" borderId="3" xfId="0" applyNumberFormat="1" applyFont="1" applyBorder="1"/>
    <xf numFmtId="166" fontId="14" fillId="0" borderId="3" xfId="3" applyNumberFormat="1" applyFont="1" applyBorder="1" applyAlignment="1">
      <alignment horizontal="center"/>
    </xf>
    <xf numFmtId="166" fontId="0" fillId="0" borderId="0" xfId="3" applyNumberFormat="1" applyFont="1"/>
    <xf numFmtId="0" fontId="11" fillId="0" borderId="4" xfId="0" quotePrefix="1" applyFont="1" applyBorder="1" applyAlignment="1">
      <alignment horizontal="left" indent="3"/>
    </xf>
    <xf numFmtId="164" fontId="11" fillId="0" borderId="4" xfId="0" quotePrefix="1" applyNumberFormat="1" applyFont="1" applyBorder="1"/>
    <xf numFmtId="166" fontId="11" fillId="0" borderId="4" xfId="3" applyNumberFormat="1" applyFont="1" applyBorder="1" applyAlignment="1">
      <alignment horizontal="center"/>
    </xf>
    <xf numFmtId="0" fontId="11" fillId="0" borderId="5" xfId="0" quotePrefix="1" applyFont="1" applyBorder="1" applyAlignment="1">
      <alignment horizontal="left" indent="3"/>
    </xf>
    <xf numFmtId="164" fontId="11" fillId="0" borderId="5" xfId="0" quotePrefix="1" applyNumberFormat="1" applyFont="1" applyBorder="1"/>
    <xf numFmtId="166" fontId="11" fillId="0" borderId="5" xfId="3" applyNumberFormat="1" applyFont="1" applyBorder="1" applyAlignment="1">
      <alignment horizontal="center"/>
    </xf>
    <xf numFmtId="0" fontId="11" fillId="0" borderId="6" xfId="0" quotePrefix="1" applyFont="1" applyBorder="1" applyAlignment="1">
      <alignment horizontal="left" indent="3"/>
    </xf>
    <xf numFmtId="164" fontId="11" fillId="0" borderId="6" xfId="0" quotePrefix="1" applyNumberFormat="1" applyFont="1" applyBorder="1"/>
    <xf numFmtId="166" fontId="11" fillId="0" borderId="6" xfId="3" applyNumberFormat="1" applyFont="1" applyBorder="1" applyAlignment="1">
      <alignment horizontal="center"/>
    </xf>
    <xf numFmtId="164" fontId="11" fillId="0" borderId="0" xfId="0" applyNumberFormat="1" applyFont="1"/>
    <xf numFmtId="166" fontId="11" fillId="0" borderId="0" xfId="3" quotePrefix="1" applyNumberFormat="1" applyFont="1" applyAlignment="1">
      <alignment horizontal="center"/>
    </xf>
    <xf numFmtId="166" fontId="11" fillId="0" borderId="4" xfId="3" quotePrefix="1" applyNumberFormat="1" applyFont="1" applyBorder="1" applyAlignment="1">
      <alignment horizontal="center"/>
    </xf>
    <xf numFmtId="167" fontId="11" fillId="0" borderId="4" xfId="3" quotePrefix="1" applyNumberFormat="1" applyFont="1" applyBorder="1" applyAlignment="1">
      <alignment horizontal="center"/>
    </xf>
    <xf numFmtId="166" fontId="7" fillId="0" borderId="0" xfId="3" quotePrefix="1" applyNumberFormat="1" applyFont="1"/>
    <xf numFmtId="10" fontId="8" fillId="0" borderId="0" xfId="2" applyNumberFormat="1" applyFont="1"/>
    <xf numFmtId="10" fontId="0" fillId="0" borderId="0" xfId="2" applyNumberFormat="1" applyFont="1"/>
    <xf numFmtId="166" fontId="11" fillId="0" borderId="5" xfId="3" quotePrefix="1" applyNumberFormat="1" applyFont="1" applyBorder="1" applyAlignment="1">
      <alignment horizontal="center"/>
    </xf>
    <xf numFmtId="166" fontId="11" fillId="0" borderId="6" xfId="3" quotePrefix="1" applyNumberFormat="1" applyFont="1" applyBorder="1" applyAlignment="1">
      <alignment horizontal="center"/>
    </xf>
    <xf numFmtId="166" fontId="14" fillId="0" borderId="3" xfId="3" quotePrefix="1" applyNumberFormat="1" applyFont="1" applyBorder="1" applyAlignment="1">
      <alignment horizontal="center"/>
    </xf>
    <xf numFmtId="0" fontId="14" fillId="0" borderId="0" xfId="0" applyFont="1"/>
    <xf numFmtId="164" fontId="14" fillId="0" borderId="0" xfId="0" applyNumberFormat="1" applyFont="1"/>
    <xf numFmtId="0" fontId="14" fillId="5" borderId="7" xfId="0" applyFont="1" applyFill="1" applyBorder="1"/>
    <xf numFmtId="164" fontId="14" fillId="5" borderId="7" xfId="0" applyNumberFormat="1" applyFont="1" applyFill="1" applyBorder="1"/>
    <xf numFmtId="166" fontId="14" fillId="5" borderId="7" xfId="3" applyNumberFormat="1" applyFont="1" applyFill="1" applyBorder="1" applyAlignment="1">
      <alignment horizontal="center"/>
    </xf>
    <xf numFmtId="166" fontId="8" fillId="0" borderId="0" xfId="3" applyNumberFormat="1" applyFont="1"/>
    <xf numFmtId="0" fontId="11" fillId="0" borderId="0" xfId="0" quotePrefix="1" applyFont="1"/>
    <xf numFmtId="164" fontId="11" fillId="0" borderId="0" xfId="0" quotePrefix="1" applyNumberFormat="1" applyFont="1"/>
    <xf numFmtId="166" fontId="11" fillId="2" borderId="6" xfId="3" quotePrefix="1" applyNumberFormat="1" applyFont="1" applyFill="1" applyBorder="1" applyAlignment="1">
      <alignment horizontal="center"/>
    </xf>
    <xf numFmtId="0" fontId="14" fillId="0" borderId="3" xfId="0" quotePrefix="1" applyFont="1" applyBorder="1"/>
    <xf numFmtId="164" fontId="14" fillId="0" borderId="3" xfId="0" quotePrefix="1" applyNumberFormat="1" applyFont="1" applyBorder="1"/>
    <xf numFmtId="0" fontId="8" fillId="0" borderId="0" xfId="0" applyFont="1"/>
    <xf numFmtId="166" fontId="11" fillId="0" borderId="0" xfId="3" applyNumberFormat="1" applyFont="1" applyAlignment="1">
      <alignment horizontal="center"/>
    </xf>
    <xf numFmtId="0" fontId="11" fillId="0" borderId="0" xfId="0" quotePrefix="1" applyFont="1" applyAlignment="1">
      <alignment horizontal="left" indent="4"/>
    </xf>
    <xf numFmtId="168" fontId="11" fillId="0" borderId="0" xfId="4" applyNumberFormat="1" applyFont="1" applyAlignment="1">
      <alignment horizontal="center"/>
    </xf>
    <xf numFmtId="10" fontId="11" fillId="0" borderId="0" xfId="4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1" fillId="0" borderId="4" xfId="0" quotePrefix="1" applyFont="1" applyBorder="1"/>
    <xf numFmtId="169" fontId="11" fillId="0" borderId="4" xfId="3" quotePrefix="1" applyNumberFormat="1" applyFont="1" applyBorder="1"/>
    <xf numFmtId="166" fontId="11" fillId="2" borderId="4" xfId="3" quotePrefix="1" applyNumberFormat="1" applyFont="1" applyFill="1" applyBorder="1" applyAlignment="1">
      <alignment horizontal="center"/>
    </xf>
    <xf numFmtId="166" fontId="8" fillId="0" borderId="0" xfId="0" applyNumberFormat="1" applyFont="1"/>
    <xf numFmtId="166" fontId="0" fillId="0" borderId="0" xfId="0" applyNumberFormat="1"/>
    <xf numFmtId="0" fontId="11" fillId="0" borderId="6" xfId="0" quotePrefix="1" applyFont="1" applyBorder="1"/>
    <xf numFmtId="169" fontId="11" fillId="0" borderId="6" xfId="3" quotePrefix="1" applyNumberFormat="1" applyFont="1" applyBorder="1"/>
    <xf numFmtId="169" fontId="11" fillId="0" borderId="0" xfId="3" applyNumberFormat="1" applyFont="1"/>
    <xf numFmtId="9" fontId="8" fillId="0" borderId="0" xfId="4" applyFont="1"/>
    <xf numFmtId="169" fontId="14" fillId="0" borderId="3" xfId="3" applyNumberFormat="1" applyFont="1" applyBorder="1"/>
    <xf numFmtId="169" fontId="14" fillId="5" borderId="7" xfId="3" applyNumberFormat="1" applyFont="1" applyFill="1" applyBorder="1"/>
    <xf numFmtId="166" fontId="11" fillId="0" borderId="4" xfId="0" quotePrefix="1" applyNumberFormat="1" applyFont="1" applyBorder="1" applyAlignment="1">
      <alignment horizontal="center"/>
    </xf>
    <xf numFmtId="166" fontId="7" fillId="0" borderId="0" xfId="0" quotePrefix="1" applyNumberFormat="1" applyFont="1"/>
    <xf numFmtId="0" fontId="11" fillId="0" borderId="5" xfId="0" quotePrefix="1" applyFont="1" applyBorder="1"/>
    <xf numFmtId="166" fontId="11" fillId="0" borderId="5" xfId="0" quotePrefix="1" applyNumberFormat="1" applyFont="1" applyBorder="1" applyAlignment="1">
      <alignment horizontal="center"/>
    </xf>
    <xf numFmtId="166" fontId="11" fillId="0" borderId="6" xfId="0" quotePrefix="1" applyNumberFormat="1" applyFont="1" applyBorder="1" applyAlignment="1">
      <alignment horizontal="center"/>
    </xf>
    <xf numFmtId="43" fontId="11" fillId="0" borderId="6" xfId="0" quotePrefix="1" applyNumberFormat="1" applyFont="1" applyBorder="1" applyAlignment="1">
      <alignment horizontal="center"/>
    </xf>
    <xf numFmtId="166" fontId="11" fillId="0" borderId="0" xfId="0" applyNumberFormat="1" applyFont="1" applyAlignment="1">
      <alignment horizontal="center"/>
    </xf>
    <xf numFmtId="166" fontId="14" fillId="5" borderId="7" xfId="0" applyNumberFormat="1" applyFont="1" applyFill="1" applyBorder="1" applyAlignment="1">
      <alignment horizontal="center"/>
    </xf>
    <xf numFmtId="10" fontId="11" fillId="0" borderId="0" xfId="0" applyNumberFormat="1" applyFont="1"/>
    <xf numFmtId="166" fontId="11" fillId="0" borderId="6" xfId="0" applyNumberFormat="1" applyFont="1" applyBorder="1" applyAlignment="1">
      <alignment horizontal="center"/>
    </xf>
    <xf numFmtId="0" fontId="11" fillId="7" borderId="0" xfId="0" quotePrefix="1" applyFont="1" applyFill="1"/>
    <xf numFmtId="166" fontId="11" fillId="7" borderId="0" xfId="3" quotePrefix="1" applyNumberFormat="1" applyFont="1" applyFill="1"/>
    <xf numFmtId="166" fontId="11" fillId="7" borderId="0" xfId="0" quotePrefix="1" applyNumberFormat="1" applyFont="1" applyFill="1"/>
    <xf numFmtId="0" fontId="11" fillId="8" borderId="0" xfId="0" applyFont="1" applyFill="1"/>
    <xf numFmtId="0" fontId="11" fillId="8" borderId="0" xfId="0" quotePrefix="1" applyFont="1" applyFill="1"/>
    <xf numFmtId="0" fontId="13" fillId="5" borderId="8" xfId="0" applyFont="1" applyFill="1" applyBorder="1"/>
    <xf numFmtId="166" fontId="14" fillId="5" borderId="8" xfId="3" applyNumberFormat="1" applyFont="1" applyFill="1" applyBorder="1" applyAlignment="1">
      <alignment horizontal="center"/>
    </xf>
    <xf numFmtId="166" fontId="14" fillId="5" borderId="8" xfId="0" applyNumberFormat="1" applyFont="1" applyFill="1" applyBorder="1" applyAlignment="1">
      <alignment horizontal="center"/>
    </xf>
    <xf numFmtId="2" fontId="11" fillId="0" borderId="0" xfId="0" applyNumberFormat="1" applyFont="1"/>
    <xf numFmtId="0" fontId="11" fillId="0" borderId="4" xfId="0" applyFont="1" applyBorder="1" applyAlignment="1">
      <alignment horizontal="left" indent="3"/>
    </xf>
    <xf numFmtId="166" fontId="11" fillId="0" borderId="4" xfId="0" applyNumberFormat="1" applyFont="1" applyBorder="1"/>
    <xf numFmtId="166" fontId="11" fillId="0" borderId="4" xfId="0" applyNumberFormat="1" applyFont="1" applyBorder="1" applyAlignment="1">
      <alignment horizontal="center"/>
    </xf>
    <xf numFmtId="0" fontId="11" fillId="0" borderId="5" xfId="0" applyFont="1" applyBorder="1" applyAlignment="1">
      <alignment horizontal="left" indent="3"/>
    </xf>
    <xf numFmtId="166" fontId="11" fillId="0" borderId="5" xfId="0" applyNumberFormat="1" applyFont="1" applyBorder="1"/>
    <xf numFmtId="166" fontId="11" fillId="0" borderId="5" xfId="0" applyNumberFormat="1" applyFont="1" applyBorder="1" applyAlignment="1">
      <alignment horizontal="center"/>
    </xf>
    <xf numFmtId="170" fontId="0" fillId="0" borderId="0" xfId="0" applyNumberFormat="1"/>
    <xf numFmtId="0" fontId="11" fillId="0" borderId="6" xfId="0" applyFont="1" applyBorder="1" applyAlignment="1">
      <alignment horizontal="left" indent="3"/>
    </xf>
    <xf numFmtId="166" fontId="11" fillId="0" borderId="6" xfId="0" applyNumberFormat="1" applyFont="1" applyBorder="1"/>
    <xf numFmtId="0" fontId="14" fillId="0" borderId="7" xfId="0" applyFont="1" applyBorder="1"/>
    <xf numFmtId="166" fontId="14" fillId="0" borderId="7" xfId="0" applyNumberFormat="1" applyFont="1" applyBorder="1"/>
    <xf numFmtId="166" fontId="14" fillId="0" borderId="7" xfId="3" applyNumberFormat="1" applyFont="1" applyBorder="1" applyAlignment="1">
      <alignment horizontal="center"/>
    </xf>
    <xf numFmtId="166" fontId="14" fillId="0" borderId="7" xfId="0" applyNumberFormat="1" applyFont="1" applyBorder="1" applyAlignment="1">
      <alignment horizontal="center"/>
    </xf>
    <xf numFmtId="166" fontId="11" fillId="0" borderId="0" xfId="0" applyNumberFormat="1" applyFont="1"/>
    <xf numFmtId="166" fontId="14" fillId="0" borderId="0" xfId="0" applyNumberFormat="1" applyFont="1"/>
    <xf numFmtId="166" fontId="14" fillId="0" borderId="0" xfId="3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0" fontId="11" fillId="0" borderId="0" xfId="0" applyFont="1" applyAlignment="1">
      <alignment horizontal="left" indent="3"/>
    </xf>
    <xf numFmtId="0" fontId="11" fillId="0" borderId="9" xfId="0" applyFont="1" applyBorder="1" applyAlignment="1">
      <alignment horizontal="left" indent="3"/>
    </xf>
    <xf numFmtId="166" fontId="11" fillId="0" borderId="9" xfId="0" applyNumberFormat="1" applyFont="1" applyBorder="1"/>
    <xf numFmtId="166" fontId="11" fillId="0" borderId="9" xfId="0" applyNumberFormat="1" applyFont="1" applyBorder="1" applyAlignment="1">
      <alignment horizontal="center"/>
    </xf>
    <xf numFmtId="4" fontId="0" fillId="0" borderId="0" xfId="0" applyNumberFormat="1"/>
    <xf numFmtId="166" fontId="13" fillId="5" borderId="8" xfId="0" applyNumberFormat="1" applyFont="1" applyFill="1" applyBorder="1"/>
    <xf numFmtId="43" fontId="11" fillId="0" borderId="0" xfId="0" applyNumberFormat="1" applyFont="1" applyAlignment="1">
      <alignment horizontal="center"/>
    </xf>
    <xf numFmtId="4" fontId="11" fillId="0" borderId="0" xfId="0" applyNumberFormat="1" applyFont="1"/>
    <xf numFmtId="0" fontId="19" fillId="0" borderId="0" xfId="0" applyFont="1" applyAlignment="1">
      <alignment horizontal="centerContinuous"/>
    </xf>
    <xf numFmtId="0" fontId="20" fillId="0" borderId="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6" borderId="0" xfId="0" applyFont="1" applyFill="1" applyAlignment="1">
      <alignment horizontal="center"/>
    </xf>
    <xf numFmtId="166" fontId="21" fillId="0" borderId="3" xfId="3" applyNumberFormat="1" applyFont="1" applyBorder="1" applyAlignment="1">
      <alignment horizontal="center"/>
    </xf>
    <xf numFmtId="166" fontId="22" fillId="0" borderId="4" xfId="3" applyNumberFormat="1" applyFont="1" applyBorder="1" applyAlignment="1">
      <alignment horizontal="center"/>
    </xf>
    <xf numFmtId="166" fontId="22" fillId="0" borderId="5" xfId="3" applyNumberFormat="1" applyFont="1" applyBorder="1" applyAlignment="1">
      <alignment horizontal="center"/>
    </xf>
    <xf numFmtId="166" fontId="22" fillId="0" borderId="6" xfId="3" applyNumberFormat="1" applyFont="1" applyBorder="1" applyAlignment="1">
      <alignment horizontal="center"/>
    </xf>
    <xf numFmtId="166" fontId="22" fillId="0" borderId="0" xfId="3" quotePrefix="1" applyNumberFormat="1" applyFont="1" applyAlignment="1">
      <alignment horizontal="center"/>
    </xf>
    <xf numFmtId="167" fontId="22" fillId="0" borderId="4" xfId="3" quotePrefix="1" applyNumberFormat="1" applyFont="1" applyBorder="1" applyAlignment="1">
      <alignment horizontal="center"/>
    </xf>
    <xf numFmtId="166" fontId="21" fillId="0" borderId="3" xfId="3" quotePrefix="1" applyNumberFormat="1" applyFont="1" applyBorder="1" applyAlignment="1">
      <alignment horizontal="center"/>
    </xf>
    <xf numFmtId="166" fontId="21" fillId="5" borderId="7" xfId="3" applyNumberFormat="1" applyFont="1" applyFill="1" applyBorder="1" applyAlignment="1">
      <alignment horizontal="center"/>
    </xf>
    <xf numFmtId="166" fontId="22" fillId="0" borderId="4" xfId="3" quotePrefix="1" applyNumberFormat="1" applyFont="1" applyBorder="1" applyAlignment="1">
      <alignment horizontal="center"/>
    </xf>
    <xf numFmtId="166" fontId="22" fillId="0" borderId="5" xfId="3" quotePrefix="1" applyNumberFormat="1" applyFont="1" applyBorder="1" applyAlignment="1">
      <alignment horizontal="center"/>
    </xf>
    <xf numFmtId="166" fontId="22" fillId="2" borderId="6" xfId="3" quotePrefix="1" applyNumberFormat="1" applyFont="1" applyFill="1" applyBorder="1" applyAlignment="1">
      <alignment horizontal="center"/>
    </xf>
    <xf numFmtId="166" fontId="22" fillId="0" borderId="0" xfId="3" applyNumberFormat="1" applyFont="1" applyAlignment="1">
      <alignment horizontal="center"/>
    </xf>
    <xf numFmtId="10" fontId="22" fillId="0" borderId="0" xfId="4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166" fontId="22" fillId="2" borderId="4" xfId="3" quotePrefix="1" applyNumberFormat="1" applyFont="1" applyFill="1" applyBorder="1" applyAlignment="1">
      <alignment horizontal="center"/>
    </xf>
    <xf numFmtId="166" fontId="22" fillId="0" borderId="6" xfId="3" quotePrefix="1" applyNumberFormat="1" applyFont="1" applyBorder="1" applyAlignment="1">
      <alignment horizontal="center"/>
    </xf>
    <xf numFmtId="168" fontId="22" fillId="0" borderId="0" xfId="4" applyNumberFormat="1" applyFont="1" applyAlignment="1">
      <alignment horizontal="center"/>
    </xf>
    <xf numFmtId="166" fontId="22" fillId="0" borderId="4" xfId="0" quotePrefix="1" applyNumberFormat="1" applyFont="1" applyBorder="1" applyAlignment="1">
      <alignment horizontal="center"/>
    </xf>
    <xf numFmtId="166" fontId="22" fillId="0" borderId="5" xfId="0" quotePrefix="1" applyNumberFormat="1" applyFont="1" applyBorder="1" applyAlignment="1">
      <alignment horizontal="center"/>
    </xf>
    <xf numFmtId="166" fontId="22" fillId="0" borderId="6" xfId="0" quotePrefix="1" applyNumberFormat="1" applyFont="1" applyBorder="1" applyAlignment="1">
      <alignment horizontal="center"/>
    </xf>
    <xf numFmtId="166" fontId="22" fillId="0" borderId="0" xfId="0" applyNumberFormat="1" applyFont="1" applyAlignment="1">
      <alignment horizontal="center"/>
    </xf>
    <xf numFmtId="166" fontId="21" fillId="5" borderId="7" xfId="0" applyNumberFormat="1" applyFont="1" applyFill="1" applyBorder="1" applyAlignment="1">
      <alignment horizontal="center"/>
    </xf>
    <xf numFmtId="166" fontId="22" fillId="0" borderId="6" xfId="0" applyNumberFormat="1" applyFont="1" applyBorder="1" applyAlignment="1">
      <alignment horizontal="center"/>
    </xf>
    <xf numFmtId="166" fontId="22" fillId="7" borderId="0" xfId="0" quotePrefix="1" applyNumberFormat="1" applyFont="1" applyFill="1"/>
    <xf numFmtId="166" fontId="21" fillId="5" borderId="8" xfId="0" applyNumberFormat="1" applyFont="1" applyFill="1" applyBorder="1" applyAlignment="1">
      <alignment horizontal="center"/>
    </xf>
    <xf numFmtId="2" fontId="22" fillId="0" borderId="0" xfId="0" applyNumberFormat="1" applyFont="1"/>
    <xf numFmtId="166" fontId="22" fillId="0" borderId="4" xfId="0" applyNumberFormat="1" applyFont="1" applyBorder="1" applyAlignment="1">
      <alignment horizontal="center"/>
    </xf>
    <xf numFmtId="166" fontId="21" fillId="0" borderId="7" xfId="0" applyNumberFormat="1" applyFont="1" applyBorder="1" applyAlignment="1">
      <alignment horizontal="center"/>
    </xf>
    <xf numFmtId="166" fontId="21" fillId="0" borderId="0" xfId="0" applyNumberFormat="1" applyFont="1" applyAlignment="1">
      <alignment horizontal="center"/>
    </xf>
    <xf numFmtId="0" fontId="22" fillId="0" borderId="0" xfId="0" applyFont="1"/>
    <xf numFmtId="4" fontId="8" fillId="0" borderId="0" xfId="0" applyNumberFormat="1" applyFont="1" applyAlignment="1">
      <alignment horizontal="center"/>
    </xf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9" fillId="0" borderId="0" xfId="0" applyFont="1"/>
    <xf numFmtId="3" fontId="0" fillId="0" borderId="0" xfId="0" applyNumberFormat="1"/>
    <xf numFmtId="0" fontId="184" fillId="0" borderId="0" xfId="0" applyFont="1"/>
    <xf numFmtId="166" fontId="0" fillId="0" borderId="0" xfId="1" applyNumberFormat="1" applyFont="1" applyFill="1"/>
    <xf numFmtId="43" fontId="0" fillId="0" borderId="0" xfId="1" applyFont="1" applyFill="1"/>
    <xf numFmtId="3" fontId="8" fillId="0" borderId="0" xfId="0" applyNumberFormat="1" applyFont="1"/>
    <xf numFmtId="3" fontId="14" fillId="0" borderId="0" xfId="0" applyNumberFormat="1" applyFont="1"/>
    <xf numFmtId="3" fontId="0" fillId="0" borderId="7" xfId="0" applyNumberFormat="1" applyBorder="1"/>
    <xf numFmtId="3" fontId="11" fillId="0" borderId="0" xfId="0" applyNumberFormat="1" applyFont="1"/>
    <xf numFmtId="3" fontId="8" fillId="0" borderId="49" xfId="0" applyNumberFormat="1" applyFont="1" applyBorder="1"/>
    <xf numFmtId="0" fontId="23" fillId="0" borderId="0" xfId="0" applyFont="1" applyAlignment="1">
      <alignment horizontal="left"/>
    </xf>
    <xf numFmtId="3" fontId="8" fillId="0" borderId="0" xfId="0" applyNumberFormat="1" applyFont="1" applyAlignment="1">
      <alignment horizontal="center"/>
    </xf>
    <xf numFmtId="3" fontId="14" fillId="0" borderId="0" xfId="0" applyNumberFormat="1" applyFont="1" applyAlignment="1">
      <alignment horizontal="center"/>
    </xf>
    <xf numFmtId="4" fontId="6" fillId="0" borderId="0" xfId="1413" applyNumberFormat="1"/>
    <xf numFmtId="4" fontId="18" fillId="0" borderId="0" xfId="0" applyNumberFormat="1" applyFont="1" applyAlignment="1">
      <alignment horizontal="center"/>
    </xf>
    <xf numFmtId="0" fontId="0" fillId="0" borderId="0" xfId="0" applyFill="1"/>
    <xf numFmtId="3" fontId="8" fillId="0" borderId="0" xfId="0" applyNumberFormat="1" applyFont="1" applyFill="1" applyAlignment="1">
      <alignment horizontal="center"/>
    </xf>
    <xf numFmtId="4" fontId="8" fillId="0" borderId="0" xfId="0" applyNumberFormat="1" applyFont="1" applyFill="1" applyAlignment="1">
      <alignment horizontal="center"/>
    </xf>
    <xf numFmtId="3" fontId="0" fillId="0" borderId="0" xfId="0" applyNumberFormat="1" applyFill="1"/>
    <xf numFmtId="3" fontId="0" fillId="0" borderId="7" xfId="0" applyNumberFormat="1" applyFill="1" applyBorder="1"/>
    <xf numFmtId="4" fontId="0" fillId="0" borderId="0" xfId="0" applyNumberFormat="1" applyFill="1"/>
    <xf numFmtId="3" fontId="11" fillId="0" borderId="0" xfId="0" applyNumberFormat="1" applyFont="1" applyFill="1"/>
    <xf numFmtId="3" fontId="8" fillId="0" borderId="49" xfId="0" applyNumberFormat="1" applyFont="1" applyFill="1" applyBorder="1"/>
    <xf numFmtId="3" fontId="8" fillId="0" borderId="0" xfId="0" applyNumberFormat="1" applyFont="1" applyFill="1"/>
    <xf numFmtId="3" fontId="14" fillId="0" borderId="0" xfId="0" applyNumberFormat="1" applyFont="1" applyFill="1"/>
    <xf numFmtId="166" fontId="14" fillId="0" borderId="0" xfId="3" applyNumberFormat="1" applyFont="1" applyFill="1" applyBorder="1" applyAlignment="1">
      <alignment horizontal="center"/>
    </xf>
    <xf numFmtId="0" fontId="185" fillId="0" borderId="0" xfId="0" applyFont="1" applyAlignment="1">
      <alignment horizontal="center"/>
    </xf>
    <xf numFmtId="3" fontId="186" fillId="0" borderId="0" xfId="0" applyNumberFormat="1" applyFont="1" applyAlignment="1">
      <alignment horizontal="center"/>
    </xf>
    <xf numFmtId="4" fontId="187" fillId="0" borderId="0" xfId="0" applyNumberFormat="1" applyFont="1"/>
    <xf numFmtId="4" fontId="186" fillId="0" borderId="0" xfId="0" applyNumberFormat="1" applyFont="1" applyAlignment="1">
      <alignment horizontal="center"/>
    </xf>
    <xf numFmtId="3" fontId="187" fillId="0" borderId="0" xfId="0" applyNumberFormat="1" applyFont="1"/>
    <xf numFmtId="0" fontId="187" fillId="0" borderId="0" xfId="0" applyFont="1"/>
    <xf numFmtId="0" fontId="188" fillId="0" borderId="0" xfId="0" applyFont="1" applyAlignment="1">
      <alignment horizontal="centerContinuous"/>
    </xf>
    <xf numFmtId="0" fontId="185" fillId="0" borderId="2" xfId="0" applyFont="1" applyBorder="1" applyAlignment="1">
      <alignment horizontal="center"/>
    </xf>
    <xf numFmtId="0" fontId="186" fillId="0" borderId="0" xfId="0" applyFont="1" applyAlignment="1">
      <alignment horizontal="center"/>
    </xf>
    <xf numFmtId="0" fontId="187" fillId="6" borderId="0" xfId="0" applyFont="1" applyFill="1" applyAlignment="1">
      <alignment horizontal="center"/>
    </xf>
    <xf numFmtId="166" fontId="186" fillId="0" borderId="3" xfId="3" applyNumberFormat="1" applyFont="1" applyBorder="1" applyAlignment="1">
      <alignment horizontal="center"/>
    </xf>
    <xf numFmtId="166" fontId="187" fillId="0" borderId="4" xfId="3" applyNumberFormat="1" applyFont="1" applyBorder="1" applyAlignment="1">
      <alignment horizontal="center"/>
    </xf>
    <xf numFmtId="166" fontId="187" fillId="0" borderId="6" xfId="3" applyNumberFormat="1" applyFont="1" applyBorder="1" applyAlignment="1">
      <alignment horizontal="center"/>
    </xf>
    <xf numFmtId="166" fontId="187" fillId="0" borderId="0" xfId="3" quotePrefix="1" applyNumberFormat="1" applyFont="1" applyAlignment="1">
      <alignment horizontal="center"/>
    </xf>
    <xf numFmtId="166" fontId="186" fillId="0" borderId="3" xfId="3" quotePrefix="1" applyNumberFormat="1" applyFont="1" applyBorder="1" applyAlignment="1">
      <alignment horizontal="center"/>
    </xf>
    <xf numFmtId="166" fontId="186" fillId="5" borderId="7" xfId="3" applyNumberFormat="1" applyFont="1" applyFill="1" applyBorder="1" applyAlignment="1">
      <alignment horizontal="center"/>
    </xf>
    <xf numFmtId="166" fontId="187" fillId="0" borderId="4" xfId="3" quotePrefix="1" applyNumberFormat="1" applyFont="1" applyBorder="1" applyAlignment="1">
      <alignment horizontal="center"/>
    </xf>
    <xf numFmtId="166" fontId="187" fillId="0" borderId="5" xfId="3" quotePrefix="1" applyNumberFormat="1" applyFont="1" applyBorder="1" applyAlignment="1">
      <alignment horizontal="center"/>
    </xf>
    <xf numFmtId="166" fontId="187" fillId="2" borderId="6" xfId="3" quotePrefix="1" applyNumberFormat="1" applyFont="1" applyFill="1" applyBorder="1" applyAlignment="1">
      <alignment horizontal="center"/>
    </xf>
    <xf numFmtId="166" fontId="187" fillId="0" borderId="0" xfId="3" applyNumberFormat="1" applyFont="1" applyAlignment="1">
      <alignment horizontal="center"/>
    </xf>
    <xf numFmtId="10" fontId="187" fillId="0" borderId="0" xfId="4" applyNumberFormat="1" applyFont="1" applyAlignment="1">
      <alignment horizontal="center"/>
    </xf>
    <xf numFmtId="2" fontId="187" fillId="0" borderId="0" xfId="0" applyNumberFormat="1" applyFont="1" applyAlignment="1">
      <alignment horizontal="center"/>
    </xf>
    <xf numFmtId="168" fontId="187" fillId="0" borderId="0" xfId="4" applyNumberFormat="1" applyFont="1" applyAlignment="1">
      <alignment horizontal="center"/>
    </xf>
    <xf numFmtId="166" fontId="187" fillId="0" borderId="0" xfId="0" applyNumberFormat="1" applyFont="1" applyAlignment="1">
      <alignment horizontal="center"/>
    </xf>
    <xf numFmtId="166" fontId="186" fillId="5" borderId="7" xfId="0" applyNumberFormat="1" applyFont="1" applyFill="1" applyBorder="1" applyAlignment="1">
      <alignment horizontal="center"/>
    </xf>
    <xf numFmtId="166" fontId="187" fillId="0" borderId="4" xfId="0" quotePrefix="1" applyNumberFormat="1" applyFont="1" applyBorder="1" applyAlignment="1">
      <alignment horizontal="center"/>
    </xf>
    <xf numFmtId="166" fontId="187" fillId="0" borderId="6" xfId="0" applyNumberFormat="1" applyFont="1" applyBorder="1" applyAlignment="1">
      <alignment horizontal="center"/>
    </xf>
    <xf numFmtId="166" fontId="187" fillId="7" borderId="0" xfId="0" quotePrefix="1" applyNumberFormat="1" applyFont="1" applyFill="1"/>
    <xf numFmtId="166" fontId="187" fillId="0" borderId="6" xfId="0" quotePrefix="1" applyNumberFormat="1" applyFont="1" applyBorder="1" applyAlignment="1">
      <alignment horizontal="center"/>
    </xf>
    <xf numFmtId="169" fontId="187" fillId="0" borderId="4" xfId="3" applyNumberFormat="1" applyFont="1" applyBorder="1" applyAlignment="1">
      <alignment horizontal="center"/>
    </xf>
    <xf numFmtId="166" fontId="186" fillId="5" borderId="8" xfId="0" applyNumberFormat="1" applyFont="1" applyFill="1" applyBorder="1" applyAlignment="1">
      <alignment horizontal="center"/>
    </xf>
    <xf numFmtId="2" fontId="187" fillId="0" borderId="0" xfId="0" applyNumberFormat="1" applyFont="1"/>
    <xf numFmtId="43" fontId="187" fillId="0" borderId="4" xfId="3" applyNumberFormat="1" applyFont="1" applyBorder="1" applyAlignment="1">
      <alignment horizontal="center"/>
    </xf>
    <xf numFmtId="166" fontId="186" fillId="0" borderId="7" xfId="0" applyNumberFormat="1" applyFont="1" applyBorder="1" applyAlignment="1">
      <alignment horizontal="center"/>
    </xf>
    <xf numFmtId="166" fontId="186" fillId="0" borderId="0" xfId="0" applyNumberFormat="1" applyFont="1" applyAlignment="1">
      <alignment horizontal="center"/>
    </xf>
    <xf numFmtId="43" fontId="187" fillId="0" borderId="0" xfId="0" applyNumberFormat="1" applyFont="1" applyAlignment="1">
      <alignment horizontal="center"/>
    </xf>
    <xf numFmtId="166" fontId="187" fillId="0" borderId="0" xfId="0" applyNumberFormat="1" applyFont="1"/>
    <xf numFmtId="43" fontId="187" fillId="0" borderId="0" xfId="0" applyNumberFormat="1" applyFont="1"/>
    <xf numFmtId="4" fontId="189" fillId="0" borderId="0" xfId="1" applyNumberFormat="1" applyFont="1" applyBorder="1"/>
    <xf numFmtId="0" fontId="23" fillId="0" borderId="0" xfId="0" applyFont="1" applyAlignment="1"/>
    <xf numFmtId="43" fontId="11" fillId="2" borderId="4" xfId="3" quotePrefix="1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9" fontId="0" fillId="0" borderId="0" xfId="2" applyFont="1"/>
    <xf numFmtId="0" fontId="188" fillId="0" borderId="0" xfId="0" applyFont="1" applyAlignment="1">
      <alignment horizontal="center"/>
    </xf>
    <xf numFmtId="0" fontId="185" fillId="0" borderId="50" xfId="0" applyFont="1" applyBorder="1" applyAlignment="1">
      <alignment horizontal="center"/>
    </xf>
    <xf numFmtId="3" fontId="186" fillId="0" borderId="50" xfId="0" applyNumberFormat="1" applyFont="1" applyBorder="1" applyAlignment="1">
      <alignment horizontal="center"/>
    </xf>
    <xf numFmtId="4" fontId="187" fillId="0" borderId="50" xfId="0" applyNumberFormat="1" applyFont="1" applyBorder="1"/>
    <xf numFmtId="4" fontId="186" fillId="0" borderId="50" xfId="0" applyNumberFormat="1" applyFont="1" applyBorder="1" applyAlignment="1">
      <alignment horizontal="center"/>
    </xf>
    <xf numFmtId="3" fontId="187" fillId="0" borderId="50" xfId="0" applyNumberFormat="1" applyFont="1" applyBorder="1"/>
    <xf numFmtId="3" fontId="187" fillId="0" borderId="51" xfId="0" applyNumberFormat="1" applyFont="1" applyBorder="1"/>
    <xf numFmtId="3" fontId="186" fillId="0" borderId="52" xfId="0" applyNumberFormat="1" applyFont="1" applyBorder="1"/>
    <xf numFmtId="0" fontId="187" fillId="0" borderId="50" xfId="0" applyFont="1" applyBorder="1"/>
    <xf numFmtId="3" fontId="187" fillId="0" borderId="0" xfId="0" applyNumberFormat="1" applyFont="1" applyBorder="1"/>
    <xf numFmtId="3" fontId="187" fillId="0" borderId="7" xfId="0" applyNumberFormat="1" applyFont="1" applyBorder="1"/>
    <xf numFmtId="4" fontId="187" fillId="0" borderId="0" xfId="0" applyNumberFormat="1" applyFont="1" applyBorder="1"/>
    <xf numFmtId="3" fontId="186" fillId="0" borderId="49" xfId="0" applyNumberFormat="1" applyFont="1" applyBorder="1"/>
    <xf numFmtId="4" fontId="186" fillId="0" borderId="0" xfId="0" applyNumberFormat="1" applyFont="1" applyBorder="1" applyAlignment="1">
      <alignment horizontal="center"/>
    </xf>
    <xf numFmtId="0" fontId="187" fillId="0" borderId="0" xfId="0" applyFont="1" applyBorder="1"/>
    <xf numFmtId="0" fontId="190" fillId="0" borderId="0" xfId="0" applyFont="1" applyAlignment="1">
      <alignment horizontal="centerContinuous"/>
    </xf>
    <xf numFmtId="0" fontId="191" fillId="0" borderId="0" xfId="0" applyFont="1"/>
    <xf numFmtId="0" fontId="192" fillId="0" borderId="2" xfId="0" applyFont="1" applyBorder="1" applyAlignment="1">
      <alignment horizontal="center"/>
    </xf>
    <xf numFmtId="0" fontId="192" fillId="0" borderId="0" xfId="0" applyFont="1" applyBorder="1" applyAlignment="1">
      <alignment horizontal="center"/>
    </xf>
    <xf numFmtId="3" fontId="191" fillId="0" borderId="0" xfId="0" applyNumberFormat="1" applyFont="1"/>
    <xf numFmtId="4" fontId="191" fillId="0" borderId="0" xfId="0" applyNumberFormat="1" applyFont="1"/>
    <xf numFmtId="9" fontId="191" fillId="0" borderId="0" xfId="2" applyFont="1"/>
    <xf numFmtId="10" fontId="191" fillId="0" borderId="0" xfId="2" applyNumberFormat="1" applyFont="1"/>
    <xf numFmtId="0" fontId="192" fillId="0" borderId="53" xfId="0" applyFont="1" applyBorder="1" applyAlignment="1">
      <alignment horizontal="center"/>
    </xf>
    <xf numFmtId="0" fontId="192" fillId="0" borderId="50" xfId="0" applyFont="1" applyBorder="1" applyAlignment="1">
      <alignment horizontal="center"/>
    </xf>
    <xf numFmtId="3" fontId="191" fillId="0" borderId="50" xfId="0" applyNumberFormat="1" applyFont="1" applyBorder="1"/>
    <xf numFmtId="4" fontId="191" fillId="0" borderId="50" xfId="0" applyNumberFormat="1" applyFont="1" applyBorder="1"/>
    <xf numFmtId="0" fontId="191" fillId="0" borderId="50" xfId="0" applyFont="1" applyBorder="1"/>
    <xf numFmtId="9" fontId="191" fillId="0" borderId="50" xfId="2" applyFont="1" applyBorder="1"/>
    <xf numFmtId="10" fontId="191" fillId="0" borderId="50" xfId="2" applyNumberFormat="1" applyFont="1" applyBorder="1"/>
    <xf numFmtId="0" fontId="0" fillId="2" borderId="0" xfId="0" applyFill="1"/>
    <xf numFmtId="0" fontId="8" fillId="2" borderId="0" xfId="0" applyFont="1" applyFill="1"/>
    <xf numFmtId="10" fontId="191" fillId="0" borderId="0" xfId="2" applyNumberFormat="1" applyFont="1" applyBorder="1"/>
  </cellXfs>
  <cellStyles count="1414">
    <cellStyle name="&quot;X&quot; MEN" xfId="10" xr:uid="{2666440C-6EEC-4C01-9FB5-572CB2E8337E}"/>
    <cellStyle name="%" xfId="11" xr:uid="{B2573816-C767-44BA-8AD0-ED8322C958D1}"/>
    <cellStyle name="% Presentation" xfId="12" xr:uid="{90F7C810-66AC-4044-9F52-2F5BB7497AC7}"/>
    <cellStyle name=";;;" xfId="13" xr:uid="{9093267A-E4CA-40D8-9870-6B1C66AA2893}"/>
    <cellStyle name="_Acquisti cisco giugno-settembre totale ver 06-11" xfId="14" xr:uid="{739B9498-770F-4D4D-88AD-CED462B50A70}"/>
    <cellStyle name="_Acquisti cisco giugno-settembre totale ver 06-12" xfId="15" xr:uid="{427C5789-A7C9-4843-9693-346D175E1BF1}"/>
    <cellStyle name="_Analisi mercati _ Italtel_V.1" xfId="16" xr:uid="{8512D3B3-7901-4DAC-AA53-2D80DB82438D}"/>
    <cellStyle name="_Attachment A B C ver 02-10" xfId="17" xr:uid="{F632D4AF-D3BE-4F8B-98ED-9010761C5A1C}"/>
    <cellStyle name="_Attachment D ver 02-11" xfId="18" xr:uid="{1395990C-0ADB-410B-97A9-65B742BF4675}"/>
    <cellStyle name="_Attachment D ver 02-11 new" xfId="19" xr:uid="{E7EED636-5A40-4CC3-BCF5-990CBFF56D72}"/>
    <cellStyle name="_bridge backlog FINAL" xfId="20" xr:uid="{F3F57C2F-832D-4B51-893B-5E92E2FFAD37}"/>
    <cellStyle name="_Cartel1 (2)" xfId="21" xr:uid="{A727591F-A26F-417F-87D1-CE3DDDC5D0FB}"/>
    <cellStyle name="_Cartel4" xfId="22" xr:uid="{0C41A4C4-4303-4A8A-8CC2-50F6F43216A7}"/>
    <cellStyle name="_Column1" xfId="23" xr:uid="{D00A2867-A19C-4795-9901-4AE10E83BB76}"/>
    <cellStyle name="_Column1_Comparables 6Dec02" xfId="24" xr:uid="{C681C14F-E629-4E92-B88D-7084845E35D2}"/>
    <cellStyle name="_Column1_Consensus 6Dec02" xfId="25" xr:uid="{1AEA8133-77BD-4402-BFA3-B3C0B9D54060}"/>
    <cellStyle name="_Column1_Falcon Valuation 03dic02 PWT" xfId="26" xr:uid="{389AC6A2-8F48-41EE-9D50-8CA86670BE62}"/>
    <cellStyle name="_Column1_Fiat Avio hp Blackstone2updated" xfId="27" xr:uid="{1847E893-3480-46B7-8689-86606183D06D}"/>
    <cellStyle name="_Column1_Marelli PFN" xfId="28" xr:uid="{4A2BE16B-43E1-48EC-BE1B-39FF77613B7D}"/>
    <cellStyle name="_Column1_MM New Business Plan 10-25-02 final" xfId="29" xr:uid="{FC92C6E1-A9F4-4D44-90BF-00D94E2CCD5F}"/>
    <cellStyle name="_Column1_MM New Business Plan 12-17-02 final" xfId="30" xr:uid="{EC3EE9C9-DDEC-4267-9980-2BE973FE7FEE}"/>
    <cellStyle name="_Column1_Saeco Valuation 12Nov2003" xfId="31" xr:uid="{5E0199FC-F6D1-4002-AE77-BA2FF5EFE651}"/>
    <cellStyle name="_Column1_Teksid Business Plan 2002 15Jan2003bis" xfId="32" xr:uid="{62ADF940-3E48-42C0-A601-7D98D2E4343E}"/>
    <cellStyle name="_Column1_WACC Enrica" xfId="33" xr:uid="{1ACBA914-DCE3-4FF4-9395-DB007F32E292}"/>
    <cellStyle name="_Column2" xfId="34" xr:uid="{C0E76A81-B65D-4D09-BA91-BE9CFAD78905}"/>
    <cellStyle name="_Column2_Comparables 6Dec02" xfId="35" xr:uid="{EEA2BD7B-3494-40F5-A6FE-3666306E050D}"/>
    <cellStyle name="_Column2_Consensus 6Dec02" xfId="36" xr:uid="{966D6E52-6B6A-4B17-B3A7-ED5152BE7480}"/>
    <cellStyle name="_Column2_Falcon Valuation 03dic02 PWT" xfId="37" xr:uid="{E6135474-AEF3-465C-9470-AB769F9C6083}"/>
    <cellStyle name="_Column2_Fiat Avio hp Blackstone2updated" xfId="38" xr:uid="{3E0B1484-B39B-445F-8DF2-B716205256EC}"/>
    <cellStyle name="_Column2_Marelli PFN" xfId="39" xr:uid="{1C852692-1699-471D-904E-B3C02FF71A19}"/>
    <cellStyle name="_Column2_MM New Business Plan 10-25-02 final" xfId="40" xr:uid="{6E3837F6-1DAB-4BEE-A5AA-7A57D817C369}"/>
    <cellStyle name="_Column2_MM New Business Plan 12-17-02 final" xfId="41" xr:uid="{4100456F-E8C0-43FF-AA1E-E2166970340D}"/>
    <cellStyle name="_Column2_Saeco Valuation 12Nov2003" xfId="42" xr:uid="{263CBFA7-4857-49B3-9D4B-4712AA19A725}"/>
    <cellStyle name="_Column2_Teksid Business Plan 2002 15Jan2003bis" xfId="43" xr:uid="{EB7C0886-5EC9-4B5A-8609-3B133840983A}"/>
    <cellStyle name="_Column2_WACC Enrica" xfId="44" xr:uid="{1F8CAEC6-C1F6-474B-9F01-79635FBCC536}"/>
    <cellStyle name="_Column3" xfId="45" xr:uid="{60783EE7-D2B5-4123-A91E-281A036057E3}"/>
    <cellStyle name="_Column3_Falcon Valuation 03dic02 PWT" xfId="46" xr:uid="{E2CD9E5F-53A8-416C-AD17-71F5683B403E}"/>
    <cellStyle name="_Column3_MM New Business Plan 12-17-02 final" xfId="47" xr:uid="{4D5BEC58-64A9-495A-99BE-E9A20E7705AF}"/>
    <cellStyle name="_Column3_Teksid Business Plan 2002 15Jan2003bis" xfId="48" xr:uid="{9C30575B-F829-4D10-A20F-B291EB880B56}"/>
    <cellStyle name="_Column3_Teksid Business Plan 2002 27Jan2003" xfId="49" xr:uid="{8AEDFE3F-5CBA-4897-9395-8CD688B60136}"/>
    <cellStyle name="_Column4" xfId="50" xr:uid="{5A0A717F-110D-4488-AF37-F3FEDCC4780D}"/>
    <cellStyle name="_Column5" xfId="51" xr:uid="{0ECDD0AC-9E05-47C9-B113-434875835DFE}"/>
    <cellStyle name="_Column6" xfId="52" xr:uid="{6AAABB53-1BFB-44C6-8483-CE834999D865}"/>
    <cellStyle name="_Column7" xfId="53" xr:uid="{56C07607-C2C9-437E-A0F0-5D64CF0B1C2F}"/>
    <cellStyle name="_Comma" xfId="54" xr:uid="{7F83E1CE-1031-4C40-B5AA-0DF3C144858C}"/>
    <cellStyle name="_Comma_Comps TMT 30_08_2005" xfId="55" xr:uid="{FE278ABF-5319-4B57-80FE-64734EC644F0}"/>
    <cellStyle name="_Comma_Multipli_Italtel_v6_27Jan" xfId="56" xr:uid="{EB923CBD-112A-4925-AD90-DD4C26AD16F1}"/>
    <cellStyle name="_Comma_Multipli_IT-Equipment_Dic05_v1" xfId="57" xr:uid="{C4CDCC3B-5780-4878-B3DB-02B759DD0DED}"/>
    <cellStyle name="_Comma_Wind Valuation Overview 11_11_2005 v.2" xfId="58" xr:uid="{37053E5C-98E1-4D8E-BB12-DE2D8BC20F63}"/>
    <cellStyle name="_Conto economico UniRC Progetto Rebus Ed 03 FINALE" xfId="59" xr:uid="{5D31D84B-7773-4F91-AF73-B362B955922C}"/>
    <cellStyle name="_Currency" xfId="60" xr:uid="{B369D7B4-D3BF-4919-A4BB-5F5D32231330}"/>
    <cellStyle name="_Currency_~0061532" xfId="61" xr:uid="{C85354A3-6CDC-45E6-BC2A-6DE693DA916B}"/>
    <cellStyle name="_Currency_~0061532_AVP and Comps" xfId="62" xr:uid="{214AE42F-189A-4E34-B27A-7AEA9713FE74}"/>
    <cellStyle name="_Currency_~0061532_AVP and Comps_Multipli Packaging_Ott 04" xfId="63" xr:uid="{15A32AB1-9FDE-4F9A-B489-EEB4005195DF}"/>
    <cellStyle name="_Currency_~0061532_AVP and Comps_WACC_oil" xfId="64" xr:uid="{7DD68EDB-1571-4C8F-A7AB-B4035854CE8C}"/>
    <cellStyle name="_Currency_~0061532_Book1" xfId="65" xr:uid="{BF2C4BCA-FD39-4E5E-8991-0CDFDAF13AB8}"/>
    <cellStyle name="_Currency_~0061532_BP WindViv1" xfId="66" xr:uid="{64E59E46-7F25-429E-8DCC-2073F468C305}"/>
    <cellStyle name="_Currency_~0061532_Comps TMT 30_08_2005 v3" xfId="67" xr:uid="{66F1E306-18E8-462C-8D9A-0A6198854A7F}"/>
    <cellStyle name="_Currency_~0061532_DCF Samba 10-05-03 V3" xfId="68" xr:uid="{C82497C0-5863-4162-9B41-E1586666F1E9}"/>
    <cellStyle name="_Currency_~0061532_DCF Samba 10-05-03 V3_BP WindViv1" xfId="69" xr:uid="{268B5852-FBB5-46F2-8F8C-2F0E88E0E9E3}"/>
    <cellStyle name="_Currency_~0061532_DCF Samba 10-05-03 V3_GraficiTele-Tiscali" xfId="70" xr:uid="{2A460285-2EDE-4810-88C5-60FBE569A3A5}"/>
    <cellStyle name="_Currency_~0061532_DCF Samba 10-05-03 V3_GraficiTele-Tiscali_Merlon Company" xfId="71" xr:uid="{00A2DF06-886E-482E-9284-2A52B09F54C1}"/>
    <cellStyle name="_Currency_~0061532_DCF Samba 10-05-03 V3_Tabella Acotel1" xfId="72" xr:uid="{00869BE8-930F-4505-A125-8F31CEE67E22}"/>
    <cellStyle name="_Currency_~0061532_DCF Samba 10-05-03 V3_TabelleDada" xfId="73" xr:uid="{9D5B85D6-5B90-421E-914A-F1CA36E6CBAE}"/>
    <cellStyle name="_Currency_~0061532_DCF Samba 10-05-03 V3_Tiscali Tele 2" xfId="74" xr:uid="{A7D27A8F-ED5C-481D-B5A3-0AED8226DBFC}"/>
    <cellStyle name="_Currency_~0061532_FASTWEB ALBACOM" xfId="75" xr:uid="{E0B48C7E-E398-4143-AE43-5761AD754A43}"/>
    <cellStyle name="_Currency_~0061532_GraficiTele-Tiscali" xfId="76" xr:uid="{879EF213-21E6-454E-B873-25CA60F67E79}"/>
    <cellStyle name="_Currency_~0061532_GraficiTele-Tiscali_Merlon Company" xfId="77" xr:uid="{FAE47F94-7750-4829-AEAE-58867F9A748B}"/>
    <cellStyle name="_Currency_~0061532_Model Lilly new 13-06-02" xfId="78" xr:uid="{3A034A51-69DC-48F1-9703-49F73FB1580A}"/>
    <cellStyle name="_Currency_~0061532_Model Lilly new 13-06-02_Multipli Packaging_Ott 04" xfId="79" xr:uid="{4800F4B3-2FFB-4F2E-B8DD-902BA9CB98C2}"/>
    <cellStyle name="_Currency_~0061532_Model Lilly new 13-06-02_WACC_oil" xfId="80" xr:uid="{A170C084-B059-4F83-91AC-3C48B2A5C91E}"/>
    <cellStyle name="_Currency_~0061532_Model Lilly new 24-06-02" xfId="81" xr:uid="{ABD2A1C0-14DE-4CEA-A593-7025AC173EAA}"/>
    <cellStyle name="_Currency_~0061532_Model Lilly new 24-06-02_Multipli Packaging_Ott 04" xfId="82" xr:uid="{3DF0FE17-0201-4B4A-9955-E5477CEE4DF2}"/>
    <cellStyle name="_Currency_~0061532_Model Lilly new 24-06-02_WACC_oil" xfId="83" xr:uid="{B34DE05E-5989-4D1D-B7CC-C7710BB896FE}"/>
    <cellStyle name="_Currency_~0061532_Multipli_Italtel_v6_27Jan" xfId="84" xr:uid="{F1F44E75-061C-4E01-A686-C89CC241BA3E}"/>
    <cellStyle name="_Currency_~0061532_Nickel" xfId="85" xr:uid="{D14E1DF6-AD52-471B-926A-80D778CD1BE3}"/>
    <cellStyle name="_Currency_~0061532_Nickel_1" xfId="86" xr:uid="{2243DACE-F644-4076-B4FC-EDF2593B9010}"/>
    <cellStyle name="_Currency_~0061532_Nickel_1_AVP and Comps" xfId="87" xr:uid="{340C3004-E90A-46C8-9D7A-F5CEDF2A2FB8}"/>
    <cellStyle name="_Currency_~0061532_Nickel_1_Book1" xfId="88" xr:uid="{B4F9FCE7-4452-4BD0-8BD7-F0D7DF5A3C7B}"/>
    <cellStyle name="_Currency_~0061532_Nickel_1_Comps TMT 30_08_2005 v3" xfId="89" xr:uid="{DF1B8DDD-8895-4338-B3AE-452B9BEB59D0}"/>
    <cellStyle name="_Currency_~0061532_Nickel_1_Comps TMT 30_08_2005 v3_Alimentazione BoD 10-21 september_fatturati OK" xfId="90" xr:uid="{E0CDC9FD-8FDF-47C8-B2B2-8AC5904EE19B}"/>
    <cellStyle name="_Currency_~0061532_Nickel_1_FASTWEB ALBACOM" xfId="91" xr:uid="{C5D8DA9D-10D4-48CF-82C5-DF63C704F6D9}"/>
    <cellStyle name="_Currency_~0061532_Nickel_1_'lbo" xfId="92" xr:uid="{0DBEAAAC-A223-42D1-8A4B-19732459610E}"/>
    <cellStyle name="_Currency_~0061532_Nickel_1_'lbo_Comps RQ-vHTIL" xfId="93" xr:uid="{656584E0-436E-4989-BB3A-9A9E79181ECD}"/>
    <cellStyle name="_Currency_~0061532_Nickel_1_'lbo_Comps RQ-vHTIL_Alimentazione BoD 10-21 september_fatturati OK" xfId="94" xr:uid="{50C43147-D565-4DC3-8CDF-D0D47575A4C1}"/>
    <cellStyle name="_Currency_~0061532_Nickel_1_'lbo_Comps RQ-vHTIL_WACC Analysis" xfId="95" xr:uid="{1A65DD95-2974-4E89-A42A-254ED8A02E3B}"/>
    <cellStyle name="_Currency_~0061532_Nickel_1_'lbo_Comps RQ-vTM" xfId="96" xr:uid="{2B588478-79BE-44F6-B4E2-203837C3ABA6}"/>
    <cellStyle name="_Currency_~0061532_Nickel_1_'lbo_Comps RQ-vTM_Alimentazione BoD 10-21 september_fatturati OK" xfId="97" xr:uid="{DCD276C4-1B1C-42E0-9E2F-53991BD622E4}"/>
    <cellStyle name="_Currency_~0061532_Nickel_1_'lbo_Comps RQ-vTM_v1" xfId="98" xr:uid="{C37B5066-E0D6-4B49-8489-0A61859C685E}"/>
    <cellStyle name="_Currency_~0061532_Nickel_1_'lbo_Comps RQ-vTM_v1_Alimentazione BoD 10-21 september_fatturati OK" xfId="99" xr:uid="{4426487E-CB49-4F8A-B8F4-98789FC51440}"/>
    <cellStyle name="_Currency_~0061532_Nickel_1_'lbo_Comps RQ-vTM_v1_WACC Analysis" xfId="100" xr:uid="{DEBDCE99-F91A-482B-B504-FE864B290078}"/>
    <cellStyle name="_Currency_~0061532_Nickel_1_'lbo_Comps RQ-vTM_WACC Analysis" xfId="101" xr:uid="{0B6F75E7-54CD-4DFC-B6CA-FB65E6C36833}"/>
    <cellStyle name="_Currency_~0061532_Nickel_1_'lbo_Comps TMT 30_08_2005" xfId="102" xr:uid="{77E2860D-0DC5-4B9B-8884-E7EB442090E1}"/>
    <cellStyle name="_Currency_~0061532_Nickel_1_'lbo_Multipli_IT-Equipment_Dic05_v1" xfId="103" xr:uid="{30FB7D0B-E46F-48ED-A803-CD0A987DCF15}"/>
    <cellStyle name="_Currency_~0061532_Nickel_1_'lbo_WACC Analysis" xfId="104" xr:uid="{C339E31D-4C86-4C22-A2CA-F4A0815A97C1}"/>
    <cellStyle name="_Currency_~0061532_Nickel_1_Model Lilly new 13-06-02" xfId="105" xr:uid="{0EF79D48-9892-4AAC-BAEE-7A0533D8F5E1}"/>
    <cellStyle name="_Currency_~0061532_Nickel_1_Model Lilly new 24-06-02" xfId="106" xr:uid="{99442C08-A442-491F-B915-BCD723FDF446}"/>
    <cellStyle name="_Currency_~0061532_Nickel_1_Multipli_Italtel_v6_27Jan" xfId="107" xr:uid="{B8ED1FCC-5D91-4500-8106-B3333A5CC46F}"/>
    <cellStyle name="_Currency_~0061532_Nickel_1_Multipli_Italtel_v6_27Jan_Alimentazione BoD 10-21 september_fatturati OK" xfId="108" xr:uid="{EBCFFDB9-67E4-4D3B-88A4-A74E7E53B143}"/>
    <cellStyle name="_Currency_~0061532_Nickel_1_WACC" xfId="109" xr:uid="{7C5B08C8-51CE-4D1C-A71A-2F6286BFCB1C}"/>
    <cellStyle name="_Currency_~0061532_Nickel_1_WACC Analysis" xfId="110" xr:uid="{EB7C0BA8-CCDB-4A53-81DF-7527706EB303}"/>
    <cellStyle name="_Currency_~0061532_Nickel_AVP and Comps" xfId="111" xr:uid="{97DC2CC4-2836-4543-9522-8778117E2B0F}"/>
    <cellStyle name="_Currency_~0061532_Nickel_Model Lilly new 13-06-02" xfId="112" xr:uid="{E67EC8E6-74D6-41BF-99EC-B5950662EEDC}"/>
    <cellStyle name="_Currency_~0061532_Nickel_Model Lilly new 24-06-02" xfId="113" xr:uid="{E0FDAEBE-441C-48FC-9EE7-8E322D045310}"/>
    <cellStyle name="_Currency_~0061532_Nickel_WACC" xfId="114" xr:uid="{CA849F99-CF61-4DEA-9300-AE14424B0A39}"/>
    <cellStyle name="_Currency_~0061532_PL4 uk" xfId="115" xr:uid="{B8E2B71E-9561-4A65-9801-675B2AB978AA}"/>
    <cellStyle name="_Currency_~0061532_PL4 uk_1" xfId="116" xr:uid="{61887D59-4CAE-4D3A-86EF-97DD29AB93A5}"/>
    <cellStyle name="_Currency_~0061532_PL4 uk_1_AVP and Comps" xfId="117" xr:uid="{04392FED-8119-4117-94FB-B8394C8E182D}"/>
    <cellStyle name="_Currency_~0061532_PL4 uk_1_AVP and Comps_Multipli Packaging_Ott 04" xfId="118" xr:uid="{F4561771-E874-4241-90BA-F817546DA405}"/>
    <cellStyle name="_Currency_~0061532_PL4 uk_1_AVP and Comps_WACC_oil" xfId="119" xr:uid="{A827675F-198F-4151-8E23-61D8400300F0}"/>
    <cellStyle name="_Currency_~0061532_PL4 uk_1_Book1" xfId="120" xr:uid="{3C1D9A68-45FB-4C12-BBAE-BB113D5A360F}"/>
    <cellStyle name="_Currency_~0061532_PL4 uk_1_BP WindViv1" xfId="121" xr:uid="{14B918D3-A1BF-4C42-9E5E-3181ECA9E575}"/>
    <cellStyle name="_Currency_~0061532_PL4 uk_1_Comps TMT 30_08_2005 v3" xfId="122" xr:uid="{341ED1EC-5670-406A-A7F9-9D96A40FB2DF}"/>
    <cellStyle name="_Currency_~0061532_PL4 uk_1_DCF Samba 10-05-03 V3" xfId="123" xr:uid="{4DD536DB-7003-46A0-802C-03499BACC445}"/>
    <cellStyle name="_Currency_~0061532_PL4 uk_1_DCF Samba 10-05-03 V3_BP WindViv1" xfId="124" xr:uid="{EAFE96A5-B574-4DFD-A427-20AEB5E11F4F}"/>
    <cellStyle name="_Currency_~0061532_PL4 uk_1_DCF Samba 10-05-03 V3_GraficiTele-Tiscali" xfId="125" xr:uid="{3CD7F19E-C831-4C1F-A435-84AE29E2DFDD}"/>
    <cellStyle name="_Currency_~0061532_PL4 uk_1_DCF Samba 10-05-03 V3_Tabella Acotel1" xfId="126" xr:uid="{FCBC4151-42C1-4AF5-9224-9B3B5A2791EC}"/>
    <cellStyle name="_Currency_~0061532_PL4 uk_1_DCF Samba 10-05-03 V3_TabelleDada" xfId="127" xr:uid="{D531A393-D693-4666-B641-A69D6D33DA31}"/>
    <cellStyle name="_Currency_~0061532_PL4 uk_1_DCF Samba 10-05-03 V3_Tiscali Tele 2" xfId="128" xr:uid="{FA07C153-A5A6-4F1C-BF63-AA74D2E578A4}"/>
    <cellStyle name="_Currency_~0061532_PL4 uk_1_FASTWEB ALBACOM" xfId="129" xr:uid="{69995E4C-0D69-4CEF-A78C-1BAF1D9C902E}"/>
    <cellStyle name="_Currency_~0061532_PL4 uk_1_Financials 4" xfId="130" xr:uid="{AF8C31E7-DD8E-42D0-9DEE-22724D5628AF}"/>
    <cellStyle name="_Currency_~0061532_PL4 uk_1_GraficiTele-Tiscali" xfId="131" xr:uid="{2EE9E224-F95D-4FDE-8309-137AE6AA9BBD}"/>
    <cellStyle name="_Currency_~0061532_PL4 uk_1_'lbo" xfId="132" xr:uid="{6BA699B9-8640-4498-A5D2-B73303329BF9}"/>
    <cellStyle name="_Currency_~0061532_PL4 uk_1_Model Lilly new 13-06-02" xfId="133" xr:uid="{C2D19ACA-F2C8-4AC2-ACBD-BBA637277C5F}"/>
    <cellStyle name="_Currency_~0061532_PL4 uk_1_Model Lilly new 13-06-02_Multipli Packaging_Ott 04" xfId="134" xr:uid="{104A15EE-2AD0-4C60-9409-884F22E7AB33}"/>
    <cellStyle name="_Currency_~0061532_PL4 uk_1_Model Lilly new 13-06-02_WACC_oil" xfId="135" xr:uid="{DBAA0D5D-21AA-4C05-881B-C9CF24350383}"/>
    <cellStyle name="_Currency_~0061532_PL4 uk_1_Model Lilly new 24-06-02" xfId="136" xr:uid="{397DD275-62BB-46B0-9CFE-13C05FFC01D4}"/>
    <cellStyle name="_Currency_~0061532_PL4 uk_1_Model Lilly new 24-06-02_Multipli Packaging_Ott 04" xfId="137" xr:uid="{8BF1AAD4-1518-4594-8F81-B746CB0DB525}"/>
    <cellStyle name="_Currency_~0061532_PL4 uk_1_Model Lilly new 24-06-02_WACC_oil" xfId="138" xr:uid="{E1474A6C-C5AC-4A10-B142-32F6DA1B1BC9}"/>
    <cellStyle name="_Currency_~0061532_PL4 uk_1_Model Lilly new 30-01-02" xfId="139" xr:uid="{8392A81D-1E1D-4F21-AC98-13A563E565D7}"/>
    <cellStyle name="_Currency_~0061532_PL4 uk_1_Model Lilly new 30-01-02_Comps RQ-vHTIL" xfId="140" xr:uid="{991501BE-5A49-4613-BA45-F8ED3B818866}"/>
    <cellStyle name="_Currency_~0061532_PL4 uk_1_Model Lilly new 30-01-02_Comps RQ-vTM" xfId="141" xr:uid="{443E344E-ADE9-4FE4-83D8-3DCE443D2011}"/>
    <cellStyle name="_Currency_~0061532_PL4 uk_1_Model Lilly new 30-01-02_Comps RQ-vTM_v1" xfId="142" xr:uid="{D337E6EB-6DA3-4C15-A7B1-BC4D8BC39C78}"/>
    <cellStyle name="_Currency_~0061532_PL4 uk_1_Model Lilly new 30-01-02_Comps TMT 30_08_2005" xfId="143" xr:uid="{F0487D54-646E-4077-9ADA-0ABD2E6F4AF9}"/>
    <cellStyle name="_Currency_~0061532_PL4 uk_1_Model Lilly new 30-01-02_Sintesi Comps" xfId="144" xr:uid="{20B7761D-6ADD-4A78-9C88-0BD2E2F7140C}"/>
    <cellStyle name="_Currency_~0061532_PL4 uk_1_Model Lilly new 30-01-02_WACC" xfId="145" xr:uid="{66486A82-E6E3-4B18-A02F-6C7C2F812135}"/>
    <cellStyle name="_Currency_~0061532_PL4 uk_1_Model Lilly new 30-01-02_WACC Analysis" xfId="146" xr:uid="{3EF76EAA-258A-40C5-9037-C5FA116B283C}"/>
    <cellStyle name="_Currency_~0061532_PL4 uk_1_Multipli_Italtel_v6_27Jan" xfId="147" xr:uid="{FCBFE122-0026-4334-9647-A685AD502302}"/>
    <cellStyle name="_Currency_~0061532_PL4 uk_1_Tabella Acotel1" xfId="148" xr:uid="{AE506192-0D26-430C-9843-6CDBECBD4632}"/>
    <cellStyle name="_Currency_~0061532_PL4 uk_1_TabelleDada" xfId="149" xr:uid="{6E4F9908-D2CE-4BFC-AFC5-CDA8090804D7}"/>
    <cellStyle name="_Currency_~0061532_PL4 uk_1_Tiscali" xfId="150" xr:uid="{26AEA61E-7DC8-496B-80AA-5A7F4EC8A602}"/>
    <cellStyle name="_Currency_~0061532_PL4 uk_1_Tiscali Tele 2" xfId="151" xr:uid="{5C7AEF5A-2AFE-4F67-824B-6D2B59C1B032}"/>
    <cellStyle name="_Currency_~0061532_PL4 uk_1_Tiscali_Multipli_IT-Equipment_Dic05_v1" xfId="152" xr:uid="{7A84FDFA-DF11-4960-B078-845C0633A712}"/>
    <cellStyle name="_Currency_~0061532_PL4 uk_1_Tiscali_Tabella Acotel1" xfId="153" xr:uid="{D3308BC9-6580-466B-9BD7-5B4FFA209DCC}"/>
    <cellStyle name="_Currency_~0061532_PL4 uk_1_Tiscali_TabelleDada" xfId="154" xr:uid="{64D43D3C-D749-420C-9A85-15418775F819}"/>
    <cellStyle name="_Currency_~0061532_PL4 uk_1_Tiscali_Tiscali Tele 2" xfId="155" xr:uid="{5DC0BF74-9F76-46C9-8061-4245CA58DAEB}"/>
    <cellStyle name="_Currency_~0061532_PL4 uk_1_Valuation Samba 09-05-03" xfId="156" xr:uid="{680B2A4E-0152-4384-B382-53C195FA8F2C}"/>
    <cellStyle name="_Currency_~0061532_PL4 uk_1_WACC" xfId="157" xr:uid="{750AA9B9-3127-4C2A-8B76-24397212D6C4}"/>
    <cellStyle name="_Currency_~0061532_PL4 uk_1_WACC Analysis" xfId="158" xr:uid="{9E49355C-6ECD-4980-BBD3-5F8C214C5E5E}"/>
    <cellStyle name="_Currency_~0061532_PL4 uk_AVP and Comps" xfId="159" xr:uid="{1B878D9D-8602-4DA3-8AF1-291C18800286}"/>
    <cellStyle name="_Currency_~0061532_PL4 uk_Model Lilly new 13-06-02" xfId="160" xr:uid="{8A2EE46B-D288-4B09-B61D-01915178BFA8}"/>
    <cellStyle name="_Currency_~0061532_PL4 uk_Model Lilly new 24-06-02" xfId="161" xr:uid="{32CF96C2-4D0D-4D61-9868-604F51086E79}"/>
    <cellStyle name="_Currency_~0061532_PL4 uk_WACC" xfId="162" xr:uid="{B0BCA1CA-931C-4CB8-A211-9F8048A6950C}"/>
    <cellStyle name="_Currency_~0061532_Tabella Acotel1" xfId="163" xr:uid="{3F2852D2-DE55-4318-8339-A7E31CEEC6CF}"/>
    <cellStyle name="_Currency_~0061532_TabelleDada" xfId="164" xr:uid="{60ED58F7-012C-4DF9-897C-A29C4B7D1722}"/>
    <cellStyle name="_Currency_~0061532_Tiscali" xfId="165" xr:uid="{D1B21E38-EA1B-4961-B2DF-8F0172E2E14E}"/>
    <cellStyle name="_Currency_~0061532_Tiscali Tele 2" xfId="166" xr:uid="{9054199C-5858-4B30-B7D1-AAC4D922A1D8}"/>
    <cellStyle name="_Currency_~0061532_Tiscali_Merlon Company" xfId="167" xr:uid="{11D968EA-6236-469F-8ABB-6A1712883A95}"/>
    <cellStyle name="_Currency_~0061532_Tiscali_Multipli_IT-Equipment_Dic05_v1" xfId="168" xr:uid="{E870D4BA-26EE-42B6-91FC-373A38B323B8}"/>
    <cellStyle name="_Currency_~0061532_Tiscali_Tabella Acotel1" xfId="169" xr:uid="{E40B040C-4656-4196-966E-BF24E894102F}"/>
    <cellStyle name="_Currency_~0061532_Tiscali_TabelleDada" xfId="170" xr:uid="{F1648E6C-6A30-4734-80AF-327CE6CEA8B4}"/>
    <cellStyle name="_Currency_~0061532_Tiscali_Tiscali Tele 2" xfId="171" xr:uid="{40033412-A8D3-4D8E-9C45-AD14088CA104}"/>
    <cellStyle name="_Currency_~0061532_Valuation Samba 09-05-03" xfId="172" xr:uid="{63304160-BD73-45D1-A641-C012D8990021}"/>
    <cellStyle name="_Currency_~0061532_WACC" xfId="173" xr:uid="{40C70D44-A2B9-469F-BB1A-0BA51E7F70F7}"/>
    <cellStyle name="_Currency_~0061532_WACC Analysis" xfId="174" xr:uid="{439ADD14-F84A-458C-8FF0-45115526EC1F}"/>
    <cellStyle name="_Currency_AccretionDilution" xfId="175" xr:uid="{1C82C172-DB4F-4B0D-8CD0-301576275C8C}"/>
    <cellStyle name="_Currency_AVP and Comps" xfId="176" xr:uid="{EA231A6B-A44D-4285-8206-29ED19A3672B}"/>
    <cellStyle name="_Currency_Book1" xfId="177" xr:uid="{5BE50010-6049-4641-A9DC-5D4161890D23}"/>
    <cellStyle name="_Currency_Comps TMT 30_08_2005 v3" xfId="178" xr:uid="{9235A37D-BD7C-40A3-BB77-D22CA9620C01}"/>
    <cellStyle name="_Currency_consensus thalès" xfId="179" xr:uid="{202FA9D0-5157-4BD7-8EB0-0C1CE5848C8A}"/>
    <cellStyle name="_Currency_FASTWEB ALBACOM" xfId="180" xr:uid="{C92CD650-ACB2-4505-AFCC-FC6C8FDC5B1E}"/>
    <cellStyle name="_Currency_Financials 4" xfId="181" xr:uid="{CEA5CC80-CDD5-40BF-BE37-24529D496C8B}"/>
    <cellStyle name="_Currency_'lbo" xfId="182" xr:uid="{7789C9B1-7E47-47DB-A8D1-3EC033BA0AE2}"/>
    <cellStyle name="_Currency_Model Lilly new 13-06-02" xfId="183" xr:uid="{8BFAE210-6669-4B1D-801E-884D99D92D3B}"/>
    <cellStyle name="_Currency_Model Lilly new 24-06-02" xfId="184" xr:uid="{FF7432F4-4A3D-4A28-BBDD-C988C25A1968}"/>
    <cellStyle name="_Currency_Model Lilly new 30-01-02" xfId="185" xr:uid="{13004225-26B8-4BD6-BC31-7B32E43BF968}"/>
    <cellStyle name="_Currency_Model Lilly new 30-01-02_Sintesi Comps" xfId="186" xr:uid="{9D03A88A-F767-459B-B5D6-C7F07C794234}"/>
    <cellStyle name="_Currency_Model Lilly new 30-01-02_WACC Analysis" xfId="187" xr:uid="{F5829F32-351D-40FD-8C24-E15441D6E6E2}"/>
    <cellStyle name="_Currency_Model v38(fixed shares)" xfId="188" xr:uid="{3153B0EC-B820-4897-B5D3-50A903F7C9C9}"/>
    <cellStyle name="_Currency_Modele Etoile 140302" xfId="189" xr:uid="{C4F2A797-322A-400F-B6F1-D3EB2EEDCAC1}"/>
    <cellStyle name="_Currency_Multipli_Italtel_v6_27Jan" xfId="190" xr:uid="{88F501C2-9A5B-4FD4-9E9E-B9C5F3170CD3}"/>
    <cellStyle name="_Currency_Newspaper Comps - New" xfId="191" xr:uid="{51B31318-44D4-4804-ABD6-15697684F670}"/>
    <cellStyle name="_Currency_Newspaper Comps - New_consensus thalès" xfId="192" xr:uid="{09DE7C05-1215-40F7-92B3-E853D0B050EE}"/>
    <cellStyle name="_Currency_PL4 uk" xfId="193" xr:uid="{07683F45-0852-4585-B491-5D20FC42DC99}"/>
    <cellStyle name="_Currency_PL4 uk_1" xfId="194" xr:uid="{4A415EE5-9387-401F-9E79-8C095277D8E2}"/>
    <cellStyle name="_Currency_PL4 uk_1_AVP and Comps" xfId="195" xr:uid="{B9A95F91-8253-4AA0-ADCD-F86AD23ECBC1}"/>
    <cellStyle name="_Currency_PL4 uk_1_Model Lilly new 13-06-02" xfId="196" xr:uid="{41B7236F-3520-488B-AB36-A0723421590E}"/>
    <cellStyle name="_Currency_PL4 uk_1_Model Lilly new 24-06-02" xfId="197" xr:uid="{0245603D-C109-412E-B024-E889584FB276}"/>
    <cellStyle name="_Currency_PL4 uk_1_WACC" xfId="198" xr:uid="{A9525700-5BDC-4182-8BED-A700DDA73223}"/>
    <cellStyle name="_Currency_PL4 uk_AVP and Comps" xfId="199" xr:uid="{BA08F451-B044-42B2-A746-E3231740361F}"/>
    <cellStyle name="_Currency_PL4 uk_Model Lilly new 13-06-02" xfId="200" xr:uid="{C3D4DD68-CB5F-4795-AF61-057192EFE4C7}"/>
    <cellStyle name="_Currency_PL4 uk_Model Lilly new 24-06-02" xfId="201" xr:uid="{E2CB633A-FBBF-4B5F-AD19-7C6A4670EE82}"/>
    <cellStyle name="_Currency_PL4 uk_WACC" xfId="202" xr:uid="{D48F8879-BA19-4A2A-9D10-E320D23B8E8A}"/>
    <cellStyle name="_Currency_pro_forma_model_paris" xfId="203" xr:uid="{9EF9F150-3F60-4DF8-9ADC-C9201599A6A3}"/>
    <cellStyle name="_Currency_pro_forma_model_paris_AccretionDilution" xfId="204" xr:uid="{F5A40AF3-36BE-4C72-ACBF-F0C3412CF104}"/>
    <cellStyle name="_Currency_pro_forma_model_paris_Book1" xfId="205" xr:uid="{985217F2-0EC8-4D9A-905F-658F0FA5D6D4}"/>
    <cellStyle name="_Currency_pro_forma_model_paris_Comps TMT 30_08_2005 v3" xfId="206" xr:uid="{4D7ED09A-E22F-442C-A767-564ED05019F7}"/>
    <cellStyle name="_Currency_pro_forma_model_paris_FASTWEB ALBACOM" xfId="207" xr:uid="{11F11933-AB67-42A6-8AD9-23E9A580D634}"/>
    <cellStyle name="_Currency_pro_forma_model_paris_Multipli_Italtel_v6_27Jan" xfId="208" xr:uid="{DAEEEAEC-62ED-4C9B-93B1-BA3A62A801C0}"/>
    <cellStyle name="_Currency_pro_forma_model_paris_Newspaper Comps - New" xfId="209" xr:uid="{8D8E5F38-6426-42E5-BCF4-4D62E71E31FF}"/>
    <cellStyle name="_Currency_pro_forma_model_paris_president_comps_3" xfId="210" xr:uid="{B6684312-38AA-477C-A9D8-DD881133363B}"/>
    <cellStyle name="_Currency_pro_forma_model_paris_WACC Analysis" xfId="211" xr:uid="{198D8C3D-C953-4D0B-9E01-199893168F14}"/>
    <cellStyle name="_Currency_WACC" xfId="212" xr:uid="{6E8A0AB6-3C50-4F40-9896-B4E8C23426A4}"/>
    <cellStyle name="_Currency_WACC Analysis" xfId="213" xr:uid="{C3613982-567C-416C-ADD2-8699F0B105E0}"/>
    <cellStyle name="_CurrencySpace" xfId="214" xr:uid="{B3A8863F-330B-41D9-9892-A9C4152F429E}"/>
    <cellStyle name="_Data" xfId="215" xr:uid="{FDBDA518-F396-421B-AEBE-149C3A7AA62F}"/>
    <cellStyle name="_Data_Comparables 6Dec02" xfId="216" xr:uid="{B24D5D47-8C63-4E30-89E3-D282A1E5156F}"/>
    <cellStyle name="_Data_Consensus 6Dec02" xfId="217" xr:uid="{73AD31F1-730A-4E09-A624-A65F6B8B32BC}"/>
    <cellStyle name="_Data_Falcon Valuation 03dic02 PWT" xfId="218" xr:uid="{038519B2-F48E-46CF-B139-7E5C1661EC69}"/>
    <cellStyle name="_Data_Fiat Avio hp Blackstone2updated" xfId="219" xr:uid="{AD60F3F8-D27A-4922-8CEA-2C92C32D0BC3}"/>
    <cellStyle name="_Data_Marelli PFN" xfId="220" xr:uid="{622B10F8-2645-43DC-9A65-1F548A220A30}"/>
    <cellStyle name="_Data_MM New Business Plan 10-25-02 final" xfId="221" xr:uid="{36F202D3-08EC-4141-AED8-CC6876EDF02A}"/>
    <cellStyle name="_Data_MM New Business Plan 12-17-02 final" xfId="222" xr:uid="{0FD30BDF-B155-4E26-9006-04C8EE1B5882}"/>
    <cellStyle name="_Data_Saeco Valuation 12Nov2003" xfId="223" xr:uid="{E4843ED4-2615-4C03-939C-277639C20685}"/>
    <cellStyle name="_Data_Teksid Business Plan 2002 15Jan2003bis" xfId="224" xr:uid="{052BFEA8-1D76-4137-85B6-CC90E87E5931}"/>
    <cellStyle name="_Data_WACC Enrica" xfId="225" xr:uid="{3B4BA4E8-2662-43CB-95B1-55A90509D5DB}"/>
    <cellStyle name="_DELTA NOT COVERED 2008" xfId="226" xr:uid="{2706889D-4018-4DAA-AE35-AE74DF0BAF01}"/>
    <cellStyle name="_EPS Op Rev giugno 09 cfr 2008 actual" xfId="227" xr:uid="{17229522-A3AC-4C0D-8E59-5CC0E275D56F}"/>
    <cellStyle name="_Forecast 2009 ver 06-12" xfId="228" xr:uid="{EAEDECFA-5CC9-424B-BFAA-096B060EABEF}"/>
    <cellStyle name="_Header" xfId="229" xr:uid="{0DFD054C-040E-4B86-9272-38A97D25768C}"/>
    <cellStyle name="_Header_Falcon Valuation 03dic02 PWT" xfId="230" xr:uid="{79384A98-8027-4D98-81F6-A9DD61C43CC6}"/>
    <cellStyle name="_Header_MM New Business Plan 12-17-02 final" xfId="231" xr:uid="{1E97EBFB-2CA6-484A-B6C1-D7FC90414EC4}"/>
    <cellStyle name="_Header_Teksid Business Plan 2002 15Jan2003bis" xfId="232" xr:uid="{0FAC589F-A77E-4A42-A35A-B8AC66AE1D66}"/>
    <cellStyle name="_Header_Teksid Business Plan 2002 27Jan2003" xfId="233" xr:uid="{7078C402-3775-4246-B79C-9B094A013673}"/>
    <cellStyle name="_May_Market and competition_Pack_23 Dec 05" xfId="234" xr:uid="{6255B5E4-24FD-41B8-9B1B-575B53FDDD71}"/>
    <cellStyle name="_meeting azionisti 04-22" xfId="235" xr:uid="{22BBC638-0447-4DA8-9E3B-7E74AC2BC871}"/>
    <cellStyle name="_meeting azionisti 04-22 ver 04-17" xfId="236" xr:uid="{A2F69028-B9C7-4FED-A369-81C5F8CE5807}"/>
    <cellStyle name="_Multiple" xfId="237" xr:uid="{7FA2287C-23DA-4F5E-ABF3-CA51AEFDEC8C}"/>
    <cellStyle name="_Multiple_~0061532" xfId="238" xr:uid="{3699C207-6431-42BD-8C22-71C8715F5DC3}"/>
    <cellStyle name="_Multiple_~0061532_AVP and Comps" xfId="239" xr:uid="{36DB760B-A7B1-4D39-9510-000E2A67282D}"/>
    <cellStyle name="_Multiple_~0061532_Financials 4" xfId="240" xr:uid="{0F806BC6-CC04-49AC-A062-B3DE064895F1}"/>
    <cellStyle name="_Multiple_~0061532_'lbo" xfId="241" xr:uid="{C045E0CC-1E6A-4583-927E-FF423F87571F}"/>
    <cellStyle name="_Multiple_~0061532_Model Lilly new 13-06-02" xfId="242" xr:uid="{08F22C31-511D-4A0C-A6E4-4998EDE51F7A}"/>
    <cellStyle name="_Multiple_~0061532_Model Lilly new 24-06-02" xfId="243" xr:uid="{0F3BB8D9-D7BE-4671-9EC5-D54C1E5F0685}"/>
    <cellStyle name="_Multiple_~0061532_Model Lilly new 30-01-02" xfId="244" xr:uid="{BA9B1ACC-C3F7-4FA5-9DE6-36EE20C70FE1}"/>
    <cellStyle name="_Multiple_~0061532_PL4 uk" xfId="245" xr:uid="{13A95105-C43E-4B54-8200-8C3644F3C1D9}"/>
    <cellStyle name="_Multiple_~0061532_PL4 uk_1" xfId="246" xr:uid="{FB2CF136-36D8-48CF-811F-5953C646DE0C}"/>
    <cellStyle name="_Multiple_~0061532_PL4 uk_1_AVP and Comps" xfId="247" xr:uid="{67C50C76-5EC7-4412-BBA5-C1773E9C93AA}"/>
    <cellStyle name="_Multiple_~0061532_PL4 uk_1_Financials 4" xfId="248" xr:uid="{39DF942F-073D-4A25-94C1-C197C077F0E3}"/>
    <cellStyle name="_Multiple_~0061532_PL4 uk_1_'lbo" xfId="249" xr:uid="{D7319258-A185-4CB7-951C-3BB9DE3F94E3}"/>
    <cellStyle name="_Multiple_~0061532_PL4 uk_1_Model Lilly new 13-06-02" xfId="250" xr:uid="{53843993-5C57-4162-B75D-AECA44B37C9E}"/>
    <cellStyle name="_Multiple_~0061532_PL4 uk_1_Model Lilly new 24-06-02" xfId="251" xr:uid="{89BDECA0-04BD-4E69-8CB1-B6E6C74C0EB6}"/>
    <cellStyle name="_Multiple_~0061532_PL4 uk_1_Model Lilly new 30-01-02" xfId="252" xr:uid="{D86EEE84-DD5B-45DE-AC11-A66E641C41A2}"/>
    <cellStyle name="_Multiple_~0061532_PL4 uk_1_Model Lilly new 30-01-02_Sintesi Comps" xfId="253" xr:uid="{EED5C4F9-D78F-4BD1-9BD4-82D7838D6B7F}"/>
    <cellStyle name="_Multiple_~0061532_PL4 uk_1_Model Lilly new 30-01-02_WACC Analysis" xfId="254" xr:uid="{1D5F40A9-CF52-4680-A383-2731882746B5}"/>
    <cellStyle name="_Multiple_~0061532_PL4 uk_1_WACC" xfId="255" xr:uid="{466C5769-FBAC-4A29-84F8-899408B2F0B6}"/>
    <cellStyle name="_Multiple_~0061532_PL4 uk_AVP and Comps" xfId="256" xr:uid="{D8077223-0DA3-4A05-AF7D-1BD332F32D52}"/>
    <cellStyle name="_Multiple_~0061532_PL4 uk_Model Lilly new 13-06-02" xfId="257" xr:uid="{19697A33-4D13-4A3A-96F5-50E13E7747BE}"/>
    <cellStyle name="_Multiple_~0061532_PL4 uk_Model Lilly new 24-06-02" xfId="258" xr:uid="{A2EFBA4A-35E6-4A27-A3E9-BA2090E4228D}"/>
    <cellStyle name="_Multiple_~0061532_PL4 uk_WACC" xfId="259" xr:uid="{68141438-40A1-43AD-9441-41E94A0B2DF5}"/>
    <cellStyle name="_Multiple_~0061532_WACC" xfId="260" xr:uid="{C3E4377C-5473-4055-AA67-EB7F497E5075}"/>
    <cellStyle name="_Multiple_AccretionDilution" xfId="261" xr:uid="{E3BA343E-F20D-4C2B-BF52-F5657E8FD811}"/>
    <cellStyle name="_Multiple_AVP and Comps" xfId="262" xr:uid="{76773EEB-8C8A-472D-BB10-0DFFB352E41D}"/>
    <cellStyle name="_Multiple_AVP and Comps_Multipli Packaging_Ott 04" xfId="263" xr:uid="{220D2659-1A7D-4145-ABF1-75A71D5FCE42}"/>
    <cellStyle name="_Multiple_AVP and Comps_WACC_oil" xfId="264" xr:uid="{000D41AB-276F-4484-B859-F51C04E55A54}"/>
    <cellStyle name="_Multiple_Book1" xfId="265" xr:uid="{DAB8D0EA-5200-47A1-9736-A2B17ABECD1C}"/>
    <cellStyle name="_Multiple_Book1_Multipli_Italtel_v6_27Jan" xfId="266" xr:uid="{56132AEB-1328-4280-8016-4F09FD767B12}"/>
    <cellStyle name="_Multiple_BP WindViv1" xfId="267" xr:uid="{C12F3B99-CCB7-4BD9-B811-DC5CC39B4920}"/>
    <cellStyle name="_Multiple_Comps TMT 30_08_2005 v3" xfId="268" xr:uid="{4F92C4AE-35EE-4608-999D-8D4CB622D4FE}"/>
    <cellStyle name="_Multiple_consensus thalès" xfId="269" xr:uid="{74FB2B59-12E1-4F3E-9257-DE5FB0B5DD2B}"/>
    <cellStyle name="_Multiple_consulting_comp_27" xfId="270" xr:uid="{61F2889D-4DCD-45A0-A909-CCD94273D2A9}"/>
    <cellStyle name="_Multiple_consulting_comp_27_AccretionDilution" xfId="271" xr:uid="{23F10774-C269-415E-9358-0B5A18A9A5E4}"/>
    <cellStyle name="_Multiple_consulting_comp_27_Book1" xfId="272" xr:uid="{3961535F-BED9-49AF-8FB6-C676F9F5F976}"/>
    <cellStyle name="_Multiple_consulting_comp_27_Comps TMT 30_08_2005 v3" xfId="273" xr:uid="{DDDEB0BC-0822-4158-B1C8-DAB882866B20}"/>
    <cellStyle name="_Multiple_consulting_comp_27_consensus thalès" xfId="274" xr:uid="{2D534A9C-AC4A-48FD-AEA5-5A4B439A55AC}"/>
    <cellStyle name="_Multiple_consulting_comp_27_FASTWEB ALBACOM" xfId="275" xr:uid="{785DF077-B319-4ADA-9366-416BCDBA7B49}"/>
    <cellStyle name="_Multiple_consulting_comp_27_Multipli_Italtel_v6_27Jan" xfId="276" xr:uid="{EF80ADD9-1B8D-4CC9-BFBA-10DBD98510AA}"/>
    <cellStyle name="_Multiple_consulting_comp_27_Newspaper Comps - New" xfId="277" xr:uid="{A222E5C1-6EC1-453B-A43E-07C919BB3F14}"/>
    <cellStyle name="_Multiple_consulting_comp_27_Newspaper Comps - New_consensus thalès" xfId="278" xr:uid="{BDBE115B-AB6D-47F8-AFCD-125D6D5938D4}"/>
    <cellStyle name="_Multiple_consulting_comp_27_WACC Analysis" xfId="279" xr:uid="{31B8D594-9549-4BFD-9467-E1611C67C4C5}"/>
    <cellStyle name="_Multiple_DCF Samba 10-05-03 V3" xfId="280" xr:uid="{398DC81C-DB70-4A3D-BE76-CD8D81592284}"/>
    <cellStyle name="_Multiple_DCF Samba 10-05-03 V3_BP WindViv1" xfId="281" xr:uid="{69E05961-8D94-4563-ABE9-BA3F1A85B9FF}"/>
    <cellStyle name="_Multiple_DCF Samba 10-05-03 V3_GraficiTele-Tiscali" xfId="282" xr:uid="{63AAB98A-5599-4A61-92E5-9B741249EC90}"/>
    <cellStyle name="_Multiple_DCF Samba 10-05-03 V3_Tabella Acotel1" xfId="283" xr:uid="{98710B0A-CFAC-48AC-A7A1-7BD7A96C5C82}"/>
    <cellStyle name="_Multiple_DCF Samba 10-05-03 V3_TabelleDada" xfId="284" xr:uid="{0B9E58C3-3933-4F25-A738-EA6A9A83610F}"/>
    <cellStyle name="_Multiple_DCF Samba 10-05-03 V3_Tiscali Tele 2" xfId="285" xr:uid="{31A467ED-06A3-4C72-A0FF-9F5536D70B11}"/>
    <cellStyle name="_Multiple_FASTWEB ALBACOM" xfId="286" xr:uid="{C2C0E382-62A6-4D22-877A-14EB5AF6C030}"/>
    <cellStyle name="_Multiple_Financials 4" xfId="287" xr:uid="{3B8644CD-F348-4309-A9C0-DCDCDE0198A1}"/>
    <cellStyle name="_Multiple_GraficiTele-Tiscali" xfId="288" xr:uid="{A965D95C-67A1-4A18-97D6-CE5D5DEF699B}"/>
    <cellStyle name="_Multiple_'lbo" xfId="289" xr:uid="{512C6168-4AC8-468E-BCE5-DB7EEC2216BD}"/>
    <cellStyle name="_Multiple_Model Lilly new 13-06-02" xfId="290" xr:uid="{CD980158-608E-402D-891A-A246A1891325}"/>
    <cellStyle name="_Multiple_Model Lilly new 13-06-02_Multipli Packaging_Ott 04" xfId="291" xr:uid="{3179AC97-AA1F-46CE-A30E-E3E7F1E9B3F7}"/>
    <cellStyle name="_Multiple_Model Lilly new 13-06-02_WACC_oil" xfId="292" xr:uid="{6A388038-0571-45F4-9813-605160E1EEDA}"/>
    <cellStyle name="_Multiple_Model Lilly new 24-06-02" xfId="293" xr:uid="{AF0D10F5-F8BF-4C58-B848-8077004236A9}"/>
    <cellStyle name="_Multiple_Model Lilly new 24-06-02_Multipli Packaging_Ott 04" xfId="294" xr:uid="{B95DC446-5B15-4612-9350-0158CD9D3934}"/>
    <cellStyle name="_Multiple_Model Lilly new 24-06-02_WACC_oil" xfId="295" xr:uid="{316789BA-2870-4A58-A8DB-2613F30098DA}"/>
    <cellStyle name="_Multiple_Model Lilly new 30-01-02" xfId="296" xr:uid="{17B92DEC-3B9D-4F7C-B60B-F811B8B50E9D}"/>
    <cellStyle name="_Multiple_Model Lilly new 30-01-02_Comps RQ-vHTIL" xfId="297" xr:uid="{22295A6C-49CD-41C2-BFDC-D51C94B6673C}"/>
    <cellStyle name="_Multiple_Model Lilly new 30-01-02_Comps RQ-vTM" xfId="298" xr:uid="{1E496D7D-CFC4-45EC-B0AB-81D97287E233}"/>
    <cellStyle name="_Multiple_Model Lilly new 30-01-02_Comps RQ-vTM_v1" xfId="299" xr:uid="{BD6F0651-5772-48A9-8D7B-DB5A8C30B5A1}"/>
    <cellStyle name="_Multiple_Model Lilly new 30-01-02_Comps TMT 30_08_2005" xfId="300" xr:uid="{FA90BCFF-1A92-4C9B-804B-2C54A96ABC4D}"/>
    <cellStyle name="_Multiple_Model Lilly new 30-01-02_Sintesi Comps" xfId="301" xr:uid="{2B34B621-9C48-4E09-BFCC-1B94E39D4144}"/>
    <cellStyle name="_Multiple_Model Lilly new 30-01-02_WACC" xfId="302" xr:uid="{044B02B6-EF79-49E4-B06F-4DC0C6268E5A}"/>
    <cellStyle name="_Multiple_Model Lilly new 30-01-02_WACC Analysis" xfId="303" xr:uid="{F34707AF-31C0-4C43-A3B2-C9464F929B17}"/>
    <cellStyle name="_Multiple_Model v38(fixed shares)" xfId="304" xr:uid="{C5794DC2-3DBB-42D9-8C58-B5BEEC819F68}"/>
    <cellStyle name="_Multiple_Modele Etoile 140302" xfId="305" xr:uid="{B186BECE-68A5-48EC-BBD6-808643564606}"/>
    <cellStyle name="_Multiple_Multipli_Italtel_v6_27Jan" xfId="306" xr:uid="{5C28311E-16B1-4548-B794-0655074580F4}"/>
    <cellStyle name="_Multiple_Newspaper Comps - New" xfId="307" xr:uid="{56AD1559-041C-4EFC-8EB3-03578BE17E2E}"/>
    <cellStyle name="_Multiple_Newspaper Comps - New_consensus thalès" xfId="308" xr:uid="{3EA1B8B7-64B0-4EC4-AF78-C6F76B6F4FD7}"/>
    <cellStyle name="_Multiple_Nickel" xfId="309" xr:uid="{ECA4AF12-D0F7-4D7C-BB65-029D526AC361}"/>
    <cellStyle name="_Multiple_Nickel_1" xfId="310" xr:uid="{DCB8C4FA-E7E6-4754-B2AE-A86997E8339C}"/>
    <cellStyle name="_Multiple_Nickel_1_AVP and Comps" xfId="311" xr:uid="{16096B18-2236-46ED-9298-1588DFFD8080}"/>
    <cellStyle name="_Multiple_Nickel_1_Financials 4" xfId="312" xr:uid="{4213A141-1675-446E-9A50-2B671922D658}"/>
    <cellStyle name="_Multiple_Nickel_1_'lbo" xfId="313" xr:uid="{230B0F2F-BD59-40A1-9796-CDFEB492C0EB}"/>
    <cellStyle name="_Multiple_Nickel_1_Model Lilly new 13-06-02" xfId="314" xr:uid="{EBEDA1BE-633A-4502-98C1-699AAC28970A}"/>
    <cellStyle name="_Multiple_Nickel_1_Model Lilly new 24-06-02" xfId="315" xr:uid="{43EFAF7C-EEBF-4800-A48A-C70FF2D3C877}"/>
    <cellStyle name="_Multiple_Nickel_1_Model Lilly new 30-01-02" xfId="316" xr:uid="{7933CC0C-AC77-45E0-8DA5-15EA286D69DE}"/>
    <cellStyle name="_Multiple_Nickel_1_WACC" xfId="317" xr:uid="{1AE541F4-C839-4D7D-B112-A656CD1BAB2E}"/>
    <cellStyle name="_Multiple_Nickel_1_WACC_BP WindViv1" xfId="318" xr:uid="{CA5A4FAB-951B-40B7-9199-4BEEDE4BD8A9}"/>
    <cellStyle name="_Multiple_Nickel_1_WACC_Merlon Company" xfId="319" xr:uid="{7AA440FE-0B24-42A6-B699-96757A851F48}"/>
    <cellStyle name="_Multiple_Nickel_1_WACC_Multipli_IT-Equipment_Dic05_v1" xfId="320" xr:uid="{6BE5DA68-C514-4BDA-A7D2-13967597C77B}"/>
    <cellStyle name="_Multiple_Nickel_1_WACC_Tabella Acotel1" xfId="321" xr:uid="{8D540DF1-774B-4A86-8583-94E13EB0F79D}"/>
    <cellStyle name="_Multiple_Nickel_1_WACC_TabelleDada" xfId="322" xr:uid="{3534543F-7CCB-4C6D-B024-8A8E973DBDB9}"/>
    <cellStyle name="_Multiple_Nickel_1_WACC_Tiscali Tele 2" xfId="323" xr:uid="{B8DF3BD7-76ED-4DDE-9B29-A3095692A92E}"/>
    <cellStyle name="_Multiple_Nickel_1_WACC_Wind Valuation Overview 11_11_2005 v.2" xfId="324" xr:uid="{D0C641DE-899F-4375-87DA-4AE573F2CAE1}"/>
    <cellStyle name="_Multiple_Nickel_AVP and Comps" xfId="325" xr:uid="{40971FD2-1BF8-4874-A0E8-2805C70520C0}"/>
    <cellStyle name="_Multiple_Nickel_Model Lilly new 13-06-02" xfId="326" xr:uid="{46C00BE6-5D5B-48B8-A417-1907EA96969C}"/>
    <cellStyle name="_Multiple_Nickel_Model Lilly new 24-06-02" xfId="327" xr:uid="{AFBDC4C3-9178-40B7-9D95-DCE0FD12B23B}"/>
    <cellStyle name="_Multiple_Nickel_WACC" xfId="328" xr:uid="{2710C8DC-AE90-49F2-9D7B-E3FAD237C303}"/>
    <cellStyle name="_Multiple_PL4 uk" xfId="329" xr:uid="{25D06650-BFEA-4D20-87EC-8FF2C34C5D10}"/>
    <cellStyle name="_Multiple_PL4 uk_1" xfId="330" xr:uid="{7BF37413-1212-4773-8D85-FDF37C28B209}"/>
    <cellStyle name="_Multiple_PL4 uk_1_AVP and Comps" xfId="331" xr:uid="{12F67655-DD4C-4489-875F-94767B0C02C3}"/>
    <cellStyle name="_Multiple_PL4 uk_1_Model Lilly new 13-06-02" xfId="332" xr:uid="{7794FF36-E1AE-4402-818A-82D08201ADCA}"/>
    <cellStyle name="_Multiple_PL4 uk_1_Model Lilly new 24-06-02" xfId="333" xr:uid="{3EF0EBBB-26E2-4087-BF67-9B1CA04FF09A}"/>
    <cellStyle name="_Multiple_PL4 uk_1_WACC" xfId="334" xr:uid="{E005610B-CB9B-4CA4-8AD0-EBF12BBE1BA6}"/>
    <cellStyle name="_Multiple_PL4 uk_AVP and Comps" xfId="335" xr:uid="{26046232-76DA-488B-86C7-78E61C488B82}"/>
    <cellStyle name="_Multiple_PL4 uk_Model Lilly new 13-06-02" xfId="336" xr:uid="{5B32BC7C-DDFC-4FC3-98EA-A637B0876ABC}"/>
    <cellStyle name="_Multiple_PL4 uk_Model Lilly new 24-06-02" xfId="337" xr:uid="{AC6A9C49-2E7D-4708-8D79-1DB86E04F843}"/>
    <cellStyle name="_Multiple_PL4 uk_WACC" xfId="338" xr:uid="{5D5F6ED7-5AF9-42D6-821C-983E4DED101C}"/>
    <cellStyle name="_Multiple_president_comps_2" xfId="339" xr:uid="{05A0F120-796E-4379-A1AB-A38A734D632F}"/>
    <cellStyle name="_Multiple_president_comps_3" xfId="340" xr:uid="{BDD3A9B0-C232-4C03-97E3-F1F12D892ECD}"/>
    <cellStyle name="_Multiple_pro_forma_model_paris" xfId="341" xr:uid="{A104C811-6BDB-4263-AEBE-021F1D57D341}"/>
    <cellStyle name="_Multiple_pro_forma_model_paris_AccretionDilution" xfId="342" xr:uid="{6EE9F019-5F98-4D40-A8AC-0EE981152C78}"/>
    <cellStyle name="_Multiple_pro_forma_model_paris_Book1" xfId="343" xr:uid="{0635DC4C-4553-45B2-B640-C30D6207A4DF}"/>
    <cellStyle name="_Multiple_pro_forma_model_paris_Comps TMT 30_08_2005 v3" xfId="344" xr:uid="{DC7472C4-DB06-4B38-BB60-6D5E5F20C222}"/>
    <cellStyle name="_Multiple_pro_forma_model_paris_FASTWEB ALBACOM" xfId="345" xr:uid="{F1AC9DA3-FE14-4376-B45B-1F15D25EABEB}"/>
    <cellStyle name="_Multiple_pro_forma_model_paris_Multipli_Italtel_v6_27Jan" xfId="346" xr:uid="{5B3B5FB0-59DB-47E0-BF40-5332D0A6E0D9}"/>
    <cellStyle name="_Multiple_pro_forma_model_paris_Newspaper Comps - New" xfId="347" xr:uid="{041BA81F-A64E-40B1-B3E6-C478D63A9DDC}"/>
    <cellStyle name="_Multiple_pro_forma_model_paris_president_comps_3" xfId="348" xr:uid="{9F849A8B-839F-4A32-8388-4F40CE37A572}"/>
    <cellStyle name="_Multiple_pro_forma_model_paris_WACC Analysis" xfId="349" xr:uid="{051C6B05-2F6E-4933-A1C7-8244712454EF}"/>
    <cellStyle name="_Multiple_Tabella Acotel1" xfId="350" xr:uid="{A98962DB-6080-47D5-9AAA-0FD49E054C15}"/>
    <cellStyle name="_Multiple_TabelleDada" xfId="351" xr:uid="{A540DDE6-7927-4268-A02C-FF5E2ED2A7B9}"/>
    <cellStyle name="_Multiple_Tiscali" xfId="352" xr:uid="{BDAC41E9-AD62-4BDA-94CC-194EAAE36E73}"/>
    <cellStyle name="_Multiple_Tiscali Tele 2" xfId="353" xr:uid="{0CA15E2E-575B-48AE-8260-48A598402EBF}"/>
    <cellStyle name="_Multiple_Tiscali_Multipli_IT-Equipment_Dic05_v1" xfId="354" xr:uid="{1340CC69-CEF2-470E-8701-377904BD6B69}"/>
    <cellStyle name="_Multiple_Tiscali_Tabella Acotel1" xfId="355" xr:uid="{3718BD6A-AE2A-4A76-90F9-D40DE8F04AF8}"/>
    <cellStyle name="_Multiple_Tiscali_TabelleDada" xfId="356" xr:uid="{88C5C116-956C-4FA3-8DC3-8AB855591D93}"/>
    <cellStyle name="_Multiple_Tiscali_Tiscali Tele 2" xfId="357" xr:uid="{7B3D6765-479A-4C8C-9D7D-E574C6113DAA}"/>
    <cellStyle name="_Multiple_Valuation Samba 09-05-03" xfId="358" xr:uid="{05217E20-1B99-4276-9F38-559E784FB6E9}"/>
    <cellStyle name="_Multiple_WACC" xfId="359" xr:uid="{4B528B98-66A2-4089-B40F-4740160EDA49}"/>
    <cellStyle name="_Multiple_WACC Analysis" xfId="360" xr:uid="{30D51F05-6A79-4E48-A227-F1BB5ECBED51}"/>
    <cellStyle name="_MultipleSpace" xfId="361" xr:uid="{F6A3E3CB-0839-409A-A151-2108E2D12A4C}"/>
    <cellStyle name="_MultipleSpace_~0061532" xfId="362" xr:uid="{B97244B3-46BF-4909-99C9-B8218A93E121}"/>
    <cellStyle name="_MultipleSpace_~0061532_Comps TMT 30_08_2005" xfId="363" xr:uid="{776BC9A5-5FB6-4D18-B707-D82801C32CA0}"/>
    <cellStyle name="_MultipleSpace_~0061532_Multipli_Italtel_v6_27Jan" xfId="364" xr:uid="{37418E01-DD3E-4938-B66C-000A4BCF1873}"/>
    <cellStyle name="_MultipleSpace_~0061532_Multipli_IT-Equipment_Dic05_v1" xfId="365" xr:uid="{F485CA40-9A38-473F-8C6D-86A916CEB5F7}"/>
    <cellStyle name="_MultipleSpace_~0061532_PL4 uk" xfId="366" xr:uid="{1AC857EE-02F8-4FBD-9509-1194907A2B63}"/>
    <cellStyle name="_MultipleSpace_~0061532_PL4 uk_1" xfId="367" xr:uid="{8B609866-5EF4-4618-BAC7-58A9D466DC76}"/>
    <cellStyle name="_MultipleSpace_~0061532_PL4 uk_1_AVP and Comps" xfId="368" xr:uid="{E05F7AF2-1D95-4B34-82EB-EF79561A533F}"/>
    <cellStyle name="_MultipleSpace_~0061532_PL4 uk_1_AVP and Comps_Multipli Packaging_Ott 04" xfId="369" xr:uid="{66A81324-9C66-46EC-99DA-CE4A0F7A6C47}"/>
    <cellStyle name="_MultipleSpace_~0061532_PL4 uk_1_AVP and Comps_WACC_oil" xfId="370" xr:uid="{BEED49CD-7E9D-42FF-A289-98285CBC8A68}"/>
    <cellStyle name="_MultipleSpace_~0061532_PL4 uk_1_Book1" xfId="371" xr:uid="{D227CE0D-F65F-4E88-995F-31EABE27A234}"/>
    <cellStyle name="_MultipleSpace_~0061532_PL4 uk_1_BP WindViv1" xfId="372" xr:uid="{C33352F8-C602-4CB5-A84E-7AA4212DD96D}"/>
    <cellStyle name="_MultipleSpace_~0061532_PL4 uk_1_Comps TMT 30_08_2005 v3" xfId="373" xr:uid="{B42F481D-041E-484D-A646-A8017C016756}"/>
    <cellStyle name="_MultipleSpace_~0061532_PL4 uk_1_DCF Samba 10-05-03 V3" xfId="374" xr:uid="{3BD37DF5-1295-4AE8-B745-FF4F348FBE1E}"/>
    <cellStyle name="_MultipleSpace_~0061532_PL4 uk_1_DCF Samba 10-05-03 V3_BP WindViv1" xfId="375" xr:uid="{51A34DA8-14BF-4662-9799-5FD01225783A}"/>
    <cellStyle name="_MultipleSpace_~0061532_PL4 uk_1_DCF Samba 10-05-03 V3_GraficiTele-Tiscali" xfId="376" xr:uid="{AD2CF90D-34B7-45A0-A42D-3161D475F1F2}"/>
    <cellStyle name="_MultipleSpace_~0061532_PL4 uk_1_DCF Samba 10-05-03 V3_GraficiTele-Tiscali_Merlon Company" xfId="377" xr:uid="{ADFA98E3-7335-4B41-8751-FF16DF9E5216}"/>
    <cellStyle name="_MultipleSpace_~0061532_PL4 uk_1_DCF Samba 10-05-03 V3_Tabella Acotel1" xfId="378" xr:uid="{94B5CE84-2E19-4FC8-8528-4DB4DC5C46B1}"/>
    <cellStyle name="_MultipleSpace_~0061532_PL4 uk_1_DCF Samba 10-05-03 V3_TabelleDada" xfId="379" xr:uid="{9BB32BF6-DBBC-42A8-99DE-EB518E643F30}"/>
    <cellStyle name="_MultipleSpace_~0061532_PL4 uk_1_DCF Samba 10-05-03 V3_Tiscali Tele 2" xfId="380" xr:uid="{BB4E0F5B-21F9-402E-B646-FDAAD897AC43}"/>
    <cellStyle name="_MultipleSpace_~0061532_PL4 uk_1_FASTWEB ALBACOM" xfId="381" xr:uid="{121B233D-475F-4D9F-BB4F-C717E5A74244}"/>
    <cellStyle name="_MultipleSpace_~0061532_PL4 uk_1_GraficiTele-Tiscali" xfId="382" xr:uid="{EB6768C2-DB1D-4959-9BB1-29CEFCF265EC}"/>
    <cellStyle name="_MultipleSpace_~0061532_PL4 uk_1_GraficiTele-Tiscali_Merlon Company" xfId="383" xr:uid="{7181A09D-D974-47E0-A651-89001BC3D266}"/>
    <cellStyle name="_MultipleSpace_~0061532_PL4 uk_1_Model Lilly new 13-06-02" xfId="384" xr:uid="{B5B4A187-B28F-44D5-9BEC-A6E3FDDB8B99}"/>
    <cellStyle name="_MultipleSpace_~0061532_PL4 uk_1_Model Lilly new 13-06-02_Multipli Packaging_Ott 04" xfId="385" xr:uid="{1FEAB926-AB7E-4C8C-A7C4-D2A5EDB21F74}"/>
    <cellStyle name="_MultipleSpace_~0061532_PL4 uk_1_Model Lilly new 13-06-02_WACC_oil" xfId="386" xr:uid="{A400EBEC-17A2-4FB7-8157-FF7FC8D68A0C}"/>
    <cellStyle name="_MultipleSpace_~0061532_PL4 uk_1_Model Lilly new 24-06-02" xfId="387" xr:uid="{FCAC4A47-849A-42A0-8345-C15EF2819D3F}"/>
    <cellStyle name="_MultipleSpace_~0061532_PL4 uk_1_Model Lilly new 24-06-02_Multipli Packaging_Ott 04" xfId="388" xr:uid="{4A8C0AAB-5452-4FA6-B589-BDC6E7582661}"/>
    <cellStyle name="_MultipleSpace_~0061532_PL4 uk_1_Model Lilly new 24-06-02_WACC_oil" xfId="389" xr:uid="{D3D479FD-5C8C-40DB-8710-F881ECC33890}"/>
    <cellStyle name="_MultipleSpace_~0061532_PL4 uk_1_Multipli_Italtel_v6_27Jan" xfId="390" xr:uid="{F93E39DD-F870-4483-B3A1-FA82B6713B56}"/>
    <cellStyle name="_MultipleSpace_~0061532_PL4 uk_1_Tabella Acotel1" xfId="391" xr:uid="{0FE99B92-65F3-4E37-B836-E0E0BD836903}"/>
    <cellStyle name="_MultipleSpace_~0061532_PL4 uk_1_TabelleDada" xfId="392" xr:uid="{11CA52A8-0A2B-4AD2-A6C2-358CBDC6284D}"/>
    <cellStyle name="_MultipleSpace_~0061532_PL4 uk_1_Tiscali" xfId="393" xr:uid="{781474A6-BEC7-4709-B8D7-E72B3D8C568E}"/>
    <cellStyle name="_MultipleSpace_~0061532_PL4 uk_1_Tiscali Tele 2" xfId="394" xr:uid="{656C8C99-C43E-4F88-B566-736FFB089040}"/>
    <cellStyle name="_MultipleSpace_~0061532_PL4 uk_1_Tiscali_Merlon Company" xfId="395" xr:uid="{4AC7637F-A08E-46A1-B7EC-7EF30BEFF66B}"/>
    <cellStyle name="_MultipleSpace_~0061532_PL4 uk_1_Tiscali_Multipli_IT-Equipment_Dic05_v1" xfId="396" xr:uid="{6240293D-BDE5-499F-AD74-15A76DC7F722}"/>
    <cellStyle name="_MultipleSpace_~0061532_PL4 uk_1_Tiscali_Tabella Acotel1" xfId="397" xr:uid="{5F85C6CB-B45A-4CFD-9DE4-F27E611A4AE6}"/>
    <cellStyle name="_MultipleSpace_~0061532_PL4 uk_1_Tiscali_TabelleDada" xfId="398" xr:uid="{6792E3CA-27B3-4E8F-A02C-CA62FEF30A28}"/>
    <cellStyle name="_MultipleSpace_~0061532_PL4 uk_1_Tiscali_Tiscali Tele 2" xfId="399" xr:uid="{54A20F12-4607-406F-B2C8-5D15B338574D}"/>
    <cellStyle name="_MultipleSpace_~0061532_PL4 uk_1_Valuation Samba 09-05-03" xfId="400" xr:uid="{C71201AE-8E3B-4E70-B388-A5142604B51C}"/>
    <cellStyle name="_MultipleSpace_~0061532_PL4 uk_1_WACC" xfId="401" xr:uid="{1FF7907C-C325-412A-98F8-CEE2911B2687}"/>
    <cellStyle name="_MultipleSpace_~0061532_PL4 uk_1_WACC Analysis" xfId="402" xr:uid="{DFD10500-4408-45D7-BB92-00C492A0E06D}"/>
    <cellStyle name="_MultipleSpace_~0061532_PL4 uk_AVP and Comps" xfId="403" xr:uid="{93E091D8-1521-4ED0-AF1E-35D4D5F51146}"/>
    <cellStyle name="_MultipleSpace_~0061532_PL4 uk_Model Lilly new 13-06-02" xfId="404" xr:uid="{32CD030D-EEFA-49A1-878D-A8E756E2B4DD}"/>
    <cellStyle name="_MultipleSpace_~0061532_PL4 uk_Model Lilly new 24-06-02" xfId="405" xr:uid="{AB6DCFF5-4669-47B6-A8EE-6B0BBEA4FDB0}"/>
    <cellStyle name="_MultipleSpace_~0061532_PL4 uk_WACC" xfId="406" xr:uid="{CE5843BF-ADC2-4A54-8836-3BD4028C2D2E}"/>
    <cellStyle name="_MultipleSpace_~0061532_Wind Valuation Overview 11_11_2005 v.2" xfId="407" xr:uid="{97CCBA15-8263-4A06-B411-DB437F0E8D8E}"/>
    <cellStyle name="_MultipleSpace_AccretionDilution" xfId="408" xr:uid="{9328EA62-6898-4EA9-91E4-9965D6ED9B5B}"/>
    <cellStyle name="_MultipleSpace_AccretionDilution_consensus thalès" xfId="409" xr:uid="{CC3105A0-A87A-45A0-9868-942B513CBE23}"/>
    <cellStyle name="_MultipleSpace_AVP and Comps" xfId="410" xr:uid="{B618B17D-CCEF-4283-AA8F-6CB9D4FC2108}"/>
    <cellStyle name="_MultipleSpace_Book1" xfId="411" xr:uid="{65D85FD2-AAB2-4508-B6C2-68658F2A5014}"/>
    <cellStyle name="_MultipleSpace_Comps TMT 30_08_2005 v3" xfId="412" xr:uid="{0DEADF3C-DEF1-4213-84A2-3E3312EFEBF2}"/>
    <cellStyle name="_MultipleSpace_consensus thalès" xfId="413" xr:uid="{BC1777B1-D226-4451-AA70-A824DD25575C}"/>
    <cellStyle name="_MultipleSpace_FASTWEB ALBACOM" xfId="414" xr:uid="{9CF19A26-CC26-491F-A655-7C205C4806A8}"/>
    <cellStyle name="_MultipleSpace_Financials 4" xfId="415" xr:uid="{57078EB4-CBE0-4E2A-BAA5-A708BD7B50AF}"/>
    <cellStyle name="_MultipleSpace_'lbo" xfId="416" xr:uid="{7E16EC19-BB05-4109-9C86-68E78FF93EA0}"/>
    <cellStyle name="_MultipleSpace_Model Lilly new 13-06-02" xfId="417" xr:uid="{A11D8D36-BFF7-463B-A1C9-3031A6B59468}"/>
    <cellStyle name="_MultipleSpace_Model Lilly new 24-06-02" xfId="418" xr:uid="{8D4BBAA6-F008-4409-9E9F-1F24D66C9709}"/>
    <cellStyle name="_MultipleSpace_Model Lilly new 30-01-02" xfId="419" xr:uid="{9157D251-1E0E-4E73-8196-90AB79FAB988}"/>
    <cellStyle name="_MultipleSpace_Model Lilly new 30-01-02_Sintesi Comps" xfId="420" xr:uid="{94A3E6AF-FD50-4BFD-BD31-1DE6DDE147B7}"/>
    <cellStyle name="_MultipleSpace_Model Lilly new 30-01-02_WACC Analysis" xfId="421" xr:uid="{6287B8AB-A4E3-485A-8BF1-04378597017F}"/>
    <cellStyle name="_MultipleSpace_Model v38(fixed shares)" xfId="422" xr:uid="{3BFBA641-CE4B-48D2-B21C-0014A1B92739}"/>
    <cellStyle name="_MultipleSpace_Modele Etoile 140302" xfId="423" xr:uid="{8EB94A1C-3100-4371-A6CA-6C14956E17FC}"/>
    <cellStyle name="_MultipleSpace_Multipli_Italtel_v6_27Jan" xfId="424" xr:uid="{1381E4BC-D186-4199-8E3E-B9D7532EFE93}"/>
    <cellStyle name="_MultipleSpace_Newspaper Comps - New" xfId="425" xr:uid="{EEC16FF3-565C-4E94-B2D2-0328E764CC0C}"/>
    <cellStyle name="_MultipleSpace_PL4 uk" xfId="426" xr:uid="{7C66945C-56F8-4956-8ABE-8FDB167F05C3}"/>
    <cellStyle name="_MultipleSpace_PL4 uk_1" xfId="427" xr:uid="{1814E52B-C579-42B7-B3BF-AD6028B6208F}"/>
    <cellStyle name="_MultipleSpace_PL4 uk_1_AVP and Comps" xfId="428" xr:uid="{7A9682AE-7C02-4C93-AC46-6CEB28CBF382}"/>
    <cellStyle name="_MultipleSpace_PL4 uk_1_Financials 4" xfId="429" xr:uid="{9334028C-85C3-40B3-8A73-F92FF9545061}"/>
    <cellStyle name="_MultipleSpace_PL4 uk_1_'lbo" xfId="430" xr:uid="{B61DAE5B-B819-456D-BE57-6C18853AB157}"/>
    <cellStyle name="_MultipleSpace_PL4 uk_1_Model Lilly new 13-06-02" xfId="431" xr:uid="{6AFF48FE-58D1-4396-938E-4B50586A8E83}"/>
    <cellStyle name="_MultipleSpace_PL4 uk_1_Model Lilly new 24-06-02" xfId="432" xr:uid="{F95EAD1E-C886-4B09-8DA0-BDE8D0A17269}"/>
    <cellStyle name="_MultipleSpace_PL4 uk_1_Model Lilly new 30-01-02" xfId="433" xr:uid="{29B4CA48-3CCE-4D5B-BFCF-D3BCD7F8BD84}"/>
    <cellStyle name="_MultipleSpace_PL4 uk_1_Model Lilly new 30-01-02_Sintesi Comps" xfId="434" xr:uid="{5A852D64-C8A6-47FA-BE97-F5606A36F9D6}"/>
    <cellStyle name="_MultipleSpace_PL4 uk_1_Model Lilly new 30-01-02_WACC Analysis" xfId="435" xr:uid="{DCC75A83-C55A-40B4-AF7B-4D70DD9180BB}"/>
    <cellStyle name="_MultipleSpace_PL4 uk_1_WACC" xfId="436" xr:uid="{0E97C9D3-CB0C-48F4-90B0-865B87A52391}"/>
    <cellStyle name="_MultipleSpace_PL4 uk_AVP and Comps" xfId="437" xr:uid="{D65C535B-9558-446A-A6DA-0EC7EFE26BBA}"/>
    <cellStyle name="_MultipleSpace_PL4 uk_AVP and Comps_Multipli Packaging_Ott 04" xfId="438" xr:uid="{7FA341A6-F1D8-4190-A4CD-6496EA413497}"/>
    <cellStyle name="_MultipleSpace_PL4 uk_AVP and Comps_WACC_oil" xfId="439" xr:uid="{3A0CFCC1-5247-423E-AA5A-00358CCBF8BB}"/>
    <cellStyle name="_MultipleSpace_PL4 uk_Book1" xfId="440" xr:uid="{566E1FD9-609E-496C-8642-6E3DBA9B1C91}"/>
    <cellStyle name="_MultipleSpace_PL4 uk_BP WindViv1" xfId="441" xr:uid="{BA6C879B-FF64-413C-8FFB-E975FE54A452}"/>
    <cellStyle name="_MultipleSpace_PL4 uk_Comps TMT 30_08_2005 v3" xfId="442" xr:uid="{682796BB-327F-4481-AE23-34862F7E5041}"/>
    <cellStyle name="_MultipleSpace_PL4 uk_DCF Samba 10-05-03 V3" xfId="443" xr:uid="{73871F52-E1F1-41E4-B883-861A2F22F275}"/>
    <cellStyle name="_MultipleSpace_PL4 uk_DCF Samba 10-05-03 V3_BP WindViv1" xfId="444" xr:uid="{E42A328E-C5BD-4B61-815A-C490BAE39091}"/>
    <cellStyle name="_MultipleSpace_PL4 uk_DCF Samba 10-05-03 V3_GraficiTele-Tiscali" xfId="445" xr:uid="{348ACEAA-BAF5-44C6-9BA0-622CBC3997B5}"/>
    <cellStyle name="_MultipleSpace_PL4 uk_DCF Samba 10-05-03 V3_Tabella Acotel1" xfId="446" xr:uid="{248E5184-5BF5-489F-A775-23DC98831C5D}"/>
    <cellStyle name="_MultipleSpace_PL4 uk_DCF Samba 10-05-03 V3_TabelleDada" xfId="447" xr:uid="{50A23D64-8ADA-4E40-8BC8-B5ED833609C8}"/>
    <cellStyle name="_MultipleSpace_PL4 uk_DCF Samba 10-05-03 V3_Tiscali Tele 2" xfId="448" xr:uid="{C8E882E8-4453-461E-A642-A93F32F35538}"/>
    <cellStyle name="_MultipleSpace_PL4 uk_FASTWEB ALBACOM" xfId="449" xr:uid="{A76B1FD9-850E-4440-925D-3ADEBF45784E}"/>
    <cellStyle name="_MultipleSpace_PL4 uk_GraficiTele-Tiscali" xfId="450" xr:uid="{1E0FBD9B-45EF-42BD-B878-9E67273936EE}"/>
    <cellStyle name="_MultipleSpace_PL4 uk_Model Lilly new 13-06-02" xfId="451" xr:uid="{ADD890C4-43C5-422B-8EF5-779FC6C8901E}"/>
    <cellStyle name="_MultipleSpace_PL4 uk_Model Lilly new 13-06-02_Multipli Packaging_Ott 04" xfId="452" xr:uid="{04A5A65C-0756-49E1-BCFE-838D899501A3}"/>
    <cellStyle name="_MultipleSpace_PL4 uk_Model Lilly new 13-06-02_WACC_oil" xfId="453" xr:uid="{3A54ACD3-E9D2-404E-A00C-109A26983637}"/>
    <cellStyle name="_MultipleSpace_PL4 uk_Model Lilly new 24-06-02" xfId="454" xr:uid="{3B1727A8-E9F4-4AE0-9E74-F72039C043FA}"/>
    <cellStyle name="_MultipleSpace_PL4 uk_Model Lilly new 24-06-02_Multipli Packaging_Ott 04" xfId="455" xr:uid="{E943F5DD-69EE-4FA6-8B48-E811B063231E}"/>
    <cellStyle name="_MultipleSpace_PL4 uk_Model Lilly new 24-06-02_WACC_oil" xfId="456" xr:uid="{7EECF096-10DF-4396-B401-70D8E21D5E82}"/>
    <cellStyle name="_MultipleSpace_PL4 uk_Multipli_Italtel_v6_27Jan" xfId="457" xr:uid="{6117D43B-725E-4F3A-9A80-9EF20AC52859}"/>
    <cellStyle name="_MultipleSpace_PL4 uk_Tabella Acotel1" xfId="458" xr:uid="{CC67CBB3-E11A-4DD2-9D6F-5152591900F0}"/>
    <cellStyle name="_MultipleSpace_PL4 uk_TabelleDada" xfId="459" xr:uid="{96AF73CA-C610-4207-B899-D5862455B604}"/>
    <cellStyle name="_MultipleSpace_PL4 uk_Tiscali" xfId="460" xr:uid="{F84E8C72-AA0C-4A25-8CAA-6BBD2260BBAC}"/>
    <cellStyle name="_MultipleSpace_PL4 uk_Tiscali Tele 2" xfId="461" xr:uid="{8433B54D-2B3E-460C-B268-13D00176073F}"/>
    <cellStyle name="_MultipleSpace_PL4 uk_Tiscali_Multipli_IT-Equipment_Dic05_v1" xfId="462" xr:uid="{CC972CE8-6FC7-45E0-914B-C36A1DC7BCEB}"/>
    <cellStyle name="_MultipleSpace_PL4 uk_Tiscali_Tabella Acotel1" xfId="463" xr:uid="{2B237454-C925-49DE-8B3C-CF76E280E023}"/>
    <cellStyle name="_MultipleSpace_PL4 uk_Tiscali_TabelleDada" xfId="464" xr:uid="{8CDF27E9-1D94-4C59-9077-6195C2EFD203}"/>
    <cellStyle name="_MultipleSpace_PL4 uk_Tiscali_Tiscali Tele 2" xfId="465" xr:uid="{141A831A-ACB8-42F3-8202-F1B66D5AB3F0}"/>
    <cellStyle name="_MultipleSpace_PL4 uk_Valuation Samba 09-05-03" xfId="466" xr:uid="{482FEB28-DAE1-483C-89AC-95DEC56D1147}"/>
    <cellStyle name="_MultipleSpace_PL4 uk_WACC" xfId="467" xr:uid="{102D6A53-E1E3-437D-97B4-818FC5599E79}"/>
    <cellStyle name="_MultipleSpace_PL4 uk_WACC Analysis" xfId="468" xr:uid="{A5AEA58B-7BAD-4711-A150-C41FCAF28760}"/>
    <cellStyle name="_MultipleSpace_pro_forma_model_paris" xfId="469" xr:uid="{79E7AA63-C1CA-4FB1-A963-6F3A50A18757}"/>
    <cellStyle name="_MultipleSpace_pro_forma_model_paris_AccretionDilution" xfId="470" xr:uid="{BE913E67-66EB-4F44-A107-80FB62CA97D0}"/>
    <cellStyle name="_MultipleSpace_pro_forma_model_paris_Book1" xfId="471" xr:uid="{BD8E4BEC-A859-479A-8579-46D86078509F}"/>
    <cellStyle name="_MultipleSpace_pro_forma_model_paris_Comps TMT 30_08_2005 v3" xfId="472" xr:uid="{AF8D178F-4EFA-4FF1-BA7E-41F2D577B9B5}"/>
    <cellStyle name="_MultipleSpace_pro_forma_model_paris_FASTWEB ALBACOM" xfId="473" xr:uid="{D1A147E9-C50A-4DDB-BCDB-9C8FDCB75631}"/>
    <cellStyle name="_MultipleSpace_pro_forma_model_paris_Multipli_Italtel_v6_27Jan" xfId="474" xr:uid="{4D45DE32-20D4-4959-AA6C-FB3E0D2B35E4}"/>
    <cellStyle name="_MultipleSpace_pro_forma_model_paris_Newspaper Comps - New" xfId="475" xr:uid="{789F865C-D005-413F-8C59-2487DF1A975D}"/>
    <cellStyle name="_MultipleSpace_pro_forma_model_paris_president_comps_3" xfId="476" xr:uid="{261CD18A-9C1A-4535-8E40-D09CD6DD8EA4}"/>
    <cellStyle name="_MultipleSpace_pro_forma_model_paris_president_comps_3_consensus thalès" xfId="477" xr:uid="{625B37F3-CEB3-48D5-BFEE-479F7EF1503A}"/>
    <cellStyle name="_MultipleSpace_pro_forma_model_paris_WACC Analysis" xfId="478" xr:uid="{A6D3A489-4AFF-4091-BFC1-B091C2ACA93F}"/>
    <cellStyle name="_MultipleSpace_WACC" xfId="479" xr:uid="{04B07A9E-F6E8-464E-AFED-4ABA6C77CBA8}"/>
    <cellStyle name="_MultipleSpace_WACC Analysis" xfId="480" xr:uid="{332DC633-118B-4A08-8F95-B82EDCF52C6A}"/>
    <cellStyle name="_Percent" xfId="481" xr:uid="{8837BBD9-D4C1-4F48-91D8-EAD74356F658}"/>
    <cellStyle name="_Percent_~0061532" xfId="482" xr:uid="{D8E5ADF3-91FA-4019-901C-C0FC77F441E3}"/>
    <cellStyle name="_Percent_~0061532_AVP and Comps" xfId="483" xr:uid="{63400774-2C0E-4CB9-9A69-8A8C86C169DB}"/>
    <cellStyle name="_Percent_~0061532_Financials 4" xfId="484" xr:uid="{FAC2FA34-BDD9-4F07-9BE8-005057E015B1}"/>
    <cellStyle name="_Percent_~0061532_'lbo" xfId="485" xr:uid="{6F339B35-E7E1-4FA3-A9DE-C6A05B0A16C8}"/>
    <cellStyle name="_Percent_~0061532_Model Lilly new 13-06-02" xfId="486" xr:uid="{B6E05FE9-219C-44DF-8DC5-F70B8B9F3D80}"/>
    <cellStyle name="_Percent_~0061532_Model Lilly new 24-06-02" xfId="487" xr:uid="{558CEC62-9F14-4E8B-AF3C-64FA590573EA}"/>
    <cellStyle name="_Percent_~0061532_Model Lilly new 30-01-02" xfId="488" xr:uid="{65847D6B-5F61-479E-8802-0D4E80D56036}"/>
    <cellStyle name="_Percent_~0061532_Model Lilly new 30-01-02_Comps TMT 30_08_2005" xfId="489" xr:uid="{CFED9CBE-315F-4151-A943-30F5699E4C76}"/>
    <cellStyle name="_Percent_~0061532_Model Lilly new 30-01-02_Multipli_IT-Equipment_Dic05_v1" xfId="490" xr:uid="{0D49B4C1-A0DE-4A88-BD63-F95E547C880F}"/>
    <cellStyle name="_Percent_~0061532_Model Lilly new 30-01-02_Wind Valuation Overview 11_11_2005 v.2" xfId="491" xr:uid="{145D3873-C01C-4E2C-8F86-CAE367FEB9C1}"/>
    <cellStyle name="_Percent_~0061532_PL4 uk" xfId="492" xr:uid="{D9358582-9977-4F5D-9AA7-88FF15015996}"/>
    <cellStyle name="_Percent_~0061532_PL4 uk_1" xfId="493" xr:uid="{A044207A-1B85-46CA-BB7E-829665A3B91A}"/>
    <cellStyle name="_Percent_~0061532_PL4 uk_1_AVP and Comps" xfId="494" xr:uid="{9309169E-0308-48A3-BE60-914918195779}"/>
    <cellStyle name="_Percent_~0061532_PL4 uk_1_Financials 4" xfId="495" xr:uid="{EB40EF09-AA21-4AB8-B386-BC766261F363}"/>
    <cellStyle name="_Percent_~0061532_PL4 uk_1_'lbo" xfId="496" xr:uid="{94AC276B-09BB-47D1-BE75-108F9EF2C782}"/>
    <cellStyle name="_Percent_~0061532_PL4 uk_1_Model Lilly new 13-06-02" xfId="497" xr:uid="{1A56FBF0-9B8E-4E25-B2A5-BAF8BB69E622}"/>
    <cellStyle name="_Percent_~0061532_PL4 uk_1_Model Lilly new 24-06-02" xfId="498" xr:uid="{D4E43D41-E5FA-4C2A-A70C-B9E86A385F53}"/>
    <cellStyle name="_Percent_~0061532_PL4 uk_1_Model Lilly new 30-01-02" xfId="499" xr:uid="{E673CC49-390A-4459-8D52-767A0A5106EF}"/>
    <cellStyle name="_Percent_~0061532_PL4 uk_1_WACC" xfId="500" xr:uid="{4A68D2D4-896D-4553-A8CF-35427BB32ACC}"/>
    <cellStyle name="_Percent_~0061532_PL4 uk_AVP and Comps" xfId="501" xr:uid="{41C7B88F-0B40-43C4-A071-E588D448EABA}"/>
    <cellStyle name="_Percent_~0061532_PL4 uk_AVP and Comps_Multipli Packaging_Ott 04" xfId="502" xr:uid="{46E7C604-1EF0-4613-880F-FE90013129C8}"/>
    <cellStyle name="_Percent_~0061532_PL4 uk_AVP and Comps_WACC_oil" xfId="503" xr:uid="{67A885E6-35F2-4AD9-BE5D-AAC7D186348D}"/>
    <cellStyle name="_Percent_~0061532_PL4 uk_Book1" xfId="504" xr:uid="{46EDCE13-CD98-4D2A-8C7C-1365500C6F42}"/>
    <cellStyle name="_Percent_~0061532_PL4 uk_BP WindViv1" xfId="505" xr:uid="{A93C637A-B003-40D9-8E8D-09419E946EAE}"/>
    <cellStyle name="_Percent_~0061532_PL4 uk_Comps TMT 30_08_2005 v3" xfId="506" xr:uid="{4B9CD8C5-6445-4226-A0FF-A1190F3D6441}"/>
    <cellStyle name="_Percent_~0061532_PL4 uk_DCF Samba 10-05-03 V3" xfId="507" xr:uid="{A50AE18F-9B28-44D1-A9B5-4551448F53FD}"/>
    <cellStyle name="_Percent_~0061532_PL4 uk_DCF Samba 10-05-03 V3_BP WindViv1" xfId="508" xr:uid="{2F088E52-CCFA-467F-AD2B-9A4BA9348E0E}"/>
    <cellStyle name="_Percent_~0061532_PL4 uk_DCF Samba 10-05-03 V3_GraficiTele-Tiscali" xfId="509" xr:uid="{DCE888C7-8FC4-432C-8C9D-70B92809E23F}"/>
    <cellStyle name="_Percent_~0061532_PL4 uk_DCF Samba 10-05-03 V3_Tabella Acotel1" xfId="510" xr:uid="{5635A3B7-E753-41BA-A973-9FC9EE420CDD}"/>
    <cellStyle name="_Percent_~0061532_PL4 uk_DCF Samba 10-05-03 V3_TabelleDada" xfId="511" xr:uid="{FAD60535-60E4-457F-BD17-F12968AE0B21}"/>
    <cellStyle name="_Percent_~0061532_PL4 uk_DCF Samba 10-05-03 V3_Tiscali Tele 2" xfId="512" xr:uid="{99CC878F-2256-4E92-AF6C-705902057F29}"/>
    <cellStyle name="_Percent_~0061532_PL4 uk_FASTWEB ALBACOM" xfId="513" xr:uid="{AE096EFD-A6C4-4F89-9958-36AA970F66ED}"/>
    <cellStyle name="_Percent_~0061532_PL4 uk_GraficiTele-Tiscali" xfId="514" xr:uid="{46631747-B41F-4BB3-A80D-47294450FFCB}"/>
    <cellStyle name="_Percent_~0061532_PL4 uk_Model Lilly new 13-06-02" xfId="515" xr:uid="{B0DD1132-6903-4819-B51C-DCEA9FB23708}"/>
    <cellStyle name="_Percent_~0061532_PL4 uk_Model Lilly new 13-06-02_Multipli Packaging_Ott 04" xfId="516" xr:uid="{897B0595-77CD-4099-88F6-33B424E8FE48}"/>
    <cellStyle name="_Percent_~0061532_PL4 uk_Model Lilly new 13-06-02_WACC_oil" xfId="517" xr:uid="{7213C7D2-DAE6-44BB-8012-F9E2EDDE8DA6}"/>
    <cellStyle name="_Percent_~0061532_PL4 uk_Model Lilly new 24-06-02" xfId="518" xr:uid="{D80E9EAA-1909-4D47-BAB3-4694D4DAB8FA}"/>
    <cellStyle name="_Percent_~0061532_PL4 uk_Model Lilly new 24-06-02_Multipli Packaging_Ott 04" xfId="519" xr:uid="{CF013A54-E3D4-4C0F-9300-D13CAA5979AB}"/>
    <cellStyle name="_Percent_~0061532_PL4 uk_Model Lilly new 24-06-02_WACC_oil" xfId="520" xr:uid="{CE00E996-4F6F-4DDA-A993-1011AA97C3F2}"/>
    <cellStyle name="_Percent_~0061532_PL4 uk_Multipli_Italtel_v6_27Jan" xfId="521" xr:uid="{E17787C1-5B36-475E-A672-305E283B54F4}"/>
    <cellStyle name="_Percent_~0061532_PL4 uk_Tabella Acotel1" xfId="522" xr:uid="{7BFC5F7F-8D22-4A10-B7B7-4FB83B0D7CBB}"/>
    <cellStyle name="_Percent_~0061532_PL4 uk_TabelleDada" xfId="523" xr:uid="{DCECA0A2-1CBF-4C4D-9618-41A0A821B82F}"/>
    <cellStyle name="_Percent_~0061532_PL4 uk_Tiscali" xfId="524" xr:uid="{B617DE29-DA8D-464D-89C7-C680E5B857A1}"/>
    <cellStyle name="_Percent_~0061532_PL4 uk_Tiscali Tele 2" xfId="525" xr:uid="{2F719651-463C-43E3-AEAB-64E1534A16FD}"/>
    <cellStyle name="_Percent_~0061532_PL4 uk_Tiscali_Multipli_IT-Equipment_Dic05_v1" xfId="526" xr:uid="{E5EF9795-623B-4460-A12A-86C5E065B4AF}"/>
    <cellStyle name="_Percent_~0061532_PL4 uk_Tiscali_Tabella Acotel1" xfId="527" xr:uid="{04A614DD-CFA0-4D6B-BD0D-000DFC71B5B6}"/>
    <cellStyle name="_Percent_~0061532_PL4 uk_Tiscali_TabelleDada" xfId="528" xr:uid="{946571F5-8A46-4C18-8271-6433ED321D14}"/>
    <cellStyle name="_Percent_~0061532_PL4 uk_Tiscali_Tiscali Tele 2" xfId="529" xr:uid="{2CFD6995-FD8A-4726-9534-9D8C38774A56}"/>
    <cellStyle name="_Percent_~0061532_PL4 uk_Valuation Samba 09-05-03" xfId="530" xr:uid="{CDD87A9D-5B44-4E85-B056-A06BE389BCB9}"/>
    <cellStyle name="_Percent_~0061532_PL4 uk_WACC" xfId="531" xr:uid="{A5960FCF-7E0F-4B0F-8CA4-E48CEBA86455}"/>
    <cellStyle name="_Percent_~0061532_PL4 uk_WACC Analysis" xfId="532" xr:uid="{D2ACF009-AE5D-482F-82BD-B2195CFFD025}"/>
    <cellStyle name="_Percent_~0061532_WACC" xfId="533" xr:uid="{B041EC18-BF3E-4BD2-B0E1-C2927C982042}"/>
    <cellStyle name="_Percent_AccretionDilution" xfId="534" xr:uid="{1FDA333A-9373-41CA-A6F4-265BD54D9378}"/>
    <cellStyle name="_Percent_AVP and Comps" xfId="535" xr:uid="{35753B26-1296-4161-8822-CA830307C5C0}"/>
    <cellStyle name="_Percent_AVP and Comps_Multipli Packaging_Ott 04" xfId="536" xr:uid="{5D3517D8-B2B7-459A-82B7-F59D57A56BDC}"/>
    <cellStyle name="_Percent_AVP and Comps_WACC_oil" xfId="537" xr:uid="{AB71ED07-6014-4559-8E19-5F067BC5C511}"/>
    <cellStyle name="_Percent_Book1" xfId="538" xr:uid="{A1DF7026-C92D-4481-9292-83F952E39410}"/>
    <cellStyle name="_Percent_Book1_Multipli_Italtel_v6_27Jan" xfId="539" xr:uid="{43F74C0C-37FE-4870-959F-5432CBC1034F}"/>
    <cellStyle name="_Percent_BP WindViv1" xfId="540" xr:uid="{C4AD815B-A4A6-4ED2-A26F-D73FECD1511A}"/>
    <cellStyle name="_Percent_Comps TMT 30_08_2005 v3" xfId="541" xr:uid="{565FAD7B-AD14-4BC4-8DD3-1955CB2C4B5F}"/>
    <cellStyle name="_Percent_consensus thalès" xfId="542" xr:uid="{ABF0F144-A3B7-458A-9A90-3929B5BCB166}"/>
    <cellStyle name="_Percent_DCF Samba 10-05-03 V3" xfId="543" xr:uid="{62BBC913-B430-4B70-994A-05670A7DD211}"/>
    <cellStyle name="_Percent_DCF Samba 10-05-03 V3_BP WindViv1" xfId="544" xr:uid="{9AE860F8-DD79-4E8D-9643-79B831A3C961}"/>
    <cellStyle name="_Percent_DCF Samba 10-05-03 V3_GraficiTele-Tiscali" xfId="545" xr:uid="{7BE75F2D-887F-4FF9-A8F0-72C0A5B08AEA}"/>
    <cellStyle name="_Percent_DCF Samba 10-05-03 V3_GraficiTele-Tiscali_Merlon Company" xfId="546" xr:uid="{F938F852-FC76-4FFA-AEAD-1C6912665B05}"/>
    <cellStyle name="_Percent_DCF Samba 10-05-03 V3_Tabella Acotel1" xfId="547" xr:uid="{7E42E2A7-D0DA-4291-9D5D-77B1F961895A}"/>
    <cellStyle name="_Percent_DCF Samba 10-05-03 V3_TabelleDada" xfId="548" xr:uid="{685E9030-54A7-4095-89C4-9D14F5C6B693}"/>
    <cellStyle name="_Percent_DCF Samba 10-05-03 V3_Tiscali Tele 2" xfId="549" xr:uid="{7CEF23F7-D509-4B53-9AD5-0CE1FAD54BC6}"/>
    <cellStyle name="_Percent_FASTWEB ALBACOM" xfId="550" xr:uid="{E44CD098-F301-4E67-8DCA-6D13F9BF906A}"/>
    <cellStyle name="_Percent_GraficiTele-Tiscali" xfId="551" xr:uid="{BBCC5EB9-2560-4CC2-9B01-936EF452F2D5}"/>
    <cellStyle name="_Percent_GraficiTele-Tiscali_Merlon Company" xfId="552" xr:uid="{B9BD7259-784E-4661-888F-421942206C28}"/>
    <cellStyle name="_Percent_Model Lilly new 13-06-02" xfId="553" xr:uid="{57D9D2C9-61A4-425E-9AE0-043389B3F5E5}"/>
    <cellStyle name="_Percent_Model Lilly new 13-06-02_Multipli Packaging_Ott 04" xfId="554" xr:uid="{20797906-C9FF-4626-942F-590933E82414}"/>
    <cellStyle name="_Percent_Model Lilly new 13-06-02_WACC_oil" xfId="555" xr:uid="{9A5F9081-723D-410E-88A3-15846388D6CC}"/>
    <cellStyle name="_Percent_Model Lilly new 24-06-02" xfId="556" xr:uid="{434C37A2-7175-4344-993B-3E6794DA5394}"/>
    <cellStyle name="_Percent_Model Lilly new 24-06-02_Multipli Packaging_Ott 04" xfId="557" xr:uid="{4FCD637B-E601-4015-9D3A-0C7B4A0A8E01}"/>
    <cellStyle name="_Percent_Model Lilly new 24-06-02_WACC_oil" xfId="558" xr:uid="{C6E25524-E6C8-4187-AFBC-722A2D1B2F97}"/>
    <cellStyle name="_Percent_Model v38(fixed shares)" xfId="559" xr:uid="{AF5003FD-8826-46D3-ABB7-D4FACB0327D9}"/>
    <cellStyle name="_Percent_Modele Etoile 140302" xfId="560" xr:uid="{60AEF0D9-0BC7-4308-9158-FCD9F25D1BE7}"/>
    <cellStyle name="_Percent_Multipli_Italtel_v6_27Jan" xfId="561" xr:uid="{EFEC9991-2196-4586-B607-4A6EB26B814A}"/>
    <cellStyle name="_Percent_Newspaper Comps - New" xfId="562" xr:uid="{F402A7A1-262F-4942-9AC5-2B5345D2A6AD}"/>
    <cellStyle name="_Percent_Nickel" xfId="563" xr:uid="{93B7C933-80A7-47AE-833F-6F00D1B493E6}"/>
    <cellStyle name="_Percent_Nickel_1" xfId="564" xr:uid="{AFC09D32-E7B2-4EE8-8DF8-D61AA1F2CC48}"/>
    <cellStyle name="_Percent_Nickel_1_AVP and Comps" xfId="565" xr:uid="{FEB1C964-3DA0-4BBC-8D59-51F25E2EDF97}"/>
    <cellStyle name="_Percent_Nickel_1_Book1" xfId="566" xr:uid="{DA393E61-95E5-4D34-8C04-A9A7F8CAD920}"/>
    <cellStyle name="_Percent_Nickel_1_Comps TMT 30_08_2005 v3" xfId="567" xr:uid="{71405562-F04E-496B-90FD-B1190BCA3451}"/>
    <cellStyle name="_Percent_Nickel_1_Comps TMT 30_08_2005 v3_Alimentazione BoD 10-21 september_fatturati OK" xfId="568" xr:uid="{B74A7FAA-9EF1-472E-8D8B-1F86052E1FE9}"/>
    <cellStyle name="_Percent_Nickel_1_FASTWEB ALBACOM" xfId="569" xr:uid="{C334DC3B-D1AF-4F37-8B9D-2F3886227B80}"/>
    <cellStyle name="_Percent_Nickel_1_'lbo" xfId="570" xr:uid="{252A40F3-79B4-42D7-A5FD-FC8907E4D0DC}"/>
    <cellStyle name="_Percent_Nickel_1_'lbo_Comps RQ-vHTIL" xfId="571" xr:uid="{15201AEB-E1BD-41D3-8CAF-981D37D7E4E2}"/>
    <cellStyle name="_Percent_Nickel_1_'lbo_Comps RQ-vHTIL_Alimentazione BoD 10-21 september_fatturati OK" xfId="572" xr:uid="{2484F0D9-7E42-447D-A757-C50656BB01C0}"/>
    <cellStyle name="_Percent_Nickel_1_'lbo_Comps RQ-vHTIL_WACC Analysis" xfId="573" xr:uid="{03B88B9C-BBB4-4668-B665-E5672177873C}"/>
    <cellStyle name="_Percent_Nickel_1_'lbo_Comps RQ-vTM" xfId="574" xr:uid="{F777987D-E02D-4DE7-8F73-BFE357E73105}"/>
    <cellStyle name="_Percent_Nickel_1_'lbo_Comps RQ-vTM_Alimentazione BoD 10-21 september_fatturati OK" xfId="575" xr:uid="{1909A1DE-A833-4733-B8DA-65331487AA21}"/>
    <cellStyle name="_Percent_Nickel_1_'lbo_Comps RQ-vTM_v1" xfId="576" xr:uid="{F2C317C3-8DC6-418F-973A-D1C43F529190}"/>
    <cellStyle name="_Percent_Nickel_1_'lbo_Comps RQ-vTM_v1_Alimentazione BoD 10-21 september_fatturati OK" xfId="577" xr:uid="{D23FF07C-41A6-4B43-AF3D-8E499F042E41}"/>
    <cellStyle name="_Percent_Nickel_1_'lbo_Comps RQ-vTM_v1_WACC Analysis" xfId="578" xr:uid="{BCD1262F-EA78-42BD-BD4C-F37C6EB484CB}"/>
    <cellStyle name="_Percent_Nickel_1_'lbo_Comps RQ-vTM_WACC Analysis" xfId="579" xr:uid="{878BA608-4344-4090-AD41-5779F9434AF1}"/>
    <cellStyle name="_Percent_Nickel_1_'lbo_Comps TMT 30_08_2005" xfId="580" xr:uid="{75F70028-1215-408C-B0DC-1A0911CF19CA}"/>
    <cellStyle name="_Percent_Nickel_1_'lbo_Multipli_IT-Equipment_Dic05_v1" xfId="581" xr:uid="{FE03F577-5021-49AF-85B5-C30BB9C85F43}"/>
    <cellStyle name="_Percent_Nickel_1_'lbo_WACC Analysis" xfId="582" xr:uid="{DD429A86-EEEC-46A7-A45C-F9C1AF35D35B}"/>
    <cellStyle name="_Percent_Nickel_1_Model Lilly new 13-06-02" xfId="583" xr:uid="{2334E101-5666-47C0-A721-E12035E3B68B}"/>
    <cellStyle name="_Percent_Nickel_1_Model Lilly new 24-06-02" xfId="584" xr:uid="{85ACCD2A-F804-4526-A0F6-43AF0E379921}"/>
    <cellStyle name="_Percent_Nickel_1_Multipli_Italtel_v6_27Jan" xfId="585" xr:uid="{9AE5DA92-8D1E-42D5-AB16-67B755F326E1}"/>
    <cellStyle name="_Percent_Nickel_1_Multipli_Italtel_v6_27Jan_Alimentazione BoD 10-21 september_fatturati OK" xfId="586" xr:uid="{1B828277-F491-4CC2-8FA2-FA88232CF236}"/>
    <cellStyle name="_Percent_Nickel_1_WACC" xfId="587" xr:uid="{A9A544BF-2C73-4963-871B-FB2C83380779}"/>
    <cellStyle name="_Percent_Nickel_1_WACC Analysis" xfId="588" xr:uid="{D97B7673-AA7B-4012-B96E-D5D523A2BDF2}"/>
    <cellStyle name="_Percent_Nickel_AVP and Comps" xfId="589" xr:uid="{B5F774AD-0F1E-41CB-BAC4-830897AFD73A}"/>
    <cellStyle name="_Percent_Nickel_Model Lilly new 13-06-02" xfId="590" xr:uid="{38FE3352-0564-473C-885F-48D57A782AD3}"/>
    <cellStyle name="_Percent_Nickel_Model Lilly new 24-06-02" xfId="591" xr:uid="{B343FAEC-CB59-4A09-A430-53DCE834C8D0}"/>
    <cellStyle name="_Percent_Nickel_WACC" xfId="592" xr:uid="{1907E56C-078A-406C-BD39-6DB3D09E1F26}"/>
    <cellStyle name="_Percent_PL4 uk" xfId="593" xr:uid="{5CD3FE59-A975-4895-AB4C-3A68961B3F33}"/>
    <cellStyle name="_Percent_PL4 uk_1" xfId="594" xr:uid="{9A6146DF-5513-4B62-9921-B84284072F4F}"/>
    <cellStyle name="_Percent_PL4 uk_1_AVP and Comps" xfId="595" xr:uid="{EE5801FA-595A-4A38-AD20-DBC4EA038153}"/>
    <cellStyle name="_Percent_PL4 uk_1_AVP and Comps_Multipli Packaging_Ott 04" xfId="596" xr:uid="{3F47E249-5DCB-4451-9554-230207C4C422}"/>
    <cellStyle name="_Percent_PL4 uk_1_AVP and Comps_WACC_oil" xfId="597" xr:uid="{954F8207-1F5B-4CD4-9574-04608C0FF83F}"/>
    <cellStyle name="_Percent_PL4 uk_1_Book1" xfId="598" xr:uid="{F096CED5-C94F-4631-AB49-0F65545155D6}"/>
    <cellStyle name="_Percent_PL4 uk_1_BP WindViv1" xfId="599" xr:uid="{C09B65A8-E7D3-4B54-8E65-3935798491FC}"/>
    <cellStyle name="_Percent_PL4 uk_1_Comps TMT 30_08_2005 v3" xfId="600" xr:uid="{0E557521-3461-4CE4-8178-129FE50E898A}"/>
    <cellStyle name="_Percent_PL4 uk_1_DCF Samba 10-05-03 V3" xfId="601" xr:uid="{FE1A98DD-1A67-472E-80F6-5F6C00EC2514}"/>
    <cellStyle name="_Percent_PL4 uk_1_DCF Samba 10-05-03 V3_BP WindViv1" xfId="602" xr:uid="{6E6CC6E8-17D4-4382-9B1A-59A7FB030EBA}"/>
    <cellStyle name="_Percent_PL4 uk_1_DCF Samba 10-05-03 V3_GraficiTele-Tiscali" xfId="603" xr:uid="{2028E6B0-AA01-4086-9445-E4D0D210532C}"/>
    <cellStyle name="_Percent_PL4 uk_1_DCF Samba 10-05-03 V3_Tabella Acotel1" xfId="604" xr:uid="{433F8A88-CE8A-482A-9308-BEACD83C37AB}"/>
    <cellStyle name="_Percent_PL4 uk_1_DCF Samba 10-05-03 V3_TabelleDada" xfId="605" xr:uid="{1079E2E7-EDA6-40DE-BEDA-07FED199C392}"/>
    <cellStyle name="_Percent_PL4 uk_1_DCF Samba 10-05-03 V3_Tiscali Tele 2" xfId="606" xr:uid="{0DB92ED9-6358-4EAF-BE07-F1DC69A90DA9}"/>
    <cellStyle name="_Percent_PL4 uk_1_FASTWEB ALBACOM" xfId="607" xr:uid="{F7780945-F4AD-4D7A-81DA-DE5B02BFFDB5}"/>
    <cellStyle name="_Percent_PL4 uk_1_Financials 4" xfId="608" xr:uid="{F380F101-8C39-4A8C-A604-AD796342BC49}"/>
    <cellStyle name="_Percent_PL4 uk_1_GraficiTele-Tiscali" xfId="609" xr:uid="{3DC66023-349B-4C6F-862D-4ECDCA48BD68}"/>
    <cellStyle name="_Percent_PL4 uk_1_'lbo" xfId="610" xr:uid="{533BE8A9-FAC8-403B-8415-FD630D8E7A12}"/>
    <cellStyle name="_Percent_PL4 uk_1_Model Lilly new 13-06-02" xfId="611" xr:uid="{7CDBAF28-6CE3-48BB-96D7-2E76BF2642C0}"/>
    <cellStyle name="_Percent_PL4 uk_1_Model Lilly new 13-06-02_Multipli Packaging_Ott 04" xfId="612" xr:uid="{430E203E-EF8C-4A26-B4EA-0B035EDF62C5}"/>
    <cellStyle name="_Percent_PL4 uk_1_Model Lilly new 13-06-02_WACC_oil" xfId="613" xr:uid="{F150C461-0F69-4AD9-97FF-97EB10C2927A}"/>
    <cellStyle name="_Percent_PL4 uk_1_Model Lilly new 24-06-02" xfId="614" xr:uid="{FA856C9F-3332-48EE-8E72-D7AFCCDE226C}"/>
    <cellStyle name="_Percent_PL4 uk_1_Model Lilly new 24-06-02_Multipli Packaging_Ott 04" xfId="615" xr:uid="{341CEBB7-6CC9-417F-BA49-18612BAB1EDD}"/>
    <cellStyle name="_Percent_PL4 uk_1_Model Lilly new 24-06-02_WACC_oil" xfId="616" xr:uid="{49EC0F26-7C9E-4EE3-8CC1-BA9D036EE911}"/>
    <cellStyle name="_Percent_PL4 uk_1_Model Lilly new 30-01-02" xfId="617" xr:uid="{1AC974F9-9723-4A45-8791-4B7484CE7548}"/>
    <cellStyle name="_Percent_PL4 uk_1_Model Lilly new 30-01-02_Comps RQ-vHTIL" xfId="618" xr:uid="{0C73E9DC-602D-4BAA-900D-2D762A1ABBB8}"/>
    <cellStyle name="_Percent_PL4 uk_1_Model Lilly new 30-01-02_Comps RQ-vTM" xfId="619" xr:uid="{14A8A301-54DB-4CDA-9099-02589CD1462D}"/>
    <cellStyle name="_Percent_PL4 uk_1_Model Lilly new 30-01-02_Comps RQ-vTM_v1" xfId="620" xr:uid="{7778386F-4880-4600-A0D0-09DAD38714A4}"/>
    <cellStyle name="_Percent_PL4 uk_1_Model Lilly new 30-01-02_Comps TMT 30_08_2005" xfId="621" xr:uid="{B8FBF834-5243-4D18-A669-7C04BEF5A06A}"/>
    <cellStyle name="_Percent_PL4 uk_1_Model Lilly new 30-01-02_Sintesi Comps" xfId="622" xr:uid="{AB62A146-5010-4569-AE1E-A3D9D5027DF3}"/>
    <cellStyle name="_Percent_PL4 uk_1_Model Lilly new 30-01-02_WACC" xfId="623" xr:uid="{ED7A3486-09C2-404D-85CE-F86FDDA216F0}"/>
    <cellStyle name="_Percent_PL4 uk_1_Model Lilly new 30-01-02_WACC Analysis" xfId="624" xr:uid="{95858031-7D7F-4739-921C-B0B1061F6112}"/>
    <cellStyle name="_Percent_PL4 uk_1_Multipli_Italtel_v6_27Jan" xfId="625" xr:uid="{6BC8A47E-5D47-4C2F-A01F-6687A1D83A14}"/>
    <cellStyle name="_Percent_PL4 uk_1_Tabella Acotel1" xfId="626" xr:uid="{A7623039-3BFE-45E1-AE69-A7A145A988A5}"/>
    <cellStyle name="_Percent_PL4 uk_1_TabelleDada" xfId="627" xr:uid="{3B43A5A4-80C0-4753-8052-660534D775BF}"/>
    <cellStyle name="_Percent_PL4 uk_1_Tiscali" xfId="628" xr:uid="{973257F5-C9A2-4545-956F-A8635E32E6A7}"/>
    <cellStyle name="_Percent_PL4 uk_1_Tiscali Tele 2" xfId="629" xr:uid="{57D4BE33-2AC5-4F01-BB4F-B1CA391C6720}"/>
    <cellStyle name="_Percent_PL4 uk_1_Tiscali_Multipli_IT-Equipment_Dic05_v1" xfId="630" xr:uid="{F9AF5175-5854-4833-84F6-FD817C10AF3A}"/>
    <cellStyle name="_Percent_PL4 uk_1_Tiscali_Tabella Acotel1" xfId="631" xr:uid="{AB60AC94-30FD-4BD9-B9A5-A55D88FB3EFA}"/>
    <cellStyle name="_Percent_PL4 uk_1_Tiscali_TabelleDada" xfId="632" xr:uid="{312FDA79-9DB6-4B12-8BEE-400416ADB674}"/>
    <cellStyle name="_Percent_PL4 uk_1_Tiscali_Tiscali Tele 2" xfId="633" xr:uid="{709BA69C-ACC3-4C05-8F6F-B1BCC75D483C}"/>
    <cellStyle name="_Percent_PL4 uk_1_Valuation Samba 09-05-03" xfId="634" xr:uid="{36357CA3-7BDB-4098-9850-44685E2823AD}"/>
    <cellStyle name="_Percent_PL4 uk_1_WACC" xfId="635" xr:uid="{5ED8981F-EC50-4E13-8200-6A51A24EF102}"/>
    <cellStyle name="_Percent_PL4 uk_1_WACC Analysis" xfId="636" xr:uid="{F9566131-2232-439A-B2B8-B371DFD8637A}"/>
    <cellStyle name="_Percent_PL4 uk_AVP and Comps" xfId="637" xr:uid="{023F003F-8940-485D-9B59-1B2EC878F986}"/>
    <cellStyle name="_Percent_PL4 uk_Model Lilly new 13-06-02" xfId="638" xr:uid="{6009D7EF-5B9D-4DE6-940A-0BD60940AFE9}"/>
    <cellStyle name="_Percent_PL4 uk_Model Lilly new 24-06-02" xfId="639" xr:uid="{1808B97D-7438-407D-B598-216AE8449474}"/>
    <cellStyle name="_Percent_PL4 uk_WACC" xfId="640" xr:uid="{690A9108-3C0D-4E86-82F3-2292B0F4BFBD}"/>
    <cellStyle name="_Percent_pro_forma_model_paris" xfId="641" xr:uid="{940FE502-4F04-446D-ABDA-A2BB4BC6C241}"/>
    <cellStyle name="_Percent_pro_forma_model_paris_AccretionDilution" xfId="642" xr:uid="{2C571BA2-3496-4026-B916-70D0668A22E8}"/>
    <cellStyle name="_Percent_pro_forma_model_paris_Book1" xfId="643" xr:uid="{04E550F7-88BF-435B-BD9D-0C1536B0216F}"/>
    <cellStyle name="_Percent_pro_forma_model_paris_Comps TMT 30_08_2005" xfId="644" xr:uid="{4C8A2FAB-928C-4F34-9181-B02EBB653AA1}"/>
    <cellStyle name="_Percent_pro_forma_model_paris_Comps TMT 30_08_2005 v3" xfId="645" xr:uid="{008D0B70-5FC8-443C-8EC8-D4846AC6FFDD}"/>
    <cellStyle name="_Percent_pro_forma_model_paris_consensus thalès" xfId="646" xr:uid="{D94DD59B-DCEC-4CA9-B637-127D04B83D82}"/>
    <cellStyle name="_Percent_pro_forma_model_paris_FASTWEB ALBACOM" xfId="647" xr:uid="{788ECDE6-0D1C-4D5A-A4DA-C4F27EEB1743}"/>
    <cellStyle name="_Percent_pro_forma_model_paris_Multipli_Italtel_v6_27Jan" xfId="648" xr:uid="{337FDAB5-848E-4A79-AAFF-03FAD5DCE468}"/>
    <cellStyle name="_Percent_pro_forma_model_paris_Multipli_IT-Equipment_Dic05_v1" xfId="649" xr:uid="{C53276A2-560C-4A29-A4D8-E4B594B12D59}"/>
    <cellStyle name="_Percent_pro_forma_model_paris_Newspaper Comps - New" xfId="650" xr:uid="{4FFE166A-F451-44BA-A3D6-C52C597589F6}"/>
    <cellStyle name="_Percent_pro_forma_model_paris_Newspaper Comps - New_Comps TMT 30_08_2005" xfId="651" xr:uid="{9E833067-767E-4E2F-AF96-977B49706689}"/>
    <cellStyle name="_Percent_pro_forma_model_paris_Newspaper Comps - New_consensus thalès" xfId="652" xr:uid="{C0616112-707B-47B5-A205-15EE70EDA193}"/>
    <cellStyle name="_Percent_pro_forma_model_paris_Newspaper Comps - New_Multipli_IT-Equipment_Dic05_v1" xfId="653" xr:uid="{2BFB0E31-5B41-4AF8-8FCE-551905890CE1}"/>
    <cellStyle name="_Percent_pro_forma_model_paris_Newspaper Comps - New_Wind Valuation Overview 11_11_2005 v.2" xfId="654" xr:uid="{F516CE78-C5A0-40F0-80BF-4E90300660C9}"/>
    <cellStyle name="_Percent_pro_forma_model_paris_president_comps_3" xfId="655" xr:uid="{A73C3107-4749-4B9F-91C8-DA45311CC66D}"/>
    <cellStyle name="_Percent_pro_forma_model_paris_president_comps_3_consensus thalès" xfId="656" xr:uid="{A9ABA56A-B11B-461F-84DD-A6AE1E7D5CA5}"/>
    <cellStyle name="_Percent_pro_forma_model_paris_WACC Analysis" xfId="657" xr:uid="{9FA79982-1C99-4D67-8D85-23F9647FCC52}"/>
    <cellStyle name="_Percent_pro_forma_model_paris_Wind Valuation Overview 11_11_2005 v.2" xfId="658" xr:uid="{F39B5AD7-F30F-45C0-B087-C38A710FDBA9}"/>
    <cellStyle name="_Percent_Tabella Acotel1" xfId="659" xr:uid="{EADA4FD1-9167-4EF9-AB50-6FCA44B87517}"/>
    <cellStyle name="_Percent_TabelleDada" xfId="660" xr:uid="{B08BFE5E-B539-41F5-A2A1-60253C31F6AE}"/>
    <cellStyle name="_Percent_Tiscali" xfId="661" xr:uid="{508BC3AA-C090-4AF5-B95B-C7D57F0D3131}"/>
    <cellStyle name="_Percent_Tiscali Tele 2" xfId="662" xr:uid="{35CB5223-DAEE-4728-BDB7-0487716F3579}"/>
    <cellStyle name="_Percent_Tiscali_Merlon Company" xfId="663" xr:uid="{C6DAC030-8705-4526-AE52-91147C70F1C5}"/>
    <cellStyle name="_Percent_Tiscali_Multipli_IT-Equipment_Dic05_v1" xfId="664" xr:uid="{9B8A9E0D-D222-436B-B959-FFBB52850C85}"/>
    <cellStyle name="_Percent_Tiscali_Tabella Acotel1" xfId="665" xr:uid="{B55CC56A-91C1-4DFD-B801-051EB37F4E8E}"/>
    <cellStyle name="_Percent_Tiscali_TabelleDada" xfId="666" xr:uid="{9E758256-A4B3-44DB-A65A-4B861ED8E76D}"/>
    <cellStyle name="_Percent_Tiscali_Tiscali Tele 2" xfId="667" xr:uid="{7798A814-ECAB-4D5F-8A0C-74BFCD60DF58}"/>
    <cellStyle name="_Percent_Valuation Samba 09-05-03" xfId="668" xr:uid="{D41E22D4-0027-46CA-AEBB-4B45AF7F4793}"/>
    <cellStyle name="_Percent_WACC" xfId="669" xr:uid="{8359924E-091E-4132-A10F-4B2A55B4848A}"/>
    <cellStyle name="_Percent_WACC Analysis" xfId="670" xr:uid="{2FE11120-2D01-4BC3-B96E-A343A5C33DCD}"/>
    <cellStyle name="_PercentSpace" xfId="671" xr:uid="{537A3DFD-B151-4EFB-A4BD-761544219C0B}"/>
    <cellStyle name="_PercentSpace_~0061532" xfId="672" xr:uid="{ADFE29B3-E34B-467F-9577-EE94AA22C025}"/>
    <cellStyle name="_PercentSpace_~0061532_AVP and Comps" xfId="673" xr:uid="{BFDC0412-0485-43CC-8E20-31734F258904}"/>
    <cellStyle name="_PercentSpace_~0061532_Financials 4" xfId="674" xr:uid="{29EB30E3-4213-49A3-9299-6C1DB4C14D32}"/>
    <cellStyle name="_PercentSpace_~0061532_'lbo" xfId="675" xr:uid="{330B6E1D-8E3E-4400-9678-EEEE10AD11D1}"/>
    <cellStyle name="_PercentSpace_~0061532_Model Lilly new 13-06-02" xfId="676" xr:uid="{1F7A4DE7-098E-4A06-B6D8-818593EA8E34}"/>
    <cellStyle name="_PercentSpace_~0061532_Model Lilly new 24-06-02" xfId="677" xr:uid="{26042042-C915-48E5-917F-8DEA7740AE33}"/>
    <cellStyle name="_PercentSpace_~0061532_Model Lilly new 30-01-02" xfId="678" xr:uid="{AFA91DD2-C12A-42A4-9A63-5AAB2870B945}"/>
    <cellStyle name="_PercentSpace_~0061532_Model Lilly new 30-01-02_Comps RQ-vHTIL" xfId="679" xr:uid="{F9CD1EC4-F3E8-4CE1-9888-40ABEF02320C}"/>
    <cellStyle name="_PercentSpace_~0061532_Model Lilly new 30-01-02_Comps RQ-vHTIL_Alimentazione BoD 10-21 september_fatturati OK" xfId="680" xr:uid="{E5AD8921-9FB0-44E2-89ED-D8435868866E}"/>
    <cellStyle name="_PercentSpace_~0061532_Model Lilly new 30-01-02_Comps RQ-vHTIL_WACC Analysis" xfId="681" xr:uid="{E634DF42-B419-4A6E-91AE-661D6290131A}"/>
    <cellStyle name="_PercentSpace_~0061532_Model Lilly new 30-01-02_Comps RQ-vTM" xfId="682" xr:uid="{EFB70303-6E69-4793-A48F-E0142C0C7761}"/>
    <cellStyle name="_PercentSpace_~0061532_Model Lilly new 30-01-02_Comps RQ-vTM_Alimentazione BoD 10-21 september_fatturati OK" xfId="683" xr:uid="{5B71FF0B-AB04-49BE-81B7-D653948DD2DB}"/>
    <cellStyle name="_PercentSpace_~0061532_Model Lilly new 30-01-02_Comps RQ-vTM_v1" xfId="684" xr:uid="{06A86CD5-6C0B-4819-B4A7-BAB4E9BF1A32}"/>
    <cellStyle name="_PercentSpace_~0061532_Model Lilly new 30-01-02_Comps RQ-vTM_v1_Alimentazione BoD 10-21 september_fatturati OK" xfId="685" xr:uid="{7F9DA220-97C7-4D90-9CF1-A9739BA541C1}"/>
    <cellStyle name="_PercentSpace_~0061532_Model Lilly new 30-01-02_Comps RQ-vTM_v1_WACC Analysis" xfId="686" xr:uid="{109728A0-7F11-4983-8D03-1ADC20592CD6}"/>
    <cellStyle name="_PercentSpace_~0061532_Model Lilly new 30-01-02_Comps RQ-vTM_WACC Analysis" xfId="687" xr:uid="{095E6B09-AF4E-4256-96EA-9910C528EBAF}"/>
    <cellStyle name="_PercentSpace_~0061532_Model Lilly new 30-01-02_Comps TMT 30_08_2005" xfId="688" xr:uid="{58F998FB-0730-4A7C-9C18-E2917E6F0D92}"/>
    <cellStyle name="_PercentSpace_~0061532_Model Lilly new 30-01-02_Multipli_IT-Equipment_Dic05_v1" xfId="689" xr:uid="{724CE51B-7DFE-422E-B20E-814544531C1F}"/>
    <cellStyle name="_PercentSpace_~0061532_PL4 uk" xfId="690" xr:uid="{D983C242-D039-4FB1-9534-B4956864ED89}"/>
    <cellStyle name="_PercentSpace_~0061532_PL4 uk_1" xfId="691" xr:uid="{E62CC7B9-243A-432B-8B67-97CEF0135977}"/>
    <cellStyle name="_PercentSpace_~0061532_PL4 uk_1_Comps TMT 30_08_2005" xfId="692" xr:uid="{7E5D2041-9DA5-4B62-9192-A8529A5AA85D}"/>
    <cellStyle name="_PercentSpace_~0061532_PL4 uk_1_Multipli_Italtel_v6_27Jan" xfId="693" xr:uid="{00ADB19C-C25B-4A2F-B306-6E1EA13006EF}"/>
    <cellStyle name="_PercentSpace_~0061532_PL4 uk_1_Multipli_IT-Equipment_Dic05_v1" xfId="694" xr:uid="{C6AC60C7-E93A-47D4-8C1E-01407097FFE1}"/>
    <cellStyle name="_PercentSpace_~0061532_PL4 uk_1_Wind Valuation Overview 11_11_2005 v.2" xfId="695" xr:uid="{B0A27677-063C-4ACB-ADEF-070BF90BB363}"/>
    <cellStyle name="_PercentSpace_~0061532_PL4 uk_AVP and Comps" xfId="696" xr:uid="{B93B4D7F-36AD-45B5-A9DB-2FCCC75D9E60}"/>
    <cellStyle name="_PercentSpace_~0061532_PL4 uk_Model Lilly new 13-06-02" xfId="697" xr:uid="{0A80B813-6071-4E63-A441-144CD4DEF35B}"/>
    <cellStyle name="_PercentSpace_~0061532_PL4 uk_Model Lilly new 24-06-02" xfId="698" xr:uid="{203E4A17-4632-4893-BB8F-24A321FD52FA}"/>
    <cellStyle name="_PercentSpace_~0061532_PL4 uk_WACC" xfId="699" xr:uid="{5CC6779B-00C5-4772-81BC-66C12067AE6A}"/>
    <cellStyle name="_PercentSpace_~0061532_WACC" xfId="700" xr:uid="{576BDD39-6F16-4BA4-BD11-105E2D4796D6}"/>
    <cellStyle name="_PercentSpace_AccretionDilution" xfId="701" xr:uid="{5639072C-F95D-455F-932A-17E30C377D02}"/>
    <cellStyle name="_PercentSpace_AccretionDilution_consensus thalès" xfId="702" xr:uid="{BE15A602-D8B3-4CB3-B109-CAF3CA3072E5}"/>
    <cellStyle name="_PercentSpace_AVP and Comps" xfId="703" xr:uid="{84535C0F-6433-4185-9462-671277AD35F3}"/>
    <cellStyle name="_PercentSpace_Book1" xfId="704" xr:uid="{89BF5C06-85AF-4D34-BAFD-CF43DD497560}"/>
    <cellStyle name="_PercentSpace_Comps TMT 30_08_2005 v3" xfId="705" xr:uid="{A43D981F-2522-4B8E-989B-FD7CF4CED16C}"/>
    <cellStyle name="_PercentSpace_consensus thalès" xfId="706" xr:uid="{90A31381-D3BF-4708-A919-BE35D5388563}"/>
    <cellStyle name="_PercentSpace_FASTWEB ALBACOM" xfId="707" xr:uid="{675410A6-9F28-4D70-B5B6-FEE80F1E1592}"/>
    <cellStyle name="_PercentSpace_Financials 4" xfId="708" xr:uid="{388FC141-5582-489B-9D62-0D98F5268673}"/>
    <cellStyle name="_PercentSpace_'lbo" xfId="709" xr:uid="{C2DF1767-6E71-4014-A45B-25DF21462ED6}"/>
    <cellStyle name="_PercentSpace_Model Lilly new 13-06-02" xfId="710" xr:uid="{01FC5FF7-014F-4706-82C9-1ECD659C8F60}"/>
    <cellStyle name="_PercentSpace_Model Lilly new 24-06-02" xfId="711" xr:uid="{C2CED728-D5C0-44E7-87A7-EB6B7E9EF187}"/>
    <cellStyle name="_PercentSpace_Model Lilly new 30-01-02" xfId="712" xr:uid="{85CB4EDB-A6C8-480F-AC6B-D9F9D2DA2F36}"/>
    <cellStyle name="_PercentSpace_Model v38(fixed shares)" xfId="713" xr:uid="{7E1AE067-9782-4FCB-88D9-F36F6BEA2F3E}"/>
    <cellStyle name="_PercentSpace_Modele Etoile 140302" xfId="714" xr:uid="{1CFBD765-FF66-4380-BF08-B65311C8C16C}"/>
    <cellStyle name="_PercentSpace_Multipli_Italtel_v6_27Jan" xfId="715" xr:uid="{770AACF2-2DB7-4116-976B-8DABC024A5D9}"/>
    <cellStyle name="_PercentSpace_Newspaper Comps - New" xfId="716" xr:uid="{07EF1493-DABE-40FA-869D-238696209FA8}"/>
    <cellStyle name="_PercentSpace_PL4 uk" xfId="717" xr:uid="{15D4EEB7-DFFA-4D2F-B222-94AC0A8B77A5}"/>
    <cellStyle name="_PercentSpace_PL4 uk_1" xfId="718" xr:uid="{0D401C7A-E932-4EB5-9E7E-72E69035B975}"/>
    <cellStyle name="_PercentSpace_PL4 uk_1_AVP and Comps" xfId="719" xr:uid="{43591BCE-764B-4524-81C2-076EF655F369}"/>
    <cellStyle name="_PercentSpace_PL4 uk_1_Financials 4" xfId="720" xr:uid="{FEC5D3A2-77BC-46C3-8F6B-51294774A931}"/>
    <cellStyle name="_PercentSpace_PL4 uk_1_'lbo" xfId="721" xr:uid="{6E7BE5EA-365A-4690-9794-CC1FD1CE11E7}"/>
    <cellStyle name="_PercentSpace_PL4 uk_1_Model Lilly new 13-06-02" xfId="722" xr:uid="{DA2A66E8-A843-4D84-BE47-AC7AEFC2D274}"/>
    <cellStyle name="_PercentSpace_PL4 uk_1_Model Lilly new 24-06-02" xfId="723" xr:uid="{5A5F7A6D-C563-4D28-B903-4E30E14E6C9D}"/>
    <cellStyle name="_PercentSpace_PL4 uk_1_Model Lilly new 30-01-02" xfId="724" xr:uid="{D5400D5A-7010-460A-98FD-BECE727B7A18}"/>
    <cellStyle name="_PercentSpace_PL4 uk_1_Model Lilly new 30-01-02_Sintesi Comps" xfId="725" xr:uid="{8D300851-4502-4075-9434-956594D8F7FF}"/>
    <cellStyle name="_PercentSpace_PL4 uk_1_Model Lilly new 30-01-02_WACC Analysis" xfId="726" xr:uid="{0BE3B56A-075B-4FF0-BA40-956B3FB3FF5D}"/>
    <cellStyle name="_PercentSpace_PL4 uk_1_WACC" xfId="727" xr:uid="{195A04C1-7C25-4028-8AF5-953E78C47451}"/>
    <cellStyle name="_PercentSpace_PL4 uk_AVP and Comps" xfId="728" xr:uid="{3E6860BA-F7B4-4AF6-9959-F52FB27AD573}"/>
    <cellStyle name="_PercentSpace_PL4 uk_Model Lilly new 13-06-02" xfId="729" xr:uid="{DA70F666-BBE1-43C5-879D-0ED4174CAA17}"/>
    <cellStyle name="_PercentSpace_PL4 uk_Model Lilly new 24-06-02" xfId="730" xr:uid="{D84ECB3E-61EC-475F-B715-45F2293633C1}"/>
    <cellStyle name="_PercentSpace_PL4 uk_WACC" xfId="731" xr:uid="{F7CBD4C4-B72D-4CE5-88DB-8226400D013F}"/>
    <cellStyle name="_PercentSpace_pro_forma_model_paris" xfId="732" xr:uid="{F21B70A8-C922-4906-974E-98BBDB04C0CE}"/>
    <cellStyle name="_PercentSpace_pro_forma_model_paris_AccretionDilution" xfId="733" xr:uid="{29D6356A-0E0B-487A-AEDA-3DB38E3D45EA}"/>
    <cellStyle name="_PercentSpace_pro_forma_model_paris_AccretionDilution_consensus thalès" xfId="734" xr:uid="{F213B170-EA27-4ED8-95F2-1AD533334304}"/>
    <cellStyle name="_PercentSpace_pro_forma_model_paris_Book1" xfId="735" xr:uid="{D0EFC7A3-BCCA-4900-992A-56A83CDD8ACA}"/>
    <cellStyle name="_PercentSpace_pro_forma_model_paris_Comps TMT 30_08_2005 v3" xfId="736" xr:uid="{CA64534E-691D-4B90-A9CF-5C8DA0B54C2F}"/>
    <cellStyle name="_PercentSpace_pro_forma_model_paris_consensus thalès" xfId="737" xr:uid="{B914464F-44CF-4F1D-B659-66312B9AE1A3}"/>
    <cellStyle name="_PercentSpace_pro_forma_model_paris_FASTWEB ALBACOM" xfId="738" xr:uid="{12ECA825-EF3C-41E6-9F8E-00D55556DC65}"/>
    <cellStyle name="_PercentSpace_pro_forma_model_paris_Multipli Packaging_Ott 04" xfId="739" xr:uid="{CF947CA2-603D-4465-AF47-6790CCE832F5}"/>
    <cellStyle name="_PercentSpace_pro_forma_model_paris_Multipli_Italtel_v6_27Jan" xfId="740" xr:uid="{C666F742-E9CC-42C6-BA7C-EBA05404B1D2}"/>
    <cellStyle name="_PercentSpace_pro_forma_model_paris_Newspaper Comps - New" xfId="741" xr:uid="{E1DA8851-1C57-4D8B-9D7C-35D4D5D9A637}"/>
    <cellStyle name="_PercentSpace_pro_forma_model_paris_Newspaper Comps - New_consensus thalès" xfId="742" xr:uid="{1AD1B0C3-6492-44F9-B321-8848E69BC511}"/>
    <cellStyle name="_PercentSpace_pro_forma_model_paris_WACC Analysis" xfId="743" xr:uid="{E99145E5-8957-40C8-9AAA-B2386D16D8DA}"/>
    <cellStyle name="_PercentSpace_pro_forma_model_paris_WACC_oil" xfId="744" xr:uid="{3CB129ED-C5C1-4284-B12A-37193E04E061}"/>
    <cellStyle name="_PercentSpace_WACC" xfId="745" xr:uid="{22ED7E81-B8D3-4AF8-9BF2-FF61C73995B1}"/>
    <cellStyle name="_PercentSpace_WACC Analysis" xfId="746" xr:uid="{1F6CBD0A-41C1-4858-9B67-64CB6443BF2A}"/>
    <cellStyle name="_Row1" xfId="747" xr:uid="{A1294110-FF43-41C2-83FF-EE4E6A24E5D3}"/>
    <cellStyle name="_Row1_Comparables 6Dec02" xfId="748" xr:uid="{82CB5DA7-A7FD-49F7-BF68-785565B4435D}"/>
    <cellStyle name="_Row1_Consensus 6Dec02" xfId="749" xr:uid="{DD458FC0-3ED9-4C8D-9672-F3672D487931}"/>
    <cellStyle name="_Row1_Falcon Valuation 03dic02 PWT" xfId="750" xr:uid="{1253BF45-D8AB-47D8-AF39-C6476F2D40FC}"/>
    <cellStyle name="_Row1_Fiat Avio hp Blackstone2updated" xfId="751" xr:uid="{E602BBE2-57CB-4314-8C43-8FA1A76E3FA9}"/>
    <cellStyle name="_Row1_Marelli PFN" xfId="752" xr:uid="{5AC94B82-3CBD-4A1E-9C32-81E05ACE668F}"/>
    <cellStyle name="_Row1_MM New Business Plan 10-25-02 final" xfId="753" xr:uid="{6D77A645-EDFC-4845-BA0B-2469A359F48E}"/>
    <cellStyle name="_Row1_MM New Business Plan 12-17-02 final" xfId="754" xr:uid="{7A85EF77-1D21-4B2A-A5C0-C76FD78A9170}"/>
    <cellStyle name="_Row1_Saeco Valuation 12Nov2003" xfId="755" xr:uid="{E7B31C03-257B-4DA8-9F31-B7957643A0E6}"/>
    <cellStyle name="_Row1_Teksid Business Plan 2002 15Jan2003bis" xfId="756" xr:uid="{2F1412A6-D68B-42E4-85C0-A1597D364DBD}"/>
    <cellStyle name="_Row1_WACC Enrica" xfId="757" xr:uid="{F0972B03-234E-4ACF-8B25-409E71F52EA3}"/>
    <cellStyle name="_Row2" xfId="758" xr:uid="{FE7428A5-73FC-42E4-8926-C021C72E193D}"/>
    <cellStyle name="_Row2_Falcon Valuation 03dic02 PWT" xfId="759" xr:uid="{7979F4BA-657A-4CC7-8BE9-9AFE692E7334}"/>
    <cellStyle name="_Row2_MM New Business Plan 12-17-02 final" xfId="760" xr:uid="{90775FCB-4B4F-437A-B74F-3741926EE858}"/>
    <cellStyle name="_Row2_Teksid Business Plan 2002 15Jan2003bis" xfId="761" xr:uid="{48E4861B-8CD5-4F4B-8E08-207FB8B60AB4}"/>
    <cellStyle name="_Row2_Teksid Business Plan 2002 27Jan2003" xfId="762" xr:uid="{E176AF30-C8A7-4637-AD52-94E7002895AE}"/>
    <cellStyle name="_Row3" xfId="763" xr:uid="{240E3C45-2770-4371-8748-2A07F3EA0963}"/>
    <cellStyle name="_Row4" xfId="764" xr:uid="{349B4D54-B588-4181-B32B-4FD6B50485E7}"/>
    <cellStyle name="_Row5" xfId="765" xr:uid="{E4B0AE80-445B-4288-87CE-9E0CB103FA3C}"/>
    <cellStyle name="_Row6" xfId="766" xr:uid="{4F71609F-8EA7-4CB0-BB54-587E8E8A35C7}"/>
    <cellStyle name="_Row7" xfId="767" xr:uid="{C060CBFB-DE6A-4454-973B-99AEA78CA3FF}"/>
    <cellStyle name="_Sales  Gross Margin Actual 2008" xfId="768" xr:uid="{3E41CC8E-0023-4999-97BD-772EB1B5B588}"/>
    <cellStyle name="€" xfId="770" xr:uid="{E51D9823-C174-40AD-A3AD-5A4F207D8958}"/>
    <cellStyle name="€_Book1" xfId="771" xr:uid="{A9738899-30A0-481B-BBBB-7A8AD77179BC}"/>
    <cellStyle name="€_Comau Valuation 01-15-02" xfId="772" xr:uid="{CB3789EF-0A63-46B2-B61B-DD08FCFF04D4}"/>
    <cellStyle name="€_Comau Valuation 04-14-02 2" xfId="773" xr:uid="{8871FAD7-E64F-40F9-AF00-EA672F8E8B04}"/>
    <cellStyle name="€_Comparables 6Dec02" xfId="774" xr:uid="{FB1C8D00-6B92-457F-AFE8-0176BD23B4F1}"/>
    <cellStyle name="€_Data 05-08-01 Final 3" xfId="775" xr:uid="{4F2C4EA1-741F-46EC-BC68-0BF7BBA6C239}"/>
    <cellStyle name="€_DCF Template" xfId="776" xr:uid="{88855C8B-CA83-4696-98E0-B68648453A82}"/>
    <cellStyle name="€_Falcon comps Valuation 04dic02 bis" xfId="777" xr:uid="{E3E86C99-B17C-4D1C-A8F6-864226CFB3D5}"/>
    <cellStyle name="€_Templates Version 1.0m" xfId="778" xr:uid="{26415525-AF09-492E-A5C4-8D1C34E2E916}"/>
    <cellStyle name="€_Tina ex Meridian LBO" xfId="779" xr:uid="{1F38AE74-891B-4838-96DD-CFFA2C21C714}"/>
    <cellStyle name="€_VAL+LBO MM" xfId="780" xr:uid="{AE71B84F-EC24-445D-94DA-980B9E6CA19B}"/>
    <cellStyle name="=C:\WINNT\SYSTEM32\COMMAND.COM" xfId="769" xr:uid="{B1CF81DC-B17E-4A8A-9375-4E48809DE20E}"/>
    <cellStyle name="0" xfId="781" xr:uid="{91F59A15-88A0-454F-9058-7F88878D06FE}"/>
    <cellStyle name="0,0" xfId="782" xr:uid="{3D282EA9-8545-4083-8275-91A9E2F2BBEF}"/>
    <cellStyle name="0,0 F" xfId="783" xr:uid="{FC8CEE05-0ED6-4A42-AD04-54AE70C4B662}"/>
    <cellStyle name="0,0_x000d__x000a_NA_x000d__x000a_" xfId="784" xr:uid="{047556B5-D5E7-4533-AD42-008C834F0542}"/>
    <cellStyle name="0,0%" xfId="785" xr:uid="{A761E056-D152-49E9-8AD9-93C8E9737F71}"/>
    <cellStyle name="0,0_Eléments financiers SLS.xls Graphique 2" xfId="786" xr:uid="{383EB8EF-26A0-4AB0-B8A5-56BAEA171D44}"/>
    <cellStyle name="0,00x" xfId="787" xr:uid="{9AF557F2-C11F-4A42-A636-09F0D0D75441}"/>
    <cellStyle name="0,0x" xfId="788" xr:uid="{96D90D92-38A0-4847-9F52-0DC294C99CBC}"/>
    <cellStyle name="0_~2444687" xfId="789" xr:uid="{A6E04EA2-2819-483F-B390-CB581006EEC0}"/>
    <cellStyle name="0_Alfatherm valuation 15Jan2004" xfId="790" xr:uid="{389F52D8-904F-4EBC-AC4A-8D8FE79FE69E}"/>
    <cellStyle name="0_Book1" xfId="791" xr:uid="{6A037D94-C966-4EB4-93F6-E95BFA0A9EE8}"/>
    <cellStyle name="0_Cerved Valuation 22Nov2004 bis" xfId="792" xr:uid="{D7FBAFF6-5FA6-410B-AAB3-DA499B4044BE}"/>
    <cellStyle name="0_Fiat Avio hp Blackstone2updated" xfId="793" xr:uid="{9CC495A4-8545-4EF2-AAA7-7F09E85CE16F}"/>
    <cellStyle name="0_Multipli_IT-Equipment_Dic05_v1" xfId="794" xr:uid="{A8FFC3BB-22C4-4CC2-AA46-A92652944455}"/>
    <cellStyle name="0_Saeco materiale Profile 10 11 2003 nadia" xfId="795" xr:uid="{08E124C6-9731-490F-9EC9-1BEB08674942}"/>
    <cellStyle name="0_Valuation 25sept03 AG" xfId="796" xr:uid="{D91D69B1-2EBE-47C6-9A25-AD197E9B707D}"/>
    <cellStyle name="000" xfId="797" xr:uid="{5A5A3DEC-7FAB-408D-B826-EB0BAEEB1C89}"/>
    <cellStyle name="000 MF" xfId="798" xr:uid="{9B94CAD5-8777-4A6A-A55C-A84B1CAE3CCC}"/>
    <cellStyle name="000,0" xfId="799" xr:uid="{ED970AC6-CB36-49EB-9EC4-4773E9FAABFB}"/>
    <cellStyle name="000_Halloween.xls Graphique 1243" xfId="800" xr:uid="{87D28E6F-FB88-4D78-8A95-E0AE87786E8A}"/>
    <cellStyle name="1,comma" xfId="801" xr:uid="{CDA463AE-3240-469E-9628-CF7089784F9A}"/>
    <cellStyle name="1Decimal" xfId="802" xr:uid="{3E66A57F-232D-4C1F-84A4-8A322EEC1FFD}"/>
    <cellStyle name="20% - Accent1" xfId="803" xr:uid="{254D2EBF-5892-41A8-8143-DD80B544B04F}"/>
    <cellStyle name="20% - Accent2" xfId="804" xr:uid="{A8328FAE-07D2-4943-A068-99046D66918A}"/>
    <cellStyle name="20% - Accent3" xfId="805" xr:uid="{5330BAA4-8362-42D6-854A-5CAF7A49EDCD}"/>
    <cellStyle name="20% - Accent4" xfId="806" xr:uid="{71FC5FEA-9533-46F7-BB39-658F31C6C1B8}"/>
    <cellStyle name="20% - Accent5" xfId="807" xr:uid="{AC33CE2A-0E29-496D-910B-BA3D4B4B1A71}"/>
    <cellStyle name="20% - Accent6" xfId="808" xr:uid="{30A8ACC1-868E-4EB3-9F8B-C1EF1645CBDD}"/>
    <cellStyle name="20% - Colore 1 2" xfId="809" xr:uid="{225F69F8-0D5C-4967-B84F-8DF3AB64A2B8}"/>
    <cellStyle name="20% - Colore 2 2" xfId="810" xr:uid="{09B976F3-8E1B-492F-B09C-4AC24724EBD8}"/>
    <cellStyle name="20% - Colore 3 2" xfId="811" xr:uid="{6BD52451-F2B2-4880-A017-FC2937A6AE69}"/>
    <cellStyle name="20% - Colore 4 2" xfId="812" xr:uid="{9E8CDC33-93E1-4F7F-B098-E7E0E4377DFB}"/>
    <cellStyle name="20% - Colore 5 2" xfId="813" xr:uid="{FDFD0DF1-EABC-4959-A5B0-51C731E74A66}"/>
    <cellStyle name="20% - Colore 6 2" xfId="814" xr:uid="{231172C7-6993-4070-8380-497B4FB55B7D}"/>
    <cellStyle name="2DecimalPercent" xfId="815" xr:uid="{76EF6830-F9AA-4795-8A98-D68A613EF528}"/>
    <cellStyle name="2Decimals" xfId="816" xr:uid="{4F3B13A3-09D9-4595-A529-093F1D1556A2}"/>
    <cellStyle name="40% - Accent1" xfId="817" xr:uid="{A343D89F-8ECE-4F07-A91F-889141CE8331}"/>
    <cellStyle name="40% - Accent2" xfId="818" xr:uid="{F362C3DE-F5BB-4418-BFC6-7C7166C29D5A}"/>
    <cellStyle name="40% - Accent3" xfId="819" xr:uid="{0814594B-45A5-4E98-A982-2B730FD0F47A}"/>
    <cellStyle name="40% - Accent4" xfId="820" xr:uid="{D74856DE-FF33-451A-90F8-0933D0DF3FC4}"/>
    <cellStyle name="40% - Accent5" xfId="821" xr:uid="{763424C4-3350-4634-838F-98E5C8595F62}"/>
    <cellStyle name="40% - Accent6" xfId="822" xr:uid="{D0EF3A81-4FBB-4AA6-861E-013EB6801ACA}"/>
    <cellStyle name="40% - Colore 1 2" xfId="823" xr:uid="{3D58A80F-8535-4B7F-83FC-E79B02165DD1}"/>
    <cellStyle name="40% - Colore 2 2" xfId="824" xr:uid="{25CD9A79-86B5-40D3-A2C1-D3567A9942A1}"/>
    <cellStyle name="40% - Colore 3 2" xfId="825" xr:uid="{BCA513F4-78C7-4632-8BFB-273B9D25E9B3}"/>
    <cellStyle name="40% - Colore 4 2" xfId="826" xr:uid="{8671DA07-5F93-40E0-8E97-A48588A7549D}"/>
    <cellStyle name="40% - Colore 5 2" xfId="827" xr:uid="{CA86319D-22F1-422E-861D-B2706135A406}"/>
    <cellStyle name="40% - Colore 6 2" xfId="828" xr:uid="{CE82BFF2-1757-4FD5-9BA3-DE24F66F3840}"/>
    <cellStyle name="60% - Accent1" xfId="829" xr:uid="{7391C16E-1114-4769-91FA-BCFDD0C0D1EB}"/>
    <cellStyle name="60% - Accent2" xfId="830" xr:uid="{48A7A963-6D4C-4660-B996-97C89F5BB8C8}"/>
    <cellStyle name="60% - Accent3" xfId="831" xr:uid="{921579C5-5644-4129-97BE-6C37602A3BED}"/>
    <cellStyle name="60% - Accent4" xfId="832" xr:uid="{FE0DE941-E48F-4848-A127-ED399F446DEA}"/>
    <cellStyle name="60% - Accent5" xfId="833" xr:uid="{2ACE1512-91FD-4C00-8F59-B745B0F50718}"/>
    <cellStyle name="60% - Accent6" xfId="834" xr:uid="{A826784C-0ADE-4DB3-9A2C-AF6E6418E36B}"/>
    <cellStyle name="60% - Colore 1 2" xfId="835" xr:uid="{6D09EE53-BAB0-4F18-A1AF-F03A1CE09A90}"/>
    <cellStyle name="60% - Colore 2 2" xfId="836" xr:uid="{22246C20-AF41-4C6C-B064-9F44F2FFE5E8}"/>
    <cellStyle name="60% - Colore 3 2" xfId="837" xr:uid="{6D301FF1-1131-409C-A04B-75CA5B8A526C}"/>
    <cellStyle name="60% - Colore 4 2" xfId="838" xr:uid="{3DF195C6-D380-40A9-A878-56984AFD40F2}"/>
    <cellStyle name="60% - Colore 5 2" xfId="839" xr:uid="{6CBAE4C3-7D28-4942-BA9E-1AB0053F1844}"/>
    <cellStyle name="60% - Colore 6 2" xfId="840" xr:uid="{BBB20452-F119-42E0-BBBA-15EECD84D42C}"/>
    <cellStyle name="Accent1" xfId="841" xr:uid="{0F45DF8F-3BF5-4BFC-A14A-BFFCE1155142}"/>
    <cellStyle name="Accent1 - 20%" xfId="842" xr:uid="{2CD7D688-6196-4CA8-ADC8-6FEFED1AA50F}"/>
    <cellStyle name="Accent1 - 40%" xfId="843" xr:uid="{ACDFA6B0-3DBD-4177-A445-1175B507AB91}"/>
    <cellStyle name="Accent1 - 60%" xfId="844" xr:uid="{742B57A0-E44B-4CE6-B480-9C527CCAD339}"/>
    <cellStyle name="Accent2" xfId="845" xr:uid="{92DEB1B7-AE63-4A79-A83E-3F771FE4081A}"/>
    <cellStyle name="Accent2 - 20%" xfId="846" xr:uid="{6F8B4988-F64B-4CF7-88A9-2168AFA9C741}"/>
    <cellStyle name="Accent2 - 40%" xfId="847" xr:uid="{6E22B0BF-8929-4C8B-930E-355D3B9480B0}"/>
    <cellStyle name="Accent2 - 60%" xfId="848" xr:uid="{FDA2CBFC-D551-4DD3-B8FB-12624B70E399}"/>
    <cellStyle name="Accent3" xfId="849" xr:uid="{E2F42807-A58C-4944-8E29-ABE89E941DAF}"/>
    <cellStyle name="Accent3 - 20%" xfId="850" xr:uid="{DEF1CD1A-D67B-446E-AA88-7F60FE720D25}"/>
    <cellStyle name="Accent3 - 40%" xfId="851" xr:uid="{A27236D1-D94C-45DE-B569-6D706435388B}"/>
    <cellStyle name="Accent3 - 60%" xfId="852" xr:uid="{E7699CC3-CFCB-4554-8863-6919D8B0F1AF}"/>
    <cellStyle name="Accent4" xfId="853" xr:uid="{1F45A022-DEEC-4AE5-A2D4-A227753B752D}"/>
    <cellStyle name="Accent4 - 20%" xfId="854" xr:uid="{07ED848C-2F30-4ED7-B539-5396CB330E68}"/>
    <cellStyle name="Accent4 - 40%" xfId="855" xr:uid="{4EF0C98A-001E-4A40-ADE6-389FA29F3837}"/>
    <cellStyle name="Accent4 - 60%" xfId="856" xr:uid="{959342D1-A505-4A3E-9F79-7345E8D16DBC}"/>
    <cellStyle name="Accent5" xfId="857" xr:uid="{15E92BF1-DACF-4C34-9A20-69A05ABC5BC7}"/>
    <cellStyle name="Accent5 - 20%" xfId="858" xr:uid="{93D5CFC2-DF74-4DE3-9CC4-BAF8968F56F7}"/>
    <cellStyle name="Accent5 - 40%" xfId="859" xr:uid="{9707EDDF-3DB3-4F1B-9037-AF0A5C16F78D}"/>
    <cellStyle name="Accent5 - 60%" xfId="860" xr:uid="{2A91CD1E-4B94-44B0-AF39-21DA132FDB4A}"/>
    <cellStyle name="Accent6" xfId="861" xr:uid="{73ED833A-2D42-4B5F-BEBE-EA392E395168}"/>
    <cellStyle name="Accent6 - 20%" xfId="862" xr:uid="{44862919-55FA-49B9-B523-3FA57E595512}"/>
    <cellStyle name="Accent6 - 40%" xfId="863" xr:uid="{200C3C14-A761-40CF-84A9-710CE5BE0BB7}"/>
    <cellStyle name="Accent6 - 60%" xfId="864" xr:uid="{478B8128-BF5C-43D5-8922-2C588BE82AF1}"/>
    <cellStyle name="Add" xfId="865" xr:uid="{ABA97888-54D6-4BB8-B69E-6FC26BF85D59}"/>
    <cellStyle name="adj_share" xfId="866" xr:uid="{D8FBE422-DACB-4622-9042-34D345878245}"/>
    <cellStyle name="Adjusted" xfId="867" xr:uid="{232A4AF9-6956-402B-80F4-829DB93ABF8E}"/>
    <cellStyle name="Afjusted" xfId="868" xr:uid="{1313D1EC-4F4C-40AC-A4B1-EC9CB4A64DFD}"/>
    <cellStyle name="Andre's Title" xfId="869" xr:uid="{FAD10C3B-29CE-46C9-A4BE-90169178B44F}"/>
    <cellStyle name="Annee" xfId="870" xr:uid="{7D8FA15A-10CA-453A-895E-F4BFEEBD3999}"/>
    <cellStyle name="b" xfId="871" xr:uid="{A22F78FA-5A6A-409A-BCE8-BB2D2985D619}"/>
    <cellStyle name="b_Book1" xfId="872" xr:uid="{FDD6A6CC-FE5C-4B7A-876A-672AE0EAC21D}"/>
    <cellStyle name="b_DCF definitivo" xfId="873" xr:uid="{19B4C5FB-06D4-4B81-A71A-DB7260D7699F}"/>
    <cellStyle name="Background" xfId="874" xr:uid="{AB6A0F94-52B1-4E2E-9B4A-8E564F8DE5FE}"/>
    <cellStyle name="Bad" xfId="875" xr:uid="{ABFC0BCD-F475-48EF-9A8F-E54AA51A5B7E}"/>
    <cellStyle name="blank" xfId="876" xr:uid="{4AE26015-B12C-4AB4-9C14-2CAAD3921012}"/>
    <cellStyle name="Blue" xfId="877" xr:uid="{2B8B2411-C46A-4129-8478-E66044A3A80A}"/>
    <cellStyle name="Body" xfId="878" xr:uid="{DCB8E124-BBA6-4F35-9F73-F16EBE095EFF}"/>
    <cellStyle name="Border" xfId="879" xr:uid="{2200E383-0529-4CAA-A201-536435EB8F0B}"/>
    <cellStyle name="Border Heavy" xfId="880" xr:uid="{5953B771-E95E-421E-A87D-FAC14F14B806}"/>
    <cellStyle name="Border Thin" xfId="881" xr:uid="{70371D25-9BB4-47F3-AE89-C106BC8E0260}"/>
    <cellStyle name="BottomBorder" xfId="882" xr:uid="{7BE38E0E-7F49-46F8-A3A0-0C69F4CA2B60}"/>
    <cellStyle name="BP" xfId="883" xr:uid="{8EB6BE35-6D2C-4E1B-B6FC-88F0B5E477C2}"/>
    <cellStyle name="Business Description" xfId="884" xr:uid="{FCEA690A-B288-464E-A00A-D52BF71EF855}"/>
    <cellStyle name="Calc Currency (0)" xfId="885" xr:uid="{6B307E50-7658-45B7-B393-3C0FF4350A07}"/>
    <cellStyle name="Calcolo 2" xfId="886" xr:uid="{680959E7-EA4F-4C01-9AED-E85EB0BF615F}"/>
    <cellStyle name="Calculation" xfId="887" xr:uid="{8FD5FEA8-252F-4635-AC5A-5D4621451402}"/>
    <cellStyle name="Callum" xfId="888" xr:uid="{10AAB12A-143D-4A79-B745-6FA087632CED}"/>
    <cellStyle name="Cancel" xfId="889" xr:uid="{7E070258-526F-462F-A0F6-75DF5F21800C}"/>
    <cellStyle name="category" xfId="890" xr:uid="{043AC976-E5AC-4E5C-91BC-41119E5572AC}"/>
    <cellStyle name="Cella collegata 2" xfId="891" xr:uid="{AA7A366F-05F3-4FB7-B2C4-0E98E20D6A63}"/>
    <cellStyle name="Cella da controllare 2" xfId="892" xr:uid="{88CA05E9-6197-4249-BC1D-8E0429E5B6F0}"/>
    <cellStyle name="Cents" xfId="893" xr:uid="{2AB6F1B6-8B67-489D-9865-253A355A43E6}"/>
    <cellStyle name="Cents (0.0)" xfId="894" xr:uid="{BB8E2D52-07B9-44F2-B258-D7360B825590}"/>
    <cellStyle name="Cents_CECON DIV1" xfId="895" xr:uid="{89EB386A-63A5-4ACB-B7D1-B4233ED697C0}"/>
    <cellStyle name="Check Cell" xfId="896" xr:uid="{7FA9AB39-9A78-46D2-8256-E251C119663B}"/>
    <cellStyle name="Checksum" xfId="897" xr:uid="{835018EE-9C61-4E9A-8009-A88C1474A305}"/>
    <cellStyle name="CHF" xfId="898" xr:uid="{68E7CDD8-F418-4A79-8F3B-82B7D763F1F1}"/>
    <cellStyle name="ClearBorders" xfId="899" xr:uid="{907F7CD2-2B97-417C-8FFE-6F3B5773DDA9}"/>
    <cellStyle name="Co. Names" xfId="900" xr:uid="{78664773-8225-4817-B82B-F36AD4E6E698}"/>
    <cellStyle name="Co. Names - Bold" xfId="901" xr:uid="{85B3CC55-3841-4CF6-8227-669E97EEB3C2}"/>
    <cellStyle name="Co. Names_Break-Up" xfId="902" xr:uid="{0E4B8C15-E95E-4B96-BB2B-6E3DE2822D30}"/>
    <cellStyle name="COL HEADINGS" xfId="903" xr:uid="{2BD57152-5F63-449D-9020-A6FAA93BB9D5}"/>
    <cellStyle name="ColHead" xfId="904" xr:uid="{1E8EDEAD-C167-49D9-B7D3-49772BB6A857}"/>
    <cellStyle name="Colore 1 2" xfId="905" xr:uid="{9E9D7CE5-B8CE-491A-811A-68CEF637C25B}"/>
    <cellStyle name="Colore 2 2" xfId="906" xr:uid="{977CB3CF-01E4-4C0D-944A-D3427901FC28}"/>
    <cellStyle name="Colore 3 2" xfId="907" xr:uid="{C41C8926-2DCA-4C62-BE69-928ED1DFB6B7}"/>
    <cellStyle name="Colore 4 2" xfId="908" xr:uid="{F55A370F-D991-4B94-80BF-573F6C82A4D4}"/>
    <cellStyle name="Colore 5 2" xfId="909" xr:uid="{823A6C96-5832-492C-858B-845BD383FF82}"/>
    <cellStyle name="Colore 6 2" xfId="910" xr:uid="{9F4EF113-01D8-487E-BFC9-90767FC0E4B4}"/>
    <cellStyle name="Comma" xfId="3" xr:uid="{E55E8A43-8BEF-404B-AEDA-84E0420C835B}"/>
    <cellStyle name="Comma (1)" xfId="912" xr:uid="{A7AFBC9E-CED7-4334-8A83-1E2E7BFEE1F5}"/>
    <cellStyle name="Comma [1]" xfId="913" xr:uid="{E2C590F2-0F76-404A-8159-9312640C924E}"/>
    <cellStyle name="Comma [3]" xfId="914" xr:uid="{F296194E-0998-4A40-AE6D-120985D59115}"/>
    <cellStyle name="Comma 0" xfId="915" xr:uid="{E49DB21F-33DA-4929-95FD-91D3A8E2E6C4}"/>
    <cellStyle name="Comma 0*" xfId="916" xr:uid="{6ED58AD1-5C05-43E5-95C5-973FCF55B63A}"/>
    <cellStyle name="Comma 0_02.01.01.model" xfId="917" xr:uid="{1802EB6D-C0BE-4D5E-BADE-8F374654D6F5}"/>
    <cellStyle name="Comma 2" xfId="918" xr:uid="{7E32B0D1-070F-4A3F-9968-9D44D7E1F47F}"/>
    <cellStyle name="Comma 2 2" xfId="919" xr:uid="{F982573E-A30D-4B3C-A4BD-B04472D63681}"/>
    <cellStyle name="Comma 3" xfId="911" xr:uid="{4CCD58D6-953A-4CB7-AEC9-3C2D9943BEAB}"/>
    <cellStyle name="Comma, 1 dec" xfId="920" xr:uid="{538E8442-B1E4-4450-9B5A-C146B23AE4FF}"/>
    <cellStyle name="Comma0" xfId="921" xr:uid="{E0EE1635-CF65-4EFA-A4E3-3978AC7683CE}"/>
    <cellStyle name="Comma0 2" xfId="922" xr:uid="{2DB3BFEC-96CD-4830-B525-D3ADC2053019}"/>
    <cellStyle name="Copied" xfId="923" xr:uid="{2A435BF6-FDB4-47D2-9EA1-282D08076760}"/>
    <cellStyle name="Copy Decimal 0" xfId="924" xr:uid="{551FF203-4D02-4FC8-95E6-7B4ABC8F9F63}"/>
    <cellStyle name="Copy Decimal 0,00" xfId="925" xr:uid="{B5087227-672D-405E-A75D-F34557E6917A}"/>
    <cellStyle name="Copy Decimal 0_IPO investiments_0611_00" xfId="926" xr:uid="{0A014606-2267-4C2C-83F4-E3E61CDA1D7B}"/>
    <cellStyle name="Copy Percent 0" xfId="927" xr:uid="{BBD4C1CD-8F2D-4491-942A-B47ADCA29393}"/>
    <cellStyle name="Copy Percent 0,00" xfId="928" xr:uid="{18E01C66-AB13-4D72-935A-3E564EFF78DA}"/>
    <cellStyle name="Copy Percent 0_scenari ValutazioenOlimpia 11_10w" xfId="929" xr:uid="{9E33FE1A-83A4-4BBC-B6A8-ECE0C47D3BF3}"/>
    <cellStyle name="Cover Date" xfId="930" xr:uid="{0CFF2B30-8813-4086-855D-E0B7E388E679}"/>
    <cellStyle name="Cover Subtitle" xfId="931" xr:uid="{73030255-AE54-42FD-96CB-32965F54FC1F}"/>
    <cellStyle name="Cover Title" xfId="932" xr:uid="{061C829F-5889-4DD5-A806-E5A4E75BB4FD}"/>
    <cellStyle name="Currency" xfId="933" xr:uid="{0EAB4494-28EE-439E-937A-C30C470CCA17}"/>
    <cellStyle name="Currency [1]" xfId="934" xr:uid="{64249A15-E591-4DD2-8A60-D2B045DE2248}"/>
    <cellStyle name="Currency [2]" xfId="935" xr:uid="{29A81390-BD0F-4246-A991-CC96945F5965}"/>
    <cellStyle name="Currency [3]" xfId="936" xr:uid="{5C388574-047F-4CAE-8CCA-5B020CC92334}"/>
    <cellStyle name="Currency 0" xfId="937" xr:uid="{DF04EC6F-EF7A-4508-ACFB-EA38F147A1B6}"/>
    <cellStyle name="Currency 2" xfId="938" xr:uid="{60B011D3-BEEC-4A04-A5D2-B6681F28285D}"/>
    <cellStyle name="Currency Style" xfId="939" xr:uid="{F8EE7F8F-6B4B-434A-AFC2-6FDA7AC3F492}"/>
    <cellStyle name="Currency0" xfId="940" xr:uid="{D1E635C2-57C8-4715-8F81-FE64AAA4E917}"/>
    <cellStyle name="Currency0 2" xfId="941" xr:uid="{5013379E-A108-45EE-8C66-7F3E522CBD5D}"/>
    <cellStyle name="Currency1" xfId="942" xr:uid="{9A22A539-4CF5-4422-AC4F-AF1FE18A4347}"/>
    <cellStyle name="d" xfId="943" xr:uid="{5ABEA96C-01FF-4101-BE59-B6B212EA7589}"/>
    <cellStyle name="d mmm yy" xfId="944" xr:uid="{00FC2FEC-97DF-4433-B6C9-D462C034F3CC}"/>
    <cellStyle name="D_Modele Pekin clo" xfId="945" xr:uid="{F3BD80B2-4C18-4700-ADB9-3666A56F7F19}"/>
    <cellStyle name="d_Multiples 09-28-00" xfId="946" xr:uid="{FEC5EBE9-9E03-4207-A3F0-727E3E9AD2A3}"/>
    <cellStyle name="D_Project Müller 080601" xfId="947" xr:uid="{5FBFCF13-9A4E-4874-B540-0298953F2A6A}"/>
    <cellStyle name="darren" xfId="948" xr:uid="{60B3E6D0-0FF6-46EF-8A0D-33CB244EB4B4}"/>
    <cellStyle name="data" xfId="949" xr:uid="{5E820CA5-6744-4298-BD97-F3D21BF58C25}"/>
    <cellStyle name="Date" xfId="950" xr:uid="{FC00A528-7DED-4855-A0B2-98134DBA199F}"/>
    <cellStyle name="Date 2" xfId="951" xr:uid="{AEA73D81-B867-406A-8427-F06E92204E35}"/>
    <cellStyle name="Date Aligned" xfId="952" xr:uid="{5AE7AB79-7B72-4C09-9D00-2283EE58B776}"/>
    <cellStyle name="Date_AccretionDilution" xfId="953" xr:uid="{05E22B97-288F-4742-BC89-E43683DDE786}"/>
    <cellStyle name="DATES" xfId="954" xr:uid="{DE73B900-969D-4E17-8A76-015C2BE60211}"/>
    <cellStyle name="Decimal 0,0" xfId="955" xr:uid="{AFB7A899-EE32-4B90-A2F8-2358E427B172}"/>
    <cellStyle name="Decimal 0,00" xfId="956" xr:uid="{E1F7E9FD-EBA6-45E2-9A2D-1A5E11D1F545}"/>
    <cellStyle name="Decimal 0,0000" xfId="957" xr:uid="{85D1E07F-52B1-4A3D-9BD2-3ECAA785F871}"/>
    <cellStyle name="Dollar" xfId="958" xr:uid="{D0079D65-733E-4B82-B94A-1C41B4193ADB}"/>
    <cellStyle name="Dollars" xfId="959" xr:uid="{A7C3DAFC-57F8-4FD2-84FE-20C82AF76D22}"/>
    <cellStyle name="Dotted Line" xfId="960" xr:uid="{054FCFF0-9A25-45BD-BF6B-EB4F47073B10}"/>
    <cellStyle name="Emphasis 1" xfId="961" xr:uid="{6DC5F13F-978D-40FF-AC8F-EC7E106CD243}"/>
    <cellStyle name="Emphasis 2" xfId="962" xr:uid="{A643EBDE-6D04-4B7C-A052-752B7E6A0EFE}"/>
    <cellStyle name="Emphasis 3" xfId="963" xr:uid="{2257CE84-4C8B-4F88-91F3-75E249E49175}"/>
    <cellStyle name="Entered" xfId="964" xr:uid="{4A603485-6140-4228-AA39-C7F1DC79B821}"/>
    <cellStyle name="EPS" xfId="965" xr:uid="{7CA23ECB-DEDB-4272-B785-2FBCFBFA335F}"/>
    <cellStyle name="Euro" xfId="966" xr:uid="{EBCAA727-1F38-4BF9-AFC4-E462DFF593B7}"/>
    <cellStyle name="Euro 2" xfId="967" xr:uid="{407DD8AF-4E65-4EF6-B16D-126417AB4D36}"/>
    <cellStyle name="Euros" xfId="968" xr:uid="{E443150E-3FEC-4EED-B916-24D3F5FD013B}"/>
    <cellStyle name="Explanatory Text" xfId="969" xr:uid="{C332B0E9-A39D-4264-A044-278B658BCF12}"/>
    <cellStyle name="F2" xfId="970" xr:uid="{6CEDDCCD-B0C5-4694-9967-876108BE3915}"/>
    <cellStyle name="F3" xfId="971" xr:uid="{C31DF0C7-545A-4538-96E1-0E92D1A7443E}"/>
    <cellStyle name="F4" xfId="972" xr:uid="{02D94C32-1F57-4BE2-8E80-32B9B7F04CA9}"/>
    <cellStyle name="F5" xfId="973" xr:uid="{F43886CF-CF8B-40A9-AD4B-74836E4E49CC}"/>
    <cellStyle name="F6" xfId="974" xr:uid="{BA8CF7BE-AA87-4EF5-9B63-794D2B38953A}"/>
    <cellStyle name="F7" xfId="975" xr:uid="{4F8F374E-D7B3-4426-A4AB-3A8A9F81761C}"/>
    <cellStyle name="F8" xfId="976" xr:uid="{D89EF991-4C88-4E16-9B43-0A98C6CEBACC}"/>
    <cellStyle name="Financials" xfId="977" xr:uid="{AFD7AD07-0885-4632-9199-32D4F5CE7F55}"/>
    <cellStyle name="Financials Bold" xfId="978" xr:uid="{27E6642C-AF40-47E6-85DB-CCE55CAD781C}"/>
    <cellStyle name="Financials-Small" xfId="979" xr:uid="{20978572-CAFC-4608-9498-9F7102C18F62}"/>
    <cellStyle name="Fisso" xfId="980" xr:uid="{379C022B-8195-42FF-9B63-A6461A67F4CC}"/>
    <cellStyle name="Fixed" xfId="981" xr:uid="{66FED987-77A6-49DB-AF3B-0C64B63C2E28}"/>
    <cellStyle name="Fixed 2" xfId="982" xr:uid="{1516DBC1-9035-428E-8186-0ADEA989A58E}"/>
    <cellStyle name="Footer SBILogo1" xfId="983" xr:uid="{12BA82EB-7240-49D0-86C5-C30F1415AC26}"/>
    <cellStyle name="Footer SBILogo2" xfId="984" xr:uid="{3A64D569-817A-40C2-8762-6B6BE09DE100}"/>
    <cellStyle name="Footnote" xfId="985" xr:uid="{A99D00B3-4896-4AEF-B427-557F069BFB87}"/>
    <cellStyle name="Footnote Reference" xfId="986" xr:uid="{3812EA4D-4635-4AAF-A366-83379491AF06}"/>
    <cellStyle name="Footnote_Book1" xfId="987" xr:uid="{240367E6-DE97-41FA-A628-4170D8868F94}"/>
    <cellStyle name="Footnotes" xfId="988" xr:uid="{9B55B695-1FCE-49DB-9EDE-88645459A7BF}"/>
    <cellStyle name="Formula" xfId="989" xr:uid="{970BF1E2-F480-44B4-BCA7-3EBDC6B5C232}"/>
    <cellStyle name="fourdecplace" xfId="990" xr:uid="{34FA622D-474D-4241-99AE-B3236F1550CB}"/>
    <cellStyle name="Francs" xfId="991" xr:uid="{B53B9F03-547A-4FF5-8ACC-52EB65E3FB64}"/>
    <cellStyle name="Gar1" xfId="992" xr:uid="{106F4D75-770E-436F-BEA0-8595CCC572B2}"/>
    <cellStyle name="Global" xfId="993" xr:uid="{FD308DD3-E19F-4426-B046-9BBE2E4D6AC2}"/>
    <cellStyle name="Good" xfId="994" xr:uid="{043F91F4-C5D9-4417-AAF6-95477EF6E518}"/>
    <cellStyle name="Grey" xfId="995" xr:uid="{513304E7-A1AE-4FA3-9742-C5F3EF01D8B2}"/>
    <cellStyle name="hard no." xfId="996" xr:uid="{3F9C5B69-BC4A-43E3-A0DB-5DF5BC7880AB}"/>
    <cellStyle name="Hard Percent" xfId="997" xr:uid="{C4CB0D87-A228-466B-9859-CC6C966D81E0}"/>
    <cellStyle name="HEADER" xfId="998" xr:uid="{44045B70-1FA7-4396-8FDD-A2C53302D7DC}"/>
    <cellStyle name="Header Draft Stamp" xfId="999" xr:uid="{B86661AC-DAAC-4925-9E0F-698476B04B3F}"/>
    <cellStyle name="Header_Alimentazione BoD 09-15 3Y Plan ver 09-11" xfId="1000" xr:uid="{27B9ACF2-7E6B-47DC-905F-E6F9970ACDBC}"/>
    <cellStyle name="Header1" xfId="1001" xr:uid="{0EE56F40-6533-43AD-B345-CE93B3391985}"/>
    <cellStyle name="Header2" xfId="1002" xr:uid="{6F2C0E97-DD3A-4510-B29F-512D9E0BEC90}"/>
    <cellStyle name="headers" xfId="1003" xr:uid="{69D47EA1-B825-4C21-93E3-AC0FE4E517DC}"/>
    <cellStyle name="heading" xfId="1004" xr:uid="{EDC1780C-1DCE-45BF-A59C-E6BA3486FCBA}"/>
    <cellStyle name="Heading 1" xfId="1005" xr:uid="{546E29E8-27CD-47A8-8D01-4AE5843B77A4}"/>
    <cellStyle name="Heading 1 2" xfId="1006" xr:uid="{A885227B-6181-42DC-9632-B064CE3E6756}"/>
    <cellStyle name="Heading 1 Above" xfId="1007" xr:uid="{1EED6865-8DDB-4195-8668-250CDCA90267}"/>
    <cellStyle name="Heading 1_JV modello stile budget v90rec e 90pay" xfId="1008" xr:uid="{1FD65322-88C2-487E-9B18-C8642FF00474}"/>
    <cellStyle name="Heading 1+" xfId="1009" xr:uid="{17C836AE-971B-4E8F-B5DE-2341349A96A7}"/>
    <cellStyle name="Heading 2" xfId="1010" xr:uid="{33593546-A557-4CB9-A061-BB75147709D6}"/>
    <cellStyle name="Heading 2 2" xfId="1011" xr:uid="{7E5F0058-906C-4FE8-A034-3852526BDBAA}"/>
    <cellStyle name="Heading 2 Below" xfId="1012" xr:uid="{19FCBA00-37E9-4C15-A771-77CD329AEFA7}"/>
    <cellStyle name="Heading 2_Book1" xfId="1013" xr:uid="{2E1B06A2-774F-476E-9374-BFBF5D50A096}"/>
    <cellStyle name="Heading 2+" xfId="1014" xr:uid="{68E1300E-9433-4177-86B1-FD489E4827C7}"/>
    <cellStyle name="Heading 3" xfId="1015" xr:uid="{3A60A72F-E59C-464F-A23E-A399A096C005}"/>
    <cellStyle name="Heading 3+" xfId="1016" xr:uid="{492C1E2C-EB4F-496D-B68C-A0C4DA4C629E}"/>
    <cellStyle name="Heading 4" xfId="1017" xr:uid="{EED76EB7-126B-48B4-9730-B77962039985}"/>
    <cellStyle name="HeadingB" xfId="1018" xr:uid="{2CE5D231-B010-4D0D-A87B-41ABBA57DCA6}"/>
    <cellStyle name="HeadingBU" xfId="1019" xr:uid="{2F666495-45C2-46FC-BD46-2F8DD2798F54}"/>
    <cellStyle name="Headings" xfId="1020" xr:uid="{999FDE7C-6C3E-4CAB-B2C0-792BDA236AF4}"/>
    <cellStyle name="Headline2" xfId="1021" xr:uid="{7F2F202F-EC25-4B1F-B688-ABEF2BE55445}"/>
    <cellStyle name="Hidden Decimal 0,00" xfId="1022" xr:uid="{75236876-CC79-4572-938A-21217FC34E2D}"/>
    <cellStyle name="hidenorm" xfId="1023" xr:uid="{25E405B5-3AC0-4537-B653-EAB8F5DF2A88}"/>
    <cellStyle name="Imput" xfId="1024" xr:uid="{F74CB525-3E4F-42ED-A7E3-219702C16B3C}"/>
    <cellStyle name="Input %" xfId="1025" xr:uid="{3385BDBB-F80E-454E-95DA-3D9B65CF2EF9}"/>
    <cellStyle name="Input (0)" xfId="1026" xr:uid="{28073D60-8094-4B24-BB7D-D8196C76A16F}"/>
    <cellStyle name="Input (0,0)" xfId="1027" xr:uid="{CC10CAC5-4185-4420-9845-DB440E8722E6}"/>
    <cellStyle name="Input (000)" xfId="1028" xr:uid="{0FAD4676-A624-488B-88D8-955785B4742A}"/>
    <cellStyle name="Input [yellow]" xfId="1029" xr:uid="{B320E4EC-5768-4E84-937C-1F81B29D770C}"/>
    <cellStyle name="Input 2" xfId="1030" xr:uid="{E088BB32-E4FB-4D1D-80C3-21C848B791ED}"/>
    <cellStyle name="Input Decimal 0" xfId="1031" xr:uid="{BFB65127-83D3-4FEF-8060-8BFF7736AB43}"/>
    <cellStyle name="Input Decimal 0,00" xfId="1032" xr:uid="{0BAAAAF3-09DA-4F52-8790-CEA0C1DD372C}"/>
    <cellStyle name="Input Decimal 0_IPO investiments_0611_00" xfId="1033" xr:uid="{898E4074-9C96-4D63-95DC-00739459FD27}"/>
    <cellStyle name="Input Normal" xfId="1034" xr:uid="{557A2A08-8AEC-4F65-AED8-223265F97CD4}"/>
    <cellStyle name="Input Other Sheet" xfId="1035" xr:uid="{0F1A185A-B9F5-4B2B-8E35-B4E76FA45229}"/>
    <cellStyle name="Input Perc (0,00)" xfId="1036" xr:uid="{3AC5E692-0542-4A88-81C2-5B02EFD6492B}"/>
    <cellStyle name="Input Percent" xfId="1037" xr:uid="{7801FFC2-3759-40ED-847A-6108A4F04E43}"/>
    <cellStyle name="Input Percent 0" xfId="1038" xr:uid="{90C686B1-0A70-42B2-BD7E-5CFA085588FF}"/>
    <cellStyle name="Input Percent 0,00" xfId="1039" xr:uid="{FBCF9AD3-5496-4BBA-BBDF-55DE7AC5DE36}"/>
    <cellStyle name="Input Percent 0_scenari ValutazioenOlimpia 11_10w" xfId="1040" xr:uid="{782FDBC4-F52E-43BE-B68D-2C928273871D}"/>
    <cellStyle name="input value" xfId="1041" xr:uid="{133199DE-6974-40DA-9764-B0F779CEABAD}"/>
    <cellStyle name="Input(0)" xfId="1042" xr:uid="{4DC74484-F33C-4E69-AD76-0772B1487453}"/>
    <cellStyle name="Input(0,0)" xfId="1043" xr:uid="{0F8C80FD-CFEC-4A41-B887-3FE3E98B93AB}"/>
    <cellStyle name="Input(0,000)" xfId="1044" xr:uid="{401595C5-DBF6-4231-A349-4CA727372575}"/>
    <cellStyle name="InputBlueFont" xfId="1045" xr:uid="{31F0B3E6-2673-42FC-80C9-CC33BE54C46A}"/>
    <cellStyle name="InputCell" xfId="1046" xr:uid="{BBE48474-5F47-4B5E-B229-7A2E0D3A6B90}"/>
    <cellStyle name="InputCurrency" xfId="1047" xr:uid="{9F6468CA-E175-4924-A021-EC439C8FB16D}"/>
    <cellStyle name="InputNormal" xfId="1048" xr:uid="{C43EEA28-F2AF-4F1B-A5A2-16171076DD63}"/>
    <cellStyle name="Inputs" xfId="1049" xr:uid="{CA790F37-EA9E-4454-B2F6-290289808FDF}"/>
    <cellStyle name="InputV" xfId="1050" xr:uid="{88D98F8D-7392-44C4-825D-ED2153D622FC}"/>
    <cellStyle name="Istogram. 3D_A_2" xfId="1051" xr:uid="{C4DDEEC6-0679-4CA9-872F-4703C367C870}"/>
    <cellStyle name="Item Descriptions" xfId="1052" xr:uid="{4F287D84-FE68-49D3-B881-7E0CEB0897ED}"/>
    <cellStyle name="Item Descriptions - Bold" xfId="1053" xr:uid="{29319CDD-D84F-4A23-9165-840CA2FB074C}"/>
    <cellStyle name="Item Descriptions_6079BX" xfId="1054" xr:uid="{8DB026B4-ABCB-4DF0-B38D-C392915E9173}"/>
    <cellStyle name="Joe" xfId="1055" xr:uid="{F5ADE36E-3040-4A4D-8390-75D31D392BAD}"/>
    <cellStyle name="JustOneDec" xfId="1056" xr:uid="{20697B50-C8CC-4D2D-B75A-B9AC0CFD5E1F}"/>
    <cellStyle name="Label" xfId="1057" xr:uid="{ADBA6424-4F6E-42BE-AAE5-158E954D89CD}"/>
    <cellStyle name="Line" xfId="1058" xr:uid="{BD19A6EA-FE95-4014-9FDC-747FE900946F}"/>
    <cellStyle name="LineItem" xfId="1059" xr:uid="{E54A6EF6-237C-4C0B-943E-977C5B7B0B27}"/>
    <cellStyle name="LineItems" xfId="1060" xr:uid="{80D5B814-E6D2-4831-9BA7-76C045F1A710}"/>
    <cellStyle name="Linked Cell" xfId="1061" xr:uid="{5F56E6CF-DF29-45D3-9D9B-EAAF1684135F}"/>
    <cellStyle name="Locked" xfId="1062" xr:uid="{29DEABC9-26D2-4603-A97B-3C2F398F1C17}"/>
    <cellStyle name="Main Title" xfId="1063" xr:uid="{B657DC85-3B94-4135-9B63-71B40FAECC22}"/>
    <cellStyle name="MF" xfId="1064" xr:uid="{AFA50A9E-B0AD-4887-892E-22102D2F91CF}"/>
    <cellStyle name="Migliaia (0)_~0062086" xfId="1065" xr:uid="{DC32C0F5-DE8F-4A5B-A0B9-BEE696FBB7EB}"/>
    <cellStyle name="Migliaia (0,0)" xfId="1066" xr:uid="{DBD79467-AE55-44CA-A3A0-142E807834F4}"/>
    <cellStyle name="Migliaia (0,000)" xfId="1067" xr:uid="{558030DE-5DE9-483B-A155-FA63F34B18C0}"/>
    <cellStyle name="Migliaia (000)" xfId="1068" xr:uid="{35768EFD-1F4E-45E1-B428-AFD091C8E3C1}"/>
    <cellStyle name="Migliaia [0] 2" xfId="1069" xr:uid="{4AC57D7A-EF5E-4144-A490-88D3C7058B6E}"/>
    <cellStyle name="Migliaia [0] 2 2" xfId="1070" xr:uid="{26F40F0C-21E0-4FCE-BC55-EF9D83DB9C97}"/>
    <cellStyle name="Migliaia [0] 3" xfId="1071" xr:uid="{93896B7E-DCD7-4CBC-B8C5-2C58590D1E12}"/>
    <cellStyle name="Migliaia [0] 3 2" xfId="1072" xr:uid="{5FEFD214-9319-4175-894B-86C977D896D3}"/>
    <cellStyle name="Migliaia [0] 3 3" xfId="1073" xr:uid="{4F3CB546-2BA2-45AC-87AA-40C55D2B0ED7}"/>
    <cellStyle name="Migliaia [0] 4" xfId="1074" xr:uid="{B155B01E-4123-4F81-9EAC-FCB24C11D48A}"/>
    <cellStyle name="Migliaia [0] 5" xfId="1075" xr:uid="{E3992CA0-A366-4183-9CB9-3DC1DBC7B92A}"/>
    <cellStyle name="Migliaia 10" xfId="1076" xr:uid="{DFBF97CB-E2C2-41BD-9852-14C7B6044956}"/>
    <cellStyle name="Migliaia 2" xfId="1077" xr:uid="{DB84636A-B09A-4FF1-A9AA-1AFA335A112A}"/>
    <cellStyle name="Migliaia 2 2" xfId="1078" xr:uid="{5D77629C-DD77-4C4D-A2E0-C9BB5385AA92}"/>
    <cellStyle name="Migliaia 2 3" xfId="1079" xr:uid="{8CF50279-01E3-43BF-B211-8C7D40224B2C}"/>
    <cellStyle name="Migliaia 2 3 2" xfId="1080" xr:uid="{BAC52434-05DE-4D59-9491-C4B28E5026A4}"/>
    <cellStyle name="Migliaia 3" xfId="1081" xr:uid="{5AEB171B-0558-4CDB-94C9-D87AE5124329}"/>
    <cellStyle name="Migliaia 3 2" xfId="1082" xr:uid="{317FC897-A278-43C0-B0A7-62EF0228CF92}"/>
    <cellStyle name="Migliaia 4" xfId="1083" xr:uid="{5EB7ED5E-858B-4F35-BBDD-685DDA01E931}"/>
    <cellStyle name="Migliaia 5" xfId="1084" xr:uid="{075B231D-5219-475A-BDE2-B8989E6AF128}"/>
    <cellStyle name="Migliaia 5 2" xfId="1085" xr:uid="{E5BDA223-72B6-45DF-8CDA-6B64853160A3}"/>
    <cellStyle name="Migliaia 6" xfId="1086" xr:uid="{A55A9A07-D6CF-409E-9758-D85ED471E677}"/>
    <cellStyle name="Migliaia 7" xfId="1087" xr:uid="{CE1C51AA-80F0-4D27-9EA3-ED1B8250F497}"/>
    <cellStyle name="Migliaia 8" xfId="1088" xr:uid="{9FC3615C-62D5-49A5-9CF0-08C76B94E811}"/>
    <cellStyle name="Migliaia 9" xfId="1089" xr:uid="{E0140E52-5609-429D-B41B-7719620EC85B}"/>
    <cellStyle name="Migliaia(0,0)" xfId="1090" xr:uid="{78CB71FD-B5D4-4BD0-BBA6-DB56C3E81B57}"/>
    <cellStyle name="mil" xfId="1091" xr:uid="{BC4C4A76-D6D1-4ADC-B996-F47255B65081}"/>
    <cellStyle name="Millares" xfId="1" builtinId="3"/>
    <cellStyle name="Milliers [0]_FINANC_ALU(testo)" xfId="1092" xr:uid="{B40B02D5-5FA3-4CBF-940E-5D340F3FBE7B}"/>
    <cellStyle name="Milliers_Carrefour chiffres" xfId="1093" xr:uid="{FA8E23F0-77DD-4580-8A23-A031FB2E49C3}"/>
    <cellStyle name="Millions" xfId="1094" xr:uid="{2820779D-5700-4E30-82F6-31110E5C940A}"/>
    <cellStyle name="Model" xfId="1095" xr:uid="{50CED70D-2029-492E-880E-8C1D4A5E31BF}"/>
    <cellStyle name="Monétaire [0]_FINANC_ALU(testo)" xfId="1096" xr:uid="{90392694-0DAE-4527-AFE3-434E4A65F0F9}"/>
    <cellStyle name="Monétaire_FINANC_ALU(testo)" xfId="1097" xr:uid="{FC5AE871-AF4A-44ED-8921-2387F2D43510}"/>
    <cellStyle name="Multiple" xfId="1098" xr:uid="{3E8CED68-20AC-4202-84AA-2C5D0E3C27ED}"/>
    <cellStyle name="Multiple [0]" xfId="1099" xr:uid="{CAB90D78-EC4D-4BBB-A534-2FA572A4E8DC}"/>
    <cellStyle name="Multiple [1]" xfId="1100" xr:uid="{CC8714CA-EF80-4EAD-9C7F-633599E97082}"/>
    <cellStyle name="Multiple sales" xfId="1101" xr:uid="{900E16AF-8355-4578-86D8-0225E7069272}"/>
    <cellStyle name="Multiple_~0017779" xfId="1102" xr:uid="{904AAD50-B88D-49DB-AD4B-E39FF8852E98}"/>
    <cellStyle name="MultipleBelow" xfId="1103" xr:uid="{D813DCB8-BD28-4BC2-A642-7756B4465476}"/>
    <cellStyle name="Multiples" xfId="1104" xr:uid="{8A8EFD6F-7666-4EE9-8192-E93571A821DD}"/>
    <cellStyle name="Neutral 2" xfId="1105" xr:uid="{1B7B9906-8D3B-4645-B801-CEF529F90C98}"/>
    <cellStyle name="Neutrale 2" xfId="1106" xr:uid="{5B18AB8D-8F2E-4FF3-88C3-3C8EA94CC91B}"/>
    <cellStyle name="new" xfId="1107" xr:uid="{0F101FD1-62ED-48DD-B0A8-6EBC4EAB2DE1}"/>
    <cellStyle name="NewPeso" xfId="1108" xr:uid="{B5DCE696-BD98-49F9-A7CE-B33DE8496C03}"/>
    <cellStyle name="No dec" xfId="1109" xr:uid="{24AF8A53-BAA9-472F-A945-7D4311568031}"/>
    <cellStyle name="NoEntry" xfId="1110" xr:uid="{9B3FCD21-362B-4881-B924-5E995A12AEE1}"/>
    <cellStyle name="Nombre" xfId="1111" xr:uid="{1EF70200-EEDA-4234-9D8B-BF3A96469B0A}"/>
    <cellStyle name="Non_definito" xfId="1112" xr:uid="{04B77435-43F7-441C-B843-EE4304B54BDA}"/>
    <cellStyle name="Nor}al_Sheet1 (2)" xfId="1113" xr:uid="{DE26726C-EF65-434E-99E2-CE5AB909E240}"/>
    <cellStyle name="norm" xfId="1114" xr:uid="{537DEC03-C88D-416E-A033-3B300A76C6E0}"/>
    <cellStyle name="Normaali_Layo9704" xfId="1115" xr:uid="{51F1ECD5-20BC-42A1-914C-8FFB2F4DB986}"/>
    <cellStyle name="Normal" xfId="0" builtinId="0"/>
    <cellStyle name="Normal - Style1" xfId="1116" xr:uid="{26275FC7-0301-4BB3-9403-021F38CF948C}"/>
    <cellStyle name="Normal 10 2" xfId="1413" xr:uid="{F7F3FF06-A0A5-4965-A1F1-BD3BF09F92C2}"/>
    <cellStyle name="Normal 12" xfId="7" xr:uid="{9B9B51C2-9DFB-4709-826A-0CE9B190071C}"/>
    <cellStyle name="Normal 14" xfId="8" xr:uid="{6686ACCC-FEEE-4DA8-9FAD-B4CA92B06F41}"/>
    <cellStyle name="Normal 2" xfId="1117" xr:uid="{2362F9B9-2A3F-4DCA-B42F-77DB7327822C}"/>
    <cellStyle name="Normal 3" xfId="1411" xr:uid="{B960DF65-34D2-4244-928E-F0666BC5D1C2}"/>
    <cellStyle name="Normal 55" xfId="6" xr:uid="{9078F83C-95E1-4CDE-A023-EA7ACC22ACEE}"/>
    <cellStyle name="Normal 57" xfId="5" xr:uid="{C9CB4A37-0A06-4724-8C2D-4D74D684AAEF}"/>
    <cellStyle name="Normal Bold" xfId="1118" xr:uid="{F078CB95-9DFB-4B58-923D-42FCF71E7E53}"/>
    <cellStyle name="Normal Input" xfId="1119" xr:uid="{2FF5172C-1543-4CDE-A85D-604571E45673}"/>
    <cellStyle name="Normal Title Blue" xfId="1120" xr:uid="{60A473E9-8A61-465C-B37A-C255922D9B99}"/>
    <cellStyle name="Normal1" xfId="1121" xr:uid="{F141E9A1-DA7C-4510-A84F-9E47B80EA151}"/>
    <cellStyle name="normalbold" xfId="1122" xr:uid="{FCC2878F-0C6C-4D01-8B1C-59402E00C2C5}"/>
    <cellStyle name="Normale 10" xfId="1123" xr:uid="{C35AAE94-2A94-46BC-B5E2-D3F50C3457C2}"/>
    <cellStyle name="Normale 11" xfId="1124" xr:uid="{D8FD499E-A0AA-4CD6-956A-6C8844BC6F9C}"/>
    <cellStyle name="Normale 12" xfId="1125" xr:uid="{BD28E83B-B6C9-4881-B738-6D97F3667FC8}"/>
    <cellStyle name="Normale 13" xfId="1126" xr:uid="{68E915B7-B9E1-4CFC-AF50-B34C8A69CAFE}"/>
    <cellStyle name="Normale 14" xfId="1127" xr:uid="{BC4F23DE-ED4F-49D2-BD07-67068220BAD3}"/>
    <cellStyle name="Normale 15" xfId="1128" xr:uid="{49310C63-2340-41DE-AFFD-815B33B5ACCC}"/>
    <cellStyle name="Normale 16" xfId="1129" xr:uid="{793399EE-7C2C-4F28-A9EE-8E3B34CCFF2D}"/>
    <cellStyle name="Normale 17" xfId="1130" xr:uid="{796CA231-DF4D-46FD-AE7E-855FBD89BC98}"/>
    <cellStyle name="Normale 2" xfId="1131" xr:uid="{41E0E21F-0B6E-4A9B-802F-C94E81652B11}"/>
    <cellStyle name="Normale 2 2" xfId="1132" xr:uid="{0241EB3E-8851-45EE-B991-85FA758D9432}"/>
    <cellStyle name="Normale 2 2 2" xfId="1133" xr:uid="{D231CAFD-A336-4094-9236-6CB213EDECEC}"/>
    <cellStyle name="Normale 2 3" xfId="1134" xr:uid="{0C673A5A-8EE5-4F75-A979-B831CCB9A56A}"/>
    <cellStyle name="Normale 2 3 2" xfId="1135" xr:uid="{B2D491F9-EB14-417B-9F37-B9951CD50E48}"/>
    <cellStyle name="Normale 2 4" xfId="1136" xr:uid="{BFA47E78-F86C-448C-AF0E-18D73C415B98}"/>
    <cellStyle name="Normale 3" xfId="9" xr:uid="{F49AA51E-5768-4BC4-972D-BF945ABD248F}"/>
    <cellStyle name="Normale 3 2" xfId="1137" xr:uid="{C8CCCFBA-237E-4AF8-A6F3-9D25FEA15E57}"/>
    <cellStyle name="Normale 3 2 2" xfId="1138" xr:uid="{434D31BE-CC01-4990-B907-BC716C51BEA5}"/>
    <cellStyle name="Normale 3 3" xfId="1139" xr:uid="{BEF32E90-D6B4-4919-B9CE-121080EE368A}"/>
    <cellStyle name="Normale 3 3 2" xfId="1140" xr:uid="{A58FD5B3-D4C6-40F2-B759-32532081E66C}"/>
    <cellStyle name="Normale 3 3 3" xfId="1141" xr:uid="{8CD2C161-E696-42BE-ADCD-2D3BB2CA1AB9}"/>
    <cellStyle name="Normale 3 4" xfId="1142" xr:uid="{3455D4BB-5095-4AFE-8D7F-4FB061FCE3E3}"/>
    <cellStyle name="Normale 4" xfId="1143" xr:uid="{4EA78E63-7E51-4596-895B-EE0C0E784953}"/>
    <cellStyle name="Normale 4 2" xfId="1144" xr:uid="{7147F6D7-91B7-4769-A991-CDA83387FA51}"/>
    <cellStyle name="Normale 4 2 2" xfId="1145" xr:uid="{DA024245-12D5-499E-AC6F-9884990240CB}"/>
    <cellStyle name="Normale 4 3" xfId="1146" xr:uid="{394BAD6A-A878-4F97-A891-A7FF3F4EC438}"/>
    <cellStyle name="Normale 4 4" xfId="1147" xr:uid="{122EF02E-5F84-4DA9-8D20-296EEBD57340}"/>
    <cellStyle name="Normale 5" xfId="1148" xr:uid="{02A9F91C-730B-4DFA-8924-8D0927D940C2}"/>
    <cellStyle name="Normale 5 2" xfId="1149" xr:uid="{137423BF-CA15-4A98-BA57-AC11041B8CD6}"/>
    <cellStyle name="Normale 6" xfId="1150" xr:uid="{E462B3FF-04EB-4516-B2CA-73391DEB53AC}"/>
    <cellStyle name="Normale 7" xfId="1151" xr:uid="{D6CA1065-0FB8-4D28-8597-28BF563FB7A2}"/>
    <cellStyle name="Normale 7 2" xfId="1152" xr:uid="{28F59256-6507-43B6-8538-3BB8472AED4C}"/>
    <cellStyle name="Normale 8" xfId="1153" xr:uid="{9BA6F7B7-E7A7-4F8E-AB49-CFF7C7CBC0C2}"/>
    <cellStyle name="Normale 9" xfId="1154" xr:uid="{78CC22A9-AD74-4A1F-96B3-8F7CF1D375F9}"/>
    <cellStyle name="Normale#.##0_);[Rosso](#.###);-" xfId="1155" xr:uid="{87971A9A-981C-4015-8E32-4AB4BF2CECAE}"/>
    <cellStyle name="NormalEPS" xfId="1156" xr:uid="{EA5CFEAA-3B19-4811-8004-BE6AC7796A6E}"/>
    <cellStyle name="NormalGB" xfId="1157" xr:uid="{F7FDCA29-3207-40EB-8BA2-B219E1480F6E}"/>
    <cellStyle name="NormalPop" xfId="1158" xr:uid="{D2B3408E-8C06-4D9A-8A80-60C225701D1A}"/>
    <cellStyle name="Nota 2" xfId="1159" xr:uid="{7339B621-474C-4C5A-A12F-FA26EE928B56}"/>
    <cellStyle name="Note" xfId="1160" xr:uid="{91AE282F-7CB9-40C8-AF2F-438CDD6FED70}"/>
    <cellStyle name="Notes" xfId="1161" xr:uid="{2E9CE035-EE57-4DB6-BE1C-F632135C623A}"/>
    <cellStyle name="Number" xfId="1162" xr:uid="{E742D838-D838-4EE1-BD0B-A461D085A6B0}"/>
    <cellStyle name="Numbers" xfId="1163" xr:uid="{81E55FBF-506B-484B-8AB6-86FF33831244}"/>
    <cellStyle name="Numbers - Bold" xfId="1164" xr:uid="{923A9073-AE9B-4C81-990F-00BAAAD86A89}"/>
    <cellStyle name="Numbers - Bold - Italic" xfId="1165" xr:uid="{395ED23A-053D-409A-844A-2E22AC3D1244}"/>
    <cellStyle name="Numbers - Bold_6079BX" xfId="1166" xr:uid="{60AC8E9A-886E-4C2D-A396-985B862A5938}"/>
    <cellStyle name="Numbers - Large" xfId="1167" xr:uid="{15B1F743-9B7B-46C1-B908-3AB235A60534}"/>
    <cellStyle name="Numbers_6079BX" xfId="1168" xr:uid="{4C098B90-FE9D-4064-AC31-AFBE939AD373}"/>
    <cellStyle name="Onedec" xfId="1169" xr:uid="{E3A2B3AA-F6A2-45EA-8383-A687B478AF94}"/>
    <cellStyle name="OSW_ColumnLabels" xfId="1170" xr:uid="{FDD347A3-7234-46D5-81E0-1E6C79CDB47A}"/>
    <cellStyle name="Output 2" xfId="1171" xr:uid="{E91CB90D-EF22-4E44-9A30-9F0B653F8685}"/>
    <cellStyle name="Output Line Items" xfId="1172" xr:uid="{54B8B3BE-878B-43D9-96FF-4E93442451B3}"/>
    <cellStyle name="p" xfId="1173" xr:uid="{94E851B7-5678-4942-8288-1140046AEFD8}"/>
    <cellStyle name="Page Heading Large" xfId="1174" xr:uid="{9D8B2EEF-6EBD-4E7B-840C-C955E9B22763}"/>
    <cellStyle name="Page Heading Small" xfId="1175" xr:uid="{CB22E5F6-6BEB-4BF1-9769-BDA7297351E8}"/>
    <cellStyle name="Page Number" xfId="1176" xr:uid="{5439BC4D-8CC6-43F3-90AB-8128127FF508}"/>
    <cellStyle name="parité" xfId="1177" xr:uid="{668AFA57-71FD-4313-AD52-AA9D9AD23E11}"/>
    <cellStyle name="pcent" xfId="1178" xr:uid="{22E1D909-7664-41C3-ACD0-DF7016405487}"/>
    <cellStyle name="Pence" xfId="1179" xr:uid="{32498D61-BE7E-4A56-97FF-0D112C8269B4}"/>
    <cellStyle name="Percent" xfId="4" xr:uid="{9F9BDD1A-5703-4C87-9F93-0FB81030DECD}"/>
    <cellStyle name="Percent (0.0)" xfId="1180" xr:uid="{D4A14358-8171-41E3-B2CB-18DE3B15A503}"/>
    <cellStyle name="Percent [0]" xfId="1181" xr:uid="{DAA60E33-E0B0-4F9B-B605-AA69DFD4DE7D}"/>
    <cellStyle name="Percent [1]" xfId="1182" xr:uid="{7C7051F6-7B1D-42AA-9523-6773128B68D4}"/>
    <cellStyle name="Percent [2]" xfId="1183" xr:uid="{EEBD726C-291B-4841-B823-357A8B7F8D89}"/>
    <cellStyle name="Percent 0" xfId="1184" xr:uid="{AFB1A112-BBA6-4D19-B015-24E43945432A}"/>
    <cellStyle name="Percent 0,00" xfId="1185" xr:uid="{22B5087B-BF8B-4F7F-8F40-B7F96E78F804}"/>
    <cellStyle name="Percent 0_scenari ValutazioenOlimpia 11_10w" xfId="1186" xr:uid="{5EE4E7B7-3387-42B3-B245-12A1CCCBB08B}"/>
    <cellStyle name="Percent 2" xfId="1412" xr:uid="{51C8B395-0FBB-443D-9F3A-53CAB2BD6E91}"/>
    <cellStyle name="Percent Assump" xfId="1187" xr:uid="{86CE15EA-3604-40F0-BA02-CA21EAB44BD5}"/>
    <cellStyle name="Percent Hard" xfId="1188" xr:uid="{794E2B0C-C85D-43B8-97E9-6C78D8A5E69D}"/>
    <cellStyle name="Percent Input" xfId="1189" xr:uid="{AD66BD6B-CDFB-42D2-AF24-3DCF80741876}"/>
    <cellStyle name="Percent_CE WIND 2008" xfId="1190" xr:uid="{B7FC166D-00C1-497C-99FB-00BA8ADE91B0}"/>
    <cellStyle name="Percent1" xfId="1191" xr:uid="{F95AE082-6A18-496E-80A7-B9882B3E3554}"/>
    <cellStyle name="Percentage" xfId="1192" xr:uid="{2B1845CF-C22C-4596-B248-EEF6A495DB52}"/>
    <cellStyle name="Percentuale 2" xfId="1193" xr:uid="{65642F58-CF88-4333-B6DD-20F5719A92BF}"/>
    <cellStyle name="Percentuale 2 2" xfId="1194" xr:uid="{DC09B7CF-1AEE-4A62-8798-CAFAF73AC9A1}"/>
    <cellStyle name="Percentuale 3" xfId="1195" xr:uid="{A6BB63AE-0E7E-46A4-B07A-7EDF6AB203C4}"/>
    <cellStyle name="Percentuale 3 2" xfId="1196" xr:uid="{5F40D371-C83F-4AA7-BB50-F607B0F33279}"/>
    <cellStyle name="Percentuale 4" xfId="1197" xr:uid="{BA47C975-455A-4202-86D7-9D314CEF915A}"/>
    <cellStyle name="Percentuale 5" xfId="1198" xr:uid="{2349BA78-A32D-41F2-AC8C-5249F7CF55D3}"/>
    <cellStyle name="Percentuale 5 2" xfId="1199" xr:uid="{ED6DB42D-B8EE-4EB7-BFD5-61DCC037336D}"/>
    <cellStyle name="Percentuale 5 3" xfId="1200" xr:uid="{9820B3B7-420F-4222-9725-4316E292422E}"/>
    <cellStyle name="Percentuale(0)" xfId="1201" xr:uid="{437B446A-C428-457D-8896-E2358EFF29FD}"/>
    <cellStyle name="Percentuale(0,0)" xfId="1202" xr:uid="{6700A088-CCE8-440B-8129-B269A9D7282B}"/>
    <cellStyle name="Period" xfId="1203" xr:uid="{8F425D4B-1ABE-45A9-9CAA-EA9A3398CAC4}"/>
    <cellStyle name="Pilkku_Layo9704" xfId="1204" xr:uid="{EE76EA6D-CC76-406E-8E32-D9F87D101BB3}"/>
    <cellStyle name="Plug" xfId="1205" xr:uid="{876F419D-2B44-4249-9925-EDBCE92FA834}"/>
    <cellStyle name="Porcentaje" xfId="2" builtinId="5"/>
    <cellStyle name="pound" xfId="1206" xr:uid="{EB39E143-22D1-4417-A89B-D539234FC4AA}"/>
    <cellStyle name="Price" xfId="1207" xr:uid="{34780297-399D-4E8F-BA68-2D0DB80BB89D}"/>
    <cellStyle name="PROJECT" xfId="1208" xr:uid="{93DEB047-7C01-4C8D-A56B-56D015529A49}"/>
    <cellStyle name="PROJECT R" xfId="1209" xr:uid="{4F54FBF9-3D2D-41AF-850C-18CB28B87C33}"/>
    <cellStyle name="PROJECT_Book1" xfId="1210" xr:uid="{C5C4091D-90ED-44EA-A6ED-DCC5A1FF27E7}"/>
    <cellStyle name="ProjRevenue" xfId="1211" xr:uid="{10458B60-D61C-4223-AD6D-13DC1F00958B}"/>
    <cellStyle name="ProjRevenue.total" xfId="1212" xr:uid="{FD15AA69-9CAE-4BF7-B0E8-475F7A02682F}"/>
    <cellStyle name="PSChar" xfId="1213" xr:uid="{9DBFCC13-0626-4ABD-A8CF-DB6CCE3B8E13}"/>
    <cellStyle name="PSHeading" xfId="1214" xr:uid="{9CE3BC6B-6307-4525-8A75-C4C7EA8AD4BF}"/>
    <cellStyle name="Punto" xfId="1215" xr:uid="{19B26D7D-5F18-4EDC-8E99-88F8E73D82B7}"/>
    <cellStyle name="Pyör. luku_Layo9704" xfId="1216" xr:uid="{8DB03C6F-C1B7-47AE-8591-A7DD2AD6CDBA}"/>
    <cellStyle name="Pyör. valuutta_Layo9704" xfId="1217" xr:uid="{F2832C23-D8BB-47EF-B7BB-C4C86EE06438}"/>
    <cellStyle name="r" xfId="1218" xr:uid="{0BC7229B-A547-47E1-85D6-37145A5699AC}"/>
    <cellStyle name="R_Grafici" xfId="1219" xr:uid="{898FE7E4-71FF-47DA-81CD-BB6DF896EF26}"/>
    <cellStyle name="Red" xfId="1220" xr:uid="{1FFCBD3C-0849-49A0-8617-4CAE723082C2}"/>
    <cellStyle name="RevList" xfId="1221" xr:uid="{BBDB8E18-E2BA-414D-87A2-204E4044ECB2}"/>
    <cellStyle name="Row Heading" xfId="1222" xr:uid="{C541E772-97CA-4D2E-8057-526C6EFF6B15}"/>
    <cellStyle name="RowLabels" xfId="1223" xr:uid="{99E002F4-56C9-4BD5-9C31-9C23C132FC04}"/>
    <cellStyle name="Salomon Logo" xfId="1224" xr:uid="{1E7222F9-E3D3-41F9-B583-25D81DA10798}"/>
    <cellStyle name="SAPBEXaggData" xfId="1225" xr:uid="{BC0323B9-9D7A-473E-B154-0156C084ED2A}"/>
    <cellStyle name="SAPBEXaggDataEmph" xfId="1226" xr:uid="{631ABA11-05E1-44B6-8454-F9BBF8D78D39}"/>
    <cellStyle name="SAPBEXaggDataEmph 2" xfId="1227" xr:uid="{A92EDF1A-1994-4BDF-8F63-56A3708B08FA}"/>
    <cellStyle name="SAPBEXaggItem" xfId="1228" xr:uid="{BF3776F8-CA73-4E40-ABBF-F3C0B6A17444}"/>
    <cellStyle name="SAPBEXaggItem 2" xfId="1229" xr:uid="{A8941278-1169-4B94-B238-851CE596DF53}"/>
    <cellStyle name="SAPBEXaggItemX" xfId="1230" xr:uid="{AFA9A261-314A-4E65-9C74-815A77BD373E}"/>
    <cellStyle name="SAPBEXaggItemX 2" xfId="1231" xr:uid="{B75DAFAD-B47C-4820-9CBF-9FA0F0B258DF}"/>
    <cellStyle name="SAPBEXchaText" xfId="1232" xr:uid="{45708EE9-06B1-466A-B0F5-72915871E82C}"/>
    <cellStyle name="SAPBEXchaText 2" xfId="1233" xr:uid="{A8DCE2CA-2670-43E2-ABD6-689783C38DAD}"/>
    <cellStyle name="SAPBEXexcBad7" xfId="1234" xr:uid="{12638A78-5FAD-4F1B-8A4E-C1F682D4F491}"/>
    <cellStyle name="SAPBEXexcBad8" xfId="1235" xr:uid="{771A4BAD-1071-44BA-A854-F00D7A68E612}"/>
    <cellStyle name="SAPBEXexcBad9" xfId="1236" xr:uid="{F6B67883-18CB-41EF-AAC5-F99F484112CE}"/>
    <cellStyle name="SAPBEXexcCritical4" xfId="1237" xr:uid="{84B9F11B-02F5-4570-8C0C-DBD77A91DFFB}"/>
    <cellStyle name="SAPBEXexcCritical5" xfId="1238" xr:uid="{2078701A-B862-4ED4-8FA1-72BAB8767D40}"/>
    <cellStyle name="SAPBEXexcCritical6" xfId="1239" xr:uid="{84DA15C0-5756-4532-88F1-8C29237D82CA}"/>
    <cellStyle name="SAPBEXexcGood1" xfId="1240" xr:uid="{4D04F517-292C-4E40-892A-1572AE2E0308}"/>
    <cellStyle name="SAPBEXexcGood2" xfId="1241" xr:uid="{FCBE4337-C619-435D-A171-4A1DBEC46F0F}"/>
    <cellStyle name="SAPBEXexcGood3" xfId="1242" xr:uid="{66F554ED-7247-4606-9F22-DA30E25F166F}"/>
    <cellStyle name="SAPBEXfilterDrill" xfId="1243" xr:uid="{B0EB141C-21C2-4D52-B348-F6C6DB1C3E57}"/>
    <cellStyle name="SAPBEXfilterItem" xfId="1244" xr:uid="{A58ECAD7-E6EF-4EE3-8185-6034286EAE61}"/>
    <cellStyle name="SAPBEXfilterText" xfId="1245" xr:uid="{6FEE7E70-8C47-493D-A311-B0A20DFB8FAD}"/>
    <cellStyle name="SAPBEXfilterText 2" xfId="1246" xr:uid="{76A43FBB-3F22-4605-B9E3-92B45881FF3A}"/>
    <cellStyle name="SAPBEXformats" xfId="1247" xr:uid="{0512E7DF-A070-41F5-88F0-A66EC893852F}"/>
    <cellStyle name="SAPBEXheaderItem" xfId="1248" xr:uid="{A4EDD147-B8D9-4292-816C-90A34634886D}"/>
    <cellStyle name="SAPBEXheaderItem 2" xfId="1249" xr:uid="{1C62E8EF-40A8-4370-9A1B-4DC7C4756F52}"/>
    <cellStyle name="SAPBEXheaderText" xfId="1250" xr:uid="{C3501D28-2B5E-41C9-A245-A00D43F8A7CF}"/>
    <cellStyle name="SAPBEXheaderText 2" xfId="1251" xr:uid="{28CA6F10-7C35-438B-9140-6008B699C59B}"/>
    <cellStyle name="SAPBEXheaderText 3" xfId="1252" xr:uid="{F604D917-7A96-4156-B874-C4AB711A1FFB}"/>
    <cellStyle name="SAPBEXHLevel0" xfId="1253" xr:uid="{F8DD76B5-0F65-4767-8B84-410AB278FE60}"/>
    <cellStyle name="SAPBEXHLevel0 2" xfId="1254" xr:uid="{D82CF8A3-D87E-445C-B220-5E2D42791E07}"/>
    <cellStyle name="SAPBEXHLevel0X" xfId="1255" xr:uid="{4BFAF75E-936E-4451-9709-4BEE9D8B78E5}"/>
    <cellStyle name="SAPBEXHLevel0X 2" xfId="1256" xr:uid="{4C21855B-1051-4C2E-B04A-512B7C16FFC3}"/>
    <cellStyle name="SAPBEXHLevel1" xfId="1257" xr:uid="{CFC763AC-2A21-467C-9A6A-A79DC182862D}"/>
    <cellStyle name="SAPBEXHLevel1 2" xfId="1258" xr:uid="{24E584B9-2310-4EA5-AB2D-90C2D55D5701}"/>
    <cellStyle name="SAPBEXHLevel1X" xfId="1259" xr:uid="{978BD17F-6BE4-458E-9D1F-A9BF885A5854}"/>
    <cellStyle name="SAPBEXHLevel1X 2" xfId="1260" xr:uid="{7D35BB43-6C43-4BFC-BE5A-CC37BC6B146C}"/>
    <cellStyle name="SAPBEXHLevel2" xfId="1261" xr:uid="{E4810734-1942-4BC6-B5FD-330BEA886900}"/>
    <cellStyle name="SAPBEXHLevel2 2" xfId="1262" xr:uid="{BFA03664-2E02-46CD-856D-898DFD7A340C}"/>
    <cellStyle name="SAPBEXHLevel2X" xfId="1263" xr:uid="{794B3484-38E8-4FF7-8CBB-8FDF7EC7E6BB}"/>
    <cellStyle name="SAPBEXHLevel2X 2" xfId="1264" xr:uid="{D41EC013-2700-4588-9946-A42FAEFD7B92}"/>
    <cellStyle name="SAPBEXHLevel3" xfId="1265" xr:uid="{CFC8D05F-EB30-4191-A7EF-6E94616D97FF}"/>
    <cellStyle name="SAPBEXHLevel3 2" xfId="1266" xr:uid="{D6DC2C5B-E238-4239-BC94-A79D91BB0C3A}"/>
    <cellStyle name="SAPBEXHLevel3X" xfId="1267" xr:uid="{31FF252A-8522-4221-9F52-52099EB381B9}"/>
    <cellStyle name="SAPBEXHLevel3X 2" xfId="1268" xr:uid="{BA36FFB7-0CA7-4A7D-97A3-DF8B009EC1CE}"/>
    <cellStyle name="SAPBEXinputData" xfId="1269" xr:uid="{793C4410-A904-4BDC-B83A-431EA8395123}"/>
    <cellStyle name="SAPBEXItemHeader" xfId="1270" xr:uid="{E8B8349A-8121-4257-B960-6B6904C18E13}"/>
    <cellStyle name="SAPBEXresData" xfId="1271" xr:uid="{6CF4BFF8-AD35-4371-9550-DD12465089A5}"/>
    <cellStyle name="SAPBEXresData 2" xfId="1272" xr:uid="{40D26327-BE59-4669-8E96-C4B3222C6744}"/>
    <cellStyle name="SAPBEXresDataEmph" xfId="1273" xr:uid="{451FA446-0995-4AA2-A448-6C874F58105C}"/>
    <cellStyle name="SAPBEXresDataEmph 2" xfId="1274" xr:uid="{B1AA4479-0794-4FD0-9D89-EF282D5963B6}"/>
    <cellStyle name="SAPBEXresItem" xfId="1275" xr:uid="{5F2470CB-705E-472C-9EDB-5E016E34D301}"/>
    <cellStyle name="SAPBEXresItem 2" xfId="1276" xr:uid="{9BD82783-D3BD-45CE-9038-C4A075D71F36}"/>
    <cellStyle name="SAPBEXresItemX" xfId="1277" xr:uid="{F3D2EB0C-B2AD-4145-995E-BF2A13503325}"/>
    <cellStyle name="SAPBEXresItemX 2" xfId="1278" xr:uid="{A05B21FC-4173-412D-8844-298C6909F540}"/>
    <cellStyle name="SAPBEXstdData" xfId="1279" xr:uid="{D8A23B72-1293-48E8-B698-81DA7AD16445}"/>
    <cellStyle name="SAPBEXstdDataEmph" xfId="1280" xr:uid="{0D95358A-AEAF-4BBB-A88B-6CBC88C9AC46}"/>
    <cellStyle name="SAPBEXstdItem" xfId="1281" xr:uid="{489E08B9-BEA4-4EAE-B95E-ADBA42EB1AB0}"/>
    <cellStyle name="SAPBEXstdItemX" xfId="1282" xr:uid="{B83D9B88-5CEB-4932-AD17-3910BF504D45}"/>
    <cellStyle name="SAPBEXstdItemX 2" xfId="1283" xr:uid="{9E31AB47-450D-4C9C-97B7-E38D3356BCB8}"/>
    <cellStyle name="SAPBEXtitle" xfId="1284" xr:uid="{172F5B3F-A102-4E3F-ADB2-EDE5B304B3CF}"/>
    <cellStyle name="SAPBEXunassignedItem" xfId="1285" xr:uid="{43077CA6-7F78-4DE7-94E8-983C08507278}"/>
    <cellStyle name="SAPBEXundefined" xfId="1286" xr:uid="{CFC3AFF2-9D38-4CF7-9233-03CC6BC5B01D}"/>
    <cellStyle name="SAPBEXundefined 2" xfId="1287" xr:uid="{C0F266DB-86FA-463B-AE0C-FA7FF318B005}"/>
    <cellStyle name="Section Title" xfId="1288" xr:uid="{DC8B0776-372D-4FD7-98D7-0ACD019B8174}"/>
    <cellStyle name="Separador de milhares_Budget 2002 020528" xfId="1289" xr:uid="{2ED6F979-31E7-4AA1-98C5-9B1B82E227F6}"/>
    <cellStyle name="Shaded" xfId="1290" xr:uid="{72D84F3B-0C3E-41AB-8E9E-1658E1C11329}"/>
    <cellStyle name="Shares" xfId="1291" xr:uid="{BDAC523C-44F9-4772-88A9-3993BCA359FB}"/>
    <cellStyle name="sharesout" xfId="1292" xr:uid="{B0211276-6E0B-42E1-B010-FB0EAD2B9407}"/>
    <cellStyle name="Sheet Header" xfId="1293" xr:uid="{ECFC1F40-7EED-4FD4-8D23-6C5D4D16B9B5}"/>
    <cellStyle name="Sheet Title" xfId="1294" xr:uid="{EE3C9F04-CF2E-43D6-B060-11CD4AFEA081}"/>
    <cellStyle name="Small Percentage" xfId="1295" xr:uid="{016A803B-9C8D-415E-8B36-43BFA100F9F7}"/>
    <cellStyle name="sottotit" xfId="1296" xr:uid="{A166A855-8051-4917-B252-EC5EBAC708D8}"/>
    <cellStyle name="sottotitolo" xfId="1297" xr:uid="{82ADC8C9-C3E3-47F0-A956-3FFF96D81C82}"/>
    <cellStyle name="Special%" xfId="1298" xr:uid="{80AB5D6F-238C-413F-8EFA-1A25D8000846}"/>
    <cellStyle name="Standard__CQ02_Country" xfId="1299" xr:uid="{B8B557A5-DAB3-4AF1-9916-A9AE166941D2}"/>
    <cellStyle name="Stile 1" xfId="1300" xr:uid="{6119C6A5-81E3-4596-8271-6746DDDF7875}"/>
    <cellStyle name="style1" xfId="1301" xr:uid="{6D18AA97-E708-461C-9436-C723F815B60F}"/>
    <cellStyle name="style2" xfId="1302" xr:uid="{D46532F6-37FE-4986-98FE-23AE0365BF43}"/>
    <cellStyle name="subhead" xfId="1303" xr:uid="{34851916-4FEC-4A00-B7A7-E5D8D1D00630}"/>
    <cellStyle name="Sub-Heading" xfId="1304" xr:uid="{47358FC2-5AF1-4B67-91D8-9F7986281CA2}"/>
    <cellStyle name="Subtitle" xfId="1305" xr:uid="{0EA04F2B-CBC8-4CDC-B492-F92F7DF94D7E}"/>
    <cellStyle name="Subtotal" xfId="1306" xr:uid="{F1A7C4C1-36D7-4858-BA8C-1F8D8D2865F2}"/>
    <cellStyle name="Summary" xfId="1307" xr:uid="{624112C9-35B4-437F-8A83-C34BFD1AE58E}"/>
    <cellStyle name="Table Col Head" xfId="1308" xr:uid="{CA1C2D1E-10A2-448D-AE32-EBB0ABC5619B}"/>
    <cellStyle name="Table Entry R (n0)" xfId="1309" xr:uid="{83B50F58-D919-4D5F-A9B3-696D2D062F34}"/>
    <cellStyle name="Table Head" xfId="1310" xr:uid="{41C720DC-012A-4A8C-BCE0-D5688FC43726}"/>
    <cellStyle name="Table Head Aligned" xfId="1311" xr:uid="{17E320DB-780B-4D25-B2E5-08BC757F5932}"/>
    <cellStyle name="Table Head Blue" xfId="1312" xr:uid="{2D3B8BFB-A963-4D20-A8B3-CA25A085CC03}"/>
    <cellStyle name="Table Head Green" xfId="1313" xr:uid="{D6BC2E2B-FB32-4DEF-B2EA-82397437C437}"/>
    <cellStyle name="Table Head_Book1" xfId="1314" xr:uid="{F944815F-4361-43A5-AF67-65A2BC4FE14E}"/>
    <cellStyle name="Table Source" xfId="1315" xr:uid="{1ECD5D58-3A4D-47A3-B272-3730E199F73A}"/>
    <cellStyle name="Table Sub Head" xfId="1316" xr:uid="{7775084C-46B6-4528-80F4-F2457A1F82DD}"/>
    <cellStyle name="Table Text" xfId="1317" xr:uid="{FA436DE3-8A3B-40AD-A254-E761F414BD77}"/>
    <cellStyle name="Table Title" xfId="1318" xr:uid="{8870A2D7-7CF5-49EA-84CF-9D955DFCEE6F}"/>
    <cellStyle name="Table Units" xfId="1319" xr:uid="{8C161CBA-4045-482B-B724-B1116FE96013}"/>
    <cellStyle name="Table_Header" xfId="1320" xr:uid="{F4339EA8-D2B8-424B-95BC-F8E30AEB73A3}"/>
    <cellStyle name="TableColumnHeading" xfId="1321" xr:uid="{5AAD9170-F044-4103-92E2-C8043A843656}"/>
    <cellStyle name="TableHead" xfId="1322" xr:uid="{5CFE9538-9DAD-4A6B-BF6E-0BF1079109FF}"/>
    <cellStyle name="TableSubTitleItalic" xfId="1323" xr:uid="{BF3BEB2F-0C33-4B07-9678-CD750C6E2CFF}"/>
    <cellStyle name="TableText" xfId="1324" xr:uid="{23F12B1E-0EE7-4F2D-A761-4C2F016DE73D}"/>
    <cellStyle name="TableTitle" xfId="1325" xr:uid="{6502C475-1D4B-4B2F-8C8F-697941C34CD0}"/>
    <cellStyle name="Testo avviso 2" xfId="1326" xr:uid="{20EDA871-F123-43A7-904E-0D374D73D42F}"/>
    <cellStyle name="Testo descrittivo 2" xfId="1327" xr:uid="{5314B27B-736F-442F-ACA8-8F2AD70D5615}"/>
    <cellStyle name="Text 1" xfId="1328" xr:uid="{E9F6376C-C9CC-441C-A607-6F124142AC67}"/>
    <cellStyle name="Text 2" xfId="1329" xr:uid="{115E03D0-9561-4E93-B905-23B36F748B51}"/>
    <cellStyle name="Text Head 1" xfId="1330" xr:uid="{4365BA8D-C8CC-4EBC-9DCF-3FAE70ACC19B}"/>
    <cellStyle name="Text Head 2" xfId="1331" xr:uid="{1172B426-5A9A-4240-95F2-5BC7B642CA30}"/>
    <cellStyle name="Text Indent 1" xfId="1332" xr:uid="{2B222734-C000-42A6-8A0C-DDD7AE303F5B}"/>
    <cellStyle name="Text Indent 2" xfId="1333" xr:uid="{BB451A6E-FBEF-4E60-A448-1B0833D0D2F5}"/>
    <cellStyle name="TH Blanc" xfId="1334" xr:uid="{AA152618-053F-43F3-B8F8-DC5AB2EA6C3B}"/>
    <cellStyle name="thenums" xfId="1335" xr:uid="{0D895549-44B4-4CC6-B47E-349A54101D32}"/>
    <cellStyle name="threedecplace" xfId="1336" xr:uid="{C73F1FD9-52BC-4B75-B1A2-DCD494C31286}"/>
    <cellStyle name="times" xfId="1337" xr:uid="{CF7FE2DB-0E8C-41B5-B3D1-DF38106873DE}"/>
    <cellStyle name="Tit_Tabella" xfId="1338" xr:uid="{8EB1D705-4297-4DFA-94C3-7EAE0C3ADA22}"/>
    <cellStyle name="Title" xfId="1339" xr:uid="{B213D268-DA10-44ED-A962-B2247B812A0F}"/>
    <cellStyle name="Title - PROJECT" xfId="1340" xr:uid="{D4946DF7-A39D-412B-AAE3-E8F508310EAC}"/>
    <cellStyle name="Title - Underline" xfId="1341" xr:uid="{9C1F40BD-BDB8-4097-B938-DC1AE2988EBA}"/>
    <cellStyle name="Title_Alimentazione BoD 09-15 3Y Plan ver 09-11" xfId="1342" xr:uid="{3BD9620D-159E-4A3D-B5D4-7C3F96AAA76F}"/>
    <cellStyle name="title1" xfId="1343" xr:uid="{B2AA297B-F4E1-49AC-9582-C4B892B3A6D7}"/>
    <cellStyle name="title2" xfId="1344" xr:uid="{4BEC28D2-70A3-4529-B6EE-ABFF0B31C372}"/>
    <cellStyle name="TitleII" xfId="1345" xr:uid="{1EE9E422-C9F5-40A8-9C96-270858CA23A6}"/>
    <cellStyle name="Titles - Col. Headings" xfId="1346" xr:uid="{0644865F-9B4C-4D61-B77E-0309055A1ACC}"/>
    <cellStyle name="Titles - Other" xfId="1347" xr:uid="{13D1F4C2-2CF2-4174-BC07-50DBD783B7BE}"/>
    <cellStyle name="Titolo 1 2" xfId="1348" xr:uid="{84E5B5A8-465F-4E79-9F14-C4A00F33C7DF}"/>
    <cellStyle name="Titolo 2 2" xfId="1349" xr:uid="{D972079C-2D28-48E5-B703-3ADA61381283}"/>
    <cellStyle name="Titolo 3 2" xfId="1350" xr:uid="{A1112BBD-9BA7-455E-B4E6-409FFFD25D18}"/>
    <cellStyle name="Titolo 4 2" xfId="1351" xr:uid="{2770C76E-E54F-4FC6-81EB-FBA63C1BE21B}"/>
    <cellStyle name="Titolo 5" xfId="1352" xr:uid="{27E73AC9-690A-4ED9-8D67-EDCA89D0A3EB}"/>
    <cellStyle name="Titolo1" xfId="1353" xr:uid="{FC6A7F9D-AE30-405E-BEC8-C55EF861C860}"/>
    <cellStyle name="Titolo2" xfId="1354" xr:uid="{C0812158-3F8F-4AAA-A8D5-32B38A322957}"/>
    <cellStyle name="Titre Goldman" xfId="1355" xr:uid="{E8383CDB-7CC7-4D35-84C7-D8C5B2E86003}"/>
    <cellStyle name="Titre Horizontal" xfId="1356" xr:uid="{39FA5010-943A-4F2A-9909-AEDD23FA3CC6}"/>
    <cellStyle name="TOC 1" xfId="1357" xr:uid="{59E18DF6-6AB7-4687-BA1A-91775E99E903}"/>
    <cellStyle name="TOC 2" xfId="1358" xr:uid="{FE22831B-DAF5-4BC9-8CD5-D56EC4C58046}"/>
    <cellStyle name="Topline" xfId="1359" xr:uid="{854DAFAC-0D80-442F-9EDC-48D7E2B0735B}"/>
    <cellStyle name="Total 2" xfId="1361" xr:uid="{49450127-2494-4155-80B4-696528EB07C7}"/>
    <cellStyle name="Total 3" xfId="1360" xr:uid="{51801B11-D4A8-4647-A679-3B6D01AE5825}"/>
    <cellStyle name="Totale 2" xfId="1362" xr:uid="{84A29621-13B1-4725-A09D-8FBB45C6675C}"/>
    <cellStyle name="twodecplace" xfId="1363" xr:uid="{D5FFB139-AB29-49C5-9E0E-7DB38A779424}"/>
    <cellStyle name="Undefined" xfId="1364" xr:uid="{B5EE7769-43C0-480A-9887-2BF535D04231}"/>
    <cellStyle name="Underline_Single" xfId="1365" xr:uid="{69CD7909-ED3A-4333-B3A4-E2C0EEA23AB3}"/>
    <cellStyle name="User_Defined_A" xfId="1366" xr:uid="{D5871FA9-1328-4546-ABB0-D70F2A55F25B}"/>
    <cellStyle name="Valore non valido 2" xfId="1367" xr:uid="{A234A851-E40D-44CC-BDB0-19FAA27A09EE}"/>
    <cellStyle name="Valore valido 2" xfId="1368" xr:uid="{D70F1FBA-FB39-4303-85C4-84A17EA1566F}"/>
    <cellStyle name="Valuta (0)_~0062086" xfId="1369" xr:uid="{AFF21A04-78D5-424E-99F8-C5F67BDD0CC3}"/>
    <cellStyle name="Valuta 10" xfId="1370" xr:uid="{220DC4C7-5288-49DC-97AD-05FE98E5AA4E}"/>
    <cellStyle name="Valuta 11" xfId="1371" xr:uid="{90F6D19F-3E4E-42ED-B477-73A72C3B365C}"/>
    <cellStyle name="Valuta 12" xfId="1372" xr:uid="{8F617975-4EBC-4452-B01E-CF34922D8752}"/>
    <cellStyle name="Valuta 13" xfId="1373" xr:uid="{86B0017C-B641-4CF3-9995-604A16C07EE8}"/>
    <cellStyle name="Valuta 14" xfId="1374" xr:uid="{C885AF9D-CB11-4A9A-B9A9-0AAA14349789}"/>
    <cellStyle name="Valuta 15" xfId="1375" xr:uid="{97946104-F31E-4FFB-A9C1-03AFB5769A5E}"/>
    <cellStyle name="Valuta 15 2" xfId="1376" xr:uid="{4061F097-5551-4A5F-BBAC-83C705A8AF1E}"/>
    <cellStyle name="Valuta 16" xfId="1377" xr:uid="{FA912064-556A-416A-B95D-C40D49B72BD5}"/>
    <cellStyle name="Valuta 2" xfId="1378" xr:uid="{1EADF777-FA0B-4CC8-BB31-CA657D8A716C}"/>
    <cellStyle name="Valuta 2 2" xfId="1379" xr:uid="{F5408526-68F7-44F6-BEF0-9F0125E66232}"/>
    <cellStyle name="Valuta 2 3" xfId="1380" xr:uid="{A60678D1-E3BD-4CFC-8FC8-B93A91921019}"/>
    <cellStyle name="Valuta 3" xfId="1381" xr:uid="{AD63096E-7233-412E-A34C-67CE7331DA8E}"/>
    <cellStyle name="Valuta 4" xfId="1382" xr:uid="{7E98DB97-DA93-4320-BF4A-61E92AF70C64}"/>
    <cellStyle name="Valuta 4 2" xfId="1383" xr:uid="{BB4084C1-56F4-48C4-B213-D24321A99F5D}"/>
    <cellStyle name="Valuta 5" xfId="1384" xr:uid="{19A0482C-02E1-4F57-A3F6-7E10B6C012EF}"/>
    <cellStyle name="Valuta 6" xfId="1385" xr:uid="{B70C61C5-C3C3-4F35-A8E2-D6E1670DB206}"/>
    <cellStyle name="Valuta 7" xfId="1386" xr:uid="{7627591C-BF79-4CE9-8F92-BA4BA6B3A80A}"/>
    <cellStyle name="Valuta 8" xfId="1387" xr:uid="{85416CD0-C9FE-49CE-A080-BCC1BC3B10CC}"/>
    <cellStyle name="Valuta 9" xfId="1388" xr:uid="{06C94603-90F5-4E97-A93C-10EA2A41043A}"/>
    <cellStyle name="Valutario" xfId="1389" xr:uid="{19DC1FEE-FC07-437A-B093-E877E198DAFC}"/>
    <cellStyle name="Valuutta_Layo9704" xfId="1390" xr:uid="{A50FBDD0-8124-4F11-8641-866E53AF25B9}"/>
    <cellStyle name="Warning Text" xfId="1391" xr:uid="{AB49B8F5-E24C-4A94-AE7D-F3FE63D502DA}"/>
    <cellStyle name="WP" xfId="1392" xr:uid="{682FDD70-835A-43E2-83AA-A6D5F85B72E4}"/>
    <cellStyle name="x Men" xfId="1393" xr:uid="{2619266A-0C38-437F-AF2A-D6A865497516}"/>
    <cellStyle name="Year" xfId="1394" xr:uid="{2F7AE2E0-FCE9-4953-867B-46290691575F}"/>
    <cellStyle name="yellow" xfId="1395" xr:uid="{6C10C997-6FA8-440B-9971-B36395550F16}"/>
    <cellStyle name="Yen" xfId="1396" xr:uid="{B9ADFB22-DBEE-4D4E-AB74-53351112A11D}"/>
    <cellStyle name="Обычный_BGT'2002 Spese Operative" xfId="1397" xr:uid="{939760A4-9BE4-4A50-87EA-70DE39285A25}"/>
    <cellStyle name="콤마 [0]_PLDT" xfId="1401" xr:uid="{88FE9275-EA93-49BC-AAAD-C18951E28545}"/>
    <cellStyle name="콤마_PLDT" xfId="1402" xr:uid="{D8FE9CBD-F000-4194-9DC8-3187759D250E}"/>
    <cellStyle name="통화 [0]_PLDT" xfId="1403" xr:uid="{42A00CCE-F8C5-46E4-AE92-CE70BCC839F3}"/>
    <cellStyle name="통화_PLDT" xfId="1404" xr:uid="{548F6819-E0D4-4DD1-8E14-A73B363FB203}"/>
    <cellStyle name="표준_PLDT" xfId="1405" xr:uid="{54A05760-603E-4190-A55C-D66283E1AA28}"/>
    <cellStyle name="一般_MARKETING FORECAST FORM-1" xfId="1398" xr:uid="{52D72926-5903-4FEA-B488-01616AA16A78}"/>
    <cellStyle name="千分位[0]_Dialog3" xfId="1399" xr:uid="{FD4CA19A-5D49-4EAA-80E0-846E6BFFC901}"/>
    <cellStyle name="千分位_CFB617" xfId="1400" xr:uid="{54928209-0AD8-4A9D-AA54-E476243BC1CE}"/>
    <cellStyle name="常规_Quotation Temp for Datacomm 030602 version_Distributer" xfId="1406" xr:uid="{0C09C2BC-F77A-414C-8635-0BF071BFFEB2}"/>
    <cellStyle name="標準_Hitachi revised quote 12_26_00 for Osuga-san" xfId="1407" xr:uid="{0859B01A-74A0-4297-A87E-9F85D936B3E9}"/>
    <cellStyle name="貨幣 [0]_CFB617" xfId="1408" xr:uid="{D5C2796D-2762-4D6A-93D4-A8788262676A}"/>
    <cellStyle name="貨幣[0]_Dialog2" xfId="1409" xr:uid="{7F55D003-A6CC-416D-A692-509ACB261458}"/>
    <cellStyle name="貨幣_CFB617" xfId="1410" xr:uid="{0DDC57EF-A899-4402-82CB-318950264601}"/>
  </cellStyles>
  <dxfs count="0"/>
  <tableStyles count="0" defaultTableStyle="TableStyleMedium2" defaultPivotStyle="PivotStyleLight16"/>
  <colors>
    <mruColors>
      <color rgb="FFD8F5F6"/>
      <color rgb="FFD7F2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Sales - Italtel Peru</a:t>
            </a:r>
            <a:r>
              <a:rPr lang="es-PE" baseline="0"/>
              <a:t> Thousand USD</a:t>
            </a:r>
            <a:endParaRPr lang="es-PE"/>
          </a:p>
        </c:rich>
      </c:tx>
      <c:layout>
        <c:manualLayout>
          <c:xMode val="edge"/>
          <c:yMode val="edge"/>
          <c:x val="0.3716834573676908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0850866521766984E-2"/>
          <c:y val="0.18763888888888891"/>
          <c:w val="0.8216706534280408"/>
          <c:h val="0.60368802857976089"/>
        </c:manualLayout>
      </c:layout>
      <c:lineChart>
        <c:grouping val="standard"/>
        <c:varyColors val="0"/>
        <c:ser>
          <c:idx val="1"/>
          <c:order val="0"/>
          <c:tx>
            <c:strRef>
              <c:f>Ingresos_EBITDA_Net_Income!$B$19</c:f>
              <c:strCache>
                <c:ptCount val="1"/>
                <c:pt idx="0">
                  <c:v>Sales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0800" dist="38100" dir="5400000" algn="t" rotWithShape="0">
                <a:schemeClr val="accent4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dLbls>
            <c:dLbl>
              <c:idx val="8"/>
              <c:layout>
                <c:manualLayout>
                  <c:x val="-2.9321117996528794E-2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8B-449D-BCD7-AAE915FD6E43}"/>
                </c:ext>
              </c:extLst>
            </c:dLbl>
            <c:dLbl>
              <c:idx val="9"/>
              <c:layout>
                <c:manualLayout>
                  <c:x val="4.8868529994214663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8B-449D-BCD7-AAE915FD6E43}"/>
                </c:ext>
              </c:extLst>
            </c:dLbl>
            <c:dLbl>
              <c:idx val="13"/>
              <c:layout>
                <c:manualLayout>
                  <c:x val="-1.5970350478458181E-2"/>
                  <c:y val="-2.750000090223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5D-4115-A03B-5AA7846C6CF3}"/>
                </c:ext>
              </c:extLst>
            </c:dLbl>
            <c:dLbl>
              <c:idx val="14"/>
              <c:layout>
                <c:manualLayout>
                  <c:x val="-5.9888814294218181E-3"/>
                  <c:y val="-3.6666667869641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5D-4115-A03B-5AA7846C6C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Ingresos_EBITDA_Net_Income!$C$18:$Q$18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Ingresos_EBITDA_Net_Income!$C$19:$Q$19</c:f>
              <c:numCache>
                <c:formatCode>#,##0</c:formatCode>
                <c:ptCount val="15"/>
                <c:pt idx="0">
                  <c:v>3514.41974522293</c:v>
                </c:pt>
                <c:pt idx="1">
                  <c:v>12301.929090280179</c:v>
                </c:pt>
                <c:pt idx="2">
                  <c:v>20012.691915272339</c:v>
                </c:pt>
                <c:pt idx="3">
                  <c:v>33378.412617723392</c:v>
                </c:pt>
                <c:pt idx="4">
                  <c:v>27885.52146609173</c:v>
                </c:pt>
                <c:pt idx="5">
                  <c:v>31771.97249284693</c:v>
                </c:pt>
                <c:pt idx="6">
                  <c:v>39888.623411371234</c:v>
                </c:pt>
                <c:pt idx="7">
                  <c:v>50279.948387096767</c:v>
                </c:pt>
                <c:pt idx="8">
                  <c:v>33264.363095238099</c:v>
                </c:pt>
                <c:pt idx="9">
                  <c:v>33513.591679506928</c:v>
                </c:pt>
                <c:pt idx="10">
                  <c:v>44246.747400593471</c:v>
                </c:pt>
                <c:pt idx="11">
                  <c:v>57602.283693883699</c:v>
                </c:pt>
                <c:pt idx="12">
                  <c:v>22686.572032587683</c:v>
                </c:pt>
                <c:pt idx="13">
                  <c:v>24646</c:v>
                </c:pt>
                <c:pt idx="14">
                  <c:v>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B-449D-BCD7-AAE915FD6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534736"/>
        <c:axId val="1230563024"/>
      </c:lineChart>
      <c:catAx>
        <c:axId val="12305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30563024"/>
        <c:crosses val="autoZero"/>
        <c:auto val="1"/>
        <c:lblAlgn val="ctr"/>
        <c:lblOffset val="100"/>
        <c:noMultiLvlLbl val="0"/>
      </c:catAx>
      <c:valAx>
        <c:axId val="1230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30534736"/>
        <c:crosses val="autoZero"/>
        <c:crossBetween val="between"/>
      </c:valAx>
      <c:spPr>
        <a:noFill/>
        <a:ln>
          <a:solidFill>
            <a:schemeClr val="accent5">
              <a:lumMod val="60000"/>
              <a:lumOff val="40000"/>
              <a:alpha val="76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thickThin" algn="ctr">
      <a:gradFill flip="none" rotWithShape="1">
        <a:gsLst>
          <a:gs pos="0">
            <a:schemeClr val="bg1"/>
          </a:gs>
          <a:gs pos="46000">
            <a:schemeClr val="accent5">
              <a:lumMod val="95000"/>
              <a:lumOff val="5000"/>
            </a:schemeClr>
          </a:gs>
          <a:gs pos="100000">
            <a:schemeClr val="accent5">
              <a:lumMod val="60000"/>
            </a:schemeClr>
          </a:gs>
        </a:gsLst>
        <a:path path="circle">
          <a:fillToRect r="100000" b="100000"/>
        </a:path>
        <a:tileRect l="-100000" t="-100000"/>
      </a:gradFill>
      <a:round/>
    </a:ln>
    <a:effectLst>
      <a:softEdge rad="63500"/>
    </a:effectLst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PE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PE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EBITDA - Italtel Perú  Thousand USD</a:t>
            </a:r>
          </a:p>
        </c:rich>
      </c:tx>
      <c:layout>
        <c:manualLayout>
          <c:xMode val="edge"/>
          <c:yMode val="edge"/>
          <c:x val="0.3716834573676908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PE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8181338416686572E-2"/>
          <c:y val="0.17837962962962964"/>
          <c:w val="0.8216706534280408"/>
          <c:h val="0.60368802857976089"/>
        </c:manualLayout>
      </c:layout>
      <c:lineChart>
        <c:grouping val="standard"/>
        <c:varyColors val="0"/>
        <c:ser>
          <c:idx val="1"/>
          <c:order val="0"/>
          <c:tx>
            <c:strRef>
              <c:f>Ingresos_EBITDA_Net_Income!$B$20</c:f>
              <c:strCache>
                <c:ptCount val="1"/>
                <c:pt idx="0">
                  <c:v>Ebitda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4.4812442004694843E-2"/>
                  <c:y val="-2.31481481481482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9B1-49A0-B342-E4052B393624}"/>
                </c:ext>
              </c:extLst>
            </c:dLbl>
            <c:dLbl>
              <c:idx val="4"/>
              <c:layout>
                <c:manualLayout>
                  <c:x val="-1.5491324008166047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B1-49A0-B342-E4052B393624}"/>
                </c:ext>
              </c:extLst>
            </c:dLbl>
            <c:dLbl>
              <c:idx val="6"/>
              <c:layout>
                <c:manualLayout>
                  <c:x val="-7.2765241161385621E-2"/>
                  <c:y val="-4.2437781360066642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B1-49A0-B342-E4052B393624}"/>
                </c:ext>
              </c:extLst>
            </c:dLbl>
            <c:dLbl>
              <c:idx val="7"/>
              <c:layout>
                <c:manualLayout>
                  <c:x val="-4.5795969269775257E-2"/>
                  <c:y val="-2.31481481481481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B1-49A0-B342-E4052B393624}"/>
                </c:ext>
              </c:extLst>
            </c:dLbl>
            <c:dLbl>
              <c:idx val="8"/>
              <c:layout>
                <c:manualLayout>
                  <c:x val="-6.7878388161964245E-2"/>
                  <c:y val="2.3148148148148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B1-49A0-B342-E4052B393624}"/>
                </c:ext>
              </c:extLst>
            </c:dLbl>
            <c:dLbl>
              <c:idx val="9"/>
              <c:layout>
                <c:manualLayout>
                  <c:x val="-3.0151883006430444E-2"/>
                  <c:y val="4.62962962962961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B1-49A0-B342-E4052B393624}"/>
                </c:ext>
              </c:extLst>
            </c:dLbl>
            <c:dLbl>
              <c:idx val="11"/>
              <c:layout>
                <c:manualLayout>
                  <c:x val="-4.5795969269775347E-2"/>
                  <c:y val="-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B1-49A0-B342-E4052B393624}"/>
                </c:ext>
              </c:extLst>
            </c:dLbl>
            <c:dLbl>
              <c:idx val="12"/>
              <c:layout>
                <c:manualLayout>
                  <c:x val="-3.748216250556264E-2"/>
                  <c:y val="2.3148148148148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B1-49A0-B342-E4052B393624}"/>
                </c:ext>
              </c:extLst>
            </c:dLbl>
            <c:dLbl>
              <c:idx val="13"/>
              <c:layout>
                <c:manualLayout>
                  <c:x val="-3.1111818220155418E-2"/>
                  <c:y val="3.55904796868037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94-49CB-BF8E-2D6D99EE8638}"/>
                </c:ext>
              </c:extLst>
            </c:dLbl>
            <c:dLbl>
              <c:idx val="14"/>
              <c:layout>
                <c:manualLayout>
                  <c:x val="-2.8677403648938251E-2"/>
                  <c:y val="-4.06748339277757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94-49CB-BF8E-2D6D99EE86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Ingresos_EBITDA_Net_Income!$C$18:$Q$18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Ingresos_EBITDA_Net_Income!$C$20:$Q$20</c:f>
              <c:numCache>
                <c:formatCode>#,##0</c:formatCode>
                <c:ptCount val="15"/>
                <c:pt idx="0">
                  <c:v>0</c:v>
                </c:pt>
                <c:pt idx="1">
                  <c:v>-116.39680733310273</c:v>
                </c:pt>
                <c:pt idx="2">
                  <c:v>210.85004983980062</c:v>
                </c:pt>
                <c:pt idx="3">
                  <c:v>2002.7762291434929</c:v>
                </c:pt>
                <c:pt idx="4">
                  <c:v>441.36285770286156</c:v>
                </c:pt>
                <c:pt idx="5">
                  <c:v>2125.0508762517884</c:v>
                </c:pt>
                <c:pt idx="6">
                  <c:v>3438.3970200668896</c:v>
                </c:pt>
                <c:pt idx="7">
                  <c:v>5361.5346041055709</c:v>
                </c:pt>
                <c:pt idx="8">
                  <c:v>1345.8496339285714</c:v>
                </c:pt>
                <c:pt idx="9">
                  <c:v>831.34003081664093</c:v>
                </c:pt>
                <c:pt idx="10">
                  <c:v>2512.8033709198808</c:v>
                </c:pt>
                <c:pt idx="11">
                  <c:v>3704.785778849051</c:v>
                </c:pt>
                <c:pt idx="12">
                  <c:v>375.42026788180061</c:v>
                </c:pt>
                <c:pt idx="13">
                  <c:v>998</c:v>
                </c:pt>
                <c:pt idx="14">
                  <c:v>1156.7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1-49A0-B342-E4052B3936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0534736"/>
        <c:axId val="1230563024"/>
      </c:lineChart>
      <c:catAx>
        <c:axId val="12305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30563024"/>
        <c:crosses val="autoZero"/>
        <c:auto val="1"/>
        <c:lblAlgn val="ctr"/>
        <c:lblOffset val="100"/>
        <c:noMultiLvlLbl val="0"/>
      </c:catAx>
      <c:valAx>
        <c:axId val="1230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3053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PE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PE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Trabajadores en Planilla y Terceros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PE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Ingresos_EBITDA_Net_Income!$B$22</c:f>
              <c:strCache>
                <c:ptCount val="1"/>
                <c:pt idx="0">
                  <c:v>Q W Planilla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Ingresos_EBITDA_Net_Income!$C$18:$O$18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Ingresos_EBITDA_Net_Income!$C$22:$O$22</c:f>
            </c:numRef>
          </c:val>
          <c:extLst>
            <c:ext xmlns:c16="http://schemas.microsoft.com/office/drawing/2014/chart" uri="{C3380CC4-5D6E-409C-BE32-E72D297353CC}">
              <c16:uniqueId val="{00000000-F883-4B8A-AE28-4E3BA79EE6E8}"/>
            </c:ext>
          </c:extLst>
        </c:ser>
        <c:ser>
          <c:idx val="1"/>
          <c:order val="1"/>
          <c:tx>
            <c:strRef>
              <c:f>Ingresos_EBITDA_Net_Income!$B$26</c:f>
              <c:strCache>
                <c:ptCount val="1"/>
                <c:pt idx="0">
                  <c:v>Total Terceros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Ingresos_EBITDA_Net_Income!$C$18:$O$18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Ingresos_EBITDA_Net_Income!$C$26:$O$26</c:f>
            </c:numRef>
          </c:val>
          <c:extLst>
            <c:ext xmlns:c16="http://schemas.microsoft.com/office/drawing/2014/chart" uri="{C3380CC4-5D6E-409C-BE32-E72D297353CC}">
              <c16:uniqueId val="{00000001-F883-4B8A-AE28-4E3BA79EE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shape val="box"/>
        <c:axId val="1441131152"/>
        <c:axId val="1441143216"/>
        <c:axId val="0"/>
      </c:bar3DChart>
      <c:catAx>
        <c:axId val="14411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41143216"/>
        <c:crosses val="autoZero"/>
        <c:auto val="1"/>
        <c:lblAlgn val="ctr"/>
        <c:lblOffset val="100"/>
        <c:noMultiLvlLbl val="0"/>
      </c:catAx>
      <c:valAx>
        <c:axId val="14411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411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Liquidez Italtel Perú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Ratios!$A$6:$B$6</c:f>
              <c:strCache>
                <c:ptCount val="2"/>
                <c:pt idx="0">
                  <c:v>Prueba Ácida</c:v>
                </c:pt>
                <c:pt idx="1">
                  <c:v>(Activo Corriente-Inventario)/Pasivo Corriente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Ratios!$C$3:$Q$3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Ratios!$C$6:$Q$6</c:f>
              <c:numCache>
                <c:formatCode>#,##0.00</c:formatCode>
                <c:ptCount val="15"/>
                <c:pt idx="0">
                  <c:v>5.9306857632986443</c:v>
                </c:pt>
                <c:pt idx="1">
                  <c:v>0.8084928694459379</c:v>
                </c:pt>
                <c:pt idx="2">
                  <c:v>0.68594099286568033</c:v>
                </c:pt>
                <c:pt idx="3">
                  <c:v>0.75897713826297009</c:v>
                </c:pt>
                <c:pt idx="4">
                  <c:v>0.80506826396091524</c:v>
                </c:pt>
                <c:pt idx="5">
                  <c:v>0.8383367297736154</c:v>
                </c:pt>
                <c:pt idx="6">
                  <c:v>0.98109422850467398</c:v>
                </c:pt>
                <c:pt idx="7">
                  <c:v>0.98408532964266304</c:v>
                </c:pt>
                <c:pt idx="8">
                  <c:v>0.98982830063391858</c:v>
                </c:pt>
                <c:pt idx="9">
                  <c:v>0.92804315170186036</c:v>
                </c:pt>
                <c:pt idx="10">
                  <c:v>1.0015012084419406</c:v>
                </c:pt>
                <c:pt idx="11">
                  <c:v>1.0322969984633574</c:v>
                </c:pt>
                <c:pt idx="12">
                  <c:v>1.1242009059449136</c:v>
                </c:pt>
                <c:pt idx="13">
                  <c:v>1.0405337980324947</c:v>
                </c:pt>
                <c:pt idx="14">
                  <c:v>1.1890969819975108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2-4A5D-9CC4-70E246CEFE91}"/>
            </c:ext>
          </c:extLst>
        </c:ser>
        <c:ser>
          <c:idx val="0"/>
          <c:order val="1"/>
          <c:tx>
            <c:strRef>
              <c:f>Ratios!$A$5:$B$5</c:f>
              <c:strCache>
                <c:ptCount val="2"/>
                <c:pt idx="0">
                  <c:v>Liquidez Corriente</c:v>
                </c:pt>
                <c:pt idx="1">
                  <c:v>Activo Corriente/Pasivo Corriente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Ratios!$C$3:$Q$3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Ratios!$C$5:$Q$5</c:f>
              <c:numCache>
                <c:formatCode>#,##0.00</c:formatCode>
                <c:ptCount val="15"/>
                <c:pt idx="0">
                  <c:v>6.1194451202341114</c:v>
                </c:pt>
                <c:pt idx="1">
                  <c:v>1.0211191732713538</c:v>
                </c:pt>
                <c:pt idx="2">
                  <c:v>1.0017693489100079</c:v>
                </c:pt>
                <c:pt idx="3">
                  <c:v>1.1167653199865821</c:v>
                </c:pt>
                <c:pt idx="4">
                  <c:v>1.0710694154908236</c:v>
                </c:pt>
                <c:pt idx="5">
                  <c:v>1.1651336276864412</c:v>
                </c:pt>
                <c:pt idx="6">
                  <c:v>1.0812349928796421</c:v>
                </c:pt>
                <c:pt idx="7">
                  <c:v>1.1070660453365673</c:v>
                </c:pt>
                <c:pt idx="8">
                  <c:v>1.1280998307534815</c:v>
                </c:pt>
                <c:pt idx="9">
                  <c:v>1.1076381647116984</c:v>
                </c:pt>
                <c:pt idx="10">
                  <c:v>1.1059277551020716</c:v>
                </c:pt>
                <c:pt idx="11">
                  <c:v>1.1672259959553835</c:v>
                </c:pt>
                <c:pt idx="12">
                  <c:v>1.2919330530841977</c:v>
                </c:pt>
                <c:pt idx="13">
                  <c:v>1.320509368106823</c:v>
                </c:pt>
                <c:pt idx="14">
                  <c:v>1.3769045234027626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2-4A5D-9CC4-70E246CEF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42784"/>
        <c:axId val="213541536"/>
      </c:lineChart>
      <c:catAx>
        <c:axId val="2135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3541536"/>
        <c:crosses val="autoZero"/>
        <c:auto val="0"/>
        <c:lblAlgn val="ctr"/>
        <c:lblOffset val="100"/>
        <c:noMultiLvlLbl val="0"/>
      </c:catAx>
      <c:valAx>
        <c:axId val="2135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35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8F5F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Capital de Trabajo  - Italtel</a:t>
            </a:r>
            <a:r>
              <a:rPr lang="es-PE" b="1" baseline="0"/>
              <a:t> Perú</a:t>
            </a:r>
          </a:p>
          <a:p>
            <a:pPr>
              <a:defRPr/>
            </a:pP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Ratios!$A$7:$B$7</c:f>
              <c:strCache>
                <c:ptCount val="2"/>
                <c:pt idx="0">
                  <c:v>Capital de Trabajo </c:v>
                </c:pt>
                <c:pt idx="1">
                  <c:v>Activo Corriente - Pasivo Corriente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50800" dir="5400000" algn="ctr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50800" dir="5400000" algn="ctr" rotWithShape="0">
                  <a:schemeClr val="accent1"/>
                </a:outerShdw>
              </a:effectLst>
            </c:spPr>
          </c:marker>
          <c:dLbls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21-40CC-8B8E-BB0F92757214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21-40CC-8B8E-BB0F927572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Ratios!$C$3:$Q$3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Ratios!$C$7:$Q$7</c:f>
              <c:numCache>
                <c:formatCode>#,##0</c:formatCode>
                <c:ptCount val="15"/>
                <c:pt idx="0">
                  <c:v>6305552.209999999</c:v>
                </c:pt>
                <c:pt idx="1">
                  <c:v>326619.16999999993</c:v>
                </c:pt>
                <c:pt idx="2">
                  <c:v>64663.320000000298</c:v>
                </c:pt>
                <c:pt idx="3">
                  <c:v>2238456.3100000024</c:v>
                </c:pt>
                <c:pt idx="4">
                  <c:v>1925930.5200000033</c:v>
                </c:pt>
                <c:pt idx="5">
                  <c:v>3206590.6776800081</c:v>
                </c:pt>
                <c:pt idx="6">
                  <c:v>4027568.2100000009</c:v>
                </c:pt>
                <c:pt idx="7">
                  <c:v>7703007.0664380342</c:v>
                </c:pt>
                <c:pt idx="8">
                  <c:v>4639387.6086400002</c:v>
                </c:pt>
                <c:pt idx="9">
                  <c:v>4471375.7804524377</c:v>
                </c:pt>
                <c:pt idx="10">
                  <c:v>8972455.4436737001</c:v>
                </c:pt>
                <c:pt idx="11">
                  <c:v>13789981.620539993</c:v>
                </c:pt>
                <c:pt idx="12">
                  <c:v>14778324.53876704</c:v>
                </c:pt>
                <c:pt idx="13">
                  <c:v>19969623.202039376</c:v>
                </c:pt>
                <c:pt idx="14">
                  <c:v>21319475.417392835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1-40CC-8B8E-BB0F92757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54656"/>
        <c:axId val="224355072"/>
      </c:lineChart>
      <c:catAx>
        <c:axId val="2243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4355072"/>
        <c:crosses val="autoZero"/>
        <c:auto val="1"/>
        <c:lblAlgn val="ctr"/>
        <c:lblOffset val="100"/>
        <c:noMultiLvlLbl val="0"/>
      </c:catAx>
      <c:valAx>
        <c:axId val="2243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_(&quot;S/&quot;* #,##0_);_(&quot;S/&quot;* \(#,##0\);_(&quot;S/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435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8F5F6">
        <a:alpha val="94902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Rentabilidad</a:t>
            </a:r>
            <a:r>
              <a:rPr lang="es-PE" b="1" baseline="0"/>
              <a:t> - Italtel Perú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Ratios!$A$35:$B$35</c:f>
              <c:strCache>
                <c:ptCount val="2"/>
                <c:pt idx="0">
                  <c:v>ROA : Rentabilidad sobre Activos</c:v>
                </c:pt>
                <c:pt idx="1">
                  <c:v>Utilidad Neta / Activo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Ratios!$C$3:$Q$3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Ratios!$C$35:$Q$35</c:f>
              <c:numCache>
                <c:formatCode>0.00%</c:formatCode>
                <c:ptCount val="15"/>
                <c:pt idx="0">
                  <c:v>3.4526281128695928E-2</c:v>
                </c:pt>
                <c:pt idx="1">
                  <c:v>-1.1967973854974326E-2</c:v>
                </c:pt>
                <c:pt idx="2">
                  <c:v>-9.172528813152692E-3</c:v>
                </c:pt>
                <c:pt idx="3">
                  <c:v>0.13001553934938101</c:v>
                </c:pt>
                <c:pt idx="4">
                  <c:v>4.0416142551615948E-3</c:v>
                </c:pt>
                <c:pt idx="5">
                  <c:v>7.3188163413225371E-2</c:v>
                </c:pt>
                <c:pt idx="6">
                  <c:v>7.8593067000379477E-2</c:v>
                </c:pt>
                <c:pt idx="7">
                  <c:v>0.10574847393687146</c:v>
                </c:pt>
                <c:pt idx="8">
                  <c:v>2.2382405494578487E-2</c:v>
                </c:pt>
                <c:pt idx="9">
                  <c:v>2.47385604039938E-2</c:v>
                </c:pt>
                <c:pt idx="10">
                  <c:v>3.3019782118047604E-2</c:v>
                </c:pt>
                <c:pt idx="11">
                  <c:v>5.4495816362802499E-2</c:v>
                </c:pt>
                <c:pt idx="12">
                  <c:v>-2.4614485783347056E-2</c:v>
                </c:pt>
                <c:pt idx="13">
                  <c:v>1.1841809496980424E-2</c:v>
                </c:pt>
                <c:pt idx="14">
                  <c:v>1.2718799549669306E-2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9-47FC-9ECB-60F51ABCFB7F}"/>
            </c:ext>
          </c:extLst>
        </c:ser>
        <c:ser>
          <c:idx val="1"/>
          <c:order val="1"/>
          <c:tx>
            <c:strRef>
              <c:f>Ratios!$A$36:$B$36</c:f>
              <c:strCache>
                <c:ptCount val="2"/>
                <c:pt idx="0">
                  <c:v>ROE: Rentabilidad sobre Patrimonio</c:v>
                </c:pt>
                <c:pt idx="1">
                  <c:v>Utilidad Neta / Patrimonio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Ratios!$C$3:$Q$3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Ratios!$C$36:$Q$36</c:f>
              <c:numCache>
                <c:formatCode>0.00%</c:formatCode>
                <c:ptCount val="15"/>
                <c:pt idx="0">
                  <c:v>0.29185557684048818</c:v>
                </c:pt>
                <c:pt idx="1">
                  <c:v>-0.4003064436762912</c:v>
                </c:pt>
                <c:pt idx="2">
                  <c:v>-1.3317603301091248</c:v>
                </c:pt>
                <c:pt idx="3">
                  <c:v>0.91969708372372705</c:v>
                </c:pt>
                <c:pt idx="4">
                  <c:v>3.7442756590887666E-2</c:v>
                </c:pt>
                <c:pt idx="5">
                  <c:v>0.35342101076420013</c:v>
                </c:pt>
                <c:pt idx="6">
                  <c:v>0.56674953634834802</c:v>
                </c:pt>
                <c:pt idx="7">
                  <c:v>0.70441478128197887</c:v>
                </c:pt>
                <c:pt idx="8">
                  <c:v>0.10897629946955066</c:v>
                </c:pt>
                <c:pt idx="9">
                  <c:v>0.12619199570119774</c:v>
                </c:pt>
                <c:pt idx="10">
                  <c:v>0.24224801505791529</c:v>
                </c:pt>
                <c:pt idx="11">
                  <c:v>0.32418514260889242</c:v>
                </c:pt>
                <c:pt idx="12">
                  <c:v>-0.11798595640184621</c:v>
                </c:pt>
                <c:pt idx="13">
                  <c:v>6.5668626329501489E-2</c:v>
                </c:pt>
                <c:pt idx="14">
                  <c:v>6.3315451666893938E-2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9-47FC-9ECB-60F51ABCF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524560"/>
        <c:axId val="301527888"/>
      </c:lineChart>
      <c:catAx>
        <c:axId val="3015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1527888"/>
        <c:crosses val="autoZero"/>
        <c:auto val="1"/>
        <c:lblAlgn val="ctr"/>
        <c:lblOffset val="100"/>
        <c:noMultiLvlLbl val="0"/>
      </c:catAx>
      <c:valAx>
        <c:axId val="3015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15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8F5F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PE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PE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EBITDA - Italtel Perú  Thousand USD</a:t>
            </a:r>
          </a:p>
        </c:rich>
      </c:tx>
      <c:layout>
        <c:manualLayout>
          <c:xMode val="edge"/>
          <c:yMode val="edge"/>
          <c:x val="0.3716834573676908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PE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8181338416686572E-2"/>
          <c:y val="0.17837962962962964"/>
          <c:w val="0.8216706534280408"/>
          <c:h val="0.60368802857976089"/>
        </c:manualLayout>
      </c:layout>
      <c:lineChart>
        <c:grouping val="standard"/>
        <c:varyColors val="0"/>
        <c:ser>
          <c:idx val="1"/>
          <c:order val="0"/>
          <c:tx>
            <c:strRef>
              <c:f>Ingresos_EBITDA_Net_Income!$B$20</c:f>
              <c:strCache>
                <c:ptCount val="1"/>
                <c:pt idx="0">
                  <c:v>Ebitda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75000"/>
                  </a:schemeClr>
                </a:solidFill>
                <a:round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F0-430E-9E41-9DC10589F350}"/>
              </c:ext>
            </c:extLst>
          </c:dPt>
          <c:dLbls>
            <c:dLbl>
              <c:idx val="2"/>
              <c:layout>
                <c:manualLayout>
                  <c:x val="-4.4812442004694843E-2"/>
                  <c:y val="-2.31481481481482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F0-430E-9E41-9DC10589F350}"/>
                </c:ext>
              </c:extLst>
            </c:dLbl>
            <c:dLbl>
              <c:idx val="4"/>
              <c:layout>
                <c:manualLayout>
                  <c:x val="-1.5491324008166047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F0-430E-9E41-9DC10589F350}"/>
                </c:ext>
              </c:extLst>
            </c:dLbl>
            <c:dLbl>
              <c:idx val="6"/>
              <c:layout>
                <c:manualLayout>
                  <c:x val="-7.2765241161385621E-2"/>
                  <c:y val="-4.2437781360066642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F0-430E-9E41-9DC10589F350}"/>
                </c:ext>
              </c:extLst>
            </c:dLbl>
            <c:dLbl>
              <c:idx val="7"/>
              <c:layout>
                <c:manualLayout>
                  <c:x val="-4.5795969269775257E-2"/>
                  <c:y val="-2.31481481481481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F0-430E-9E41-9DC10589F350}"/>
                </c:ext>
              </c:extLst>
            </c:dLbl>
            <c:dLbl>
              <c:idx val="8"/>
              <c:layout>
                <c:manualLayout>
                  <c:x val="-6.7878388161964245E-2"/>
                  <c:y val="2.3148148148148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F0-430E-9E41-9DC10589F350}"/>
                </c:ext>
              </c:extLst>
            </c:dLbl>
            <c:dLbl>
              <c:idx val="9"/>
              <c:layout>
                <c:manualLayout>
                  <c:x val="-3.0151883006430444E-2"/>
                  <c:y val="4.62962962962961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F0-430E-9E41-9DC10589F350}"/>
                </c:ext>
              </c:extLst>
            </c:dLbl>
            <c:dLbl>
              <c:idx val="11"/>
              <c:layout>
                <c:manualLayout>
                  <c:x val="-4.5795969269775347E-2"/>
                  <c:y val="-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5F0-430E-9E41-9DC10589F350}"/>
                </c:ext>
              </c:extLst>
            </c:dLbl>
            <c:dLbl>
              <c:idx val="12"/>
              <c:layout>
                <c:manualLayout>
                  <c:x val="-3.748216250556264E-2"/>
                  <c:y val="2.3148148148148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5F0-430E-9E41-9DC10589F350}"/>
                </c:ext>
              </c:extLst>
            </c:dLbl>
            <c:dLbl>
              <c:idx val="13"/>
              <c:layout>
                <c:manualLayout>
                  <c:x val="-3.1111818220155418E-2"/>
                  <c:y val="3.55904796868037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5F0-430E-9E41-9DC10589F350}"/>
                </c:ext>
              </c:extLst>
            </c:dLbl>
            <c:dLbl>
              <c:idx val="14"/>
              <c:layout>
                <c:manualLayout>
                  <c:x val="-2.8677403648938251E-2"/>
                  <c:y val="-4.06748339277757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5F0-430E-9E41-9DC10589F3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Ingresos_EBITDA_Net_Income!$C$18:$Q$18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Ingresos_EBITDA_Net_Income!$C$20:$Q$20</c:f>
              <c:numCache>
                <c:formatCode>#,##0</c:formatCode>
                <c:ptCount val="15"/>
                <c:pt idx="0">
                  <c:v>0</c:v>
                </c:pt>
                <c:pt idx="1">
                  <c:v>-116.39680733310273</c:v>
                </c:pt>
                <c:pt idx="2">
                  <c:v>210.85004983980062</c:v>
                </c:pt>
                <c:pt idx="3">
                  <c:v>2002.7762291434929</c:v>
                </c:pt>
                <c:pt idx="4">
                  <c:v>441.36285770286156</c:v>
                </c:pt>
                <c:pt idx="5">
                  <c:v>2125.0508762517884</c:v>
                </c:pt>
                <c:pt idx="6">
                  <c:v>3438.3970200668896</c:v>
                </c:pt>
                <c:pt idx="7">
                  <c:v>5361.5346041055709</c:v>
                </c:pt>
                <c:pt idx="8">
                  <c:v>1345.8496339285714</c:v>
                </c:pt>
                <c:pt idx="9">
                  <c:v>831.34003081664093</c:v>
                </c:pt>
                <c:pt idx="10">
                  <c:v>2512.8033709198808</c:v>
                </c:pt>
                <c:pt idx="11">
                  <c:v>3704.785778849051</c:v>
                </c:pt>
                <c:pt idx="12">
                  <c:v>375.42026788180061</c:v>
                </c:pt>
                <c:pt idx="13">
                  <c:v>998</c:v>
                </c:pt>
                <c:pt idx="14">
                  <c:v>1156.7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F0-430E-9E41-9DC10589F3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0534736"/>
        <c:axId val="1230563024"/>
      </c:lineChart>
      <c:catAx>
        <c:axId val="12305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30563024"/>
        <c:crosses val="autoZero"/>
        <c:auto val="1"/>
        <c:lblAlgn val="ctr"/>
        <c:lblOffset val="100"/>
        <c:noMultiLvlLbl val="0"/>
      </c:catAx>
      <c:valAx>
        <c:axId val="1230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3053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8F5F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113287</xdr:colOff>
      <xdr:row>26</xdr:row>
      <xdr:rowOff>144319</xdr:rowOff>
    </xdr:from>
    <xdr:to>
      <xdr:col>8</xdr:col>
      <xdr:colOff>413712</xdr:colOff>
      <xdr:row>43</xdr:row>
      <xdr:rowOff>134697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C3B879-D772-4184-B7A9-C36BC0AD4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904395</xdr:colOff>
      <xdr:row>27</xdr:row>
      <xdr:rowOff>7216</xdr:rowOff>
    </xdr:from>
    <xdr:to>
      <xdr:col>15</xdr:col>
      <xdr:colOff>28864</xdr:colOff>
      <xdr:row>41</xdr:row>
      <xdr:rowOff>28863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79E2784-9CAC-4B6E-9777-6AF21B7AF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394710</xdr:colOff>
      <xdr:row>45</xdr:row>
      <xdr:rowOff>81205</xdr:rowOff>
    </xdr:from>
    <xdr:to>
      <xdr:col>7</xdr:col>
      <xdr:colOff>223694</xdr:colOff>
      <xdr:row>62</xdr:row>
      <xdr:rowOff>2984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7B4D731-2FB9-4E50-961F-7600AC881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514349</xdr:colOff>
      <xdr:row>1</xdr:row>
      <xdr:rowOff>69850</xdr:rowOff>
    </xdr:from>
    <xdr:to>
      <xdr:col>8</xdr:col>
      <xdr:colOff>343646</xdr:colOff>
      <xdr:row>18</xdr:row>
      <xdr:rowOff>7470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1C34D9-6D17-4071-BACB-E1549818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742949</xdr:colOff>
      <xdr:row>1</xdr:row>
      <xdr:rowOff>50800</xdr:rowOff>
    </xdr:from>
    <xdr:to>
      <xdr:col>16</xdr:col>
      <xdr:colOff>508000</xdr:colOff>
      <xdr:row>18</xdr:row>
      <xdr:rowOff>14941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6D274C-4E83-4321-8A53-1F9FD138D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590177</xdr:colOff>
      <xdr:row>21</xdr:row>
      <xdr:rowOff>82176</xdr:rowOff>
    </xdr:from>
    <xdr:to>
      <xdr:col>8</xdr:col>
      <xdr:colOff>343647</xdr:colOff>
      <xdr:row>37</xdr:row>
      <xdr:rowOff>128494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05A33DA-E4AA-4C5E-BB9A-C92531C2D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717176</xdr:colOff>
      <xdr:row>21</xdr:row>
      <xdr:rowOff>52294</xdr:rowOff>
    </xdr:from>
    <xdr:to>
      <xdr:col>16</xdr:col>
      <xdr:colOff>433294</xdr:colOff>
      <xdr:row>37</xdr:row>
      <xdr:rowOff>171824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1AA7AB9-F190-4300-95DE-CCC080CED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r/Copia%20de%20Respaldo%202013/Italtel/2019/CRISTINA/Informe_Local_2019/EEFF_DICIEMBRE_2019_Italtel_Peru%20v_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r/Copia%20de%20Respaldo%202013/Italtel/2020/REPORTES%20ITALTEL/12_Diciembre_2020/Italtel_ifrs_Reporting_Package_PERU_DIC2020v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r/Copia%20de%20Respaldo%202013/Italtel/2021/REPORTES%20ITALTEL/01_ENERO_2021_Italtel_Peru/Italtel_ifrs_Reporting_Package_PERU_ENE_20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r/Copia%20de%20Respaldo%202013/Italtel/2021/REPORTES%20ITALTEL/02_FEBRERO_2021_Italtel_Peru/Italtel_ifrs_Reporting_Package_PERU_FEBRERO_202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r/Copia%20de%20Respaldo%202013/Italtel/2021/REPORTES%20ITALTEL/11_NOVIEMBRE_2021_Italtel_Peru/Income%20Statement%20Abroad%20(Italtel%20Peru)_noviembre_202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7\REPORTES%20ITALTEL\Diciembre_2017\Italtel_ifrs_Reporting_Package_Dic17_v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r/Copia%20de%20Respaldo%202013/Italtel/2020/REPORTES%20ITALTEL/02_Febrero_2020/Italtel_ifrs_Reporting_Package_PERU_feb_202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r/Copia%20de%20Respaldo%202013/Italtel/2020/REPORTES%20ITALTEL/12_Diciembre_2020/Italtel_ifrs_Reporting_Package_PERU_DIC2020v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"/>
      <sheetName val="EPG"/>
      <sheetName val="B MENSUAL"/>
      <sheetName val="Hoja1"/>
      <sheetName val="Anexo.01"/>
      <sheetName val="Anexo.02"/>
      <sheetName val="Anexo.03"/>
      <sheetName val="Anexo 03.1"/>
      <sheetName val="Anexo.04"/>
      <sheetName val="Anexo.05"/>
      <sheetName val="Anexo.06"/>
      <sheetName val="Anexo.07"/>
      <sheetName val="Anexo.08"/>
      <sheetName val="Anexo.09"/>
      <sheetName val="Anexo.10"/>
      <sheetName val="Anexo.11"/>
      <sheetName val="Anexo 11.1"/>
      <sheetName val="Anexo.12"/>
      <sheetName val="Anexo.12.1"/>
      <sheetName val="Anexo.12.3"/>
      <sheetName val="Anexo.12.2"/>
      <sheetName val="Anexo.13"/>
      <sheetName val="Anexo 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2">
          <cell r="T22">
            <v>-2473704.23</v>
          </cell>
        </row>
      </sheetData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_sheet"/>
      <sheetName val="Income_statement"/>
      <sheetName val="Cash_Flow"/>
      <sheetName val="1) Non_current_ Assets"/>
      <sheetName val="2) Investments"/>
      <sheetName val="3) Inventories"/>
      <sheetName val="4) Receivables"/>
      <sheetName val="5) Equity Changes"/>
      <sheetName val="6) Provision for risks"/>
      <sheetName val="7) Non_current_liabilities"/>
      <sheetName val="8) Current_liabilities"/>
      <sheetName val="9) Income_stat_disclosures"/>
      <sheetName val="9_bis) Net_financial_result"/>
      <sheetName val="9_Ter) Income_stat_discl"/>
      <sheetName val="10) Taxes"/>
      <sheetName val="11) Personnel"/>
      <sheetName val="12) Rec_IFRS_local_Equit"/>
      <sheetName val="13) Rec_IFRS_local_BS"/>
      <sheetName val="14) Rec_IFRS_local_IS"/>
      <sheetName val="15) IFRS Adjustments "/>
      <sheetName val="16)_Income_stat_destination"/>
      <sheetName val="17) InterCompany_rec_BS"/>
      <sheetName val="18) InterCompany_rec_IS"/>
      <sheetName val="19) related_parties"/>
      <sheetName val="20) Leasing_&amp;_rent"/>
      <sheetName val="21) Auditing_consideration"/>
    </sheetNames>
    <sheetDataSet>
      <sheetData sheetId="0"/>
      <sheetData sheetId="1">
        <row r="112">
          <cell r="S112">
            <v>253057.88</v>
          </cell>
        </row>
        <row r="115">
          <cell r="S115">
            <v>6359865.5499999998</v>
          </cell>
        </row>
        <row r="127">
          <cell r="S127">
            <v>-479050.36</v>
          </cell>
        </row>
        <row r="128">
          <cell r="S128">
            <v>-384681.93</v>
          </cell>
        </row>
        <row r="129">
          <cell r="S129">
            <v>-7932845.6900000004</v>
          </cell>
        </row>
        <row r="130">
          <cell r="S130">
            <v>-466755.78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9">
          <cell r="I9">
            <v>82138446.689999998</v>
          </cell>
        </row>
        <row r="10">
          <cell r="I10">
            <v>9630.64</v>
          </cell>
        </row>
        <row r="13">
          <cell r="I13">
            <v>-69297490.069999993</v>
          </cell>
        </row>
        <row r="16">
          <cell r="I16">
            <v>4105726.79</v>
          </cell>
        </row>
        <row r="20">
          <cell r="I20">
            <v>1279552.74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_sheet"/>
      <sheetName val="Income_statement"/>
      <sheetName val="Cash_Flow"/>
      <sheetName val="1) Non_current_ Assets"/>
      <sheetName val="2) Investments"/>
      <sheetName val="3) Inventories"/>
      <sheetName val="4) Receivables"/>
      <sheetName val="5) Equity Changes"/>
      <sheetName val="6) Provision for risks"/>
      <sheetName val="7) Non_current_liabilities"/>
      <sheetName val="8) Current_liabilities"/>
      <sheetName val="9) Income_stat_disclosures"/>
      <sheetName val="9_bis) Net_financial_result"/>
      <sheetName val="9_Ter) Income_stat_discl"/>
      <sheetName val="10) Taxes"/>
      <sheetName val="11) Personnel"/>
      <sheetName val="12) Rec_IFRS_local_Equit"/>
      <sheetName val="13) Rec_IFRS_local_BS"/>
      <sheetName val="14) Rec_IFRS_local_IS"/>
      <sheetName val="15) IFRS Adjustments "/>
      <sheetName val="16)_Income_stat_destination"/>
      <sheetName val="17) InterCompany_rec_BS"/>
      <sheetName val="18) InterCompany_rec_IS"/>
      <sheetName val="19) related_parties"/>
      <sheetName val="20) Leasing_&amp;_rent"/>
      <sheetName val="21) Auditing_consideration"/>
    </sheetNames>
    <sheetDataSet>
      <sheetData sheetId="0"/>
      <sheetData sheetId="1">
        <row r="115">
          <cell r="S115">
            <v>201816.05</v>
          </cell>
        </row>
        <row r="127">
          <cell r="S127">
            <v>-19371.330000000002</v>
          </cell>
        </row>
        <row r="128">
          <cell r="S128">
            <v>-5029.6499999999996</v>
          </cell>
        </row>
        <row r="129">
          <cell r="S129">
            <v>-289757.03999999998</v>
          </cell>
        </row>
        <row r="130">
          <cell r="S130">
            <v>-58955.78</v>
          </cell>
        </row>
        <row r="152">
          <cell r="S15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9">
          <cell r="I9">
            <v>5325938.33</v>
          </cell>
        </row>
        <row r="13">
          <cell r="I13">
            <v>-3836865.3800000008</v>
          </cell>
        </row>
        <row r="15">
          <cell r="I15">
            <v>0</v>
          </cell>
        </row>
        <row r="16">
          <cell r="I16">
            <v>0</v>
          </cell>
        </row>
        <row r="28">
          <cell r="I28">
            <v>0</v>
          </cell>
        </row>
        <row r="34">
          <cell r="I34">
            <v>-52.43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_sheet"/>
      <sheetName val="Income_statement"/>
      <sheetName val="Cash_Flow"/>
      <sheetName val="1) Non_current_ Assets"/>
      <sheetName val="2) Investments"/>
      <sheetName val="3) Inventories"/>
      <sheetName val="4) Receivables"/>
      <sheetName val="5) Equity Changes"/>
      <sheetName val="6) Provision for risks"/>
      <sheetName val="7) Non_current_liabilities"/>
      <sheetName val="8) Current_liabilities"/>
      <sheetName val="9) Income_stat_disclosures"/>
      <sheetName val="9_bis) Net_financial_result"/>
      <sheetName val="9_Ter) Income_stat_discl"/>
      <sheetName val="10) Taxes"/>
      <sheetName val="11) Personnel"/>
      <sheetName val="12) Rec_IFRS_local_Equit"/>
      <sheetName val="13) Rec_IFRS_local_BS"/>
      <sheetName val="14) Rec_IFRS_local_IS"/>
      <sheetName val="15) IFRS Adjustments "/>
      <sheetName val="16)_Income_stat_destination"/>
      <sheetName val="17) InterCompany_rec_BS"/>
      <sheetName val="18) InterCompany_rec_IS"/>
      <sheetName val="19) related_parties"/>
      <sheetName val="20) Leasing_&amp;_rent"/>
      <sheetName val="21) Auditing_consideration"/>
    </sheetNames>
    <sheetDataSet>
      <sheetData sheetId="0"/>
      <sheetData sheetId="1">
        <row r="153">
          <cell r="S153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8">
          <cell r="I8">
            <v>11370774.58</v>
          </cell>
        </row>
        <row r="13">
          <cell r="I13">
            <v>-8748603.5500000007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vs. Actual"/>
      <sheetName val="changes"/>
      <sheetName val="riclass ITL"/>
      <sheetName val="riclass EXP"/>
      <sheetName val="tabelle effett"/>
      <sheetName val="recap"/>
    </sheetNames>
    <sheetDataSet>
      <sheetData sheetId="0"/>
      <sheetData sheetId="1"/>
      <sheetData sheetId="2"/>
      <sheetData sheetId="3"/>
      <sheetData sheetId="4">
        <row r="19">
          <cell r="N19">
            <v>606229</v>
          </cell>
          <cell r="O19">
            <v>590611.44999999995</v>
          </cell>
          <cell r="P19">
            <v>634718.41</v>
          </cell>
          <cell r="R19">
            <v>634231.75999999989</v>
          </cell>
        </row>
        <row r="152">
          <cell r="N152">
            <v>436535</v>
          </cell>
          <cell r="R152">
            <v>398547.67</v>
          </cell>
        </row>
        <row r="225">
          <cell r="N225">
            <v>156599</v>
          </cell>
          <cell r="R225">
            <v>147302.74</v>
          </cell>
        </row>
        <row r="414">
          <cell r="P414">
            <v>129076.45999999996</v>
          </cell>
          <cell r="Q414">
            <v>129075.42000000027</v>
          </cell>
          <cell r="R414">
            <v>129075.79999999981</v>
          </cell>
        </row>
        <row r="424">
          <cell r="H424">
            <v>489124.82573333324</v>
          </cell>
          <cell r="I424">
            <v>459499.8676</v>
          </cell>
          <cell r="J424">
            <v>464912.54759999999</v>
          </cell>
          <cell r="K424">
            <v>494477.06239999994</v>
          </cell>
          <cell r="L424">
            <v>468750.3824</v>
          </cell>
          <cell r="M424">
            <v>473774.19760000001</v>
          </cell>
          <cell r="N424">
            <v>497660.64000000007</v>
          </cell>
          <cell r="O424">
            <v>491361.59999999986</v>
          </cell>
          <cell r="P424">
            <v>442642.58999999997</v>
          </cell>
          <cell r="Q424">
            <v>474007.40000000043</v>
          </cell>
          <cell r="R424">
            <v>475721.15999999968</v>
          </cell>
        </row>
        <row r="510">
          <cell r="F510">
            <v>0</v>
          </cell>
        </row>
        <row r="516">
          <cell r="F516">
            <v>0</v>
          </cell>
        </row>
      </sheetData>
      <sheetData sheetId="5">
        <row r="66">
          <cell r="G66">
            <v>0</v>
          </cell>
          <cell r="M66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_sheet"/>
      <sheetName val="Income_statement"/>
      <sheetName val="Cash_Flow"/>
      <sheetName val="1) Non_current_ Assets"/>
      <sheetName val="2) Investments"/>
      <sheetName val="3) Inventories"/>
      <sheetName val="4) Receivables"/>
      <sheetName val="5) Equity Changes"/>
      <sheetName val="6) Provision for risks"/>
      <sheetName val="7) Non_current_liabilities"/>
      <sheetName val="8) Current_liabilities"/>
      <sheetName val="9) Income_stat_disclosures"/>
      <sheetName val="9_bis) Net_financial_result"/>
      <sheetName val="9_Ter) Income_stat_discl (2)"/>
      <sheetName val="10) Taxes"/>
      <sheetName val="11) Personnel"/>
      <sheetName val="12) Rec_IFRS_local_Equit"/>
      <sheetName val="13) Rec_IFRS_local_BS"/>
      <sheetName val="14) Rec_IFRS_local_IS"/>
      <sheetName val="15) IFRS Adjustments "/>
      <sheetName val="16)_Income_stat_destination"/>
      <sheetName val="17) InterCompany_rec_BS"/>
      <sheetName val="18) InterCompany_rec_IS"/>
      <sheetName val="19) related_parties"/>
      <sheetName val="20) Leasing_&amp;_rent"/>
      <sheetName val="21) Auditing_conside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_sheet"/>
      <sheetName val="Income_statement"/>
      <sheetName val="Cash_Flow"/>
      <sheetName val="1) Non_current_ Assets"/>
      <sheetName val="2) Investments"/>
      <sheetName val="3) Inventories"/>
      <sheetName val="4) Receivables"/>
      <sheetName val="5) Equity Changes"/>
      <sheetName val="6) Provision for risks"/>
      <sheetName val="7) Non_current_liabilities"/>
      <sheetName val="8) Current_liabilities"/>
      <sheetName val="9) Income_stat_disclosures"/>
      <sheetName val="9_bis) Net_financial_result"/>
      <sheetName val="9_Ter) Income_stat_discl"/>
      <sheetName val="10) Taxes"/>
      <sheetName val="11) Personnel"/>
      <sheetName val="12) Rec_IFRS_local_Equit"/>
      <sheetName val="13) Rec_IFRS_local_BS"/>
      <sheetName val="14) Rec_IFRS_local_IS"/>
      <sheetName val="15) IFRS Adjustments "/>
      <sheetName val="16)_Income_stat_destination"/>
      <sheetName val="17) InterCompany_rec_BS"/>
      <sheetName val="18) InterCompany_rec_IS"/>
      <sheetName val="19) related_parties"/>
      <sheetName val="20) Leasing_&amp;_rent"/>
      <sheetName val="21) Auditing_conside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2">
          <cell r="I32">
            <v>0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_sheet"/>
      <sheetName val="Income_statement"/>
      <sheetName val="Cash_Flow"/>
      <sheetName val="1) Non_current_ Assets"/>
      <sheetName val="2) Investments"/>
      <sheetName val="3) Inventories"/>
      <sheetName val="4) Receivables"/>
      <sheetName val="5) Equity Changes"/>
      <sheetName val="6) Provision for risks"/>
      <sheetName val="7) Non_current_liabilities"/>
      <sheetName val="8) Current_liabilities"/>
      <sheetName val="9) Income_stat_disclosures"/>
      <sheetName val="9_bis) Net_financial_result"/>
      <sheetName val="9_Ter) Income_stat_discl"/>
      <sheetName val="10) Taxes"/>
      <sheetName val="11) Personnel"/>
      <sheetName val="12) Rec_IFRS_local_Equit"/>
      <sheetName val="13) Rec_IFRS_local_BS"/>
      <sheetName val="14) Rec_IFRS_local_IS"/>
      <sheetName val="15) IFRS Adjustments "/>
      <sheetName val="16)_Income_stat_destination"/>
      <sheetName val="17) InterCompany_rec_BS"/>
      <sheetName val="18) InterCompany_rec_IS"/>
      <sheetName val="19) related_parties"/>
      <sheetName val="20) Leasing_&amp;_rent"/>
      <sheetName val="21) Auditing_consideration"/>
    </sheetNames>
    <sheetDataSet>
      <sheetData sheetId="0"/>
      <sheetData sheetId="1">
        <row r="152">
          <cell r="S152">
            <v>347172.13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2650-9259-4190-8C43-63EB6FFC0A25}">
  <dimension ref="B2:Q26"/>
  <sheetViews>
    <sheetView zoomScale="78" zoomScaleNormal="78" workbookViewId="0">
      <selection activeCell="Q11" sqref="Q11"/>
    </sheetView>
  </sheetViews>
  <sheetFormatPr baseColWidth="10" defaultRowHeight="13" outlineLevelRow="1"/>
  <cols>
    <col min="1" max="1" width="3.36328125" style="1" customWidth="1"/>
    <col min="2" max="2" width="12.7265625" style="1" customWidth="1"/>
    <col min="3" max="17" width="10.453125" style="1" customWidth="1"/>
    <col min="18" max="16384" width="10.90625" style="1"/>
  </cols>
  <sheetData>
    <row r="2" spans="2:17">
      <c r="B2" s="3" t="s">
        <v>0</v>
      </c>
    </row>
    <row r="4" spans="2:17">
      <c r="B4" s="3" t="s">
        <v>1</v>
      </c>
    </row>
    <row r="5" spans="2:17">
      <c r="B5" s="3"/>
    </row>
    <row r="6" spans="2:17">
      <c r="B6" s="1" t="s">
        <v>12</v>
      </c>
      <c r="C6" s="7">
        <v>3.14</v>
      </c>
      <c r="D6" s="7">
        <v>2.891</v>
      </c>
      <c r="E6" s="7">
        <v>2.8090000000000002</v>
      </c>
      <c r="F6" s="7">
        <v>2.6970000000000001</v>
      </c>
      <c r="G6" s="7">
        <v>2.5510000000000002</v>
      </c>
      <c r="H6" s="7">
        <v>2.7959999999999998</v>
      </c>
      <c r="I6" s="7">
        <v>2.99</v>
      </c>
      <c r="J6" s="7">
        <v>3.41</v>
      </c>
      <c r="K6" s="7">
        <v>3.36</v>
      </c>
      <c r="L6" s="7">
        <v>3.2450000000000001</v>
      </c>
      <c r="M6" s="7">
        <v>3.37</v>
      </c>
      <c r="N6" s="7">
        <v>3.319</v>
      </c>
      <c r="O6" s="7">
        <v>3.621</v>
      </c>
      <c r="P6" s="7"/>
      <c r="Q6" s="7"/>
    </row>
    <row r="7" spans="2:17">
      <c r="B7" s="3" t="s">
        <v>2</v>
      </c>
      <c r="C7" s="4">
        <v>2008</v>
      </c>
      <c r="D7" s="4">
        <v>2009</v>
      </c>
      <c r="E7" s="4">
        <v>2010</v>
      </c>
      <c r="F7" s="4">
        <v>2011</v>
      </c>
      <c r="G7" s="4">
        <v>2012</v>
      </c>
      <c r="H7" s="4">
        <v>2013</v>
      </c>
      <c r="I7" s="4">
        <v>2014</v>
      </c>
      <c r="J7" s="4">
        <v>2015</v>
      </c>
      <c r="K7" s="4">
        <v>2016</v>
      </c>
      <c r="L7" s="4">
        <v>2017</v>
      </c>
      <c r="M7" s="4">
        <v>2018</v>
      </c>
      <c r="N7" s="4">
        <v>2019</v>
      </c>
      <c r="O7" s="4">
        <v>2020</v>
      </c>
      <c r="P7" s="10">
        <v>2021</v>
      </c>
      <c r="Q7" s="10">
        <v>2022</v>
      </c>
    </row>
    <row r="8" spans="2:17">
      <c r="B8" s="3" t="s">
        <v>3</v>
      </c>
      <c r="C8" s="2">
        <v>11035278</v>
      </c>
      <c r="D8" s="2">
        <v>35564877</v>
      </c>
      <c r="E8" s="2">
        <v>56215651.590000004</v>
      </c>
      <c r="F8" s="2">
        <v>90021578.829999998</v>
      </c>
      <c r="G8" s="2">
        <v>71135965.260000005</v>
      </c>
      <c r="H8" s="2">
        <v>88834435.090000004</v>
      </c>
      <c r="I8" s="2">
        <v>119266984</v>
      </c>
      <c r="J8" s="2">
        <v>171454624</v>
      </c>
      <c r="K8" s="2">
        <v>111768260</v>
      </c>
      <c r="L8" s="2">
        <v>108751605</v>
      </c>
      <c r="M8" s="2">
        <v>149111538.74000001</v>
      </c>
      <c r="N8" s="2">
        <v>191181979.58000001</v>
      </c>
      <c r="O8" s="2">
        <v>82148077.329999998</v>
      </c>
      <c r="P8" s="2">
        <f>+IS_soles!AI7</f>
        <v>106059077.28239998</v>
      </c>
      <c r="Q8" s="2">
        <f>+IS_soles!AJ7</f>
        <v>115526660.59003222</v>
      </c>
    </row>
    <row r="9" spans="2:17">
      <c r="B9" s="3" t="s">
        <v>4</v>
      </c>
      <c r="C9" s="2"/>
      <c r="D9" s="2">
        <v>-336503.17</v>
      </c>
      <c r="E9" s="2">
        <v>592277.79</v>
      </c>
      <c r="F9" s="2">
        <v>5401487.4900000002</v>
      </c>
      <c r="G9" s="2">
        <v>1125916.6499999999</v>
      </c>
      <c r="H9" s="2">
        <v>5941642.25</v>
      </c>
      <c r="I9" s="2">
        <v>10280807.09</v>
      </c>
      <c r="J9" s="2">
        <v>18282833</v>
      </c>
      <c r="K9" s="2">
        <v>4522054.7699999996</v>
      </c>
      <c r="L9" s="2">
        <v>2697698.4</v>
      </c>
      <c r="M9" s="2">
        <v>8468147.3599999994</v>
      </c>
      <c r="N9" s="2">
        <v>12296184</v>
      </c>
      <c r="O9" s="2">
        <v>1359396.79</v>
      </c>
      <c r="P9" s="2">
        <f>+IS_soles!AI65</f>
        <v>4266976.3778228471</v>
      </c>
      <c r="Q9" s="2">
        <f>+IS_soles!AJ65</f>
        <v>4604717.9089775383</v>
      </c>
    </row>
    <row r="10" spans="2:17">
      <c r="B10" s="3" t="s">
        <v>5</v>
      </c>
      <c r="C10" s="2">
        <f>+IS_soles!H80</f>
        <v>264182.58569355798</v>
      </c>
      <c r="D10" s="2">
        <v>-190795.33</v>
      </c>
      <c r="E10" s="2">
        <v>-337547.77</v>
      </c>
      <c r="F10" s="2">
        <v>2902838.16</v>
      </c>
      <c r="G10" s="2">
        <v>122777.51</v>
      </c>
      <c r="H10" s="2">
        <v>1792347.27</v>
      </c>
      <c r="I10" s="2">
        <v>4523933</v>
      </c>
      <c r="J10" s="2">
        <v>8952128</v>
      </c>
      <c r="K10" s="2">
        <v>1020149</v>
      </c>
      <c r="L10" s="2">
        <v>1278246</v>
      </c>
      <c r="M10" s="2">
        <v>3238289.33</v>
      </c>
      <c r="N10" s="2">
        <v>5564020.1799999997</v>
      </c>
      <c r="O10" s="2">
        <v>-1811296.3</v>
      </c>
      <c r="P10" s="2">
        <f>+IS_soles!AI80</f>
        <v>1078987.0088083185</v>
      </c>
      <c r="Q10" s="2">
        <f>+IS_soles!AJ80</f>
        <v>1110643.3924619078</v>
      </c>
    </row>
    <row r="11" spans="2:17" s="3" customFormat="1">
      <c r="B11" s="8" t="s">
        <v>9</v>
      </c>
      <c r="C11" s="9">
        <v>6</v>
      </c>
      <c r="D11" s="9">
        <v>10</v>
      </c>
      <c r="E11" s="9">
        <v>12</v>
      </c>
      <c r="F11" s="9">
        <v>16</v>
      </c>
      <c r="G11" s="9">
        <v>16</v>
      </c>
      <c r="H11" s="9">
        <v>19</v>
      </c>
      <c r="I11" s="9">
        <v>24</v>
      </c>
      <c r="J11" s="9">
        <v>47</v>
      </c>
      <c r="K11" s="9">
        <v>48</v>
      </c>
      <c r="L11" s="9">
        <v>52</v>
      </c>
      <c r="M11" s="9">
        <v>57</v>
      </c>
      <c r="N11" s="9">
        <v>77</v>
      </c>
      <c r="O11" s="9">
        <v>62</v>
      </c>
      <c r="P11" s="9"/>
      <c r="Q11" s="9"/>
    </row>
    <row r="12" spans="2:17" outlineLevel="1">
      <c r="B12" s="5" t="s">
        <v>10</v>
      </c>
      <c r="C12" s="6">
        <v>2</v>
      </c>
      <c r="D12" s="6">
        <v>6</v>
      </c>
      <c r="E12" s="6">
        <v>13</v>
      </c>
      <c r="F12" s="6">
        <v>22</v>
      </c>
      <c r="G12" s="6">
        <v>31</v>
      </c>
      <c r="H12" s="6">
        <v>30</v>
      </c>
      <c r="I12" s="6">
        <v>44</v>
      </c>
      <c r="J12" s="6">
        <v>6</v>
      </c>
      <c r="K12" s="6"/>
      <c r="L12" s="6"/>
      <c r="M12" s="6"/>
      <c r="N12" s="6"/>
      <c r="O12" s="6"/>
      <c r="P12" s="6"/>
      <c r="Q12" s="6"/>
    </row>
    <row r="13" spans="2:17" outlineLevel="1">
      <c r="B13" s="5" t="s">
        <v>7</v>
      </c>
      <c r="C13" s="6"/>
      <c r="D13" s="6"/>
      <c r="E13" s="6"/>
      <c r="F13" s="6"/>
      <c r="G13" s="6"/>
      <c r="H13" s="6"/>
      <c r="I13" s="6"/>
      <c r="J13" s="6">
        <v>18</v>
      </c>
      <c r="K13" s="6">
        <v>27</v>
      </c>
      <c r="L13" s="6">
        <v>26</v>
      </c>
      <c r="M13" s="6">
        <v>38</v>
      </c>
      <c r="N13" s="6">
        <v>38</v>
      </c>
      <c r="O13" s="6">
        <v>53</v>
      </c>
      <c r="P13" s="6"/>
      <c r="Q13" s="6"/>
    </row>
    <row r="14" spans="2:17" outlineLevel="1">
      <c r="B14" s="5" t="s">
        <v>8</v>
      </c>
      <c r="C14" s="6"/>
      <c r="D14" s="6"/>
      <c r="E14" s="6"/>
      <c r="F14" s="6"/>
      <c r="G14" s="6"/>
      <c r="H14" s="6"/>
      <c r="I14" s="6"/>
      <c r="J14" s="6"/>
      <c r="K14" s="6">
        <v>3</v>
      </c>
      <c r="L14" s="6">
        <v>3</v>
      </c>
      <c r="M14" s="6">
        <v>4</v>
      </c>
      <c r="N14" s="6">
        <v>8</v>
      </c>
      <c r="O14" s="6">
        <v>5</v>
      </c>
      <c r="P14" s="6"/>
      <c r="Q14" s="6"/>
    </row>
    <row r="15" spans="2:17">
      <c r="B15" s="8" t="s">
        <v>11</v>
      </c>
      <c r="C15" s="9">
        <f>SUM(C12:C14)</f>
        <v>2</v>
      </c>
      <c r="D15" s="9">
        <f t="shared" ref="D15:O15" si="0">SUM(D12:D14)</f>
        <v>6</v>
      </c>
      <c r="E15" s="9">
        <f t="shared" si="0"/>
        <v>13</v>
      </c>
      <c r="F15" s="9">
        <f t="shared" si="0"/>
        <v>22</v>
      </c>
      <c r="G15" s="9">
        <f t="shared" si="0"/>
        <v>31</v>
      </c>
      <c r="H15" s="9">
        <f t="shared" si="0"/>
        <v>30</v>
      </c>
      <c r="I15" s="9">
        <f t="shared" si="0"/>
        <v>44</v>
      </c>
      <c r="J15" s="9">
        <f t="shared" si="0"/>
        <v>24</v>
      </c>
      <c r="K15" s="9">
        <f t="shared" si="0"/>
        <v>30</v>
      </c>
      <c r="L15" s="9">
        <f t="shared" si="0"/>
        <v>29</v>
      </c>
      <c r="M15" s="9">
        <f t="shared" si="0"/>
        <v>42</v>
      </c>
      <c r="N15" s="9">
        <f t="shared" si="0"/>
        <v>46</v>
      </c>
      <c r="O15" s="9">
        <f t="shared" si="0"/>
        <v>58</v>
      </c>
      <c r="P15" s="9"/>
      <c r="Q15" s="9"/>
    </row>
    <row r="18" spans="2:17">
      <c r="B18" s="3" t="s">
        <v>6</v>
      </c>
      <c r="C18" s="4">
        <v>2008</v>
      </c>
      <c r="D18" s="4">
        <v>2009</v>
      </c>
      <c r="E18" s="4">
        <v>2010</v>
      </c>
      <c r="F18" s="4">
        <v>2011</v>
      </c>
      <c r="G18" s="4">
        <v>2012</v>
      </c>
      <c r="H18" s="4">
        <v>2013</v>
      </c>
      <c r="I18" s="4">
        <v>2014</v>
      </c>
      <c r="J18" s="4">
        <v>2015</v>
      </c>
      <c r="K18" s="4">
        <v>2016</v>
      </c>
      <c r="L18" s="4">
        <v>2017</v>
      </c>
      <c r="M18" s="4">
        <v>2018</v>
      </c>
      <c r="N18" s="4">
        <v>2019</v>
      </c>
      <c r="O18" s="4">
        <v>2020</v>
      </c>
      <c r="P18" s="10">
        <v>2021</v>
      </c>
      <c r="Q18" s="10">
        <v>2022</v>
      </c>
    </row>
    <row r="19" spans="2:17">
      <c r="B19" s="3" t="s">
        <v>3</v>
      </c>
      <c r="C19" s="2">
        <f>+C8/C6/1000</f>
        <v>3514.41974522293</v>
      </c>
      <c r="D19" s="2">
        <f t="shared" ref="D19:O19" si="1">+D8/D6/1000</f>
        <v>12301.929090280179</v>
      </c>
      <c r="E19" s="2">
        <f t="shared" si="1"/>
        <v>20012.691915272339</v>
      </c>
      <c r="F19" s="2">
        <f t="shared" si="1"/>
        <v>33378.412617723392</v>
      </c>
      <c r="G19" s="2">
        <f t="shared" si="1"/>
        <v>27885.52146609173</v>
      </c>
      <c r="H19" s="2">
        <f t="shared" si="1"/>
        <v>31771.97249284693</v>
      </c>
      <c r="I19" s="2">
        <f t="shared" si="1"/>
        <v>39888.623411371234</v>
      </c>
      <c r="J19" s="2">
        <f t="shared" si="1"/>
        <v>50279.948387096767</v>
      </c>
      <c r="K19" s="2">
        <f t="shared" si="1"/>
        <v>33264.363095238099</v>
      </c>
      <c r="L19" s="2">
        <f t="shared" si="1"/>
        <v>33513.591679506928</v>
      </c>
      <c r="M19" s="2">
        <f t="shared" si="1"/>
        <v>44246.747400593471</v>
      </c>
      <c r="N19" s="2">
        <f t="shared" si="1"/>
        <v>57602.283693883699</v>
      </c>
      <c r="O19" s="2">
        <f t="shared" si="1"/>
        <v>22686.572032587683</v>
      </c>
      <c r="P19" s="11">
        <v>24646</v>
      </c>
      <c r="Q19" s="11">
        <v>29000</v>
      </c>
    </row>
    <row r="20" spans="2:17">
      <c r="B20" s="3" t="s">
        <v>4</v>
      </c>
      <c r="C20" s="2">
        <f>+C9/C6/1000</f>
        <v>0</v>
      </c>
      <c r="D20" s="2">
        <f t="shared" ref="D20:O20" si="2">+D9/D6/1000</f>
        <v>-116.39680733310273</v>
      </c>
      <c r="E20" s="2">
        <f t="shared" si="2"/>
        <v>210.85004983980062</v>
      </c>
      <c r="F20" s="2">
        <f t="shared" si="2"/>
        <v>2002.7762291434929</v>
      </c>
      <c r="G20" s="2">
        <f t="shared" si="2"/>
        <v>441.36285770286156</v>
      </c>
      <c r="H20" s="2">
        <f t="shared" si="2"/>
        <v>2125.0508762517884</v>
      </c>
      <c r="I20" s="2">
        <f t="shared" si="2"/>
        <v>3438.3970200668896</v>
      </c>
      <c r="J20" s="2">
        <f t="shared" si="2"/>
        <v>5361.5346041055709</v>
      </c>
      <c r="K20" s="2">
        <f t="shared" si="2"/>
        <v>1345.8496339285714</v>
      </c>
      <c r="L20" s="2">
        <f t="shared" si="2"/>
        <v>831.34003081664093</v>
      </c>
      <c r="M20" s="2">
        <f t="shared" si="2"/>
        <v>2512.8033709198808</v>
      </c>
      <c r="N20" s="2">
        <f t="shared" si="2"/>
        <v>3704.785778849051</v>
      </c>
      <c r="O20" s="2">
        <f t="shared" si="2"/>
        <v>375.42026788180061</v>
      </c>
      <c r="P20" s="11">
        <v>998</v>
      </c>
      <c r="Q20" s="11">
        <v>1156.7</v>
      </c>
    </row>
    <row r="21" spans="2:17">
      <c r="B21" s="3" t="s">
        <v>5</v>
      </c>
      <c r="C21" s="2">
        <f>+C10/C6/1000</f>
        <v>84.134581431069407</v>
      </c>
      <c r="D21" s="2">
        <f t="shared" ref="D21:O21" si="3">+D10/D6/1000</f>
        <v>-65.996309235558627</v>
      </c>
      <c r="E21" s="2">
        <f t="shared" si="3"/>
        <v>-120.16652545389819</v>
      </c>
      <c r="F21" s="2">
        <f t="shared" si="3"/>
        <v>1076.3211568409345</v>
      </c>
      <c r="G21" s="2">
        <f t="shared" si="3"/>
        <v>48.129168953351616</v>
      </c>
      <c r="H21" s="2">
        <f t="shared" si="3"/>
        <v>641.03979613733907</v>
      </c>
      <c r="I21" s="2">
        <f t="shared" si="3"/>
        <v>1513.0210702341135</v>
      </c>
      <c r="J21" s="2">
        <f t="shared" si="3"/>
        <v>2625.2574780058653</v>
      </c>
      <c r="K21" s="2">
        <f t="shared" si="3"/>
        <v>303.61577380952383</v>
      </c>
      <c r="L21" s="2">
        <f t="shared" si="3"/>
        <v>393.9124807395994</v>
      </c>
      <c r="M21" s="2">
        <f t="shared" si="3"/>
        <v>960.91671513353117</v>
      </c>
      <c r="N21" s="2">
        <f t="shared" si="3"/>
        <v>1676.4146369388368</v>
      </c>
      <c r="O21" s="2">
        <f t="shared" si="3"/>
        <v>-500.21991162662249</v>
      </c>
      <c r="P21" s="11">
        <v>43</v>
      </c>
      <c r="Q21" s="11">
        <v>279</v>
      </c>
    </row>
    <row r="22" spans="2:17" s="3" customFormat="1" hidden="1">
      <c r="B22" s="8" t="s">
        <v>9</v>
      </c>
      <c r="C22" s="9">
        <v>6</v>
      </c>
      <c r="D22" s="9">
        <v>10</v>
      </c>
      <c r="E22" s="9">
        <v>12</v>
      </c>
      <c r="F22" s="9">
        <v>16</v>
      </c>
      <c r="G22" s="9">
        <v>16</v>
      </c>
      <c r="H22" s="9">
        <v>19</v>
      </c>
      <c r="I22" s="9">
        <v>24</v>
      </c>
      <c r="J22" s="9">
        <v>47</v>
      </c>
      <c r="K22" s="9">
        <v>48</v>
      </c>
      <c r="L22" s="9">
        <v>52</v>
      </c>
      <c r="M22" s="9">
        <v>57</v>
      </c>
      <c r="N22" s="9">
        <v>77</v>
      </c>
      <c r="O22" s="9">
        <v>62</v>
      </c>
      <c r="P22" s="9"/>
      <c r="Q22" s="9"/>
    </row>
    <row r="23" spans="2:17" hidden="1" outlineLevel="1">
      <c r="B23" s="5" t="s">
        <v>10</v>
      </c>
      <c r="C23" s="6">
        <v>2</v>
      </c>
      <c r="D23" s="6">
        <v>6</v>
      </c>
      <c r="E23" s="6">
        <v>13</v>
      </c>
      <c r="F23" s="6">
        <v>22</v>
      </c>
      <c r="G23" s="6">
        <v>31</v>
      </c>
      <c r="H23" s="6">
        <v>30</v>
      </c>
      <c r="I23" s="6">
        <v>44</v>
      </c>
      <c r="J23" s="6">
        <v>6</v>
      </c>
      <c r="K23" s="6"/>
      <c r="L23" s="6"/>
      <c r="M23" s="6"/>
      <c r="N23" s="6"/>
      <c r="O23" s="6"/>
      <c r="P23" s="6"/>
      <c r="Q23" s="6"/>
    </row>
    <row r="24" spans="2:17" hidden="1" outlineLevel="1">
      <c r="B24" s="5" t="s">
        <v>7</v>
      </c>
      <c r="C24" s="6"/>
      <c r="D24" s="6"/>
      <c r="E24" s="6"/>
      <c r="F24" s="6"/>
      <c r="G24" s="6"/>
      <c r="H24" s="6"/>
      <c r="I24" s="6"/>
      <c r="J24" s="6">
        <v>18</v>
      </c>
      <c r="K24" s="6">
        <v>27</v>
      </c>
      <c r="L24" s="6">
        <v>26</v>
      </c>
      <c r="M24" s="6">
        <v>38</v>
      </c>
      <c r="N24" s="6">
        <v>38</v>
      </c>
      <c r="O24" s="6">
        <v>53</v>
      </c>
      <c r="P24" s="6"/>
      <c r="Q24" s="6"/>
    </row>
    <row r="25" spans="2:17" hidden="1" outlineLevel="1">
      <c r="B25" s="5" t="s">
        <v>8</v>
      </c>
      <c r="C25" s="6"/>
      <c r="D25" s="6"/>
      <c r="E25" s="6"/>
      <c r="F25" s="6"/>
      <c r="G25" s="6"/>
      <c r="H25" s="6"/>
      <c r="I25" s="6"/>
      <c r="J25" s="6"/>
      <c r="K25" s="6">
        <v>3</v>
      </c>
      <c r="L25" s="6">
        <v>3</v>
      </c>
      <c r="M25" s="6">
        <v>4</v>
      </c>
      <c r="N25" s="6">
        <v>8</v>
      </c>
      <c r="O25" s="6">
        <v>5</v>
      </c>
      <c r="P25" s="6"/>
      <c r="Q25" s="6"/>
    </row>
    <row r="26" spans="2:17" hidden="1" collapsed="1">
      <c r="B26" s="8" t="s">
        <v>11</v>
      </c>
      <c r="C26" s="9">
        <f>SUM(C23:C25)</f>
        <v>2</v>
      </c>
      <c r="D26" s="9">
        <f t="shared" ref="D26" si="4">SUM(D23:D25)</f>
        <v>6</v>
      </c>
      <c r="E26" s="9">
        <f t="shared" ref="E26" si="5">SUM(E23:E25)</f>
        <v>13</v>
      </c>
      <c r="F26" s="9">
        <f t="shared" ref="F26" si="6">SUM(F23:F25)</f>
        <v>22</v>
      </c>
      <c r="G26" s="9">
        <f t="shared" ref="G26" si="7">SUM(G23:G25)</f>
        <v>31</v>
      </c>
      <c r="H26" s="9">
        <f t="shared" ref="H26" si="8">SUM(H23:H25)</f>
        <v>30</v>
      </c>
      <c r="I26" s="9">
        <f t="shared" ref="I26" si="9">SUM(I23:I25)</f>
        <v>44</v>
      </c>
      <c r="J26" s="9">
        <f t="shared" ref="J26" si="10">SUM(J23:J25)</f>
        <v>24</v>
      </c>
      <c r="K26" s="9">
        <f t="shared" ref="K26" si="11">SUM(K23:K25)</f>
        <v>30</v>
      </c>
      <c r="L26" s="9">
        <f t="shared" ref="L26" si="12">SUM(L23:L25)</f>
        <v>29</v>
      </c>
      <c r="M26" s="9">
        <f t="shared" ref="M26" si="13">SUM(M23:M25)</f>
        <v>42</v>
      </c>
      <c r="N26" s="9">
        <f t="shared" ref="N26" si="14">SUM(N23:N25)</f>
        <v>46</v>
      </c>
      <c r="O26" s="9">
        <f t="shared" ref="O26" si="15">SUM(O23:O25)</f>
        <v>58</v>
      </c>
      <c r="P26" s="9"/>
      <c r="Q26" s="9"/>
    </row>
  </sheetData>
  <pageMargins left="0.7" right="0.7" top="0.75" bottom="0.75" header="0.3" footer="0.3"/>
  <pageSetup orientation="portrait" horizontalDpi="4294967293" verticalDpi="0" r:id="rId1"/>
  <ignoredErrors>
    <ignoredError sqref="C15:O15 C26:O2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1226-FED8-4BD7-AEEE-CE62DFA96D56}">
  <dimension ref="A1:R78"/>
  <sheetViews>
    <sheetView zoomScale="65" zoomScaleNormal="65" workbookViewId="0">
      <pane xSplit="2" ySplit="5" topLeftCell="G6" activePane="bottomRight" state="frozen"/>
      <selection pane="topRight" activeCell="C1" sqref="C1"/>
      <selection pane="bottomLeft" activeCell="A5" sqref="A5"/>
      <selection pane="bottomRight" activeCell="B21" sqref="B21"/>
    </sheetView>
  </sheetViews>
  <sheetFormatPr baseColWidth="10" defaultRowHeight="14.5"/>
  <cols>
    <col min="2" max="2" width="49.54296875" customWidth="1"/>
    <col min="6" max="6" width="11.7265625" bestFit="1" customWidth="1"/>
    <col min="7" max="7" width="10.90625" style="172"/>
    <col min="14" max="14" width="12.36328125" bestFit="1" customWidth="1"/>
    <col min="15" max="15" width="10.90625" style="156"/>
    <col min="16" max="17" width="10.90625" style="188"/>
  </cols>
  <sheetData>
    <row r="1" spans="1:18" s="153" customFormat="1" ht="15.5">
      <c r="A1" s="157"/>
      <c r="B1" s="222" t="s">
        <v>87</v>
      </c>
      <c r="G1" s="172"/>
      <c r="L1" s="222"/>
      <c r="M1" s="222"/>
      <c r="N1" s="222"/>
      <c r="O1" s="222"/>
      <c r="P1" s="222"/>
      <c r="Q1" s="222"/>
    </row>
    <row r="2" spans="1:18" s="153" customFormat="1" ht="15.5">
      <c r="A2" s="157"/>
      <c r="B2" s="222" t="s">
        <v>88</v>
      </c>
      <c r="G2" s="172"/>
      <c r="L2" s="222"/>
      <c r="M2" s="222"/>
      <c r="N2" s="222"/>
      <c r="O2" s="222"/>
      <c r="P2" s="222"/>
      <c r="Q2" s="222"/>
    </row>
    <row r="3" spans="1:18" s="153" customFormat="1" ht="15.5">
      <c r="A3" s="157"/>
      <c r="B3" s="222" t="s">
        <v>142</v>
      </c>
      <c r="G3" s="172"/>
      <c r="L3" s="222"/>
      <c r="M3" s="222"/>
      <c r="N3" s="222"/>
      <c r="O3" s="222"/>
      <c r="P3" s="222"/>
      <c r="Q3" s="222"/>
    </row>
    <row r="4" spans="1:18" s="153" customFormat="1" ht="15.5">
      <c r="A4" s="157"/>
      <c r="B4" s="167"/>
      <c r="G4" s="172"/>
      <c r="L4" s="167"/>
      <c r="M4" s="167"/>
      <c r="N4" s="167"/>
      <c r="O4" s="167"/>
      <c r="P4" s="227" t="s">
        <v>85</v>
      </c>
      <c r="Q4" s="183" t="s">
        <v>191</v>
      </c>
    </row>
    <row r="5" spans="1:18" s="153" customFormat="1">
      <c r="A5" s="157"/>
      <c r="C5" s="168">
        <v>2008</v>
      </c>
      <c r="D5" s="168">
        <v>2009</v>
      </c>
      <c r="E5" s="168">
        <v>2010</v>
      </c>
      <c r="F5" s="168">
        <v>2011</v>
      </c>
      <c r="G5" s="173">
        <v>2012</v>
      </c>
      <c r="H5" s="168">
        <v>2013</v>
      </c>
      <c r="I5" s="168">
        <v>2014</v>
      </c>
      <c r="J5" s="168">
        <v>2015</v>
      </c>
      <c r="K5" s="168">
        <v>2016</v>
      </c>
      <c r="L5" s="168">
        <v>2017</v>
      </c>
      <c r="M5" s="168">
        <v>2018</v>
      </c>
      <c r="N5" s="168">
        <v>2019</v>
      </c>
      <c r="O5" s="169">
        <v>2020</v>
      </c>
      <c r="P5" s="228">
        <v>2021</v>
      </c>
      <c r="Q5" s="184">
        <v>2022</v>
      </c>
    </row>
    <row r="6" spans="1:18" s="153" customFormat="1">
      <c r="A6" s="157"/>
      <c r="G6" s="172"/>
      <c r="L6" s="114"/>
      <c r="O6" s="156"/>
      <c r="P6" s="229"/>
      <c r="Q6" s="185"/>
    </row>
    <row r="7" spans="1:18" s="153" customFormat="1">
      <c r="A7" s="157"/>
      <c r="B7" s="155" t="s">
        <v>89</v>
      </c>
      <c r="C7" s="152" t="s">
        <v>90</v>
      </c>
      <c r="D7" s="152" t="s">
        <v>90</v>
      </c>
      <c r="E7" s="152" t="s">
        <v>90</v>
      </c>
      <c r="F7" s="152" t="s">
        <v>90</v>
      </c>
      <c r="G7" s="174" t="s">
        <v>90</v>
      </c>
      <c r="H7" s="152" t="s">
        <v>90</v>
      </c>
      <c r="I7" s="152" t="s">
        <v>90</v>
      </c>
      <c r="J7" s="152" t="s">
        <v>90</v>
      </c>
      <c r="K7" s="152" t="s">
        <v>90</v>
      </c>
      <c r="L7" s="152" t="s">
        <v>90</v>
      </c>
      <c r="M7" s="152" t="s">
        <v>90</v>
      </c>
      <c r="N7" s="152" t="s">
        <v>90</v>
      </c>
      <c r="O7" s="152" t="s">
        <v>90</v>
      </c>
      <c r="P7" s="230" t="s">
        <v>90</v>
      </c>
      <c r="Q7" s="186" t="s">
        <v>90</v>
      </c>
    </row>
    <row r="8" spans="1:18" s="153" customFormat="1">
      <c r="A8" s="157"/>
      <c r="G8" s="172"/>
      <c r="O8" s="156"/>
      <c r="P8" s="229"/>
      <c r="Q8" s="185"/>
    </row>
    <row r="9" spans="1:18" s="153" customFormat="1">
      <c r="A9" s="157"/>
      <c r="B9" s="159" t="s">
        <v>89</v>
      </c>
      <c r="G9" s="172"/>
      <c r="O9" s="156"/>
      <c r="P9" s="229"/>
      <c r="Q9" s="185"/>
    </row>
    <row r="10" spans="1:18" s="153" customFormat="1">
      <c r="A10" s="157">
        <v>10</v>
      </c>
      <c r="B10" s="153" t="s">
        <v>92</v>
      </c>
      <c r="C10" s="158">
        <v>1113652.22</v>
      </c>
      <c r="D10" s="158">
        <v>951533.67</v>
      </c>
      <c r="E10" s="158">
        <v>1767771.27</v>
      </c>
      <c r="F10" s="158">
        <v>973726.77</v>
      </c>
      <c r="G10" s="175">
        <v>4530763.66</v>
      </c>
      <c r="H10" s="158">
        <v>1523293.4188000003</v>
      </c>
      <c r="I10" s="158">
        <v>10185839.869999999</v>
      </c>
      <c r="J10" s="158">
        <v>31207266.509909999</v>
      </c>
      <c r="K10" s="158">
        <f>7997994.38736+500</f>
        <v>7998494.3873600001</v>
      </c>
      <c r="L10" s="158">
        <v>18331062.269479997</v>
      </c>
      <c r="M10" s="158">
        <v>2435604.56</v>
      </c>
      <c r="N10" s="158">
        <v>11281676.892859999</v>
      </c>
      <c r="O10" s="158">
        <v>4474702.2616800005</v>
      </c>
      <c r="P10" s="231">
        <v>19608486</v>
      </c>
      <c r="Q10" s="235">
        <v>18933927.046084657</v>
      </c>
      <c r="R10" s="225"/>
    </row>
    <row r="11" spans="1:18" s="153" customFormat="1">
      <c r="A11" s="157">
        <v>12</v>
      </c>
      <c r="B11" s="153" t="s">
        <v>94</v>
      </c>
      <c r="C11" s="158">
        <v>5932430.3899999997</v>
      </c>
      <c r="D11" s="158">
        <v>10610833.08</v>
      </c>
      <c r="E11" s="158">
        <v>20141229.510000002</v>
      </c>
      <c r="F11" s="158">
        <v>8191547.46</v>
      </c>
      <c r="G11" s="175">
        <f>14901788.79-13667.88</f>
        <v>14888120.909999998</v>
      </c>
      <c r="H11" s="158">
        <v>11304803.350000001</v>
      </c>
      <c r="I11" s="158">
        <v>31972044.309999999</v>
      </c>
      <c r="J11" s="158">
        <v>37770334.774425216</v>
      </c>
      <c r="K11" s="158">
        <v>22606360.553760007</v>
      </c>
      <c r="L11" s="158">
        <v>16526226.961602442</v>
      </c>
      <c r="M11" s="158">
        <v>72022146.987543672</v>
      </c>
      <c r="N11" s="158">
        <v>53170421.768799976</v>
      </c>
      <c r="O11" s="158">
        <v>42214155.290727019</v>
      </c>
      <c r="P11" s="231">
        <v>34179587.520000003</v>
      </c>
      <c r="Q11" s="235">
        <v>36489966.212023996</v>
      </c>
      <c r="R11" s="225"/>
    </row>
    <row r="12" spans="1:18" s="153" customFormat="1">
      <c r="A12" s="157">
        <v>121</v>
      </c>
      <c r="B12" s="153" t="s">
        <v>96</v>
      </c>
      <c r="C12" s="158"/>
      <c r="D12" s="158"/>
      <c r="E12" s="158"/>
      <c r="F12" s="158"/>
      <c r="G12" s="175"/>
      <c r="H12" s="158"/>
      <c r="I12" s="158"/>
      <c r="J12" s="158">
        <v>936529.34645279997</v>
      </c>
      <c r="K12" s="158">
        <v>1339606.2930399999</v>
      </c>
      <c r="L12" s="158">
        <v>967606.19570000004</v>
      </c>
      <c r="M12" s="158">
        <v>7453210.4984399993</v>
      </c>
      <c r="N12" s="158">
        <v>16535658.219080001</v>
      </c>
      <c r="O12" s="158">
        <v>5446323.93738</v>
      </c>
      <c r="P12" s="231">
        <v>4290311.1639945656</v>
      </c>
      <c r="Q12" s="235">
        <v>4580315.936277017</v>
      </c>
      <c r="R12" s="225"/>
    </row>
    <row r="13" spans="1:18" s="153" customFormat="1">
      <c r="A13" s="157">
        <v>14</v>
      </c>
      <c r="B13" s="153" t="s">
        <v>98</v>
      </c>
      <c r="C13" s="161">
        <v>3898.27</v>
      </c>
      <c r="D13" s="161">
        <v>31</v>
      </c>
      <c r="E13" s="161">
        <v>77394.5</v>
      </c>
      <c r="F13" s="160">
        <v>178452.75</v>
      </c>
      <c r="G13" s="160">
        <v>63783.62</v>
      </c>
      <c r="H13" s="161"/>
      <c r="I13" s="161"/>
      <c r="J13" s="161">
        <v>6543.53</v>
      </c>
      <c r="K13" s="161">
        <v>15415.450959999998</v>
      </c>
      <c r="L13" s="161">
        <v>39331.754180000004</v>
      </c>
      <c r="M13" s="161">
        <v>5000.07</v>
      </c>
      <c r="N13" s="161">
        <v>33162.535199999998</v>
      </c>
      <c r="O13" s="161">
        <v>2962.23</v>
      </c>
      <c r="P13" s="231">
        <v>0</v>
      </c>
      <c r="Q13" s="235">
        <v>0</v>
      </c>
      <c r="R13" s="225"/>
    </row>
    <row r="14" spans="1:18" s="153" customFormat="1">
      <c r="A14" s="157">
        <v>17</v>
      </c>
      <c r="B14" s="153" t="s">
        <v>100</v>
      </c>
      <c r="C14" s="158">
        <v>39451.870000000003</v>
      </c>
      <c r="E14" s="158"/>
      <c r="F14" s="158"/>
      <c r="G14" s="175"/>
      <c r="H14" s="158"/>
      <c r="I14" s="158"/>
      <c r="J14" s="158"/>
      <c r="K14" s="158"/>
      <c r="L14" s="158"/>
      <c r="M14" s="158"/>
      <c r="N14" s="158"/>
      <c r="O14" s="158"/>
      <c r="P14" s="231"/>
      <c r="Q14" s="235"/>
      <c r="R14" s="225"/>
    </row>
    <row r="15" spans="1:18" s="153" customFormat="1">
      <c r="A15" s="157">
        <v>16</v>
      </c>
      <c r="B15" s="153" t="s">
        <v>102</v>
      </c>
      <c r="C15" s="158"/>
      <c r="D15" s="158">
        <v>10396.799999999999</v>
      </c>
      <c r="E15" s="158"/>
      <c r="F15" s="158"/>
      <c r="G15" s="175">
        <v>79601.8</v>
      </c>
      <c r="H15" s="158">
        <v>3450857.3128800001</v>
      </c>
      <c r="I15" s="158">
        <v>1833675.75</v>
      </c>
      <c r="J15" s="158">
        <v>410048.17984999996</v>
      </c>
      <c r="K15" s="158">
        <v>1355938.9464</v>
      </c>
      <c r="L15" s="158">
        <v>661399.49904000014</v>
      </c>
      <c r="M15" s="158">
        <v>1359535.2530100001</v>
      </c>
      <c r="N15" s="158">
        <v>3302549.8930400005</v>
      </c>
      <c r="O15" s="158">
        <v>3133048.1935999999</v>
      </c>
      <c r="P15" s="231">
        <v>3953659.26</v>
      </c>
      <c r="Q15" s="235">
        <v>4268086.0316499704</v>
      </c>
      <c r="R15" s="225"/>
    </row>
    <row r="16" spans="1:18" s="153" customFormat="1">
      <c r="A16" s="157">
        <v>161</v>
      </c>
      <c r="B16" s="153" t="s">
        <v>104</v>
      </c>
      <c r="C16" s="158">
        <v>215313.73</v>
      </c>
      <c r="D16" s="158">
        <v>930974.73</v>
      </c>
      <c r="E16" s="158">
        <v>3082273.58</v>
      </c>
      <c r="F16" s="158">
        <f>462491+6142800.08-1399003</f>
        <v>5206288.08</v>
      </c>
      <c r="G16" s="175">
        <f>93787.52+2160718.8</f>
        <v>2254506.3199999998</v>
      </c>
      <c r="I16" s="158">
        <v>4650334.2300000004</v>
      </c>
      <c r="J16" s="158">
        <v>470587.49</v>
      </c>
      <c r="K16" s="158">
        <v>2532765.3199999998</v>
      </c>
      <c r="L16" s="158">
        <v>2026030.93</v>
      </c>
      <c r="M16" s="158">
        <v>1555196.54</v>
      </c>
      <c r="N16" s="158">
        <v>802988.17999999993</v>
      </c>
      <c r="O16" s="158">
        <v>1638451.1000000006</v>
      </c>
      <c r="P16" s="231">
        <v>2799346.1599301687</v>
      </c>
      <c r="Q16" s="235">
        <v>2988568.7395097907</v>
      </c>
      <c r="R16" s="225"/>
    </row>
    <row r="17" spans="1:18" s="153" customFormat="1">
      <c r="A17" s="157">
        <v>20</v>
      </c>
      <c r="B17" s="153" t="s">
        <v>106</v>
      </c>
      <c r="C17" s="158">
        <v>232492.38</v>
      </c>
      <c r="D17" s="158">
        <v>3288378.1</v>
      </c>
      <c r="E17" s="158">
        <v>11542387.109999999</v>
      </c>
      <c r="F17" s="158">
        <v>6858999</v>
      </c>
      <c r="G17" s="175">
        <v>7208441.6699999999</v>
      </c>
      <c r="H17" s="158">
        <v>6345793.4100000001</v>
      </c>
      <c r="I17" s="158">
        <v>4964901.76</v>
      </c>
      <c r="J17" s="158">
        <v>8848008.9000000004</v>
      </c>
      <c r="K17" s="158">
        <v>5007775.7300000004</v>
      </c>
      <c r="L17" s="158">
        <v>7460521.0299999993</v>
      </c>
      <c r="M17" s="158">
        <v>8845297.7800000012</v>
      </c>
      <c r="N17" s="158">
        <v>11126669.539999999</v>
      </c>
      <c r="O17" s="158">
        <v>8490988.1899999995</v>
      </c>
      <c r="P17" s="231">
        <v>17444128.616849273</v>
      </c>
      <c r="Q17" s="235">
        <v>10623269.3257215</v>
      </c>
      <c r="R17" s="225"/>
    </row>
    <row r="18" spans="1:18" s="153" customFormat="1">
      <c r="A18" s="157"/>
      <c r="B18" s="154" t="s">
        <v>108</v>
      </c>
      <c r="C18" s="164">
        <f t="shared" ref="C18" si="0">SUM(C10:C17)</f>
        <v>7537238.8599999994</v>
      </c>
      <c r="D18" s="164">
        <f t="shared" ref="D18:Q18" si="1">SUM(D10:D17)</f>
        <v>15792147.380000001</v>
      </c>
      <c r="E18" s="164">
        <f t="shared" si="1"/>
        <v>36611055.969999999</v>
      </c>
      <c r="F18" s="164">
        <f t="shared" si="1"/>
        <v>21409014.060000002</v>
      </c>
      <c r="G18" s="176">
        <f t="shared" si="1"/>
        <v>29025217.980000004</v>
      </c>
      <c r="H18" s="164">
        <f t="shared" si="1"/>
        <v>22624747.491680004</v>
      </c>
      <c r="I18" s="164">
        <f t="shared" si="1"/>
        <v>53606795.919999994</v>
      </c>
      <c r="J18" s="164">
        <f t="shared" si="1"/>
        <v>79649318.730638012</v>
      </c>
      <c r="K18" s="164">
        <f t="shared" si="1"/>
        <v>40856356.68152</v>
      </c>
      <c r="L18" s="164">
        <f t="shared" si="1"/>
        <v>46012178.640002437</v>
      </c>
      <c r="M18" s="164">
        <f t="shared" si="1"/>
        <v>93675991.688993677</v>
      </c>
      <c r="N18" s="164">
        <f t="shared" si="1"/>
        <v>96253127.028979987</v>
      </c>
      <c r="O18" s="164">
        <f t="shared" si="1"/>
        <v>65400631.203387015</v>
      </c>
      <c r="P18" s="232">
        <f t="shared" si="1"/>
        <v>82275518.72077401</v>
      </c>
      <c r="Q18" s="236">
        <f t="shared" si="1"/>
        <v>77884133.291266933</v>
      </c>
    </row>
    <row r="19" spans="1:18" s="153" customFormat="1">
      <c r="A19" s="157"/>
      <c r="C19" s="114"/>
      <c r="D19" s="114"/>
      <c r="E19" s="114"/>
      <c r="F19" s="114"/>
      <c r="G19" s="177"/>
      <c r="H19" s="114"/>
      <c r="I19" s="114"/>
      <c r="J19" s="114"/>
      <c r="K19" s="114"/>
      <c r="L19" s="114"/>
      <c r="M19" s="114"/>
      <c r="N19" s="114"/>
      <c r="O19" s="114"/>
      <c r="P19" s="229"/>
      <c r="Q19" s="237"/>
    </row>
    <row r="20" spans="1:18" s="153" customFormat="1">
      <c r="A20" s="157"/>
      <c r="B20" s="159" t="s">
        <v>111</v>
      </c>
      <c r="C20" s="158"/>
      <c r="D20" s="158"/>
      <c r="E20" s="158"/>
      <c r="F20" s="158"/>
      <c r="G20" s="175"/>
      <c r="H20" s="158"/>
      <c r="I20" s="158"/>
      <c r="J20" s="158"/>
      <c r="K20" s="158"/>
      <c r="L20" s="158"/>
      <c r="M20" s="158"/>
      <c r="N20" s="158"/>
      <c r="O20" s="158"/>
      <c r="P20" s="231"/>
      <c r="Q20" s="235"/>
    </row>
    <row r="21" spans="1:18" s="153" customFormat="1" ht="14.25" customHeight="1">
      <c r="A21" s="157">
        <v>18</v>
      </c>
      <c r="B21" s="153" t="s">
        <v>112</v>
      </c>
      <c r="C21" s="158"/>
      <c r="D21" s="158"/>
      <c r="E21" s="158"/>
      <c r="F21" s="158">
        <v>237.29</v>
      </c>
      <c r="G21" s="175">
        <v>107483.84</v>
      </c>
      <c r="H21" s="158">
        <v>1561115.71166</v>
      </c>
      <c r="I21" s="158">
        <v>458557.74</v>
      </c>
      <c r="J21" s="158">
        <v>1330722.8599999999</v>
      </c>
      <c r="K21" s="158">
        <v>519763.14</v>
      </c>
      <c r="L21" s="158">
        <v>342903.48</v>
      </c>
      <c r="M21" s="158">
        <v>1585508.47</v>
      </c>
      <c r="N21" s="158">
        <v>339583.38</v>
      </c>
      <c r="O21" s="158">
        <v>680093.77703466662</v>
      </c>
      <c r="P21" s="231">
        <v>588303.29181281326</v>
      </c>
      <c r="Q21" s="235">
        <v>628069.8158838416</v>
      </c>
      <c r="R21" s="225"/>
    </row>
    <row r="22" spans="1:18" s="153" customFormat="1" ht="14.25" customHeight="1">
      <c r="A22" s="157">
        <v>37</v>
      </c>
      <c r="B22" s="153" t="s">
        <v>113</v>
      </c>
      <c r="C22" s="165">
        <v>5754</v>
      </c>
      <c r="D22" s="165">
        <v>40490</v>
      </c>
      <c r="E22" s="165">
        <v>82895</v>
      </c>
      <c r="F22" s="165">
        <v>458720</v>
      </c>
      <c r="G22" s="178">
        <v>884618.4</v>
      </c>
      <c r="H22" s="165"/>
      <c r="I22" s="165">
        <v>2946704.32</v>
      </c>
      <c r="J22" s="165">
        <v>3352700.67</v>
      </c>
      <c r="K22" s="165">
        <v>3693862.38</v>
      </c>
      <c r="L22" s="165">
        <v>4762542.79</v>
      </c>
      <c r="M22" s="165">
        <v>2103808.98</v>
      </c>
      <c r="N22" s="165">
        <v>1693321</v>
      </c>
      <c r="O22" s="165">
        <v>3325542.43</v>
      </c>
      <c r="P22" s="231">
        <v>4558183.4164183056</v>
      </c>
      <c r="Q22" s="235">
        <v>4866295.0878499094</v>
      </c>
      <c r="R22" s="225"/>
    </row>
    <row r="23" spans="1:18" s="153" customFormat="1">
      <c r="A23" s="157"/>
      <c r="B23" s="153" t="s">
        <v>114</v>
      </c>
      <c r="C23" s="158"/>
      <c r="D23" s="158"/>
      <c r="E23" s="158"/>
      <c r="F23" s="158"/>
      <c r="G23" s="175"/>
      <c r="H23" s="158"/>
      <c r="I23" s="158">
        <v>0</v>
      </c>
      <c r="J23" s="158">
        <v>0</v>
      </c>
      <c r="K23" s="158">
        <v>0</v>
      </c>
      <c r="L23" s="158">
        <v>0</v>
      </c>
      <c r="M23" s="158">
        <v>0</v>
      </c>
      <c r="N23" s="158">
        <v>0</v>
      </c>
      <c r="O23" s="158">
        <v>0</v>
      </c>
      <c r="P23" s="231">
        <v>0</v>
      </c>
      <c r="Q23" s="235">
        <v>0</v>
      </c>
      <c r="R23" s="225"/>
    </row>
    <row r="24" spans="1:18" s="153" customFormat="1">
      <c r="A24" s="157">
        <v>162</v>
      </c>
      <c r="B24" s="153" t="s">
        <v>116</v>
      </c>
      <c r="C24" s="158">
        <v>59085.39</v>
      </c>
      <c r="D24" s="158">
        <v>44359.68</v>
      </c>
      <c r="E24" s="158">
        <v>55598.400000000001</v>
      </c>
      <c r="F24" s="158">
        <v>221128.68</v>
      </c>
      <c r="G24" s="175">
        <v>186985.15</v>
      </c>
      <c r="H24" s="158"/>
      <c r="I24" s="158">
        <v>0</v>
      </c>
      <c r="J24" s="158">
        <v>0</v>
      </c>
      <c r="K24" s="158">
        <v>143309.014</v>
      </c>
      <c r="L24" s="158">
        <v>137006.24599999998</v>
      </c>
      <c r="M24" s="158">
        <v>140950.05600000001</v>
      </c>
      <c r="N24" s="158">
        <v>259084.98765999998</v>
      </c>
      <c r="O24" s="158">
        <v>217966.36559999996</v>
      </c>
      <c r="P24" s="231">
        <v>77977.363618830655</v>
      </c>
      <c r="Q24" s="235">
        <v>83248.265125753038</v>
      </c>
      <c r="R24" s="225"/>
    </row>
    <row r="25" spans="1:18" s="153" customFormat="1">
      <c r="A25" s="157"/>
      <c r="C25" s="158"/>
      <c r="D25" s="158"/>
      <c r="E25" s="158"/>
      <c r="F25" s="158"/>
      <c r="G25" s="175"/>
      <c r="H25" s="158"/>
      <c r="I25" s="158"/>
      <c r="J25" s="158"/>
      <c r="K25" s="158"/>
      <c r="L25" s="158"/>
      <c r="M25" s="158"/>
      <c r="N25" s="158"/>
      <c r="O25" s="158"/>
      <c r="P25" s="231"/>
      <c r="Q25" s="235">
        <v>0</v>
      </c>
      <c r="R25" s="225"/>
    </row>
    <row r="26" spans="1:18" s="153" customFormat="1">
      <c r="A26" s="157"/>
      <c r="B26" s="159" t="s">
        <v>119</v>
      </c>
      <c r="C26" s="158"/>
      <c r="D26" s="158"/>
      <c r="E26" s="158"/>
      <c r="F26" s="158"/>
      <c r="G26" s="175"/>
      <c r="H26" s="158"/>
      <c r="I26" s="158"/>
      <c r="J26" s="158"/>
      <c r="K26" s="158"/>
      <c r="L26" s="158"/>
      <c r="M26" s="158"/>
      <c r="N26" s="158"/>
      <c r="O26" s="158"/>
      <c r="P26" s="231"/>
      <c r="Q26" s="235">
        <v>0</v>
      </c>
      <c r="R26" s="225"/>
    </row>
    <row r="27" spans="1:18" s="153" customFormat="1">
      <c r="A27" s="157">
        <v>33</v>
      </c>
      <c r="B27" s="153" t="s">
        <v>121</v>
      </c>
      <c r="C27" s="158">
        <v>54829.38</v>
      </c>
      <c r="D27" s="158">
        <v>101595.43</v>
      </c>
      <c r="E27" s="158">
        <v>137730.17000000001</v>
      </c>
      <c r="F27" s="158">
        <v>459019</v>
      </c>
      <c r="G27" s="175">
        <v>492495.39</v>
      </c>
      <c r="H27" s="158">
        <v>630641.47699999996</v>
      </c>
      <c r="I27" s="158">
        <v>987612.57</v>
      </c>
      <c r="J27" s="158">
        <v>1092682.3199999998</v>
      </c>
      <c r="K27" s="158">
        <v>1227738.8799999997</v>
      </c>
      <c r="L27" s="158">
        <v>1389778.0399999998</v>
      </c>
      <c r="M27" s="158">
        <v>1607931.1599999997</v>
      </c>
      <c r="N27" s="158">
        <v>1772264.6899999992</v>
      </c>
      <c r="O27" s="158">
        <v>1827084.1399999994</v>
      </c>
      <c r="P27" s="231">
        <v>2421478.2852828493</v>
      </c>
      <c r="Q27" s="235">
        <v>2585158.7811414576</v>
      </c>
      <c r="R27" s="225"/>
    </row>
    <row r="28" spans="1:18" s="153" customFormat="1">
      <c r="A28" s="157">
        <v>39</v>
      </c>
      <c r="B28" s="153" t="s">
        <v>123</v>
      </c>
      <c r="C28" s="158">
        <v>-5270.18</v>
      </c>
      <c r="D28" s="158">
        <v>-36441.18</v>
      </c>
      <c r="E28" s="158">
        <v>-87427.09</v>
      </c>
      <c r="F28" s="158">
        <v>-221263.12</v>
      </c>
      <c r="G28" s="175">
        <v>-318437.83</v>
      </c>
      <c r="H28" s="158">
        <v>-441722.20999999996</v>
      </c>
      <c r="I28" s="158">
        <v>-549731.36</v>
      </c>
      <c r="J28" s="158">
        <v>-776796.52467361127</v>
      </c>
      <c r="K28" s="158">
        <v>-865880.97524166701</v>
      </c>
      <c r="L28" s="158">
        <v>-974233.60519555525</v>
      </c>
      <c r="M28" s="158">
        <v>-1076641.0651055556</v>
      </c>
      <c r="N28" s="158">
        <v>-1216524.8128347225</v>
      </c>
      <c r="O28" s="158">
        <v>-1364575.9987513889</v>
      </c>
      <c r="P28" s="231">
        <v>-943759.11069294554</v>
      </c>
      <c r="Q28" s="235">
        <v>-1007552.7693634202</v>
      </c>
      <c r="R28" s="225"/>
    </row>
    <row r="29" spans="1:18" s="153" customFormat="1">
      <c r="A29" s="157">
        <v>331</v>
      </c>
      <c r="B29" s="153" t="s">
        <v>124</v>
      </c>
      <c r="C29" s="158"/>
      <c r="D29" s="158"/>
      <c r="E29" s="158"/>
      <c r="F29" s="158"/>
      <c r="G29" s="175"/>
      <c r="H29" s="158"/>
      <c r="I29" s="158"/>
      <c r="J29" s="158"/>
      <c r="K29" s="158"/>
      <c r="L29" s="158"/>
      <c r="M29" s="158"/>
      <c r="N29" s="158"/>
      <c r="O29" s="158">
        <v>1992275.4399999995</v>
      </c>
      <c r="P29" s="231">
        <v>2614436.1851552092</v>
      </c>
      <c r="Q29" s="235">
        <v>2791159.723738132</v>
      </c>
      <c r="R29" s="225"/>
    </row>
    <row r="30" spans="1:18" s="153" customFormat="1">
      <c r="A30" s="157">
        <v>393</v>
      </c>
      <c r="B30" s="153" t="s">
        <v>126</v>
      </c>
      <c r="C30" s="158"/>
      <c r="D30" s="158"/>
      <c r="E30" s="158"/>
      <c r="F30" s="158"/>
      <c r="G30" s="175"/>
      <c r="H30" s="158"/>
      <c r="I30" s="158"/>
      <c r="J30" s="158"/>
      <c r="K30" s="158"/>
      <c r="L30" s="158"/>
      <c r="M30" s="158"/>
      <c r="N30" s="158"/>
      <c r="O30" s="158">
        <v>-130333.73797222222</v>
      </c>
      <c r="P30" s="231">
        <v>-1992206.6388889169</v>
      </c>
      <c r="Q30" s="235">
        <v>-2126870.3988276352</v>
      </c>
      <c r="R30" s="225"/>
    </row>
    <row r="31" spans="1:18" s="153" customFormat="1">
      <c r="A31" s="157"/>
      <c r="C31" s="158"/>
      <c r="D31" s="158"/>
      <c r="E31" s="158"/>
      <c r="F31" s="158"/>
      <c r="G31" s="175"/>
      <c r="H31" s="158"/>
      <c r="I31" s="158"/>
      <c r="J31" s="158"/>
      <c r="K31" s="158"/>
      <c r="L31" s="158"/>
      <c r="M31" s="158"/>
      <c r="N31" s="158"/>
      <c r="O31" s="158"/>
      <c r="P31" s="231"/>
      <c r="Q31" s="235">
        <v>0</v>
      </c>
      <c r="R31" s="225"/>
    </row>
    <row r="32" spans="1:18" s="153" customFormat="1">
      <c r="A32" s="157">
        <v>34</v>
      </c>
      <c r="B32" s="153" t="s">
        <v>129</v>
      </c>
      <c r="C32" s="158"/>
      <c r="D32" s="158"/>
      <c r="E32" s="158"/>
      <c r="F32" s="158">
        <v>12450.54</v>
      </c>
      <c r="G32" s="175">
        <v>12450.54</v>
      </c>
      <c r="H32" s="158">
        <v>127491.76</v>
      </c>
      <c r="I32" s="158">
        <v>127491.76</v>
      </c>
      <c r="J32" s="158">
        <v>25512.78</v>
      </c>
      <c r="K32" s="158">
        <v>25512.78</v>
      </c>
      <c r="L32" s="158">
        <v>25512.78</v>
      </c>
      <c r="M32" s="158">
        <v>60642.23</v>
      </c>
      <c r="N32" s="158">
        <v>66968.430000000008</v>
      </c>
      <c r="O32" s="158">
        <v>73861.240000000005</v>
      </c>
      <c r="P32" s="231">
        <v>73861.240000000005</v>
      </c>
      <c r="Q32" s="235">
        <v>78853.910990035132</v>
      </c>
      <c r="R32" s="225"/>
    </row>
    <row r="33" spans="1:18" s="153" customFormat="1">
      <c r="A33" s="157">
        <v>392</v>
      </c>
      <c r="B33" s="153" t="s">
        <v>131</v>
      </c>
      <c r="C33" s="158"/>
      <c r="D33" s="158"/>
      <c r="E33" s="158"/>
      <c r="F33" s="158">
        <v>-12450.54</v>
      </c>
      <c r="G33" s="175">
        <v>-12450.54</v>
      </c>
      <c r="H33" s="158">
        <v>-12694.67</v>
      </c>
      <c r="I33" s="158">
        <v>-15960.23</v>
      </c>
      <c r="J33" s="158">
        <v>-19225.79</v>
      </c>
      <c r="K33" s="158">
        <v>-22491.357500000002</v>
      </c>
      <c r="L33" s="158">
        <v>-25512.777500000004</v>
      </c>
      <c r="M33" s="158">
        <v>-26993.217520833332</v>
      </c>
      <c r="N33" s="158">
        <v>-35200.68002083333</v>
      </c>
      <c r="O33" s="158">
        <v>-44173.1729375</v>
      </c>
      <c r="P33" s="231">
        <v>-69898.087996693808</v>
      </c>
      <c r="Q33" s="235">
        <v>-74622.868628592434</v>
      </c>
      <c r="R33" s="225"/>
    </row>
    <row r="34" spans="1:18" s="153" customFormat="1">
      <c r="A34" s="157"/>
      <c r="C34" s="158"/>
      <c r="D34" s="158"/>
      <c r="E34" s="158"/>
      <c r="F34" s="158"/>
      <c r="G34" s="175"/>
      <c r="H34" s="158"/>
      <c r="I34" s="158"/>
      <c r="J34" s="158"/>
      <c r="K34" s="158"/>
      <c r="L34" s="158"/>
      <c r="M34" s="158"/>
      <c r="N34" s="158"/>
      <c r="O34" s="158"/>
      <c r="P34" s="231"/>
      <c r="Q34" s="235">
        <v>0</v>
      </c>
      <c r="R34" s="225"/>
    </row>
    <row r="35" spans="1:18" s="153" customFormat="1">
      <c r="A35" s="157"/>
      <c r="B35" s="159" t="s">
        <v>134</v>
      </c>
      <c r="C35" s="158"/>
      <c r="D35" s="158"/>
      <c r="E35" s="158"/>
      <c r="F35" s="158"/>
      <c r="G35" s="175"/>
      <c r="H35" s="158"/>
      <c r="I35" s="158"/>
      <c r="J35" s="158"/>
      <c r="K35" s="158"/>
      <c r="L35" s="158"/>
      <c r="M35" s="158"/>
      <c r="N35" s="158"/>
      <c r="O35" s="158"/>
      <c r="P35" s="231"/>
      <c r="Q35" s="235">
        <v>0</v>
      </c>
      <c r="R35" s="225"/>
    </row>
    <row r="36" spans="1:18" s="153" customFormat="1">
      <c r="A36" s="157">
        <v>32</v>
      </c>
      <c r="B36" s="153" t="s">
        <v>136</v>
      </c>
      <c r="C36" s="158"/>
      <c r="D36" s="158"/>
      <c r="E36" s="158"/>
      <c r="F36" s="158"/>
      <c r="G36" s="175"/>
      <c r="H36" s="158"/>
      <c r="I36" s="158"/>
      <c r="J36" s="158"/>
      <c r="K36" s="158"/>
      <c r="L36" s="158"/>
      <c r="M36" s="158"/>
      <c r="N36" s="158">
        <v>3425608.6500000004</v>
      </c>
      <c r="O36" s="158">
        <v>1429311.0100000002</v>
      </c>
      <c r="P36" s="231">
        <v>1875665.5577628058</v>
      </c>
      <c r="Q36" s="235">
        <v>2002451.6910209316</v>
      </c>
      <c r="R36" s="225"/>
    </row>
    <row r="37" spans="1:18" s="153" customFormat="1">
      <c r="A37" s="157">
        <v>321</v>
      </c>
      <c r="B37" s="153" t="s">
        <v>137</v>
      </c>
      <c r="C37" s="158"/>
      <c r="D37" s="158"/>
      <c r="E37" s="158"/>
      <c r="F37" s="158"/>
      <c r="G37" s="175"/>
      <c r="H37" s="158"/>
      <c r="I37" s="158"/>
      <c r="J37" s="158"/>
      <c r="K37" s="158"/>
      <c r="L37" s="158"/>
      <c r="M37" s="158"/>
      <c r="O37" s="158">
        <v>860316.54</v>
      </c>
      <c r="P37" s="231">
        <v>1300904.826527002</v>
      </c>
      <c r="Q37" s="235">
        <v>1388839.8488499152</v>
      </c>
      <c r="R37" s="225"/>
    </row>
    <row r="38" spans="1:18" s="153" customFormat="1">
      <c r="A38" s="157">
        <v>391</v>
      </c>
      <c r="B38" s="153" t="s">
        <v>138</v>
      </c>
      <c r="C38" s="158"/>
      <c r="D38" s="158"/>
      <c r="E38" s="158"/>
      <c r="F38" s="158"/>
      <c r="G38" s="175"/>
      <c r="H38" s="158"/>
      <c r="I38" s="158"/>
      <c r="J38" s="158"/>
      <c r="K38" s="158"/>
      <c r="L38" s="158"/>
      <c r="M38" s="158"/>
      <c r="N38" s="158">
        <v>-458290.13224992575</v>
      </c>
      <c r="O38" s="158">
        <v>-681394.35352243565</v>
      </c>
      <c r="P38" s="231">
        <v>-1663730.8138904457</v>
      </c>
      <c r="Q38" s="235">
        <v>-1776191.1593942358</v>
      </c>
      <c r="R38" s="225"/>
    </row>
    <row r="39" spans="1:18" s="153" customFormat="1">
      <c r="A39" s="157"/>
      <c r="C39" s="158"/>
      <c r="D39" s="158"/>
      <c r="E39" s="158"/>
      <c r="F39" s="158"/>
      <c r="G39" s="175"/>
      <c r="H39" s="158"/>
      <c r="I39" s="158"/>
      <c r="J39" s="158"/>
      <c r="K39" s="158"/>
      <c r="L39" s="158"/>
      <c r="M39" s="158"/>
      <c r="N39" s="158"/>
      <c r="O39" s="158"/>
      <c r="P39" s="231"/>
      <c r="Q39" s="235">
        <f t="shared" ref="Q21:Q39" si="2">+$Q$72*R39</f>
        <v>0</v>
      </c>
    </row>
    <row r="40" spans="1:18" s="153" customFormat="1">
      <c r="A40" s="157"/>
      <c r="B40" s="154" t="s">
        <v>139</v>
      </c>
      <c r="C40" s="164">
        <f t="shared" ref="C40" si="3">SUM(C21:C38)</f>
        <v>114398.59</v>
      </c>
      <c r="D40" s="164">
        <f t="shared" ref="D40:P40" si="4">SUM(D21:D38)</f>
        <v>150003.93</v>
      </c>
      <c r="E40" s="164">
        <f t="shared" si="4"/>
        <v>188796.48</v>
      </c>
      <c r="F40" s="164">
        <f t="shared" si="4"/>
        <v>917841.85</v>
      </c>
      <c r="G40" s="176">
        <f t="shared" si="4"/>
        <v>1353144.9499999997</v>
      </c>
      <c r="H40" s="164">
        <f t="shared" si="4"/>
        <v>1864832.0686600001</v>
      </c>
      <c r="I40" s="164">
        <f t="shared" si="4"/>
        <v>3954674.8</v>
      </c>
      <c r="J40" s="164">
        <f t="shared" si="4"/>
        <v>5005596.3153263889</v>
      </c>
      <c r="K40" s="164">
        <f t="shared" si="4"/>
        <v>4721813.8612583335</v>
      </c>
      <c r="L40" s="164">
        <f t="shared" si="4"/>
        <v>5657996.9533044454</v>
      </c>
      <c r="M40" s="164">
        <f t="shared" si="4"/>
        <v>4395206.6133736111</v>
      </c>
      <c r="N40" s="164">
        <f t="shared" si="4"/>
        <v>5846815.5125545189</v>
      </c>
      <c r="O40" s="164">
        <f t="shared" si="4"/>
        <v>8185973.6794511182</v>
      </c>
      <c r="P40" s="232">
        <f t="shared" si="4"/>
        <v>8841215.5151088107</v>
      </c>
      <c r="Q40" s="236">
        <f t="shared" ref="Q40" si="5">SUM(Q21:Q38)</f>
        <v>9438839.9283860922</v>
      </c>
    </row>
    <row r="41" spans="1:18" s="153" customFormat="1">
      <c r="A41" s="157"/>
      <c r="B41" s="159"/>
      <c r="C41" s="158"/>
      <c r="D41" s="158"/>
      <c r="E41" s="158"/>
      <c r="F41" s="158"/>
      <c r="G41" s="175"/>
      <c r="H41" s="158"/>
      <c r="I41" s="158"/>
      <c r="J41" s="158"/>
      <c r="K41" s="158"/>
      <c r="L41" s="158"/>
      <c r="M41" s="158"/>
      <c r="N41" s="158"/>
      <c r="O41" s="158"/>
      <c r="P41" s="231"/>
      <c r="Q41" s="235"/>
    </row>
    <row r="42" spans="1:18" s="153" customFormat="1" ht="15" thickBot="1">
      <c r="A42" s="157"/>
      <c r="B42" s="154" t="s">
        <v>140</v>
      </c>
      <c r="C42" s="166">
        <f t="shared" ref="C42" si="6">+C18+C40</f>
        <v>7651637.4499999993</v>
      </c>
      <c r="D42" s="166">
        <f t="shared" ref="D42:P42" si="7">+D18+D40</f>
        <v>15942151.310000001</v>
      </c>
      <c r="E42" s="166">
        <f t="shared" si="7"/>
        <v>36799852.449999996</v>
      </c>
      <c r="F42" s="166">
        <f t="shared" si="7"/>
        <v>22326855.910000004</v>
      </c>
      <c r="G42" s="179">
        <f t="shared" si="7"/>
        <v>30378362.930000003</v>
      </c>
      <c r="H42" s="166">
        <f t="shared" si="7"/>
        <v>24489579.560340002</v>
      </c>
      <c r="I42" s="166">
        <f t="shared" si="7"/>
        <v>57561470.719999991</v>
      </c>
      <c r="J42" s="166">
        <f t="shared" si="7"/>
        <v>84654915.045964405</v>
      </c>
      <c r="K42" s="166">
        <f t="shared" si="7"/>
        <v>45578170.542778336</v>
      </c>
      <c r="L42" s="166">
        <f t="shared" si="7"/>
        <v>51670175.593306884</v>
      </c>
      <c r="M42" s="166">
        <f t="shared" si="7"/>
        <v>98071198.302367285</v>
      </c>
      <c r="N42" s="166">
        <f t="shared" si="7"/>
        <v>102099942.54153451</v>
      </c>
      <c r="O42" s="166">
        <f t="shared" si="7"/>
        <v>73586604.88283813</v>
      </c>
      <c r="P42" s="233">
        <f t="shared" si="7"/>
        <v>91116734.235882819</v>
      </c>
      <c r="Q42" s="238">
        <f t="shared" ref="Q42" si="8">+Q18+Q40</f>
        <v>87322973.219653025</v>
      </c>
    </row>
    <row r="43" spans="1:18" s="153" customFormat="1" ht="15" thickTop="1">
      <c r="A43" s="157"/>
      <c r="C43" s="114"/>
      <c r="D43" s="114"/>
      <c r="E43" s="114"/>
      <c r="F43" s="114"/>
      <c r="G43" s="177"/>
      <c r="H43" s="114"/>
      <c r="I43" s="114"/>
      <c r="J43" s="114"/>
      <c r="K43" s="114"/>
      <c r="L43" s="114"/>
      <c r="M43" s="114"/>
      <c r="N43" s="114"/>
      <c r="O43" s="114"/>
      <c r="P43" s="229"/>
      <c r="Q43" s="237"/>
    </row>
    <row r="44" spans="1:18">
      <c r="B44" s="155" t="s">
        <v>91</v>
      </c>
      <c r="C44" s="152" t="s">
        <v>90</v>
      </c>
      <c r="D44" s="152" t="s">
        <v>90</v>
      </c>
      <c r="E44" s="152" t="s">
        <v>90</v>
      </c>
      <c r="F44" s="152" t="s">
        <v>90</v>
      </c>
      <c r="G44" s="174" t="s">
        <v>90</v>
      </c>
      <c r="H44" s="152" t="s">
        <v>90</v>
      </c>
      <c r="I44" s="152" t="s">
        <v>90</v>
      </c>
      <c r="J44" s="152" t="s">
        <v>90</v>
      </c>
      <c r="K44" s="152" t="s">
        <v>90</v>
      </c>
      <c r="L44" s="152" t="s">
        <v>90</v>
      </c>
      <c r="M44" s="152" t="s">
        <v>90</v>
      </c>
      <c r="N44" s="152" t="s">
        <v>90</v>
      </c>
      <c r="O44" s="152" t="s">
        <v>90</v>
      </c>
      <c r="P44" s="230" t="s">
        <v>90</v>
      </c>
      <c r="Q44" s="239" t="s">
        <v>90</v>
      </c>
    </row>
    <row r="45" spans="1:18">
      <c r="B45" s="153"/>
      <c r="C45" s="114"/>
      <c r="D45" s="114"/>
      <c r="E45" s="114"/>
      <c r="F45" s="114"/>
      <c r="G45" s="177"/>
      <c r="H45" s="114"/>
      <c r="I45" s="114"/>
      <c r="J45" s="114"/>
      <c r="K45" s="114"/>
      <c r="L45" s="114"/>
      <c r="M45" s="114"/>
      <c r="N45" s="114"/>
      <c r="O45" s="114"/>
      <c r="P45" s="229"/>
      <c r="Q45" s="237"/>
    </row>
    <row r="46" spans="1:18">
      <c r="B46" s="159" t="s">
        <v>91</v>
      </c>
      <c r="C46" s="114"/>
      <c r="D46" s="114"/>
      <c r="E46" s="114"/>
      <c r="F46" s="114"/>
      <c r="G46" s="177"/>
      <c r="H46" s="114"/>
      <c r="I46" s="114"/>
      <c r="J46" s="114"/>
      <c r="K46" s="114"/>
      <c r="L46" s="114"/>
      <c r="M46" s="114"/>
      <c r="N46" s="114"/>
      <c r="O46" s="114"/>
      <c r="P46" s="229"/>
      <c r="Q46" s="237"/>
    </row>
    <row r="47" spans="1:18">
      <c r="B47" s="153" t="s">
        <v>93</v>
      </c>
      <c r="C47" s="160">
        <v>841381.71</v>
      </c>
      <c r="D47" s="160">
        <v>468513.77</v>
      </c>
      <c r="E47" s="160">
        <f>75486+747620.66</f>
        <v>823106.66</v>
      </c>
      <c r="F47" s="160">
        <v>810429.52</v>
      </c>
      <c r="G47" s="160">
        <v>598595.78</v>
      </c>
      <c r="H47" s="160">
        <v>2573735.7600000002</v>
      </c>
      <c r="I47" s="160">
        <v>3581210.52</v>
      </c>
      <c r="J47" s="160">
        <v>2875679.0399999996</v>
      </c>
      <c r="K47" s="160">
        <v>1813365.9999999998</v>
      </c>
      <c r="L47" s="160">
        <v>1483584.2300000002</v>
      </c>
      <c r="M47" s="160">
        <v>2045724.2899999998</v>
      </c>
      <c r="N47" s="160">
        <v>5302382.3899999997</v>
      </c>
      <c r="O47" s="160">
        <v>1423160.1199999999</v>
      </c>
      <c r="P47" s="231">
        <v>1994264.5272261191</v>
      </c>
      <c r="Q47" s="235">
        <v>2129067.3906973787</v>
      </c>
      <c r="R47" s="225"/>
    </row>
    <row r="48" spans="1:18">
      <c r="B48" s="153" t="s">
        <v>95</v>
      </c>
      <c r="C48" s="158"/>
      <c r="D48" s="158">
        <v>187671.73</v>
      </c>
      <c r="E48" s="158">
        <v>273458.90999999997</v>
      </c>
      <c r="F48" s="158">
        <v>653931.81999999995</v>
      </c>
      <c r="G48" s="175">
        <v>1129456.8400000001</v>
      </c>
      <c r="H48" s="158">
        <v>673644.77000000014</v>
      </c>
      <c r="I48" s="158">
        <v>2615194.7400000002</v>
      </c>
      <c r="J48" s="158">
        <v>2745102.57</v>
      </c>
      <c r="K48" s="158">
        <v>1380161.06</v>
      </c>
      <c r="L48" s="158">
        <v>1770409.07</v>
      </c>
      <c r="M48" s="158">
        <v>3592429.0300000003</v>
      </c>
      <c r="N48" s="158">
        <v>3915428.06</v>
      </c>
      <c r="O48" s="158">
        <v>995068.65999999992</v>
      </c>
      <c r="P48" s="231">
        <v>3388193.7619418167</v>
      </c>
      <c r="Q48" s="235">
        <v>3617219.6583912247</v>
      </c>
      <c r="R48" s="225"/>
    </row>
    <row r="49" spans="2:18">
      <c r="B49" s="153" t="s">
        <v>97</v>
      </c>
      <c r="C49" s="221">
        <f>-(3373.1-402.91)+32227.08</f>
        <v>29256.890000000003</v>
      </c>
      <c r="D49" s="158">
        <f>-14101.11+389406.19</f>
        <v>375305.08</v>
      </c>
      <c r="E49" s="158">
        <f>-305946.48+2081484.19</f>
        <v>1775537.71</v>
      </c>
      <c r="F49" s="158">
        <f>-421996.21+4480752.69</f>
        <v>4058756.4800000004</v>
      </c>
      <c r="G49" s="175">
        <f>-3875143.23+10394032.02</f>
        <v>6518888.7899999991</v>
      </c>
      <c r="H49" s="158">
        <v>16028686.809999997</v>
      </c>
      <c r="I49" s="158">
        <v>34527216.049999997</v>
      </c>
      <c r="J49" s="158">
        <v>45884636.589599982</v>
      </c>
      <c r="K49" s="158">
        <v>20165949.406480003</v>
      </c>
      <c r="L49" s="158">
        <v>16011214.897999996</v>
      </c>
      <c r="M49" s="158">
        <v>38411413.827599987</v>
      </c>
      <c r="N49" s="158">
        <v>54192118.765149981</v>
      </c>
      <c r="O49" s="158">
        <v>41560439.368689969</v>
      </c>
      <c r="P49" s="231">
        <v>44456294.44867181</v>
      </c>
      <c r="Q49" s="235">
        <v>45461330.99395027</v>
      </c>
      <c r="R49" s="225"/>
    </row>
    <row r="50" spans="2:18">
      <c r="B50" s="153" t="s">
        <v>99</v>
      </c>
      <c r="C50" s="158">
        <v>331782.55</v>
      </c>
      <c r="D50" s="158">
        <v>14434037.630000001</v>
      </c>
      <c r="E50" s="158">
        <v>32601896.32</v>
      </c>
      <c r="F50" s="158">
        <v>12451829.93</v>
      </c>
      <c r="G50" s="175">
        <f>18134222.71+317140.81</f>
        <v>18451363.52</v>
      </c>
      <c r="H50" s="158">
        <v>142089.47399999999</v>
      </c>
      <c r="I50" s="158"/>
      <c r="J50" s="158">
        <v>403789.10370000004</v>
      </c>
      <c r="K50" s="158">
        <v>10573359.609199999</v>
      </c>
      <c r="L50" s="158">
        <v>12441713.620750004</v>
      </c>
      <c r="M50" s="158">
        <v>16446876.854599983</v>
      </c>
      <c r="N50" s="158">
        <v>901799.54309000005</v>
      </c>
      <c r="O50" s="158">
        <v>1943618.3522700001</v>
      </c>
      <c r="P50" s="231">
        <v>0</v>
      </c>
      <c r="Q50" s="235">
        <v>0</v>
      </c>
      <c r="R50" s="225"/>
    </row>
    <row r="51" spans="2:18">
      <c r="B51" s="153" t="s">
        <v>101</v>
      </c>
      <c r="C51" s="158">
        <f>28448.95+816.55</f>
        <v>29265.5</v>
      </c>
      <c r="D51" s="158"/>
      <c r="E51" s="158">
        <v>1072393.05</v>
      </c>
      <c r="F51" s="158">
        <v>1195610</v>
      </c>
      <c r="G51" s="175">
        <f>400982.53</f>
        <v>400982.53</v>
      </c>
      <c r="H51" s="158"/>
      <c r="I51" s="158">
        <v>8855606.4000000004</v>
      </c>
      <c r="J51" s="158">
        <f>20037104.3609-J52</f>
        <v>1468699.3008999974</v>
      </c>
      <c r="K51" s="158">
        <v>2284132.9971999996</v>
      </c>
      <c r="L51" s="158">
        <v>1652886.2041500001</v>
      </c>
      <c r="M51" s="158">
        <v>9254312.4400000013</v>
      </c>
      <c r="N51" s="158">
        <v>2264776.47792</v>
      </c>
      <c r="O51" s="158">
        <v>2641802.2436600002</v>
      </c>
      <c r="P51" s="231">
        <v>7880246.9304482192</v>
      </c>
      <c r="Q51" s="235">
        <v>460091.48402054608</v>
      </c>
      <c r="R51" s="225"/>
    </row>
    <row r="52" spans="2:18">
      <c r="B52" s="153" t="s">
        <v>103</v>
      </c>
      <c r="C52" s="162"/>
      <c r="D52" s="162"/>
      <c r="E52" s="162"/>
      <c r="F52" s="162"/>
      <c r="G52" s="180"/>
      <c r="H52" s="162"/>
      <c r="I52" s="162"/>
      <c r="J52" s="162">
        <v>18568405.060000002</v>
      </c>
      <c r="K52" s="162"/>
      <c r="L52" s="162">
        <v>8180994.83665</v>
      </c>
      <c r="M52" s="162">
        <v>14952779.803119998</v>
      </c>
      <c r="N52" s="162">
        <v>15369030.70228</v>
      </c>
      <c r="O52" s="162">
        <v>958243.39999999991</v>
      </c>
      <c r="P52" s="231">
        <v>3636069.6056073136</v>
      </c>
      <c r="Q52" s="235">
        <v>3881850.7384134252</v>
      </c>
      <c r="R52" s="225"/>
    </row>
    <row r="53" spans="2:18">
      <c r="B53" s="153" t="s">
        <v>105</v>
      </c>
      <c r="C53" s="163"/>
      <c r="D53" s="163"/>
      <c r="E53" s="163"/>
      <c r="F53" s="163"/>
      <c r="G53" s="181"/>
      <c r="H53" s="163"/>
      <c r="I53" s="163"/>
      <c r="J53" s="163"/>
      <c r="K53" s="163"/>
      <c r="L53" s="163"/>
      <c r="M53" s="163"/>
      <c r="N53" s="163">
        <v>516974.94</v>
      </c>
      <c r="O53" s="163">
        <v>730350.63</v>
      </c>
      <c r="P53" s="231">
        <v>716813.59271397977</v>
      </c>
      <c r="Q53" s="235">
        <v>765266.80619382311</v>
      </c>
      <c r="R53" s="225"/>
    </row>
    <row r="54" spans="2:18">
      <c r="B54" s="153" t="s">
        <v>107</v>
      </c>
      <c r="C54" s="163"/>
      <c r="D54" s="163"/>
      <c r="E54" s="163"/>
      <c r="F54" s="163"/>
      <c r="G54" s="181"/>
      <c r="H54" s="163"/>
      <c r="I54" s="163"/>
      <c r="J54" s="163"/>
      <c r="K54" s="163"/>
      <c r="L54" s="163"/>
      <c r="M54" s="163"/>
      <c r="N54" s="163">
        <v>634.53</v>
      </c>
      <c r="O54" s="163">
        <v>2947.86</v>
      </c>
      <c r="P54" s="231">
        <v>4021.2920456513357</v>
      </c>
      <c r="Q54" s="235">
        <v>4293.1123960649275</v>
      </c>
      <c r="R54" s="225"/>
    </row>
    <row r="55" spans="2:18">
      <c r="B55" s="153" t="s">
        <v>109</v>
      </c>
      <c r="C55" s="162"/>
      <c r="D55" s="162"/>
      <c r="E55" s="162"/>
      <c r="F55" s="162"/>
      <c r="G55" s="180"/>
      <c r="H55" s="162"/>
      <c r="I55" s="162"/>
      <c r="J55" s="162"/>
      <c r="K55" s="162"/>
      <c r="L55" s="162"/>
      <c r="M55" s="162"/>
      <c r="N55" s="162"/>
      <c r="O55" s="162">
        <v>366676.03</v>
      </c>
      <c r="P55" s="231">
        <v>229991.36007972155</v>
      </c>
      <c r="Q55" s="235">
        <v>245537.68981137441</v>
      </c>
      <c r="R55" s="225"/>
    </row>
    <row r="56" spans="2:18">
      <c r="B56" s="154" t="s">
        <v>110</v>
      </c>
      <c r="C56" s="164">
        <f t="shared" ref="C56" si="9">SUM(C47:C55)</f>
        <v>1231686.6499999999</v>
      </c>
      <c r="D56" s="164">
        <f t="shared" ref="D56:Q56" si="10">SUM(D47:D55)</f>
        <v>15465528.210000001</v>
      </c>
      <c r="E56" s="164">
        <f t="shared" si="10"/>
        <v>36546392.649999999</v>
      </c>
      <c r="F56" s="164">
        <f t="shared" si="10"/>
        <v>19170557.75</v>
      </c>
      <c r="G56" s="176">
        <f t="shared" si="10"/>
        <v>27099287.460000001</v>
      </c>
      <c r="H56" s="164">
        <f t="shared" si="10"/>
        <v>19418156.813999996</v>
      </c>
      <c r="I56" s="164">
        <f t="shared" si="10"/>
        <v>49579227.709999993</v>
      </c>
      <c r="J56" s="164">
        <f t="shared" si="10"/>
        <v>71946311.664199978</v>
      </c>
      <c r="K56" s="164">
        <f t="shared" si="10"/>
        <v>36216969.07288</v>
      </c>
      <c r="L56" s="164">
        <f t="shared" si="10"/>
        <v>41540802.859549999</v>
      </c>
      <c r="M56" s="164">
        <f t="shared" si="10"/>
        <v>84703536.245319977</v>
      </c>
      <c r="N56" s="164">
        <f t="shared" si="10"/>
        <v>82463145.408439994</v>
      </c>
      <c r="O56" s="164">
        <f t="shared" si="10"/>
        <v>50622306.664619975</v>
      </c>
      <c r="P56" s="232">
        <f t="shared" si="10"/>
        <v>62305895.518734634</v>
      </c>
      <c r="Q56" s="236">
        <f t="shared" si="10"/>
        <v>56564657.873874098</v>
      </c>
    </row>
    <row r="57" spans="2:18">
      <c r="B57" s="153"/>
      <c r="C57" s="114"/>
      <c r="D57" s="114"/>
      <c r="E57" s="114"/>
      <c r="F57" s="114"/>
      <c r="G57" s="177"/>
      <c r="H57" s="114"/>
      <c r="I57" s="114"/>
      <c r="J57" s="114"/>
      <c r="K57" s="114"/>
      <c r="L57" s="114"/>
      <c r="M57" s="114"/>
      <c r="N57" s="114"/>
      <c r="O57" s="114"/>
      <c r="P57" s="229"/>
      <c r="Q57" s="237"/>
    </row>
    <row r="58" spans="2:18">
      <c r="B58" s="153"/>
      <c r="C58" s="153"/>
      <c r="D58" s="153"/>
      <c r="E58" s="153"/>
      <c r="F58" s="153"/>
      <c r="H58" s="153"/>
      <c r="I58" s="153"/>
      <c r="J58" s="153"/>
      <c r="K58" s="153"/>
      <c r="L58" s="153"/>
      <c r="M58" s="153"/>
      <c r="N58" s="153"/>
      <c r="O58" s="153"/>
      <c r="P58" s="234"/>
      <c r="Q58" s="240"/>
    </row>
    <row r="59" spans="2:18">
      <c r="B59" s="153"/>
      <c r="C59" s="158"/>
      <c r="D59" s="158"/>
      <c r="E59" s="158"/>
      <c r="F59" s="158"/>
      <c r="G59" s="175"/>
      <c r="H59" s="158"/>
      <c r="I59" s="158"/>
      <c r="J59" s="158"/>
      <c r="K59" s="158"/>
      <c r="L59" s="158"/>
      <c r="M59" s="158"/>
      <c r="N59" s="158"/>
      <c r="O59" s="158"/>
      <c r="P59" s="231"/>
      <c r="Q59" s="235"/>
    </row>
    <row r="60" spans="2:18">
      <c r="B60" s="159" t="s">
        <v>115</v>
      </c>
      <c r="C60" s="158"/>
      <c r="D60" s="158"/>
      <c r="E60" s="158"/>
      <c r="F60" s="158"/>
      <c r="G60" s="175"/>
      <c r="H60" s="158"/>
      <c r="I60" s="158"/>
      <c r="J60" s="158"/>
      <c r="K60" s="158"/>
      <c r="L60" s="158"/>
      <c r="M60" s="158"/>
      <c r="N60" s="158"/>
      <c r="O60" s="158"/>
      <c r="P60" s="231"/>
      <c r="Q60" s="235"/>
    </row>
    <row r="61" spans="2:18">
      <c r="B61" s="153" t="s">
        <v>117</v>
      </c>
      <c r="C61" s="163"/>
      <c r="D61" s="163"/>
      <c r="E61" s="163"/>
      <c r="F61" s="163"/>
      <c r="G61" s="181"/>
      <c r="H61" s="163"/>
      <c r="I61" s="163"/>
      <c r="J61" s="163"/>
      <c r="K61" s="163"/>
      <c r="L61" s="163"/>
      <c r="M61" s="163"/>
      <c r="N61" s="170">
        <f>-'[1]Anexo.12.2'!T22</f>
        <v>2473704.23</v>
      </c>
      <c r="O61" s="163">
        <v>994730.38194210758</v>
      </c>
      <c r="P61" s="231">
        <v>900866.7516522794</v>
      </c>
      <c r="Q61" s="235">
        <v>961761.08942485822</v>
      </c>
      <c r="R61" s="225"/>
    </row>
    <row r="62" spans="2:18">
      <c r="B62" s="153" t="s">
        <v>118</v>
      </c>
      <c r="C62" s="162"/>
      <c r="D62" s="162"/>
      <c r="E62" s="162"/>
      <c r="F62" s="162"/>
      <c r="G62" s="180"/>
      <c r="H62" s="162"/>
      <c r="I62" s="162"/>
      <c r="J62" s="162"/>
      <c r="K62" s="162"/>
      <c r="L62" s="162"/>
      <c r="M62" s="162"/>
      <c r="N62" s="162"/>
      <c r="O62" s="162">
        <v>2122570</v>
      </c>
      <c r="P62" s="231">
        <v>8606074.7419503015</v>
      </c>
      <c r="Q62" s="235">
        <v>9187804.7494915947</v>
      </c>
      <c r="R62" s="225"/>
    </row>
    <row r="63" spans="2:18">
      <c r="B63" s="153" t="s">
        <v>120</v>
      </c>
      <c r="C63" s="162">
        <v>5514768.3099999996</v>
      </c>
      <c r="D63" s="162"/>
      <c r="E63" s="162"/>
      <c r="F63" s="162"/>
      <c r="G63" s="180"/>
      <c r="H63" s="162"/>
      <c r="I63" s="162"/>
      <c r="J63" s="162"/>
      <c r="K63" s="162"/>
      <c r="L63" s="162"/>
      <c r="M63" s="162"/>
      <c r="N63" s="162"/>
      <c r="O63" s="162">
        <v>4495200.9399999995</v>
      </c>
      <c r="P63" s="231">
        <v>2873113.3147372943</v>
      </c>
      <c r="Q63" s="235">
        <v>3067322.2055922612</v>
      </c>
      <c r="R63" s="225"/>
    </row>
    <row r="64" spans="2:18">
      <c r="B64" s="154" t="s">
        <v>122</v>
      </c>
      <c r="C64" s="164">
        <f t="shared" ref="C64" si="11">SUM(C61:C63)</f>
        <v>5514768.3099999996</v>
      </c>
      <c r="D64" s="164">
        <f t="shared" ref="D64:Q64" si="12">SUM(D61:D63)</f>
        <v>0</v>
      </c>
      <c r="E64" s="164">
        <f t="shared" si="12"/>
        <v>0</v>
      </c>
      <c r="F64" s="164">
        <f t="shared" si="12"/>
        <v>0</v>
      </c>
      <c r="G64" s="176">
        <f t="shared" si="12"/>
        <v>0</v>
      </c>
      <c r="H64" s="164">
        <f t="shared" si="12"/>
        <v>0</v>
      </c>
      <c r="I64" s="164">
        <f t="shared" si="12"/>
        <v>0</v>
      </c>
      <c r="J64" s="164">
        <f t="shared" si="12"/>
        <v>0</v>
      </c>
      <c r="K64" s="164">
        <f t="shared" si="12"/>
        <v>0</v>
      </c>
      <c r="L64" s="164">
        <f t="shared" si="12"/>
        <v>0</v>
      </c>
      <c r="M64" s="164">
        <f t="shared" si="12"/>
        <v>0</v>
      </c>
      <c r="N64" s="164">
        <f t="shared" si="12"/>
        <v>2473704.23</v>
      </c>
      <c r="O64" s="164">
        <f t="shared" si="12"/>
        <v>7612501.3219421068</v>
      </c>
      <c r="P64" s="232">
        <f t="shared" si="12"/>
        <v>12380054.808339875</v>
      </c>
      <c r="Q64" s="236">
        <f t="shared" si="12"/>
        <v>13216888.044508714</v>
      </c>
    </row>
    <row r="65" spans="2:18">
      <c r="B65" s="153"/>
      <c r="C65" s="158"/>
      <c r="D65" s="158"/>
      <c r="E65" s="158"/>
      <c r="F65" s="158"/>
      <c r="G65" s="175"/>
      <c r="H65" s="158"/>
      <c r="I65" s="158"/>
      <c r="J65" s="158"/>
      <c r="K65" s="158"/>
      <c r="L65" s="158"/>
      <c r="M65" s="158"/>
      <c r="N65" s="158"/>
      <c r="O65" s="158"/>
      <c r="P65" s="231"/>
      <c r="Q65" s="235"/>
    </row>
    <row r="66" spans="2:18">
      <c r="B66" s="159" t="s">
        <v>125</v>
      </c>
      <c r="C66" s="158"/>
      <c r="D66" s="158"/>
      <c r="E66" s="158"/>
      <c r="F66" s="158"/>
      <c r="G66" s="175"/>
      <c r="H66" s="158"/>
      <c r="I66" s="158"/>
      <c r="J66" s="158"/>
      <c r="K66" s="158"/>
      <c r="L66" s="158"/>
      <c r="M66" s="158"/>
      <c r="N66" s="158"/>
      <c r="O66" s="158"/>
      <c r="P66" s="231"/>
      <c r="Q66" s="235"/>
    </row>
    <row r="67" spans="2:18">
      <c r="B67" s="153" t="s">
        <v>127</v>
      </c>
      <c r="C67" s="158">
        <v>641000</v>
      </c>
      <c r="D67" s="158">
        <v>641000</v>
      </c>
      <c r="E67" s="158">
        <v>641000</v>
      </c>
      <c r="F67" s="158">
        <v>641000</v>
      </c>
      <c r="G67" s="175">
        <v>641000</v>
      </c>
      <c r="H67" s="158">
        <v>3028000</v>
      </c>
      <c r="I67" s="158">
        <v>3028000</v>
      </c>
      <c r="J67" s="158">
        <v>3028000</v>
      </c>
      <c r="K67" s="158">
        <v>3028000</v>
      </c>
      <c r="L67" s="158">
        <v>3028000</v>
      </c>
      <c r="M67" s="158">
        <v>3028000</v>
      </c>
      <c r="N67" s="158">
        <v>3028000</v>
      </c>
      <c r="O67" s="158">
        <v>3028000</v>
      </c>
      <c r="P67" s="231">
        <v>3028000</v>
      </c>
      <c r="Q67" s="235">
        <v>3028000</v>
      </c>
      <c r="R67" s="225"/>
    </row>
    <row r="68" spans="2:18">
      <c r="B68" s="153" t="s">
        <v>128</v>
      </c>
      <c r="C68" s="158"/>
      <c r="D68" s="158">
        <v>26418.23</v>
      </c>
      <c r="E68" s="158">
        <v>26418.23</v>
      </c>
      <c r="F68" s="158">
        <v>0</v>
      </c>
      <c r="G68" s="175">
        <v>290284</v>
      </c>
      <c r="H68" s="158">
        <v>128200</v>
      </c>
      <c r="I68" s="158">
        <v>307435</v>
      </c>
      <c r="J68" s="158">
        <v>605600</v>
      </c>
      <c r="K68" s="158">
        <v>605600</v>
      </c>
      <c r="L68" s="158">
        <v>605600</v>
      </c>
      <c r="M68" s="158">
        <v>605600</v>
      </c>
      <c r="N68" s="158">
        <v>605600</v>
      </c>
      <c r="O68" s="158">
        <v>605600</v>
      </c>
      <c r="P68" s="231">
        <v>605600</v>
      </c>
      <c r="Q68" s="235">
        <v>605600</v>
      </c>
      <c r="R68" s="225"/>
    </row>
    <row r="69" spans="2:18">
      <c r="B69" s="153" t="s">
        <v>130</v>
      </c>
      <c r="C69" s="158"/>
      <c r="D69" s="158"/>
      <c r="E69" s="158"/>
      <c r="F69" s="158"/>
      <c r="G69" s="175"/>
      <c r="H69" s="153"/>
      <c r="K69" s="158">
        <v>4584577</v>
      </c>
      <c r="L69" s="158">
        <v>5094651.5</v>
      </c>
      <c r="M69" s="158">
        <v>6372897.2599999998</v>
      </c>
      <c r="N69" s="158">
        <v>7842597.25</v>
      </c>
      <c r="O69" s="158">
        <v>7842597.25</v>
      </c>
      <c r="P69" s="231">
        <v>7842597.25</v>
      </c>
      <c r="Q69" s="235">
        <f>+P69</f>
        <v>7842597.25</v>
      </c>
      <c r="R69" s="225"/>
    </row>
    <row r="70" spans="2:18">
      <c r="B70" s="153" t="s">
        <v>132</v>
      </c>
      <c r="C70" s="158"/>
      <c r="D70" s="158"/>
      <c r="E70" s="158">
        <v>-76410.66</v>
      </c>
      <c r="F70" s="158">
        <v>-387540</v>
      </c>
      <c r="G70" s="175">
        <v>2225013.96</v>
      </c>
      <c r="H70" s="158">
        <v>122875.47</v>
      </c>
      <c r="I70" s="158">
        <v>122875.46999999788</v>
      </c>
      <c r="J70" s="158">
        <v>122875.46999999788</v>
      </c>
      <c r="K70" s="158">
        <v>122875.46999999695</v>
      </c>
      <c r="L70" s="158">
        <v>122875.46999999695</v>
      </c>
      <c r="M70" s="158">
        <v>122875.46999999252</v>
      </c>
      <c r="N70" s="158">
        <v>122875.46999999252</v>
      </c>
      <c r="O70" s="158">
        <v>5686895.649999992</v>
      </c>
      <c r="P70" s="231">
        <f>+O70+O71</f>
        <v>3875599.6499999873</v>
      </c>
      <c r="Q70" s="235">
        <f>+P70+P71</f>
        <v>4954586.6588083059</v>
      </c>
      <c r="R70" s="225"/>
    </row>
    <row r="71" spans="2:18">
      <c r="B71" s="153" t="s">
        <v>133</v>
      </c>
      <c r="C71" s="158">
        <f>+IS_soles!H80</f>
        <v>264182.58569355798</v>
      </c>
      <c r="D71" s="158">
        <f>+IS_soles!I80</f>
        <v>-190795.25007012469</v>
      </c>
      <c r="E71" s="158">
        <v>-337547.77</v>
      </c>
      <c r="F71" s="158">
        <v>2902838.16</v>
      </c>
      <c r="G71" s="175">
        <v>122777.51</v>
      </c>
      <c r="H71" s="158">
        <v>1792347.2699999968</v>
      </c>
      <c r="I71" s="158">
        <v>4523932.54</v>
      </c>
      <c r="J71" s="158">
        <v>8952127.9199999571</v>
      </c>
      <c r="K71" s="158">
        <v>1020148.9999999963</v>
      </c>
      <c r="L71" s="158">
        <v>1278245.7599999956</v>
      </c>
      <c r="M71" s="158">
        <v>3238289.330000028</v>
      </c>
      <c r="N71" s="158">
        <v>5564020.1799999531</v>
      </c>
      <c r="O71" s="158">
        <v>-1811296.0000000047</v>
      </c>
      <c r="P71" s="231">
        <f>+IS_soles!AI80</f>
        <v>1078987.0088083185</v>
      </c>
      <c r="Q71" s="235">
        <f>+IS_soles!AJ80</f>
        <v>1110643.3924619078</v>
      </c>
      <c r="R71" s="225"/>
    </row>
    <row r="72" spans="2:18">
      <c r="B72" s="154" t="s">
        <v>135</v>
      </c>
      <c r="C72" s="164">
        <f t="shared" ref="C72" si="13">SUM(C67:C71)</f>
        <v>905182.58569355798</v>
      </c>
      <c r="D72" s="164">
        <f t="shared" ref="D72:Q72" si="14">SUM(D67:D71)</f>
        <v>476622.97992987529</v>
      </c>
      <c r="E72" s="164">
        <f t="shared" si="14"/>
        <v>253459.79999999993</v>
      </c>
      <c r="F72" s="164">
        <f t="shared" si="14"/>
        <v>3156298.16</v>
      </c>
      <c r="G72" s="176">
        <f t="shared" si="14"/>
        <v>3279075.4699999997</v>
      </c>
      <c r="H72" s="164">
        <f t="shared" si="14"/>
        <v>5071422.7399999965</v>
      </c>
      <c r="I72" s="164">
        <f t="shared" si="14"/>
        <v>7982243.0099999979</v>
      </c>
      <c r="J72" s="164">
        <f t="shared" si="14"/>
        <v>12708603.389999956</v>
      </c>
      <c r="K72" s="164">
        <f t="shared" si="14"/>
        <v>9361201.4699999932</v>
      </c>
      <c r="L72" s="164">
        <f t="shared" si="14"/>
        <v>10129372.729999993</v>
      </c>
      <c r="M72" s="164">
        <f t="shared" si="14"/>
        <v>13367662.060000021</v>
      </c>
      <c r="N72" s="164">
        <f t="shared" si="14"/>
        <v>17163092.899999946</v>
      </c>
      <c r="O72" s="164">
        <f t="shared" si="14"/>
        <v>15351796.899999987</v>
      </c>
      <c r="P72" s="232">
        <f t="shared" si="14"/>
        <v>16430783.908808306</v>
      </c>
      <c r="Q72" s="236">
        <f t="shared" si="14"/>
        <v>17541427.301270213</v>
      </c>
    </row>
    <row r="73" spans="2:18">
      <c r="B73" s="154"/>
      <c r="C73" s="153"/>
      <c r="D73" s="153"/>
      <c r="E73" s="153"/>
      <c r="F73" s="153"/>
      <c r="H73" s="153"/>
      <c r="I73" s="153"/>
      <c r="J73" s="153"/>
      <c r="K73" s="153"/>
      <c r="L73" s="153"/>
      <c r="M73" s="153"/>
      <c r="N73" s="153"/>
      <c r="O73" s="153"/>
      <c r="P73" s="234"/>
      <c r="Q73" s="240"/>
    </row>
    <row r="74" spans="2:18" ht="15" thickBot="1">
      <c r="B74" s="154" t="s">
        <v>141</v>
      </c>
      <c r="C74" s="166">
        <f t="shared" ref="C74" si="15">+C56+C64+C72</f>
        <v>7651637.5456935568</v>
      </c>
      <c r="D74" s="166">
        <f t="shared" ref="D74:P74" si="16">+D56+D64+D72</f>
        <v>15942151.189929876</v>
      </c>
      <c r="E74" s="166">
        <f t="shared" si="16"/>
        <v>36799852.449999996</v>
      </c>
      <c r="F74" s="166">
        <f t="shared" si="16"/>
        <v>22326855.91</v>
      </c>
      <c r="G74" s="179">
        <f t="shared" si="16"/>
        <v>30378362.93</v>
      </c>
      <c r="H74" s="166">
        <f t="shared" si="16"/>
        <v>24489579.55399999</v>
      </c>
      <c r="I74" s="166">
        <f t="shared" si="16"/>
        <v>57561470.719999991</v>
      </c>
      <c r="J74" s="166">
        <f t="shared" si="16"/>
        <v>84654915.054199934</v>
      </c>
      <c r="K74" s="166">
        <f t="shared" si="16"/>
        <v>45578170.542879991</v>
      </c>
      <c r="L74" s="166">
        <f t="shared" si="16"/>
        <v>51670175.589549989</v>
      </c>
      <c r="M74" s="166">
        <f t="shared" si="16"/>
        <v>98071198.305319995</v>
      </c>
      <c r="N74" s="166">
        <f t="shared" si="16"/>
        <v>102099942.53843994</v>
      </c>
      <c r="O74" s="166">
        <f t="shared" si="16"/>
        <v>73586604.886562064</v>
      </c>
      <c r="P74" s="233">
        <f t="shared" si="16"/>
        <v>91116734.235882819</v>
      </c>
      <c r="Q74" s="238">
        <f t="shared" ref="Q74" si="17">+Q56+Q64+Q72</f>
        <v>87322973.219653025</v>
      </c>
    </row>
    <row r="75" spans="2:18" ht="15" thickTop="1">
      <c r="B75" s="153"/>
      <c r="C75" s="153"/>
      <c r="D75" s="153"/>
      <c r="E75" s="153"/>
      <c r="F75" s="153"/>
      <c r="H75" s="153"/>
      <c r="I75" s="153"/>
      <c r="J75" s="153"/>
      <c r="K75" s="153"/>
      <c r="L75" s="153"/>
      <c r="M75" s="153"/>
      <c r="N75" s="153"/>
      <c r="O75" s="153"/>
    </row>
    <row r="76" spans="2:18">
      <c r="B76" s="153"/>
      <c r="C76" s="114">
        <f t="shared" ref="C76" si="18">+C42-C74</f>
        <v>-9.5693557523190975E-2</v>
      </c>
      <c r="D76" s="158">
        <f t="shared" ref="D76:P76" si="19">+D42-D74</f>
        <v>0.12007012404501438</v>
      </c>
      <c r="E76" s="158">
        <f t="shared" si="19"/>
        <v>0</v>
      </c>
      <c r="F76" s="158">
        <f t="shared" si="19"/>
        <v>0</v>
      </c>
      <c r="G76" s="175">
        <f t="shared" si="19"/>
        <v>0</v>
      </c>
      <c r="H76" s="158">
        <f t="shared" si="19"/>
        <v>6.3400119543075562E-3</v>
      </c>
      <c r="I76" s="158">
        <f t="shared" si="19"/>
        <v>0</v>
      </c>
      <c r="J76" s="158">
        <f t="shared" si="19"/>
        <v>-8.2355290651321411E-3</v>
      </c>
      <c r="K76" s="158">
        <f t="shared" si="19"/>
        <v>-1.0165572166442871E-4</v>
      </c>
      <c r="L76" s="158">
        <f t="shared" si="19"/>
        <v>3.7568956613540649E-3</v>
      </c>
      <c r="M76" s="158">
        <f t="shared" si="19"/>
        <v>-2.9527097940444946E-3</v>
      </c>
      <c r="N76" s="158">
        <f t="shared" si="19"/>
        <v>3.0945688486099243E-3</v>
      </c>
      <c r="O76" s="158">
        <f t="shared" si="19"/>
        <v>-3.7239342927932739E-3</v>
      </c>
      <c r="P76" s="187">
        <f t="shared" si="19"/>
        <v>0</v>
      </c>
      <c r="Q76" s="187">
        <f t="shared" ref="Q76" si="20">+Q42-Q74</f>
        <v>0</v>
      </c>
    </row>
    <row r="77" spans="2:18">
      <c r="B77" s="153"/>
      <c r="O77" s="165"/>
    </row>
    <row r="78" spans="2:18">
      <c r="B78" s="153"/>
      <c r="O78" s="1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7C84C-4C1C-4AED-AC92-6F3B9B99A861}">
  <dimension ref="D1:AK109"/>
  <sheetViews>
    <sheetView zoomScale="60" zoomScaleNormal="60" workbookViewId="0">
      <pane xSplit="7" ySplit="6" topLeftCell="K7" activePane="bottomRight" state="frozen"/>
      <selection pane="topRight" activeCell="H1" sqref="H1"/>
      <selection pane="bottomLeft" activeCell="A7" sqref="A7"/>
      <selection pane="bottomRight" activeCell="T24" sqref="T24"/>
    </sheetView>
  </sheetViews>
  <sheetFormatPr baseColWidth="10" defaultColWidth="8.81640625" defaultRowHeight="14.5" outlineLevelRow="1" outlineLevelCol="1"/>
  <cols>
    <col min="1" max="3" width="2.81640625" customWidth="1"/>
    <col min="4" max="4" width="54.7265625" style="18" customWidth="1"/>
    <col min="5" max="5" width="6.26953125" style="18" hidden="1" customWidth="1"/>
    <col min="6" max="6" width="17.81640625" style="18" hidden="1" customWidth="1"/>
    <col min="7" max="7" width="6.26953125" style="18" hidden="1" customWidth="1"/>
    <col min="8" max="20" width="14.7265625" style="18" bestFit="1" customWidth="1"/>
    <col min="21" max="21" width="6.453125" hidden="1" customWidth="1"/>
    <col min="22" max="22" width="16.81640625" hidden="1" customWidth="1"/>
    <col min="23" max="33" width="12.90625" style="18" hidden="1" customWidth="1" outlineLevel="1"/>
    <col min="34" max="34" width="12.90625" style="151" hidden="1" customWidth="1" outlineLevel="1"/>
    <col min="35" max="36" width="13.81640625" style="188" bestFit="1" customWidth="1" collapsed="1"/>
    <col min="37" max="37" width="17.54296875" bestFit="1" customWidth="1"/>
  </cols>
  <sheetData>
    <row r="1" spans="4:37" ht="15" customHeight="1">
      <c r="D1" s="12" t="s">
        <v>86</v>
      </c>
      <c r="E1" s="13"/>
      <c r="F1" s="13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V1" s="13" t="s">
        <v>14</v>
      </c>
      <c r="W1" s="13" t="s">
        <v>15</v>
      </c>
      <c r="X1" s="13" t="s">
        <v>15</v>
      </c>
      <c r="Y1" s="13" t="s">
        <v>15</v>
      </c>
      <c r="Z1" s="13" t="s">
        <v>15</v>
      </c>
      <c r="AA1" s="13" t="s">
        <v>15</v>
      </c>
      <c r="AB1" s="13" t="s">
        <v>15</v>
      </c>
      <c r="AC1" s="13" t="s">
        <v>15</v>
      </c>
      <c r="AD1" s="13" t="s">
        <v>15</v>
      </c>
      <c r="AE1" s="13" t="s">
        <v>15</v>
      </c>
      <c r="AF1" s="13" t="s">
        <v>15</v>
      </c>
      <c r="AG1" s="13" t="s">
        <v>15</v>
      </c>
      <c r="AH1" s="118" t="s">
        <v>85</v>
      </c>
      <c r="AI1" s="226" t="s">
        <v>16</v>
      </c>
      <c r="AJ1" s="189"/>
      <c r="AK1" s="13"/>
    </row>
    <row r="2" spans="4:37" ht="15" customHeight="1">
      <c r="D2" s="14" t="s">
        <v>17</v>
      </c>
      <c r="E2" s="15"/>
      <c r="F2" s="16" t="s">
        <v>18</v>
      </c>
      <c r="G2" s="15"/>
      <c r="H2" s="16">
        <v>2008</v>
      </c>
      <c r="I2" s="16">
        <v>2009</v>
      </c>
      <c r="J2" s="16">
        <v>2010</v>
      </c>
      <c r="K2" s="16">
        <v>2011</v>
      </c>
      <c r="L2" s="16">
        <v>2012</v>
      </c>
      <c r="M2" s="16">
        <v>2013</v>
      </c>
      <c r="N2" s="16">
        <v>2014</v>
      </c>
      <c r="O2" s="16">
        <v>2015</v>
      </c>
      <c r="P2" s="16">
        <v>2016</v>
      </c>
      <c r="Q2" s="16">
        <v>2017</v>
      </c>
      <c r="R2" s="16">
        <v>2018</v>
      </c>
      <c r="S2" s="16">
        <v>2019</v>
      </c>
      <c r="T2" s="16">
        <v>2020</v>
      </c>
      <c r="V2" s="16" t="s">
        <v>19</v>
      </c>
      <c r="W2" s="16">
        <v>2021</v>
      </c>
      <c r="X2" s="16">
        <v>2021</v>
      </c>
      <c r="Y2" s="16">
        <v>2021</v>
      </c>
      <c r="Z2" s="16">
        <v>2021</v>
      </c>
      <c r="AA2" s="16">
        <v>2021</v>
      </c>
      <c r="AB2" s="16">
        <v>2021</v>
      </c>
      <c r="AC2" s="16">
        <v>2021</v>
      </c>
      <c r="AD2" s="16">
        <v>2021</v>
      </c>
      <c r="AE2" s="16">
        <v>2021</v>
      </c>
      <c r="AF2" s="16">
        <v>2021</v>
      </c>
      <c r="AG2" s="16">
        <v>2021</v>
      </c>
      <c r="AH2" s="119">
        <v>2021</v>
      </c>
      <c r="AI2" s="190">
        <v>2021</v>
      </c>
      <c r="AJ2" s="190">
        <v>2022</v>
      </c>
      <c r="AK2" s="17"/>
    </row>
    <row r="3" spans="4:37" s="20" customFormat="1" ht="8.25" customHeight="1">
      <c r="D3" s="18"/>
      <c r="E3" s="18"/>
      <c r="F3" s="18"/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20"/>
      <c r="AI3" s="191"/>
      <c r="AJ3" s="191"/>
    </row>
    <row r="4" spans="4:37" s="20" customFormat="1" ht="18.5">
      <c r="D4" s="21"/>
      <c r="E4" s="21"/>
      <c r="F4" s="22" t="s">
        <v>20</v>
      </c>
      <c r="G4" s="21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 t="s">
        <v>20</v>
      </c>
      <c r="V4" s="21"/>
      <c r="W4" s="22" t="s">
        <v>21</v>
      </c>
      <c r="X4" s="22" t="s">
        <v>22</v>
      </c>
      <c r="Y4" s="22" t="s">
        <v>23</v>
      </c>
      <c r="Z4" s="22" t="s">
        <v>24</v>
      </c>
      <c r="AA4" s="22" t="s">
        <v>25</v>
      </c>
      <c r="AB4" s="22" t="s">
        <v>26</v>
      </c>
      <c r="AC4" s="22" t="s">
        <v>27</v>
      </c>
      <c r="AD4" s="22" t="s">
        <v>28</v>
      </c>
      <c r="AE4" s="22" t="s">
        <v>29</v>
      </c>
      <c r="AF4" s="22" t="s">
        <v>30</v>
      </c>
      <c r="AG4" s="22" t="s">
        <v>31</v>
      </c>
      <c r="AH4" s="121" t="s">
        <v>32</v>
      </c>
      <c r="AI4" s="192" t="s">
        <v>33</v>
      </c>
      <c r="AJ4" s="192" t="s">
        <v>33</v>
      </c>
    </row>
    <row r="5" spans="4:37" s="20" customFormat="1" ht="8.25" customHeight="1">
      <c r="D5" s="18"/>
      <c r="E5" s="18"/>
      <c r="F5" s="18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20"/>
      <c r="AI5" s="191"/>
      <c r="AJ5" s="191"/>
    </row>
    <row r="6" spans="4:37" ht="15" customHeight="1">
      <c r="D6" s="23" t="s">
        <v>34</v>
      </c>
      <c r="E6" s="24"/>
      <c r="F6" s="25">
        <f>+F7+F8+F9</f>
        <v>191181979.58000001</v>
      </c>
      <c r="G6" s="24"/>
      <c r="H6" s="25">
        <f t="shared" ref="H6:S6" si="0">+H7+H8+H9</f>
        <v>11035278</v>
      </c>
      <c r="I6" s="25">
        <f t="shared" si="0"/>
        <v>35564877.549999997</v>
      </c>
      <c r="J6" s="25">
        <f t="shared" si="0"/>
        <v>56215651.590000004</v>
      </c>
      <c r="K6" s="25">
        <f t="shared" si="0"/>
        <v>90021578.829999998</v>
      </c>
      <c r="L6" s="25">
        <f t="shared" si="0"/>
        <v>71135965.260000005</v>
      </c>
      <c r="M6" s="25">
        <f t="shared" si="0"/>
        <v>88834435.090000004</v>
      </c>
      <c r="N6" s="25">
        <f t="shared" si="0"/>
        <v>119266983.53</v>
      </c>
      <c r="O6" s="25">
        <f t="shared" si="0"/>
        <v>171454624.53999999</v>
      </c>
      <c r="P6" s="25">
        <f t="shared" si="0"/>
        <v>111768260.19</v>
      </c>
      <c r="Q6" s="25">
        <f t="shared" si="0"/>
        <v>108751604.81</v>
      </c>
      <c r="R6" s="25">
        <f t="shared" si="0"/>
        <v>149111538.74000001</v>
      </c>
      <c r="S6" s="25">
        <f t="shared" si="0"/>
        <v>191181979.58000001</v>
      </c>
      <c r="T6" s="25">
        <f>+T7+T8+T9</f>
        <v>82148077.329999998</v>
      </c>
      <c r="U6" s="26"/>
      <c r="V6" s="25">
        <f>+T6-F6</f>
        <v>-109033902.25000001</v>
      </c>
      <c r="W6" s="25">
        <f>+W7+W8+W9</f>
        <v>5325938.33</v>
      </c>
      <c r="X6" s="25">
        <f t="shared" ref="X6:AI6" si="1">+X7+X8+X9</f>
        <v>6044836.25</v>
      </c>
      <c r="Y6" s="25">
        <f t="shared" si="1"/>
        <v>19634835.539999999</v>
      </c>
      <c r="Z6" s="25">
        <f t="shared" si="1"/>
        <v>4054002.4699999839</v>
      </c>
      <c r="AA6" s="25">
        <f t="shared" si="1"/>
        <v>7752206.4200000167</v>
      </c>
      <c r="AB6" s="25">
        <f t="shared" si="1"/>
        <v>4375623.3100000024</v>
      </c>
      <c r="AC6" s="25">
        <f t="shared" si="1"/>
        <v>10490342.009999998</v>
      </c>
      <c r="AD6" s="25">
        <f t="shared" si="1"/>
        <v>9884757.6099999994</v>
      </c>
      <c r="AE6" s="25">
        <f t="shared" si="1"/>
        <v>6768787.7400000095</v>
      </c>
      <c r="AF6" s="25">
        <f t="shared" si="1"/>
        <v>5898906.6099999994</v>
      </c>
      <c r="AG6" s="25">
        <f t="shared" si="1"/>
        <v>13052162.339999989</v>
      </c>
      <c r="AH6" s="122">
        <f t="shared" si="1"/>
        <v>12776678.652399994</v>
      </c>
      <c r="AI6" s="193">
        <f t="shared" si="1"/>
        <v>106059077.28239998</v>
      </c>
      <c r="AJ6" s="193">
        <f t="shared" ref="AJ6" si="2">+AJ7+AJ8+AJ9</f>
        <v>115526660.59003222</v>
      </c>
      <c r="AK6" s="182"/>
    </row>
    <row r="7" spans="4:37" ht="15" customHeight="1">
      <c r="D7" s="27" t="s">
        <v>35</v>
      </c>
      <c r="E7" s="28"/>
      <c r="F7" s="29">
        <v>191181979.58000001</v>
      </c>
      <c r="G7" s="28"/>
      <c r="H7" s="29">
        <v>11035278</v>
      </c>
      <c r="I7" s="29">
        <v>35564877.549999997</v>
      </c>
      <c r="J7" s="29">
        <v>56215651.590000004</v>
      </c>
      <c r="K7" s="29">
        <v>90021578.829999998</v>
      </c>
      <c r="L7" s="29">
        <v>71135965.260000005</v>
      </c>
      <c r="M7" s="29">
        <v>88834435.090000004</v>
      </c>
      <c r="N7" s="29">
        <v>119266983.53</v>
      </c>
      <c r="O7" s="29">
        <v>170802432.69</v>
      </c>
      <c r="P7" s="29">
        <v>111580410.14</v>
      </c>
      <c r="Q7" s="29">
        <v>108751604.81</v>
      </c>
      <c r="R7" s="29">
        <v>149111538.74000001</v>
      </c>
      <c r="S7" s="29">
        <v>191181979.58000001</v>
      </c>
      <c r="T7" s="29">
        <f>+'[2]16)_Income_stat_destination'!$I$9</f>
        <v>82138446.689999998</v>
      </c>
      <c r="U7" s="26"/>
      <c r="V7" s="29">
        <f>+T7-F7</f>
        <v>-109043532.89000002</v>
      </c>
      <c r="W7" s="29">
        <f>+'[3]16)_Income_stat_destination'!$I$9</f>
        <v>5325938.33</v>
      </c>
      <c r="X7" s="29">
        <f>+'[4]16)_Income_stat_destination'!$I$8-W7</f>
        <v>6044836.25</v>
      </c>
      <c r="Y7" s="29">
        <f>31005610.12-W7-X7</f>
        <v>19634835.539999999</v>
      </c>
      <c r="Z7" s="29">
        <v>4054002.4699999839</v>
      </c>
      <c r="AA7" s="29">
        <v>7752206.4200000167</v>
      </c>
      <c r="AB7" s="29">
        <f>47187442.32-W7-X7-Y7-Z7-AA7</f>
        <v>4375623.3100000024</v>
      </c>
      <c r="AC7" s="29">
        <f>57677784.33-W7-X7-Y7-Z7-AA7-AB7</f>
        <v>10490342.009999998</v>
      </c>
      <c r="AD7" s="29">
        <f>67562541.94-W7-X7-Y7-Z7-AA7-AB7-AC7</f>
        <v>9884757.6099999994</v>
      </c>
      <c r="AE7" s="29">
        <f>74331329.68-W7-X7-Y7-Z7-AA7-AB7-AC7-AD7</f>
        <v>6768787.7400000095</v>
      </c>
      <c r="AF7" s="29">
        <f>80230236.29-74331329.68</f>
        <v>5898906.6099999994</v>
      </c>
      <c r="AG7" s="29">
        <f>93282398.63-80230236.29</f>
        <v>13052162.339999989</v>
      </c>
      <c r="AH7" s="123">
        <v>12776678.652399994</v>
      </c>
      <c r="AI7" s="194">
        <f>SUM(W7:AH7)</f>
        <v>106059077.28239998</v>
      </c>
      <c r="AJ7" s="194">
        <v>115526660.59003222</v>
      </c>
    </row>
    <row r="8" spans="4:37" ht="15" customHeight="1">
      <c r="D8" s="30" t="s">
        <v>36</v>
      </c>
      <c r="E8" s="31"/>
      <c r="F8" s="32">
        <v>0</v>
      </c>
      <c r="G8" s="31"/>
      <c r="H8" s="32"/>
      <c r="I8" s="32"/>
      <c r="J8" s="32"/>
      <c r="K8" s="32"/>
      <c r="L8" s="32"/>
      <c r="M8" s="32"/>
      <c r="N8" s="32"/>
      <c r="O8" s="32">
        <v>652191.85</v>
      </c>
      <c r="P8" s="32">
        <v>187850.05</v>
      </c>
      <c r="Q8" s="32"/>
      <c r="R8" s="32"/>
      <c r="S8" s="32">
        <v>0</v>
      </c>
      <c r="T8" s="32">
        <f>+'[2]16)_Income_stat_destination'!$I$10</f>
        <v>9630.64</v>
      </c>
      <c r="U8" s="26" t="s">
        <v>37</v>
      </c>
      <c r="V8" s="32">
        <f>+T8-F8</f>
        <v>9630.64</v>
      </c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124"/>
      <c r="AI8" s="194">
        <f>SUM(W8:AH8)</f>
        <v>0</v>
      </c>
      <c r="AJ8" s="194">
        <f>SUM(X8:AI8)</f>
        <v>0</v>
      </c>
    </row>
    <row r="9" spans="4:37" ht="15" customHeight="1">
      <c r="D9" s="33" t="s">
        <v>38</v>
      </c>
      <c r="E9" s="34"/>
      <c r="F9" s="35">
        <v>0</v>
      </c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26"/>
      <c r="V9" s="35">
        <f>+T9-F9</f>
        <v>0</v>
      </c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125"/>
      <c r="AI9" s="195"/>
      <c r="AJ9" s="195"/>
    </row>
    <row r="10" spans="4:37" ht="15" customHeight="1">
      <c r="E10" s="36"/>
      <c r="F10" s="37"/>
      <c r="G10" s="36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26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126"/>
      <c r="AI10" s="196"/>
      <c r="AJ10" s="196"/>
    </row>
    <row r="11" spans="4:37" ht="15" customHeight="1">
      <c r="D11" s="27" t="s">
        <v>39</v>
      </c>
      <c r="E11" s="28"/>
      <c r="F11" s="38">
        <v>-158503628.03</v>
      </c>
      <c r="G11" s="28"/>
      <c r="H11" s="39">
        <v>-8765392.4000000004</v>
      </c>
      <c r="I11" s="39">
        <f>-I7+4675223.42</f>
        <v>-30889654.129999995</v>
      </c>
      <c r="J11" s="39">
        <v>-49113369.130000003</v>
      </c>
      <c r="K11" s="39">
        <v>-78038395.439999998</v>
      </c>
      <c r="L11" s="39">
        <v>-62877363.560000002</v>
      </c>
      <c r="M11" s="39">
        <v>-74690624.790000007</v>
      </c>
      <c r="N11" s="39">
        <v>-98658058.099999994</v>
      </c>
      <c r="O11" s="39">
        <v>-140100504.43000001</v>
      </c>
      <c r="P11" s="39">
        <v>-91997029.060000002</v>
      </c>
      <c r="Q11" s="39">
        <v>-93228380.670000002</v>
      </c>
      <c r="R11" s="39">
        <v>-125660771.17</v>
      </c>
      <c r="S11" s="39">
        <v>-158503628.03</v>
      </c>
      <c r="T11" s="39">
        <f>+'[2]16)_Income_stat_destination'!$I$13</f>
        <v>-69297490.069999993</v>
      </c>
      <c r="U11" s="40"/>
      <c r="V11" s="38">
        <f>+T11-F11</f>
        <v>89206137.960000008</v>
      </c>
      <c r="W11" s="39">
        <f>+'[3]16)_Income_stat_destination'!$I$13</f>
        <v>-3836865.3800000008</v>
      </c>
      <c r="X11" s="39">
        <f>+'[4]16)_Income_stat_destination'!$I$13-W11</f>
        <v>-4911738.17</v>
      </c>
      <c r="Y11" s="39">
        <f>-28087801.71-W11-X11-35602.11</f>
        <v>-19374800.269999996</v>
      </c>
      <c r="Z11" s="39">
        <v>-3728689.5899999961</v>
      </c>
      <c r="AA11" s="39">
        <v>-5348409.75</v>
      </c>
      <c r="AB11" s="39">
        <f>-40520576.7-W11-X11-Y11-Z11-AA11</f>
        <v>-3320073.5400000066</v>
      </c>
      <c r="AC11" s="39">
        <f>-48076694.69-W11-X11-Y11-Z11-AA11-AB11</f>
        <v>-7556117.9899999946</v>
      </c>
      <c r="AD11" s="39">
        <f>-56495251.52-W11-X11-Y11-Z11-AA11-AB11-AC11</f>
        <v>-8418556.8300000057</v>
      </c>
      <c r="AE11" s="39">
        <f>-61288498.65-W11-X11-Y11-Z11-AA11-AB11-AC11-AD11</f>
        <v>-4793247.1299999952</v>
      </c>
      <c r="AF11" s="39">
        <f>-65291080.72-SUM(W11:AE11)</f>
        <v>-4002582.0700000003</v>
      </c>
      <c r="AG11" s="39">
        <f>-75593718.76+65291080.72</f>
        <v>-10302638.040000007</v>
      </c>
      <c r="AH11" s="127">
        <v>-10029912.321693804</v>
      </c>
      <c r="AI11" s="194">
        <f t="shared" ref="AI11:AI13" si="3">SUM(W11:AH11)</f>
        <v>-85623631.081693813</v>
      </c>
      <c r="AJ11" s="194">
        <v>-93464598.119725198</v>
      </c>
      <c r="AK11" s="41">
        <f>+(AI7+AI11)/AI7</f>
        <v>0.19267984150280118</v>
      </c>
    </row>
    <row r="12" spans="4:37" ht="15" customHeight="1">
      <c r="D12" s="30" t="s">
        <v>40</v>
      </c>
      <c r="E12" s="31"/>
      <c r="F12" s="43">
        <v>-189480.44999999949</v>
      </c>
      <c r="G12" s="31"/>
      <c r="H12" s="43"/>
      <c r="I12" s="43"/>
      <c r="J12" s="43"/>
      <c r="K12" s="43"/>
      <c r="L12" s="43"/>
      <c r="M12" s="43"/>
      <c r="N12" s="43">
        <v>-856137.85</v>
      </c>
      <c r="O12" s="43">
        <v>1530249.55</v>
      </c>
      <c r="P12" s="43">
        <v>241577.32</v>
      </c>
      <c r="Q12" s="43">
        <v>-130275.62000000001</v>
      </c>
      <c r="R12" s="43">
        <v>2402125.33</v>
      </c>
      <c r="S12" s="43">
        <v>-189480.44999999949</v>
      </c>
      <c r="T12" s="43">
        <f>+'[2]16)_Income_stat_destination'!$I$16</f>
        <v>4105726.79</v>
      </c>
      <c r="U12" s="40"/>
      <c r="V12" s="43">
        <f>+T12-F12</f>
        <v>4295207.2399999993</v>
      </c>
      <c r="W12" s="39">
        <f>+'[3]16)_Income_stat_destination'!$I$15</f>
        <v>0</v>
      </c>
      <c r="X12" s="39"/>
      <c r="Y12" s="39">
        <v>317965.61</v>
      </c>
      <c r="Z12" s="39"/>
      <c r="AA12" s="39"/>
      <c r="AB12" s="39">
        <f>734004.39-Y12</f>
        <v>416038.78</v>
      </c>
      <c r="AC12" s="39">
        <v>0</v>
      </c>
      <c r="AD12" s="39"/>
      <c r="AE12" s="39">
        <f>1530039.57-Y12-AB12</f>
        <v>796035.17999999993</v>
      </c>
      <c r="AF12" s="39">
        <v>652204.18000000005</v>
      </c>
      <c r="AG12" s="39">
        <v>120371.24</v>
      </c>
      <c r="AH12" s="127">
        <v>198250</v>
      </c>
      <c r="AI12" s="194">
        <f t="shared" si="3"/>
        <v>2500864.9900000002</v>
      </c>
      <c r="AJ12" s="194">
        <v>2959489.9062968898</v>
      </c>
    </row>
    <row r="13" spans="4:37" ht="15" customHeight="1">
      <c r="D13" s="33" t="s">
        <v>41</v>
      </c>
      <c r="E13" s="34"/>
      <c r="F13" s="44">
        <v>1983777.4999999998</v>
      </c>
      <c r="G13" s="34"/>
      <c r="H13" s="44"/>
      <c r="I13" s="44"/>
      <c r="J13" s="44"/>
      <c r="K13" s="44"/>
      <c r="L13" s="44"/>
      <c r="M13" s="44">
        <v>2804320.73</v>
      </c>
      <c r="N13" s="44">
        <v>1146015.94</v>
      </c>
      <c r="O13" s="44">
        <v>2602073.77</v>
      </c>
      <c r="P13" s="44">
        <v>1411245.7000000002</v>
      </c>
      <c r="Q13" s="44">
        <v>9446370.7100000009</v>
      </c>
      <c r="R13" s="44">
        <v>1873467.04</v>
      </c>
      <c r="S13" s="44">
        <v>1983777.4999999998</v>
      </c>
      <c r="T13" s="44">
        <f>+'[2]16)_Income_stat_destination'!$I$20</f>
        <v>1279552.74</v>
      </c>
      <c r="U13" s="40"/>
      <c r="V13" s="44">
        <f>+T13-F13</f>
        <v>-704224.75999999978</v>
      </c>
      <c r="W13" s="39">
        <f>+'[3]16)_Income_stat_destination'!$I$16</f>
        <v>0</v>
      </c>
      <c r="X13" s="39"/>
      <c r="Y13" s="39"/>
      <c r="Z13" s="39"/>
      <c r="AA13" s="39"/>
      <c r="AB13" s="39"/>
      <c r="AC13" s="39"/>
      <c r="AD13" s="39"/>
      <c r="AE13" s="39"/>
      <c r="AF13" s="39">
        <v>38846.699999999997</v>
      </c>
      <c r="AG13" s="39">
        <v>0</v>
      </c>
      <c r="AH13" s="127">
        <f t="shared" ref="AH13" si="4">+AD13</f>
        <v>0</v>
      </c>
      <c r="AI13" s="194">
        <f t="shared" si="3"/>
        <v>38846.699999999997</v>
      </c>
      <c r="AJ13" s="194">
        <v>796448.56036121538</v>
      </c>
    </row>
    <row r="14" spans="4:37" ht="15" customHeight="1">
      <c r="D14" s="23" t="s">
        <v>42</v>
      </c>
      <c r="E14" s="24"/>
      <c r="F14" s="45">
        <f>+F11+F12+F13</f>
        <v>-156709330.97999999</v>
      </c>
      <c r="G14" s="24"/>
      <c r="H14" s="45">
        <f t="shared" ref="H14:S14" si="5">+H11+H12+H13</f>
        <v>-8765392.4000000004</v>
      </c>
      <c r="I14" s="45">
        <f t="shared" si="5"/>
        <v>-30889654.129999995</v>
      </c>
      <c r="J14" s="45">
        <f t="shared" si="5"/>
        <v>-49113369.130000003</v>
      </c>
      <c r="K14" s="45">
        <f t="shared" si="5"/>
        <v>-78038395.439999998</v>
      </c>
      <c r="L14" s="45">
        <f t="shared" si="5"/>
        <v>-62877363.560000002</v>
      </c>
      <c r="M14" s="45">
        <f t="shared" si="5"/>
        <v>-71886304.060000002</v>
      </c>
      <c r="N14" s="45">
        <f t="shared" si="5"/>
        <v>-98368180.00999999</v>
      </c>
      <c r="O14" s="45">
        <f t="shared" si="5"/>
        <v>-135968181.10999998</v>
      </c>
      <c r="P14" s="45">
        <f t="shared" si="5"/>
        <v>-90344206.040000007</v>
      </c>
      <c r="Q14" s="45">
        <f t="shared" si="5"/>
        <v>-83912285.580000013</v>
      </c>
      <c r="R14" s="45">
        <f t="shared" si="5"/>
        <v>-121385178.8</v>
      </c>
      <c r="S14" s="45">
        <f t="shared" si="5"/>
        <v>-156709330.97999999</v>
      </c>
      <c r="T14" s="45">
        <f>+T11+T12+T13</f>
        <v>-63912210.539999992</v>
      </c>
      <c r="U14" s="40"/>
      <c r="V14" s="45">
        <f>+T14-F14</f>
        <v>92797120.439999998</v>
      </c>
      <c r="W14" s="45">
        <f>+W11+W12+W13</f>
        <v>-3836865.3800000008</v>
      </c>
      <c r="X14" s="45">
        <f t="shared" ref="X14:AI14" si="6">+X11+X12+X13</f>
        <v>-4911738.17</v>
      </c>
      <c r="Y14" s="45">
        <f t="shared" si="6"/>
        <v>-19056834.659999996</v>
      </c>
      <c r="Z14" s="45">
        <f t="shared" si="6"/>
        <v>-3728689.5899999961</v>
      </c>
      <c r="AA14" s="45">
        <f t="shared" si="6"/>
        <v>-5348409.75</v>
      </c>
      <c r="AB14" s="45">
        <f t="shared" si="6"/>
        <v>-2904034.7600000063</v>
      </c>
      <c r="AC14" s="45">
        <f t="shared" si="6"/>
        <v>-7556117.9899999946</v>
      </c>
      <c r="AD14" s="45">
        <f t="shared" si="6"/>
        <v>-8418556.8300000057</v>
      </c>
      <c r="AE14" s="45">
        <f t="shared" si="6"/>
        <v>-3997211.9499999955</v>
      </c>
      <c r="AF14" s="45">
        <f t="shared" si="6"/>
        <v>-3311531.19</v>
      </c>
      <c r="AG14" s="45">
        <f t="shared" si="6"/>
        <v>-10182266.800000006</v>
      </c>
      <c r="AH14" s="128">
        <f t="shared" si="6"/>
        <v>-9831662.3216938041</v>
      </c>
      <c r="AI14" s="197">
        <f t="shared" si="6"/>
        <v>-83083919.391693816</v>
      </c>
      <c r="AJ14" s="197">
        <f t="shared" ref="AJ14" si="7">+AJ11+AJ12+AJ13</f>
        <v>-89708659.653067082</v>
      </c>
    </row>
    <row r="15" spans="4:37" ht="15" customHeight="1">
      <c r="D15" s="46"/>
      <c r="E15" s="47"/>
      <c r="F15" s="37"/>
      <c r="G15" s="4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40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126"/>
      <c r="AI15" s="196"/>
      <c r="AJ15" s="196"/>
    </row>
    <row r="16" spans="4:37" ht="15" customHeight="1">
      <c r="D16" s="48" t="s">
        <v>43</v>
      </c>
      <c r="E16" s="49"/>
      <c r="F16" s="50">
        <f>+F6-F14</f>
        <v>347891310.56</v>
      </c>
      <c r="G16" s="49"/>
      <c r="H16" s="50">
        <f t="shared" ref="H16:S16" si="8">+H6+H14</f>
        <v>2269885.5999999996</v>
      </c>
      <c r="I16" s="50">
        <f t="shared" si="8"/>
        <v>4675223.4200000018</v>
      </c>
      <c r="J16" s="50">
        <f t="shared" si="8"/>
        <v>7102282.4600000009</v>
      </c>
      <c r="K16" s="50">
        <f t="shared" si="8"/>
        <v>11983183.390000001</v>
      </c>
      <c r="L16" s="50">
        <f t="shared" si="8"/>
        <v>8258601.700000003</v>
      </c>
      <c r="M16" s="50">
        <f t="shared" si="8"/>
        <v>16948131.030000001</v>
      </c>
      <c r="N16" s="50">
        <f t="shared" si="8"/>
        <v>20898803.520000011</v>
      </c>
      <c r="O16" s="50">
        <f t="shared" si="8"/>
        <v>35486443.430000007</v>
      </c>
      <c r="P16" s="50">
        <f t="shared" si="8"/>
        <v>21424054.149999991</v>
      </c>
      <c r="Q16" s="50">
        <f t="shared" si="8"/>
        <v>24839319.229999989</v>
      </c>
      <c r="R16" s="50">
        <f t="shared" si="8"/>
        <v>27726359.940000013</v>
      </c>
      <c r="S16" s="50">
        <f t="shared" si="8"/>
        <v>34472648.600000024</v>
      </c>
      <c r="T16" s="50">
        <f>+T6+T14</f>
        <v>18235866.790000007</v>
      </c>
      <c r="U16" s="51"/>
      <c r="V16" s="50">
        <f>+T16-F16</f>
        <v>-329655443.76999998</v>
      </c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129"/>
      <c r="AI16" s="198"/>
      <c r="AJ16" s="198"/>
    </row>
    <row r="17" spans="4:37" ht="15" hidden="1" customHeight="1">
      <c r="D17" s="52"/>
      <c r="E17" s="53"/>
      <c r="F17" s="37"/>
      <c r="G17" s="53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0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126"/>
      <c r="AI17" s="196"/>
      <c r="AJ17" s="196"/>
    </row>
    <row r="18" spans="4:37" ht="15" hidden="1" customHeight="1">
      <c r="D18" s="27" t="s">
        <v>44</v>
      </c>
      <c r="E18" s="28"/>
      <c r="F18" s="38">
        <v>0</v>
      </c>
      <c r="G18" s="2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40"/>
      <c r="V18" s="38">
        <f>+T18-F18</f>
        <v>0</v>
      </c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130"/>
      <c r="AI18" s="199"/>
      <c r="AJ18" s="199"/>
    </row>
    <row r="19" spans="4:37" ht="15" hidden="1" customHeight="1">
      <c r="D19" s="30" t="s">
        <v>45</v>
      </c>
      <c r="E19" s="31"/>
      <c r="F19" s="43">
        <v>0</v>
      </c>
      <c r="G19" s="31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0"/>
      <c r="V19" s="43">
        <f>+T19-F19</f>
        <v>0</v>
      </c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131"/>
      <c r="AI19" s="200"/>
      <c r="AJ19" s="200"/>
    </row>
    <row r="20" spans="4:37" ht="15" hidden="1" customHeight="1">
      <c r="D20" s="33" t="s">
        <v>46</v>
      </c>
      <c r="E20" s="34"/>
      <c r="F20" s="44"/>
      <c r="G20" s="3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40"/>
      <c r="V20" s="44">
        <f>+T20-F20</f>
        <v>0</v>
      </c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132"/>
      <c r="AI20" s="201"/>
      <c r="AJ20" s="201"/>
    </row>
    <row r="21" spans="4:37" s="57" customFormat="1" ht="15" hidden="1" customHeight="1">
      <c r="D21" s="55" t="s">
        <v>47</v>
      </c>
      <c r="E21" s="56"/>
      <c r="F21" s="25">
        <f>+F18+F19+F20</f>
        <v>0</v>
      </c>
      <c r="G21" s="56"/>
      <c r="H21" s="25">
        <f t="shared" ref="H21:S21" si="9">+H18+H19+H20</f>
        <v>0</v>
      </c>
      <c r="I21" s="25">
        <f t="shared" si="9"/>
        <v>0</v>
      </c>
      <c r="J21" s="25">
        <f t="shared" si="9"/>
        <v>0</v>
      </c>
      <c r="K21" s="25">
        <f t="shared" si="9"/>
        <v>0</v>
      </c>
      <c r="L21" s="25">
        <f t="shared" si="9"/>
        <v>0</v>
      </c>
      <c r="M21" s="25">
        <f t="shared" si="9"/>
        <v>0</v>
      </c>
      <c r="N21" s="25">
        <f t="shared" si="9"/>
        <v>0</v>
      </c>
      <c r="O21" s="25">
        <f t="shared" si="9"/>
        <v>0</v>
      </c>
      <c r="P21" s="25">
        <f t="shared" si="9"/>
        <v>0</v>
      </c>
      <c r="Q21" s="25">
        <f t="shared" si="9"/>
        <v>0</v>
      </c>
      <c r="R21" s="25">
        <f t="shared" si="9"/>
        <v>0</v>
      </c>
      <c r="S21" s="25">
        <f t="shared" si="9"/>
        <v>0</v>
      </c>
      <c r="T21" s="25">
        <f>+T18+T19+T20</f>
        <v>0</v>
      </c>
      <c r="U21" s="26"/>
      <c r="V21" s="25">
        <f>+T21-F21</f>
        <v>0</v>
      </c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122"/>
      <c r="AI21" s="193"/>
      <c r="AJ21" s="193"/>
    </row>
    <row r="22" spans="4:37" s="57" customFormat="1" ht="15" hidden="1" customHeight="1">
      <c r="D22" s="18"/>
      <c r="E22" s="36"/>
      <c r="F22" s="58"/>
      <c r="G22" s="36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26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133"/>
      <c r="AI22" s="202"/>
      <c r="AJ22" s="202"/>
    </row>
    <row r="23" spans="4:37" s="57" customFormat="1" ht="15" hidden="1" customHeight="1">
      <c r="D23" s="23" t="s">
        <v>48</v>
      </c>
      <c r="E23" s="24"/>
      <c r="F23" s="45"/>
      <c r="G23" s="2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0"/>
      <c r="V23" s="45">
        <f>+T23-F23</f>
        <v>0</v>
      </c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128"/>
      <c r="AI23" s="197"/>
      <c r="AJ23" s="197"/>
    </row>
    <row r="24" spans="4:37" s="57" customFormat="1" ht="15" customHeight="1">
      <c r="D24" s="18"/>
      <c r="E24" s="36"/>
      <c r="F24" s="58"/>
      <c r="G24" s="36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26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133"/>
      <c r="AI24" s="202"/>
      <c r="AJ24" s="202"/>
    </row>
    <row r="25" spans="4:37" ht="15" customHeight="1">
      <c r="D25" s="48" t="s">
        <v>49</v>
      </c>
      <c r="E25" s="49"/>
      <c r="F25" s="50">
        <f>+F6+F14+F23+F21</f>
        <v>34472648.600000024</v>
      </c>
      <c r="G25" s="49"/>
      <c r="H25" s="50">
        <f t="shared" ref="H25:S25" si="10">+H6+H14+H23+H21</f>
        <v>2269885.5999999996</v>
      </c>
      <c r="I25" s="50">
        <f t="shared" si="10"/>
        <v>4675223.4200000018</v>
      </c>
      <c r="J25" s="50">
        <f t="shared" si="10"/>
        <v>7102282.4600000009</v>
      </c>
      <c r="K25" s="50">
        <f t="shared" si="10"/>
        <v>11983183.390000001</v>
      </c>
      <c r="L25" s="50">
        <f t="shared" si="10"/>
        <v>8258601.700000003</v>
      </c>
      <c r="M25" s="50">
        <f t="shared" si="10"/>
        <v>16948131.030000001</v>
      </c>
      <c r="N25" s="50">
        <f t="shared" si="10"/>
        <v>20898803.520000011</v>
      </c>
      <c r="O25" s="50">
        <f t="shared" si="10"/>
        <v>35486443.430000007</v>
      </c>
      <c r="P25" s="50">
        <f t="shared" si="10"/>
        <v>21424054.149999991</v>
      </c>
      <c r="Q25" s="50">
        <f t="shared" si="10"/>
        <v>24839319.229999989</v>
      </c>
      <c r="R25" s="50">
        <f t="shared" si="10"/>
        <v>27726359.940000013</v>
      </c>
      <c r="S25" s="50">
        <f t="shared" si="10"/>
        <v>34472648.600000024</v>
      </c>
      <c r="T25" s="50">
        <f>+T6+T14+T23+T21</f>
        <v>18235866.790000007</v>
      </c>
      <c r="U25" s="51"/>
      <c r="V25" s="50">
        <f>+T25-F25</f>
        <v>-16236781.810000017</v>
      </c>
      <c r="W25" s="50">
        <f>+W6+W14+W23+W21</f>
        <v>1489072.9499999993</v>
      </c>
      <c r="X25" s="50">
        <f t="shared" ref="X25:AI25" si="11">+X6+X14+X23+X21</f>
        <v>1133098.08</v>
      </c>
      <c r="Y25" s="50">
        <f t="shared" si="11"/>
        <v>578000.88000000268</v>
      </c>
      <c r="Z25" s="50">
        <f t="shared" si="11"/>
        <v>325312.87999998778</v>
      </c>
      <c r="AA25" s="50">
        <f t="shared" si="11"/>
        <v>2403796.6700000167</v>
      </c>
      <c r="AB25" s="50">
        <f t="shared" si="11"/>
        <v>1471588.5499999961</v>
      </c>
      <c r="AC25" s="50">
        <f t="shared" si="11"/>
        <v>2934224.0200000033</v>
      </c>
      <c r="AD25" s="50">
        <f t="shared" si="11"/>
        <v>1466200.7799999937</v>
      </c>
      <c r="AE25" s="50">
        <f t="shared" si="11"/>
        <v>2771575.790000014</v>
      </c>
      <c r="AF25" s="50">
        <f t="shared" si="11"/>
        <v>2587375.4199999995</v>
      </c>
      <c r="AG25" s="50">
        <f t="shared" si="11"/>
        <v>2869895.5399999823</v>
      </c>
      <c r="AH25" s="129">
        <f t="shared" si="11"/>
        <v>2945016.3307061903</v>
      </c>
      <c r="AI25" s="198">
        <f t="shared" si="11"/>
        <v>22975157.890706167</v>
      </c>
      <c r="AJ25" s="198">
        <f t="shared" ref="AJ25" si="12">+AJ6+AJ14+AJ23+AJ21</f>
        <v>25818000.936965138</v>
      </c>
    </row>
    <row r="26" spans="4:37" ht="15" customHeight="1">
      <c r="D26" s="59" t="s">
        <v>50</v>
      </c>
      <c r="F26" s="60">
        <f>IF(F$6=0,0,+F25/F$6)</f>
        <v>0.18031327364499308</v>
      </c>
      <c r="H26" s="61">
        <f t="shared" ref="H26:S26" si="13">IF(H$6=0,0,+H25/H$6)</f>
        <v>0.20569355842236142</v>
      </c>
      <c r="I26" s="61">
        <f t="shared" si="13"/>
        <v>0.13145619335894501</v>
      </c>
      <c r="J26" s="61">
        <f t="shared" si="13"/>
        <v>0.12633994731217169</v>
      </c>
      <c r="K26" s="61">
        <f t="shared" si="13"/>
        <v>0.13311456592679269</v>
      </c>
      <c r="L26" s="61">
        <f t="shared" si="13"/>
        <v>0.11609600951944687</v>
      </c>
      <c r="M26" s="61">
        <f t="shared" si="13"/>
        <v>0.19078334896630456</v>
      </c>
      <c r="N26" s="61">
        <f t="shared" si="13"/>
        <v>0.17522706537424249</v>
      </c>
      <c r="O26" s="61">
        <f t="shared" si="13"/>
        <v>0.20697279834362881</v>
      </c>
      <c r="P26" s="61">
        <f t="shared" si="13"/>
        <v>0.19168280971342183</v>
      </c>
      <c r="Q26" s="61">
        <f t="shared" si="13"/>
        <v>0.22840416261807611</v>
      </c>
      <c r="R26" s="61">
        <f t="shared" si="13"/>
        <v>0.18594375843941485</v>
      </c>
      <c r="S26" s="61">
        <f t="shared" si="13"/>
        <v>0.18031327364499308</v>
      </c>
      <c r="T26" s="61">
        <f>IF(T$6=0,0,+T25/T$6)</f>
        <v>0.22198774922928566</v>
      </c>
      <c r="V26" s="62"/>
      <c r="W26" s="61">
        <f>IF(W$6=0,0,+W25/W$6)</f>
        <v>0.27958884570862075</v>
      </c>
      <c r="X26" s="61">
        <f t="shared" ref="X26:AI26" si="14">IF(X$6=0,0,+X25/X$6)</f>
        <v>0.18744892882747652</v>
      </c>
      <c r="Y26" s="61">
        <f t="shared" si="14"/>
        <v>2.9437520819693239E-2</v>
      </c>
      <c r="Z26" s="61">
        <f t="shared" si="14"/>
        <v>8.0244864774339689E-2</v>
      </c>
      <c r="AA26" s="61">
        <f t="shared" si="14"/>
        <v>0.310079032957434</v>
      </c>
      <c r="AB26" s="61">
        <f t="shared" si="14"/>
        <v>0.33631518203060201</v>
      </c>
      <c r="AC26" s="61">
        <f t="shared" si="14"/>
        <v>0.27970718373175363</v>
      </c>
      <c r="AD26" s="61">
        <f t="shared" si="14"/>
        <v>0.14832946217282042</v>
      </c>
      <c r="AE26" s="61">
        <f t="shared" si="14"/>
        <v>0.40946413101735263</v>
      </c>
      <c r="AF26" s="61">
        <f t="shared" si="14"/>
        <v>0.43861949189258309</v>
      </c>
      <c r="AG26" s="61">
        <f t="shared" si="14"/>
        <v>0.21987893386866844</v>
      </c>
      <c r="AH26" s="134">
        <f t="shared" si="14"/>
        <v>0.23049936613636229</v>
      </c>
      <c r="AI26" s="203">
        <f t="shared" si="14"/>
        <v>0.21662603974510336</v>
      </c>
      <c r="AJ26" s="203">
        <f t="shared" ref="AJ26" si="15">IF(AJ$6=0,0,+AJ25/AJ$6)</f>
        <v>0.22348089008289698</v>
      </c>
    </row>
    <row r="27" spans="4:37" ht="15" customHeight="1">
      <c r="F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135"/>
      <c r="AI27" s="204"/>
      <c r="AJ27" s="204"/>
    </row>
    <row r="28" spans="4:37" ht="15" customHeight="1">
      <c r="D28" s="63" t="s">
        <v>51</v>
      </c>
      <c r="E28" s="64"/>
      <c r="F28" s="38">
        <v>-3534190.9979539742</v>
      </c>
      <c r="G28" s="64"/>
      <c r="H28" s="65"/>
      <c r="I28" s="65"/>
      <c r="J28" s="223"/>
      <c r="K28" s="223"/>
      <c r="L28" s="223"/>
      <c r="M28" s="223"/>
      <c r="N28" s="223"/>
      <c r="O28" s="223"/>
      <c r="P28" s="65">
        <f>-10536033.99-P38-P37+1304343</f>
        <v>-2232011.8295104895</v>
      </c>
      <c r="Q28" s="65">
        <f>-10951608.95-Q37-Q38+1272373</f>
        <v>-2197098.8815131793</v>
      </c>
      <c r="R28" s="65">
        <v>-2311142.122993879</v>
      </c>
      <c r="S28" s="65">
        <v>-3534190.9979539742</v>
      </c>
      <c r="T28" s="65">
        <v>-3967691.2218405795</v>
      </c>
      <c r="U28" s="40"/>
      <c r="V28" s="38">
        <f>+T28-F28</f>
        <v>-433500.22388660535</v>
      </c>
      <c r="W28" s="29">
        <v>-275426.69999999995</v>
      </c>
      <c r="X28" s="29">
        <v>-428231.74000000011</v>
      </c>
      <c r="Y28" s="29">
        <v>-418846.49999999988</v>
      </c>
      <c r="Z28" s="29">
        <v>-539495.66000000038</v>
      </c>
      <c r="AA28" s="29">
        <v>-579545.36999999988</v>
      </c>
      <c r="AB28" s="29">
        <v>-578979.31999999937</v>
      </c>
      <c r="AC28" s="29">
        <f>-'[5]tabelle effett'!N19</f>
        <v>-606229</v>
      </c>
      <c r="AD28" s="65">
        <f>-'[5]tabelle effett'!O19</f>
        <v>-590611.44999999995</v>
      </c>
      <c r="AE28" s="65">
        <f>-'[5]tabelle effett'!P19</f>
        <v>-634718.41</v>
      </c>
      <c r="AF28" s="65">
        <v>-644149.15000000037</v>
      </c>
      <c r="AG28" s="65">
        <f>-'[5]tabelle effett'!R19</f>
        <v>-634231.75999999989</v>
      </c>
      <c r="AH28" s="136">
        <v>-671769</v>
      </c>
      <c r="AI28" s="194">
        <f t="shared" ref="AI28:AJ29" si="16">SUM(W28:AH28)</f>
        <v>-6602234.0599999996</v>
      </c>
      <c r="AJ28" s="194">
        <v>-8780841.3478460722</v>
      </c>
      <c r="AK28" s="67"/>
    </row>
    <row r="29" spans="4:37" ht="15" customHeight="1">
      <c r="D29" s="68" t="s">
        <v>52</v>
      </c>
      <c r="E29" s="69"/>
      <c r="F29" s="44">
        <v>0</v>
      </c>
      <c r="G29" s="69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>
        <v>0</v>
      </c>
      <c r="S29" s="44"/>
      <c r="T29" s="44"/>
      <c r="U29" s="40"/>
      <c r="V29" s="44">
        <f>+T29-F29</f>
        <v>0</v>
      </c>
      <c r="W29" s="29"/>
      <c r="X29" s="29"/>
      <c r="Y29" s="29"/>
      <c r="Z29" s="29"/>
      <c r="AA29" s="29"/>
      <c r="AB29" s="29"/>
      <c r="AC29" s="29"/>
      <c r="AD29" s="44"/>
      <c r="AE29" s="44"/>
      <c r="AF29" s="44"/>
      <c r="AG29" s="44"/>
      <c r="AH29" s="137"/>
      <c r="AI29" s="194">
        <f t="shared" si="16"/>
        <v>0</v>
      </c>
      <c r="AJ29" s="194">
        <f t="shared" si="16"/>
        <v>0</v>
      </c>
    </row>
    <row r="30" spans="4:37" s="71" customFormat="1" ht="15" customHeight="1">
      <c r="D30" s="18"/>
      <c r="E30" s="70"/>
      <c r="F30" s="58"/>
      <c r="G30" s="70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26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133"/>
      <c r="AI30" s="202"/>
      <c r="AJ30" s="202"/>
    </row>
    <row r="31" spans="4:37" s="71" customFormat="1" ht="15" customHeight="1">
      <c r="D31" s="55" t="s">
        <v>53</v>
      </c>
      <c r="E31" s="72"/>
      <c r="F31" s="45">
        <f>+F29+F28+F23+F21</f>
        <v>-3534190.9979539742</v>
      </c>
      <c r="G31" s="72"/>
      <c r="H31" s="45">
        <f t="shared" ref="H31:S31" si="17">+H29+H28+H23+H21</f>
        <v>0</v>
      </c>
      <c r="I31" s="45">
        <f t="shared" si="17"/>
        <v>0</v>
      </c>
      <c r="J31" s="45">
        <f t="shared" si="17"/>
        <v>0</v>
      </c>
      <c r="K31" s="45">
        <f t="shared" si="17"/>
        <v>0</v>
      </c>
      <c r="L31" s="45">
        <f t="shared" si="17"/>
        <v>0</v>
      </c>
      <c r="M31" s="45">
        <f t="shared" si="17"/>
        <v>0</v>
      </c>
      <c r="N31" s="45">
        <f t="shared" si="17"/>
        <v>0</v>
      </c>
      <c r="O31" s="45">
        <f t="shared" si="17"/>
        <v>0</v>
      </c>
      <c r="P31" s="45">
        <f t="shared" si="17"/>
        <v>-2232011.8295104895</v>
      </c>
      <c r="Q31" s="45">
        <f t="shared" si="17"/>
        <v>-2197098.8815131793</v>
      </c>
      <c r="R31" s="45">
        <f t="shared" si="17"/>
        <v>-2311142.122993879</v>
      </c>
      <c r="S31" s="45">
        <f t="shared" si="17"/>
        <v>-3534190.9979539742</v>
      </c>
      <c r="T31" s="45">
        <f>+T29+T28+T23+T21</f>
        <v>-3967691.2218405795</v>
      </c>
      <c r="U31" s="40"/>
      <c r="V31" s="45">
        <f>+T31-F31</f>
        <v>-433500.22388660535</v>
      </c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128"/>
      <c r="AI31" s="197">
        <f>+AI29+AI28+AI23+AI21</f>
        <v>-6602234.0599999996</v>
      </c>
      <c r="AJ31" s="197">
        <f>+AJ29+AJ28+AJ23+AJ21</f>
        <v>-8780841.3478460722</v>
      </c>
    </row>
    <row r="32" spans="4:37" s="71" customFormat="1" ht="15" customHeight="1">
      <c r="D32" s="18"/>
      <c r="E32" s="70"/>
      <c r="F32" s="58"/>
      <c r="G32" s="70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26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133"/>
      <c r="AI32" s="202"/>
      <c r="AJ32" s="202"/>
    </row>
    <row r="33" spans="4:36" ht="15" customHeight="1">
      <c r="D33" s="48" t="s">
        <v>54</v>
      </c>
      <c r="E33" s="73"/>
      <c r="F33" s="50">
        <f>+F29+F28+F25</f>
        <v>30938457.60204605</v>
      </c>
      <c r="G33" s="73"/>
      <c r="H33" s="50">
        <f t="shared" ref="H33:S33" si="18">+H29+H28+H25</f>
        <v>2269885.5999999996</v>
      </c>
      <c r="I33" s="50">
        <f t="shared" si="18"/>
        <v>4675223.4200000018</v>
      </c>
      <c r="J33" s="50">
        <f t="shared" si="18"/>
        <v>7102282.4600000009</v>
      </c>
      <c r="K33" s="50">
        <f t="shared" si="18"/>
        <v>11983183.390000001</v>
      </c>
      <c r="L33" s="50">
        <f t="shared" si="18"/>
        <v>8258601.700000003</v>
      </c>
      <c r="M33" s="50">
        <f t="shared" si="18"/>
        <v>16948131.030000001</v>
      </c>
      <c r="N33" s="50">
        <f t="shared" si="18"/>
        <v>20898803.520000011</v>
      </c>
      <c r="O33" s="50">
        <f t="shared" si="18"/>
        <v>35486443.430000007</v>
      </c>
      <c r="P33" s="50">
        <f t="shared" si="18"/>
        <v>19192042.320489503</v>
      </c>
      <c r="Q33" s="50">
        <f t="shared" si="18"/>
        <v>22642220.348486811</v>
      </c>
      <c r="R33" s="50">
        <f t="shared" si="18"/>
        <v>25415217.817006133</v>
      </c>
      <c r="S33" s="50">
        <f t="shared" si="18"/>
        <v>30938457.60204605</v>
      </c>
      <c r="T33" s="50">
        <f>+T29+T28+T25</f>
        <v>14268175.568159427</v>
      </c>
      <c r="U33" s="51"/>
      <c r="V33" s="50">
        <f>+T33-F33</f>
        <v>-16670282.033886623</v>
      </c>
      <c r="W33" s="50">
        <f>+W29+W28+W25</f>
        <v>1213646.2499999993</v>
      </c>
      <c r="X33" s="50">
        <f t="shared" ref="X33:AI33" si="19">+X29+X28+X25</f>
        <v>704866.34</v>
      </c>
      <c r="Y33" s="50">
        <f t="shared" si="19"/>
        <v>159154.3800000028</v>
      </c>
      <c r="Z33" s="50">
        <f t="shared" si="19"/>
        <v>-214182.7800000126</v>
      </c>
      <c r="AA33" s="50">
        <f t="shared" si="19"/>
        <v>1824251.3000000168</v>
      </c>
      <c r="AB33" s="50">
        <f t="shared" si="19"/>
        <v>892609.22999999672</v>
      </c>
      <c r="AC33" s="50">
        <f t="shared" si="19"/>
        <v>2327995.0200000033</v>
      </c>
      <c r="AD33" s="50">
        <f t="shared" si="19"/>
        <v>875589.32999999379</v>
      </c>
      <c r="AE33" s="50">
        <f t="shared" si="19"/>
        <v>2136857.3800000139</v>
      </c>
      <c r="AF33" s="50">
        <f t="shared" si="19"/>
        <v>1943226.2699999991</v>
      </c>
      <c r="AG33" s="50">
        <f t="shared" si="19"/>
        <v>2235663.7799999826</v>
      </c>
      <c r="AH33" s="129">
        <f t="shared" si="19"/>
        <v>2273247.3307061903</v>
      </c>
      <c r="AI33" s="198">
        <f t="shared" si="19"/>
        <v>16372923.830706168</v>
      </c>
      <c r="AJ33" s="198">
        <f t="shared" ref="AJ33" si="20">+AJ29+AJ28+AJ25</f>
        <v>17037159.589119066</v>
      </c>
    </row>
    <row r="34" spans="4:36" ht="15" customHeight="1">
      <c r="D34" s="59" t="s">
        <v>50</v>
      </c>
      <c r="F34" s="60">
        <f>IF(F$6=0,0,+F33/F$6)</f>
        <v>0.16182726881484072</v>
      </c>
      <c r="H34" s="61">
        <f t="shared" ref="H34:S34" si="21">IF(H$6=0,0,+H33/H$6)</f>
        <v>0.20569355842236142</v>
      </c>
      <c r="I34" s="61">
        <f t="shared" si="21"/>
        <v>0.13145619335894501</v>
      </c>
      <c r="J34" s="61">
        <f t="shared" si="21"/>
        <v>0.12633994731217169</v>
      </c>
      <c r="K34" s="61">
        <f t="shared" si="21"/>
        <v>0.13311456592679269</v>
      </c>
      <c r="L34" s="61">
        <f t="shared" si="21"/>
        <v>0.11609600951944687</v>
      </c>
      <c r="M34" s="61">
        <f t="shared" si="21"/>
        <v>0.19078334896630456</v>
      </c>
      <c r="N34" s="61">
        <f t="shared" si="21"/>
        <v>0.17522706537424249</v>
      </c>
      <c r="O34" s="61">
        <f t="shared" si="21"/>
        <v>0.20697279834362881</v>
      </c>
      <c r="P34" s="61">
        <f t="shared" si="21"/>
        <v>0.17171281263449989</v>
      </c>
      <c r="Q34" s="61">
        <f t="shared" si="21"/>
        <v>0.20820125264399592</v>
      </c>
      <c r="R34" s="61">
        <f t="shared" si="21"/>
        <v>0.1704443400676165</v>
      </c>
      <c r="S34" s="61">
        <f t="shared" si="21"/>
        <v>0.16182726881484072</v>
      </c>
      <c r="T34" s="61">
        <f>IF(T$6=0,0,+T33/T$6)</f>
        <v>0.17368849073414372</v>
      </c>
      <c r="V34" s="62"/>
      <c r="W34" s="61">
        <f>IF(W$6=0,0,+W33/W$6)</f>
        <v>0.22787463444023756</v>
      </c>
      <c r="X34" s="61">
        <f t="shared" ref="X34:AH34" si="22">IF(X$6=0,0,+X33/X$6)</f>
        <v>0.11660635802996318</v>
      </c>
      <c r="Y34" s="61">
        <f t="shared" si="22"/>
        <v>8.1057149511527208E-3</v>
      </c>
      <c r="Z34" s="61">
        <f t="shared" si="22"/>
        <v>-5.2832424643296641E-2</v>
      </c>
      <c r="AA34" s="61">
        <f t="shared" si="22"/>
        <v>0.23532026898736952</v>
      </c>
      <c r="AB34" s="61">
        <f t="shared" si="22"/>
        <v>0.20399590338593296</v>
      </c>
      <c r="AC34" s="61">
        <f t="shared" si="22"/>
        <v>0.22191793344590904</v>
      </c>
      <c r="AD34" s="61">
        <f t="shared" si="22"/>
        <v>8.8579747177027018E-2</v>
      </c>
      <c r="AE34" s="61">
        <f t="shared" si="22"/>
        <v>0.31569277425739029</v>
      </c>
      <c r="AF34" s="61">
        <f t="shared" si="22"/>
        <v>0.32942143323743844</v>
      </c>
      <c r="AG34" s="61">
        <f t="shared" si="22"/>
        <v>0.17128685054341614</v>
      </c>
      <c r="AH34" s="134">
        <f t="shared" si="22"/>
        <v>0.17792161738991372</v>
      </c>
      <c r="AI34" s="203">
        <f>IF(AI$6=0,0,+AI33/AI$6)</f>
        <v>0.15437550703095906</v>
      </c>
      <c r="AJ34" s="203">
        <f>IF(AJ$6=0,0,+AJ33/AJ$6)</f>
        <v>0.14747383419640758</v>
      </c>
    </row>
    <row r="35" spans="4:36" ht="15" customHeight="1">
      <c r="D35" s="59" t="s">
        <v>55</v>
      </c>
      <c r="F35" s="60">
        <f>IF(F$16=0,0,+F34/F$16)</f>
        <v>4.6516617087775966E-10</v>
      </c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>
        <f>IF(T$16=0,0,+T34/T$16)</f>
        <v>9.5245536027598758E-9</v>
      </c>
      <c r="V35" s="62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138"/>
      <c r="AI35" s="205"/>
      <c r="AJ35" s="205"/>
    </row>
    <row r="36" spans="4:36" ht="15" customHeight="1">
      <c r="F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135"/>
      <c r="AI36" s="204"/>
      <c r="AJ36" s="204"/>
    </row>
    <row r="37" spans="4:36" ht="15" customHeight="1">
      <c r="D37" s="63" t="s">
        <v>56</v>
      </c>
      <c r="E37" s="63"/>
      <c r="F37" s="38">
        <v>-4746480.9796479847</v>
      </c>
      <c r="G37" s="63"/>
      <c r="H37" s="74"/>
      <c r="I37" s="74"/>
      <c r="J37" s="74"/>
      <c r="K37" s="74"/>
      <c r="L37" s="74"/>
      <c r="M37" s="74"/>
      <c r="N37" s="74"/>
      <c r="O37" s="74"/>
      <c r="P37" s="74">
        <v>-5345486.47899797</v>
      </c>
      <c r="Q37" s="74">
        <v>-5792856.3710114099</v>
      </c>
      <c r="R37" s="74">
        <v>-7513231.9828554019</v>
      </c>
      <c r="S37" s="74">
        <v>-4746480.9796479847</v>
      </c>
      <c r="T37" s="74">
        <v>-2932471.1860062112</v>
      </c>
      <c r="U37" s="75"/>
      <c r="V37" s="74">
        <f>+T37-F37</f>
        <v>1814009.7936417735</v>
      </c>
      <c r="W37" s="74">
        <v>-708488.28249999997</v>
      </c>
      <c r="X37" s="74">
        <v>-447961.70492424234</v>
      </c>
      <c r="Y37" s="74">
        <v>-571448.29000000027</v>
      </c>
      <c r="Z37" s="74">
        <v>-524722.72</v>
      </c>
      <c r="AA37" s="74">
        <v>-460937.5299999998</v>
      </c>
      <c r="AB37" s="74">
        <v>-457413.51</v>
      </c>
      <c r="AC37" s="74">
        <f>-'[5]tabelle effett'!N152</f>
        <v>-436535</v>
      </c>
      <c r="AD37" s="74">
        <v>-409603.94</v>
      </c>
      <c r="AE37" s="74">
        <v>-367640.74000000086</v>
      </c>
      <c r="AF37" s="74">
        <v>-346889.5</v>
      </c>
      <c r="AG37" s="74">
        <f>-'[5]tabelle effett'!R152</f>
        <v>-398547.67</v>
      </c>
      <c r="AH37" s="139">
        <v>-381454</v>
      </c>
      <c r="AI37" s="194">
        <f t="shared" ref="AI37:AI39" si="23">SUM(W37:AH37)</f>
        <v>-5511642.8874242427</v>
      </c>
      <c r="AJ37" s="194">
        <v>-5335212.0753544569</v>
      </c>
    </row>
    <row r="38" spans="4:36" ht="15" customHeight="1">
      <c r="D38" s="76" t="s">
        <v>57</v>
      </c>
      <c r="E38" s="76"/>
      <c r="F38" s="43">
        <v>-2601957.6079777586</v>
      </c>
      <c r="G38" s="76"/>
      <c r="H38" s="77"/>
      <c r="I38" s="77"/>
      <c r="J38" s="77"/>
      <c r="K38" s="77"/>
      <c r="L38" s="77"/>
      <c r="M38" s="77"/>
      <c r="N38" s="77"/>
      <c r="O38" s="77"/>
      <c r="P38" s="77">
        <v>-1654192.68149154</v>
      </c>
      <c r="Q38" s="77">
        <v>-1689280.6974754101</v>
      </c>
      <c r="R38" s="77">
        <v>-2284868.5532074911</v>
      </c>
      <c r="S38" s="77">
        <v>-2601957.6079777586</v>
      </c>
      <c r="T38" s="77">
        <v>-2099414.2774492754</v>
      </c>
      <c r="U38" s="75"/>
      <c r="V38" s="77">
        <f>+T38-F38</f>
        <v>502543.33052848326</v>
      </c>
      <c r="W38" s="77">
        <v>-158139.13666666669</v>
      </c>
      <c r="X38" s="77">
        <v>-154456.18999999997</v>
      </c>
      <c r="Y38" s="77">
        <v>-176137.50999999998</v>
      </c>
      <c r="Z38" s="77">
        <v>-167765.28999999995</v>
      </c>
      <c r="AA38" s="77">
        <v>-166443.85000000006</v>
      </c>
      <c r="AB38" s="77">
        <v>-162397.89000000004</v>
      </c>
      <c r="AC38" s="77">
        <f>-'[5]tabelle effett'!N225</f>
        <v>-156599</v>
      </c>
      <c r="AD38" s="77">
        <v>-159037.69</v>
      </c>
      <c r="AE38" s="77">
        <v>-146213.12999999983</v>
      </c>
      <c r="AF38" s="77">
        <v>-151056.63000000012</v>
      </c>
      <c r="AG38" s="77">
        <f>-'[5]tabelle effett'!R225</f>
        <v>-147302.74</v>
      </c>
      <c r="AH38" s="140">
        <v>-172230</v>
      </c>
      <c r="AI38" s="194">
        <f t="shared" si="23"/>
        <v>-1917779.0566666666</v>
      </c>
      <c r="AJ38" s="194">
        <v>-2043778.118722223</v>
      </c>
    </row>
    <row r="39" spans="4:36" ht="15" customHeight="1">
      <c r="D39" s="68" t="s">
        <v>58</v>
      </c>
      <c r="E39" s="68"/>
      <c r="F39" s="78"/>
      <c r="G39" s="68"/>
      <c r="H39" s="78"/>
      <c r="I39" s="78">
        <v>-1476878.48</v>
      </c>
      <c r="J39" s="78">
        <v>-108533.43</v>
      </c>
      <c r="K39" s="78"/>
      <c r="L39" s="78">
        <v>-101699.68</v>
      </c>
      <c r="M39" s="78"/>
      <c r="N39" s="78">
        <v>-34556.03</v>
      </c>
      <c r="O39" s="78">
        <v>-1647091.09</v>
      </c>
      <c r="P39" s="78">
        <v>-1597903.12</v>
      </c>
      <c r="Q39" s="78">
        <v>-971306.62</v>
      </c>
      <c r="R39" s="78"/>
      <c r="S39" s="78"/>
      <c r="T39" s="78">
        <v>-203031.07</v>
      </c>
      <c r="U39" s="75"/>
      <c r="V39" s="78">
        <f>+T39-F39</f>
        <v>-203031.07</v>
      </c>
      <c r="W39" s="78">
        <f>-'[3]16)_Income_stat_destination'!$I$28*0.2</f>
        <v>0</v>
      </c>
      <c r="X39" s="79">
        <v>-17409.54</v>
      </c>
      <c r="Y39" s="79">
        <v>-8092.48</v>
      </c>
      <c r="Z39" s="79">
        <v>-9815.880000000001</v>
      </c>
      <c r="AA39" s="78">
        <v>-9495.5499999999993</v>
      </c>
      <c r="AB39" s="78">
        <v>-7965.52</v>
      </c>
      <c r="AC39" s="78">
        <v>-9492.24</v>
      </c>
      <c r="AD39" s="78">
        <v>-9172.56</v>
      </c>
      <c r="AE39" s="78">
        <v>-7749.24</v>
      </c>
      <c r="AF39" s="78">
        <v>-9610.4599999999991</v>
      </c>
      <c r="AG39" s="78">
        <v>81613.990000000005</v>
      </c>
      <c r="AH39" s="141">
        <v>-10000</v>
      </c>
      <c r="AI39" s="194">
        <f t="shared" si="23"/>
        <v>-17189.479999999996</v>
      </c>
      <c r="AJ39" s="194">
        <v>-199289.95966408541</v>
      </c>
    </row>
    <row r="40" spans="4:36" ht="15" customHeight="1">
      <c r="D40" s="52"/>
      <c r="E40" s="52"/>
      <c r="F40" s="58"/>
      <c r="G40" s="52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67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142"/>
      <c r="AI40" s="206"/>
      <c r="AJ40" s="206"/>
    </row>
    <row r="41" spans="4:36" s="57" customFormat="1" ht="15" hidden="1" customHeight="1">
      <c r="D41" s="48" t="s">
        <v>59</v>
      </c>
      <c r="E41" s="48"/>
      <c r="F41" s="50">
        <f>+F39+F38+F37+F33</f>
        <v>23590019.014420308</v>
      </c>
      <c r="G41" s="48"/>
      <c r="H41" s="81">
        <f t="shared" ref="H41:S41" si="24">+H39+H38+H37+H33</f>
        <v>2269885.5999999996</v>
      </c>
      <c r="I41" s="81">
        <f t="shared" si="24"/>
        <v>3198344.9400000018</v>
      </c>
      <c r="J41" s="81">
        <f t="shared" si="24"/>
        <v>6993749.0300000012</v>
      </c>
      <c r="K41" s="81">
        <f t="shared" si="24"/>
        <v>11983183.390000001</v>
      </c>
      <c r="L41" s="81">
        <f t="shared" si="24"/>
        <v>8156902.0200000033</v>
      </c>
      <c r="M41" s="81">
        <f t="shared" si="24"/>
        <v>16948131.030000001</v>
      </c>
      <c r="N41" s="81">
        <f t="shared" si="24"/>
        <v>20864247.49000001</v>
      </c>
      <c r="O41" s="81">
        <f t="shared" si="24"/>
        <v>33839352.340000004</v>
      </c>
      <c r="P41" s="81">
        <f t="shared" si="24"/>
        <v>10594460.039999994</v>
      </c>
      <c r="Q41" s="81">
        <f t="shared" si="24"/>
        <v>14188776.659999991</v>
      </c>
      <c r="R41" s="81">
        <f t="shared" si="24"/>
        <v>15617117.280943241</v>
      </c>
      <c r="S41" s="81">
        <f t="shared" si="24"/>
        <v>23590019.014420308</v>
      </c>
      <c r="T41" s="81">
        <f>+T39+T38+T37+T33</f>
        <v>9033259.0347039402</v>
      </c>
      <c r="U41" s="66"/>
      <c r="V41" s="81">
        <f>+T41-F41</f>
        <v>-14556759.979716368</v>
      </c>
      <c r="W41" s="81">
        <f>+W39+W38+W37+W33</f>
        <v>347018.83083333261</v>
      </c>
      <c r="X41" s="81">
        <f t="shared" ref="X41:AI41" si="25">+X39+X38+X37+X33</f>
        <v>85038.905075757648</v>
      </c>
      <c r="Y41" s="81">
        <f t="shared" si="25"/>
        <v>-596523.89999999746</v>
      </c>
      <c r="Z41" s="81">
        <f t="shared" si="25"/>
        <v>-916486.6700000125</v>
      </c>
      <c r="AA41" s="81">
        <f t="shared" si="25"/>
        <v>1187374.3700000169</v>
      </c>
      <c r="AB41" s="81">
        <f t="shared" si="25"/>
        <v>264832.30999999668</v>
      </c>
      <c r="AC41" s="81">
        <f t="shared" si="25"/>
        <v>1725368.7800000033</v>
      </c>
      <c r="AD41" s="81">
        <f t="shared" si="25"/>
        <v>297775.13999999384</v>
      </c>
      <c r="AE41" s="81">
        <f t="shared" si="25"/>
        <v>1615254.2700000131</v>
      </c>
      <c r="AF41" s="81">
        <f t="shared" si="25"/>
        <v>1435669.679999999</v>
      </c>
      <c r="AG41" s="81">
        <f t="shared" si="25"/>
        <v>1771427.3599999826</v>
      </c>
      <c r="AH41" s="143">
        <f t="shared" si="25"/>
        <v>1709563.3307061903</v>
      </c>
      <c r="AI41" s="207">
        <f t="shared" si="25"/>
        <v>8926312.4066152591</v>
      </c>
      <c r="AJ41" s="207">
        <f t="shared" ref="AJ41" si="26">+AJ39+AJ38+AJ37+AJ33</f>
        <v>9458879.4353783</v>
      </c>
    </row>
    <row r="42" spans="4:36" ht="15" hidden="1" customHeight="1">
      <c r="D42" s="59" t="s">
        <v>50</v>
      </c>
      <c r="E42" s="82"/>
      <c r="F42" s="61">
        <f>IF(F$6=0,0,+F41/F$6)</f>
        <v>0.12339038996376264</v>
      </c>
      <c r="G42" s="82"/>
      <c r="H42" s="61">
        <f t="shared" ref="H42:S42" si="27">IF(H$6=0,0,+H41/H$6)</f>
        <v>0.20569355842236142</v>
      </c>
      <c r="I42" s="61">
        <f t="shared" si="27"/>
        <v>8.9929873524898507E-2</v>
      </c>
      <c r="J42" s="61">
        <f t="shared" si="27"/>
        <v>0.12440928517573376</v>
      </c>
      <c r="K42" s="61">
        <f t="shared" si="27"/>
        <v>0.13311456592679269</v>
      </c>
      <c r="L42" s="61">
        <f t="shared" si="27"/>
        <v>0.11466635744924174</v>
      </c>
      <c r="M42" s="61">
        <f t="shared" si="27"/>
        <v>0.19078334896630456</v>
      </c>
      <c r="N42" s="61">
        <f t="shared" si="27"/>
        <v>0.17493732860906883</v>
      </c>
      <c r="O42" s="61">
        <f t="shared" si="27"/>
        <v>0.19736622695823147</v>
      </c>
      <c r="P42" s="61">
        <f t="shared" si="27"/>
        <v>9.4789522732034878E-2</v>
      </c>
      <c r="Q42" s="61">
        <f t="shared" si="27"/>
        <v>0.1304695841940835</v>
      </c>
      <c r="R42" s="61">
        <f t="shared" si="27"/>
        <v>0.10473446530636506</v>
      </c>
      <c r="S42" s="61">
        <f t="shared" si="27"/>
        <v>0.12339038996376264</v>
      </c>
      <c r="T42" s="61">
        <f>IF(T$6=0,0,+T41/T$6)</f>
        <v>0.10996312181983409</v>
      </c>
      <c r="V42" s="62"/>
      <c r="W42" s="61">
        <f>IF(W$6=0,0,+W41/W$6)</f>
        <v>6.5156374207084103E-2</v>
      </c>
      <c r="X42" s="61">
        <f t="shared" ref="X42:AI42" si="28">IF(X$6=0,0,+X41/X$6)</f>
        <v>1.4068024601288025E-2</v>
      </c>
      <c r="Y42" s="61">
        <f t="shared" si="28"/>
        <v>-3.0380896177345698E-2</v>
      </c>
      <c r="Z42" s="61">
        <f t="shared" si="28"/>
        <v>-0.22606958845785216</v>
      </c>
      <c r="AA42" s="61">
        <f t="shared" si="28"/>
        <v>0.15316598987053473</v>
      </c>
      <c r="AB42" s="61">
        <f t="shared" si="28"/>
        <v>6.0524476454532038E-2</v>
      </c>
      <c r="AC42" s="61">
        <f t="shared" si="28"/>
        <v>0.16447211905534467</v>
      </c>
      <c r="AD42" s="61">
        <f t="shared" si="28"/>
        <v>3.0124677988941993E-2</v>
      </c>
      <c r="AE42" s="61">
        <f t="shared" si="28"/>
        <v>0.23863272598351723</v>
      </c>
      <c r="AF42" s="61">
        <f t="shared" si="28"/>
        <v>0.24337894713678118</v>
      </c>
      <c r="AG42" s="61">
        <f t="shared" si="28"/>
        <v>0.1357190719710267</v>
      </c>
      <c r="AH42" s="134">
        <f t="shared" si="28"/>
        <v>0.13380342240861343</v>
      </c>
      <c r="AI42" s="203">
        <f t="shared" si="28"/>
        <v>8.4163587269833237E-2</v>
      </c>
      <c r="AJ42" s="203">
        <f t="shared" ref="AJ42" si="29">IF(AJ$6=0,0,+AJ41/AJ$6)</f>
        <v>8.1876160767295855E-2</v>
      </c>
    </row>
    <row r="43" spans="4:36" ht="15" hidden="1" customHeight="1">
      <c r="D43" s="59" t="s">
        <v>55</v>
      </c>
      <c r="F43" s="60">
        <f>IF(F$16=0,0,+F42/F$16)</f>
        <v>3.5468086214956434E-10</v>
      </c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>
        <f>IF(T$16=0,0,+T42/T$16)</f>
        <v>6.030046341429436E-9</v>
      </c>
      <c r="V43" s="62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138"/>
      <c r="AI43" s="205"/>
      <c r="AJ43" s="205"/>
    </row>
    <row r="44" spans="4:36" ht="15" hidden="1" customHeight="1">
      <c r="F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135"/>
      <c r="AI44" s="204"/>
      <c r="AJ44" s="204"/>
    </row>
    <row r="45" spans="4:36" ht="15" hidden="1" customHeight="1">
      <c r="D45" s="63" t="s">
        <v>60</v>
      </c>
      <c r="E45" s="63"/>
      <c r="F45" s="38">
        <f>-'[5]tabelle effett'!F510</f>
        <v>0</v>
      </c>
      <c r="G45" s="63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>
        <f>-[5]recap!G66</f>
        <v>0</v>
      </c>
      <c r="U45" s="75"/>
      <c r="V45" s="74">
        <f>+T45-F45</f>
        <v>0</v>
      </c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139"/>
      <c r="AI45" s="208"/>
      <c r="AJ45" s="208"/>
    </row>
    <row r="46" spans="4:36" ht="15" hidden="1" customHeight="1">
      <c r="D46" s="68" t="s">
        <v>61</v>
      </c>
      <c r="E46" s="68"/>
      <c r="F46" s="35"/>
      <c r="G46" s="68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67"/>
      <c r="V46" s="83">
        <f>+T46-F46</f>
        <v>0</v>
      </c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144"/>
      <c r="AI46" s="209"/>
      <c r="AJ46" s="209"/>
    </row>
    <row r="47" spans="4:36" ht="15" hidden="1" customHeight="1" outlineLevel="1">
      <c r="D47" s="84" t="s">
        <v>62</v>
      </c>
      <c r="E47" s="84"/>
      <c r="F47" s="85"/>
      <c r="G47" s="84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67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145"/>
      <c r="AI47" s="210"/>
      <c r="AJ47" s="210"/>
    </row>
    <row r="48" spans="4:36" ht="15" hidden="1" customHeight="1" outlineLevel="1">
      <c r="D48" s="84" t="s">
        <v>63</v>
      </c>
      <c r="E48" s="84"/>
      <c r="F48" s="85"/>
      <c r="G48" s="84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67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145"/>
      <c r="AI48" s="210"/>
      <c r="AJ48" s="210"/>
    </row>
    <row r="49" spans="4:37" ht="15" hidden="1" customHeight="1" outlineLevel="1">
      <c r="D49" s="87" t="s">
        <v>64</v>
      </c>
      <c r="E49" s="87"/>
      <c r="F49" s="85"/>
      <c r="G49" s="87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67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145"/>
      <c r="AI49" s="210"/>
      <c r="AJ49" s="210"/>
    </row>
    <row r="50" spans="4:37" ht="15" hidden="1" customHeight="1" outlineLevel="1">
      <c r="D50" s="88" t="s">
        <v>65</v>
      </c>
      <c r="E50" s="88"/>
      <c r="F50" s="85"/>
      <c r="G50" s="88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67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145"/>
      <c r="AI50" s="210"/>
      <c r="AJ50" s="210"/>
    </row>
    <row r="51" spans="4:37" ht="15" hidden="1" customHeight="1" collapsed="1">
      <c r="F51" s="58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67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142"/>
      <c r="AI51" s="206"/>
      <c r="AJ51" s="206"/>
    </row>
    <row r="52" spans="4:37" ht="15" customHeight="1">
      <c r="D52" s="48" t="s">
        <v>66</v>
      </c>
      <c r="E52" s="48"/>
      <c r="F52" s="50">
        <f>+F41+F45+F46+F47+F48+F49+F50</f>
        <v>23590019.014420308</v>
      </c>
      <c r="G52" s="48"/>
      <c r="H52" s="81">
        <f t="shared" ref="H52:S52" si="30">+H41+H45+H46+H47+H48+H49+H50</f>
        <v>2269885.5999999996</v>
      </c>
      <c r="I52" s="81">
        <f t="shared" si="30"/>
        <v>3198344.9400000018</v>
      </c>
      <c r="J52" s="81">
        <f t="shared" si="30"/>
        <v>6993749.0300000012</v>
      </c>
      <c r="K52" s="81">
        <f t="shared" si="30"/>
        <v>11983183.390000001</v>
      </c>
      <c r="L52" s="81">
        <f t="shared" si="30"/>
        <v>8156902.0200000033</v>
      </c>
      <c r="M52" s="81">
        <f t="shared" si="30"/>
        <v>16948131.030000001</v>
      </c>
      <c r="N52" s="81">
        <f t="shared" si="30"/>
        <v>20864247.49000001</v>
      </c>
      <c r="O52" s="81">
        <f t="shared" si="30"/>
        <v>33839352.340000004</v>
      </c>
      <c r="P52" s="81">
        <f t="shared" si="30"/>
        <v>10594460.039999994</v>
      </c>
      <c r="Q52" s="81">
        <f t="shared" si="30"/>
        <v>14188776.659999991</v>
      </c>
      <c r="R52" s="81">
        <f t="shared" si="30"/>
        <v>15617117.280943241</v>
      </c>
      <c r="S52" s="81">
        <f t="shared" si="30"/>
        <v>23590019.014420308</v>
      </c>
      <c r="T52" s="81">
        <f>+T41+T45+T46+T47+T48+T49+T50</f>
        <v>9033259.0347039402</v>
      </c>
      <c r="U52" s="67"/>
      <c r="V52" s="81">
        <f>+T52-F52</f>
        <v>-14556759.979716368</v>
      </c>
      <c r="W52" s="81">
        <f>+W41+W45+W46+W47+W48+W49+W50</f>
        <v>347018.83083333261</v>
      </c>
      <c r="X52" s="81">
        <f t="shared" ref="X52:AI52" si="31">+X41+X45+X46+X47+X48+X49+X50</f>
        <v>85038.905075757648</v>
      </c>
      <c r="Y52" s="81">
        <f t="shared" si="31"/>
        <v>-596523.89999999746</v>
      </c>
      <c r="Z52" s="81">
        <f t="shared" si="31"/>
        <v>-916486.6700000125</v>
      </c>
      <c r="AA52" s="81">
        <f t="shared" si="31"/>
        <v>1187374.3700000169</v>
      </c>
      <c r="AB52" s="81">
        <f t="shared" si="31"/>
        <v>264832.30999999668</v>
      </c>
      <c r="AC52" s="81">
        <f t="shared" si="31"/>
        <v>1725368.7800000033</v>
      </c>
      <c r="AD52" s="81">
        <f t="shared" si="31"/>
        <v>297775.13999999384</v>
      </c>
      <c r="AE52" s="81">
        <f t="shared" si="31"/>
        <v>1615254.2700000131</v>
      </c>
      <c r="AF52" s="81">
        <f t="shared" si="31"/>
        <v>1435669.679999999</v>
      </c>
      <c r="AG52" s="81">
        <f t="shared" si="31"/>
        <v>1771427.3599999826</v>
      </c>
      <c r="AH52" s="143">
        <f t="shared" si="31"/>
        <v>1709563.3307061903</v>
      </c>
      <c r="AI52" s="207">
        <f t="shared" si="31"/>
        <v>8926312.4066152591</v>
      </c>
      <c r="AJ52" s="207">
        <f t="shared" ref="AJ52" si="32">+AJ41+AJ45+AJ46+AJ47+AJ48+AJ49+AJ50</f>
        <v>9458879.4353783</v>
      </c>
    </row>
    <row r="53" spans="4:37" ht="15" customHeight="1">
      <c r="D53" s="59" t="s">
        <v>50</v>
      </c>
      <c r="F53" s="60">
        <f>IF(F$6=0,0,+F52/F$6)</f>
        <v>0.12339038996376264</v>
      </c>
      <c r="H53" s="60">
        <f t="shared" ref="H53:S53" si="33">IF(H$6=0,0,+H52/H$6)</f>
        <v>0.20569355842236142</v>
      </c>
      <c r="I53" s="60">
        <f t="shared" si="33"/>
        <v>8.9929873524898507E-2</v>
      </c>
      <c r="J53" s="60">
        <f t="shared" si="33"/>
        <v>0.12440928517573376</v>
      </c>
      <c r="K53" s="60">
        <f t="shared" si="33"/>
        <v>0.13311456592679269</v>
      </c>
      <c r="L53" s="60">
        <f t="shared" si="33"/>
        <v>0.11466635744924174</v>
      </c>
      <c r="M53" s="60">
        <f t="shared" si="33"/>
        <v>0.19078334896630456</v>
      </c>
      <c r="N53" s="60">
        <f t="shared" si="33"/>
        <v>0.17493732860906883</v>
      </c>
      <c r="O53" s="60">
        <f t="shared" si="33"/>
        <v>0.19736622695823147</v>
      </c>
      <c r="P53" s="60">
        <f t="shared" si="33"/>
        <v>9.4789522732034878E-2</v>
      </c>
      <c r="Q53" s="171">
        <f>+[6]Income_statement!AE63</f>
        <v>0</v>
      </c>
      <c r="R53" s="60">
        <f t="shared" si="33"/>
        <v>0.10473446530636506</v>
      </c>
      <c r="S53" s="60">
        <f t="shared" si="33"/>
        <v>0.12339038996376264</v>
      </c>
      <c r="T53" s="60">
        <f>IF(T$6=0,0,+T52/T$6)</f>
        <v>0.10996312181983409</v>
      </c>
      <c r="V53" s="62"/>
      <c r="W53" s="60">
        <f>IF(W$6=0,0,+W52/W$6)</f>
        <v>6.5156374207084103E-2</v>
      </c>
      <c r="X53" s="60">
        <f t="shared" ref="X53:AI53" si="34">IF(X$6=0,0,+X52/X$6)</f>
        <v>1.4068024601288025E-2</v>
      </c>
      <c r="Y53" s="60">
        <f t="shared" si="34"/>
        <v>-3.0380896177345698E-2</v>
      </c>
      <c r="Z53" s="60">
        <f t="shared" si="34"/>
        <v>-0.22606958845785216</v>
      </c>
      <c r="AA53" s="60">
        <f t="shared" si="34"/>
        <v>0.15316598987053473</v>
      </c>
      <c r="AB53" s="60">
        <f t="shared" si="34"/>
        <v>6.0524476454532038E-2</v>
      </c>
      <c r="AC53" s="60">
        <f t="shared" si="34"/>
        <v>0.16447211905534467</v>
      </c>
      <c r="AD53" s="60">
        <f t="shared" si="34"/>
        <v>3.0124677988941993E-2</v>
      </c>
      <c r="AE53" s="60">
        <f t="shared" si="34"/>
        <v>0.23863272598351723</v>
      </c>
      <c r="AF53" s="60">
        <f t="shared" si="34"/>
        <v>0.24337894713678118</v>
      </c>
      <c r="AG53" s="60">
        <f t="shared" si="34"/>
        <v>0.1357190719710267</v>
      </c>
      <c r="AH53" s="138">
        <f t="shared" si="34"/>
        <v>0.13380342240861343</v>
      </c>
      <c r="AI53" s="205">
        <f t="shared" si="34"/>
        <v>8.4163587269833237E-2</v>
      </c>
      <c r="AJ53" s="205">
        <f t="shared" ref="AJ53" si="35">IF(AJ$6=0,0,+AJ52/AJ$6)</f>
        <v>8.1876160767295855E-2</v>
      </c>
    </row>
    <row r="54" spans="4:37" ht="15" customHeight="1">
      <c r="D54" s="52"/>
      <c r="E54" s="52"/>
      <c r="F54" s="62"/>
      <c r="G54" s="5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135"/>
      <c r="AI54" s="204"/>
      <c r="AJ54" s="204"/>
    </row>
    <row r="55" spans="4:37" ht="15" customHeight="1">
      <c r="D55" s="63" t="s">
        <v>67</v>
      </c>
      <c r="E55" s="63"/>
      <c r="F55" s="38">
        <v>-10424167.22841455</v>
      </c>
      <c r="G55" s="63"/>
      <c r="H55" s="74">
        <f>-H63-313293.35-67633.26+8972.61-816.55-1104585.7</f>
        <v>-1482626.43</v>
      </c>
      <c r="I55" s="74">
        <f>-I63-354987.07-76312.3-157123.36-2907985.46</f>
        <v>-3527601.79</v>
      </c>
      <c r="J55" s="74">
        <f>-16097.36-1859876.32-3546229.88</f>
        <v>-5422203.5600000005</v>
      </c>
      <c r="K55" s="74">
        <f>-K63-1880232.64-5127704.88</f>
        <v>-7050750.3200000003</v>
      </c>
      <c r="L55" s="74">
        <f>-L63-2000776.33-5834471.23</f>
        <v>-7913715.9900000002</v>
      </c>
      <c r="M55" s="74">
        <f>-11189798.8-M28-M63</f>
        <v>-11266324.460000001</v>
      </c>
      <c r="N55" s="74">
        <f>-N63-4894633.1-7474398.49+1785591</f>
        <v>-10719831.359999999</v>
      </c>
      <c r="O55" s="74">
        <f>-4716182.98-O63-11621983.73</f>
        <v>-16568497.43</v>
      </c>
      <c r="P55" s="74">
        <f>-4086103.61-P63-1304343</f>
        <v>-5488151.6699999999</v>
      </c>
      <c r="Q55" s="74">
        <f>-9787824.4-Q63-1272373</f>
        <v>-11171571.470000001</v>
      </c>
      <c r="R55" s="74">
        <f>-5969865.1356777-52811</f>
        <v>-6022676.1356776999</v>
      </c>
      <c r="S55" s="74">
        <v>-10424167.22841455</v>
      </c>
      <c r="T55" s="74">
        <v>-7789759.6644004565</v>
      </c>
      <c r="U55" s="67"/>
      <c r="V55" s="74">
        <f>+T55-F55</f>
        <v>2634407.564014094</v>
      </c>
      <c r="W55" s="74">
        <f>-'[5]tabelle effett'!H424</f>
        <v>-489124.82573333324</v>
      </c>
      <c r="X55" s="74">
        <f>-'[5]tabelle effett'!I424</f>
        <v>-459499.8676</v>
      </c>
      <c r="Y55" s="74">
        <f>-'[5]tabelle effett'!J424</f>
        <v>-464912.54759999999</v>
      </c>
      <c r="Z55" s="74">
        <f>-'[5]tabelle effett'!K424</f>
        <v>-494477.06239999994</v>
      </c>
      <c r="AA55" s="74">
        <f>-'[5]tabelle effett'!L424</f>
        <v>-468750.3824</v>
      </c>
      <c r="AB55" s="74">
        <f>-'[5]tabelle effett'!M424</f>
        <v>-473774.19760000001</v>
      </c>
      <c r="AC55" s="74">
        <f>-'[5]tabelle effett'!N424</f>
        <v>-497660.64000000007</v>
      </c>
      <c r="AD55" s="74">
        <f>-'[5]tabelle effett'!O424</f>
        <v>-491361.59999999986</v>
      </c>
      <c r="AE55" s="74">
        <f>-'[5]tabelle effett'!P424</f>
        <v>-442642.58999999997</v>
      </c>
      <c r="AF55" s="74">
        <f>-'[5]tabelle effett'!Q424</f>
        <v>-474007.40000000043</v>
      </c>
      <c r="AG55" s="74">
        <f>-'[5]tabelle effett'!R424</f>
        <v>-475721.15999999968</v>
      </c>
      <c r="AH55" s="139">
        <v>-410364.56897052866</v>
      </c>
      <c r="AI55" s="194">
        <f t="shared" ref="AI55:AJ58" si="36">SUM(W55:AH55)</f>
        <v>-5642296.8423038619</v>
      </c>
      <c r="AJ55" s="194">
        <v>-5760117.3739949185</v>
      </c>
    </row>
    <row r="56" spans="4:37" ht="15" customHeight="1">
      <c r="D56" s="76" t="s">
        <v>68</v>
      </c>
      <c r="E56" s="76"/>
      <c r="F56" s="77">
        <v>-1279328.54</v>
      </c>
      <c r="G56" s="76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>
        <v>-1282812.0900000001</v>
      </c>
      <c r="S56" s="77">
        <v>-1279328.54</v>
      </c>
      <c r="T56" s="77">
        <v>-812124.28</v>
      </c>
      <c r="U56" s="67"/>
      <c r="V56" s="77">
        <f>+T56-F56</f>
        <v>467204.26</v>
      </c>
      <c r="W56" s="74">
        <v>0</v>
      </c>
      <c r="X56" s="74">
        <v>-63279.06</v>
      </c>
      <c r="Y56" s="74">
        <f>-40451.95-110476.64-6078.37</f>
        <v>-157006.96</v>
      </c>
      <c r="Z56" s="74">
        <v>-56535.310000000027</v>
      </c>
      <c r="AA56" s="74">
        <v>-55818.58</v>
      </c>
      <c r="AB56" s="74">
        <f>-32329.51-98919.64</f>
        <v>-131249.15</v>
      </c>
      <c r="AC56" s="74">
        <v>1527.0699999999997</v>
      </c>
      <c r="AD56" s="74">
        <v>-37228.550000000003</v>
      </c>
      <c r="AE56" s="74">
        <v>-144155.88</v>
      </c>
      <c r="AF56" s="74">
        <v>-39005.75</v>
      </c>
      <c r="AG56" s="74">
        <v>176410.63</v>
      </c>
      <c r="AH56" s="139">
        <v>-80000</v>
      </c>
      <c r="AI56" s="194">
        <f t="shared" si="36"/>
        <v>-586341.54</v>
      </c>
      <c r="AJ56" s="194">
        <v>-797159.83865634166</v>
      </c>
      <c r="AK56" s="67"/>
    </row>
    <row r="57" spans="4:37" ht="15" customHeight="1">
      <c r="D57" s="76" t="s">
        <v>69</v>
      </c>
      <c r="E57" s="76"/>
      <c r="F57" s="43">
        <v>-298090.28000000003</v>
      </c>
      <c r="G57" s="76"/>
      <c r="H57" s="77">
        <f>-4486.29-112417.74</f>
        <v>-116904.03</v>
      </c>
      <c r="I57" s="77">
        <v>560155.61</v>
      </c>
      <c r="J57" s="77">
        <v>77027.948673321516</v>
      </c>
      <c r="K57" s="116">
        <v>426241.54</v>
      </c>
      <c r="L57" s="77">
        <v>804262.19</v>
      </c>
      <c r="M57" s="77">
        <v>183309.91</v>
      </c>
      <c r="N57" s="77"/>
      <c r="O57" s="77">
        <f>4913970.75-4132323</f>
        <v>781647.75</v>
      </c>
      <c r="P57" s="77">
        <v>-87244.800000000017</v>
      </c>
      <c r="Q57" s="77">
        <v>-430880.86000000132</v>
      </c>
      <c r="R57" s="77">
        <v>52630.570000000007</v>
      </c>
      <c r="S57" s="77">
        <v>-298090.28000000003</v>
      </c>
      <c r="T57" s="77">
        <v>60566.559999999925</v>
      </c>
      <c r="U57" s="67"/>
      <c r="V57" s="77">
        <f>+T57-F57</f>
        <v>358656.83999999997</v>
      </c>
      <c r="W57" s="74">
        <f>+'[3]16)_Income_stat_destination'!$I$34</f>
        <v>-52.43</v>
      </c>
      <c r="X57" s="74">
        <v>24661.94</v>
      </c>
      <c r="Y57" s="74">
        <f>23638.22-W57-X57</f>
        <v>-971.28999999999724</v>
      </c>
      <c r="Z57" s="74">
        <v>633.98999999999796</v>
      </c>
      <c r="AA57" s="74">
        <v>5727.7099999999991</v>
      </c>
      <c r="AB57" s="74">
        <f>42740.74-W57-X57-Y57-Z57-AA57</f>
        <v>12740.82</v>
      </c>
      <c r="AC57" s="74">
        <v>217645.65000000002</v>
      </c>
      <c r="AD57" s="74">
        <v>-16556.380000000005</v>
      </c>
      <c r="AE57" s="74">
        <v>60843.949999999953</v>
      </c>
      <c r="AF57" s="74">
        <f>72485.12-W57-X57-Y57-Z57-AA57-AB57-AC57-AD57-AE57</f>
        <v>-232188.84</v>
      </c>
      <c r="AG57" s="74">
        <f>-72485.12+208368.66-AG12</f>
        <v>15512.300000000003</v>
      </c>
      <c r="AH57" s="139"/>
      <c r="AI57" s="194">
        <f t="shared" si="36"/>
        <v>87997.419999999969</v>
      </c>
      <c r="AJ57" s="194">
        <v>199289.95966408541</v>
      </c>
      <c r="AK57" s="67"/>
    </row>
    <row r="58" spans="4:37" ht="15" customHeight="1">
      <c r="D58" s="76" t="s">
        <v>70</v>
      </c>
      <c r="E58" s="76"/>
      <c r="F58" s="43">
        <v>-392636.12</v>
      </c>
      <c r="G58" s="76"/>
      <c r="H58" s="77"/>
      <c r="I58" s="77"/>
      <c r="J58" s="77">
        <v>-1072393.05</v>
      </c>
      <c r="K58" s="77"/>
      <c r="L58" s="77"/>
      <c r="M58" s="77"/>
      <c r="N58" s="77"/>
      <c r="O58" s="77"/>
      <c r="P58" s="77">
        <v>-594713.86</v>
      </c>
      <c r="R58" s="77">
        <v>0</v>
      </c>
      <c r="S58" s="77">
        <v>-392636.12</v>
      </c>
      <c r="T58" s="77">
        <f>+'[7]16)_Income_stat_destination'!$I$32</f>
        <v>0</v>
      </c>
      <c r="U58" s="67"/>
      <c r="V58" s="77">
        <f>+T58-F58</f>
        <v>392636.12</v>
      </c>
      <c r="W58" s="74">
        <f>+T58</f>
        <v>0</v>
      </c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139"/>
      <c r="AI58" s="194">
        <f t="shared" si="36"/>
        <v>0</v>
      </c>
      <c r="AJ58" s="194">
        <f t="shared" si="36"/>
        <v>0</v>
      </c>
    </row>
    <row r="59" spans="4:37" ht="15" customHeight="1">
      <c r="D59" s="68" t="s">
        <v>71</v>
      </c>
      <c r="E59" s="68"/>
      <c r="F59" s="44">
        <f>-'[5]tabelle effett'!F516</f>
        <v>0</v>
      </c>
      <c r="G59" s="6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>
        <v>0</v>
      </c>
      <c r="T59" s="78">
        <f>+[5]recap!M66</f>
        <v>0</v>
      </c>
      <c r="U59" s="67"/>
      <c r="V59" s="78">
        <f>+T59-F59</f>
        <v>0</v>
      </c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141"/>
      <c r="AI59" s="211"/>
      <c r="AJ59" s="211"/>
    </row>
    <row r="60" spans="4:37" ht="15" customHeight="1">
      <c r="F60" s="58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67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142"/>
      <c r="AI60" s="206"/>
      <c r="AJ60" s="206"/>
    </row>
    <row r="61" spans="4:37" ht="15" customHeight="1">
      <c r="D61" s="48" t="s">
        <v>72</v>
      </c>
      <c r="E61" s="48"/>
      <c r="F61" s="50">
        <f>SUM(F52:F60)</f>
        <v>11195796.969396152</v>
      </c>
      <c r="G61" s="48"/>
      <c r="H61" s="81">
        <f t="shared" ref="H61:S61" si="37">SUM(H52:H60)</f>
        <v>670355.34569355799</v>
      </c>
      <c r="I61" s="81">
        <f t="shared" si="37"/>
        <v>230898.84992987534</v>
      </c>
      <c r="J61" s="81">
        <f t="shared" si="37"/>
        <v>576180.4930826074</v>
      </c>
      <c r="K61" s="81">
        <f t="shared" si="37"/>
        <v>5358674.7431145655</v>
      </c>
      <c r="L61" s="81">
        <f t="shared" si="37"/>
        <v>1047448.3346663606</v>
      </c>
      <c r="M61" s="81">
        <f t="shared" si="37"/>
        <v>5865116.6707833484</v>
      </c>
      <c r="N61" s="81">
        <f t="shared" si="37"/>
        <v>10144416.30493734</v>
      </c>
      <c r="O61" s="81">
        <f t="shared" si="37"/>
        <v>18052502.857366234</v>
      </c>
      <c r="P61" s="81">
        <f t="shared" si="37"/>
        <v>4424349.8047895171</v>
      </c>
      <c r="Q61" s="81">
        <f t="shared" si="37"/>
        <v>2586324.3299999889</v>
      </c>
      <c r="R61" s="81">
        <f t="shared" si="37"/>
        <v>8364259.7300000079</v>
      </c>
      <c r="S61" s="81">
        <f t="shared" si="37"/>
        <v>11195796.969396152</v>
      </c>
      <c r="T61" s="81">
        <f>SUM(T52:T60)</f>
        <v>491941.76026660448</v>
      </c>
      <c r="U61" s="67"/>
      <c r="V61" s="81">
        <f>+T61-F61</f>
        <v>-10703855.209129548</v>
      </c>
      <c r="W61" s="81">
        <f>SUM(W52:W60)</f>
        <v>-142158.35974362644</v>
      </c>
      <c r="X61" s="81">
        <f t="shared" ref="X61:AH61" si="38">SUM(X52:X60)</f>
        <v>-413078.06845621776</v>
      </c>
      <c r="Y61" s="81">
        <f t="shared" si="38"/>
        <v>-1219414.7279808936</v>
      </c>
      <c r="Z61" s="81">
        <f t="shared" si="38"/>
        <v>-1466865.2784696009</v>
      </c>
      <c r="AA61" s="81">
        <f t="shared" si="38"/>
        <v>668533.27076600667</v>
      </c>
      <c r="AB61" s="81">
        <f t="shared" si="38"/>
        <v>-327450.15707552683</v>
      </c>
      <c r="AC61" s="81">
        <f t="shared" si="38"/>
        <v>1446881.0244721221</v>
      </c>
      <c r="AD61" s="81">
        <f t="shared" si="38"/>
        <v>-247371.35987532802</v>
      </c>
      <c r="AE61" s="81">
        <f t="shared" si="38"/>
        <v>1089299.9886327391</v>
      </c>
      <c r="AF61" s="81">
        <f t="shared" si="38"/>
        <v>690467.93337894569</v>
      </c>
      <c r="AG61" s="81">
        <f t="shared" si="38"/>
        <v>1487629.265719055</v>
      </c>
      <c r="AH61" s="143">
        <f t="shared" si="38"/>
        <v>1219198.895539084</v>
      </c>
      <c r="AI61" s="207">
        <f>SUM(AI52:AI60)</f>
        <v>2785671.5284749847</v>
      </c>
      <c r="AJ61" s="207">
        <f>SUM(AJ52:AJ60)</f>
        <v>3100892.2642672858</v>
      </c>
    </row>
    <row r="62" spans="4:37" ht="15" customHeight="1">
      <c r="F62" s="61">
        <f>IF(F$6=0,0,+F61/F$6)</f>
        <v>5.8560942793833115E-2</v>
      </c>
      <c r="H62" s="61">
        <f t="shared" ref="H62:S62" si="39">IF(H$6=0,0,+H61/H$6)</f>
        <v>6.0746575273731937E-2</v>
      </c>
      <c r="I62" s="61">
        <f t="shared" si="39"/>
        <v>6.4923279886247029E-3</v>
      </c>
      <c r="J62" s="61">
        <f t="shared" si="39"/>
        <v>1.0249467484338508E-2</v>
      </c>
      <c r="K62" s="61">
        <f t="shared" si="39"/>
        <v>5.9526558107074308E-2</v>
      </c>
      <c r="L62" s="61">
        <f t="shared" si="39"/>
        <v>1.4724595791143982E-2</v>
      </c>
      <c r="M62" s="61">
        <f t="shared" si="39"/>
        <v>6.6023008587168669E-2</v>
      </c>
      <c r="N62" s="61">
        <f t="shared" si="39"/>
        <v>8.5056366856009646E-2</v>
      </c>
      <c r="O62" s="61">
        <f t="shared" si="39"/>
        <v>0.10529026502376215</v>
      </c>
      <c r="P62" s="61">
        <f t="shared" si="39"/>
        <v>3.9585028855851939E-2</v>
      </c>
      <c r="Q62" s="61">
        <f t="shared" si="39"/>
        <v>2.3781941742547687E-2</v>
      </c>
      <c r="R62" s="61">
        <f t="shared" si="39"/>
        <v>5.6093980389971314E-2</v>
      </c>
      <c r="S62" s="61">
        <f t="shared" si="39"/>
        <v>5.8560942793833115E-2</v>
      </c>
      <c r="T62" s="61">
        <f>IF(T$6=0,0,+T61/T$6)</f>
        <v>5.9884756436892313E-3</v>
      </c>
      <c r="U62" s="67"/>
      <c r="V62" s="80"/>
      <c r="W62" s="61">
        <f>IF(W$6=0,0,+W61/W$6)</f>
        <v>-2.6691702181918887E-2</v>
      </c>
      <c r="X62" s="61">
        <f t="shared" ref="X62:AI62" si="40">IF(X$6=0,0,+X61/X$6)</f>
        <v>-6.8335692047277172E-2</v>
      </c>
      <c r="Y62" s="61">
        <f t="shared" si="40"/>
        <v>-6.2104657077300562E-2</v>
      </c>
      <c r="Z62" s="61">
        <f t="shared" si="40"/>
        <v>-0.36183137265567744</v>
      </c>
      <c r="AA62" s="61">
        <f t="shared" si="40"/>
        <v>8.6237805670557111E-2</v>
      </c>
      <c r="AB62" s="61">
        <f t="shared" si="40"/>
        <v>-7.4835088369507446E-2</v>
      </c>
      <c r="AC62" s="61">
        <f t="shared" si="40"/>
        <v>0.13792505745693245</v>
      </c>
      <c r="AD62" s="61">
        <f t="shared" si="40"/>
        <v>-2.5025536248362092E-2</v>
      </c>
      <c r="AE62" s="61">
        <f t="shared" si="40"/>
        <v>0.16092984895885323</v>
      </c>
      <c r="AF62" s="61">
        <f t="shared" si="40"/>
        <v>0.11705015505898063</v>
      </c>
      <c r="AG62" s="61">
        <f t="shared" si="40"/>
        <v>0.11397569436904938</v>
      </c>
      <c r="AH62" s="134">
        <f t="shared" si="40"/>
        <v>9.5423773948487584E-2</v>
      </c>
      <c r="AI62" s="203">
        <f t="shared" si="40"/>
        <v>2.6265281575641751E-2</v>
      </c>
      <c r="AJ62" s="203">
        <f t="shared" ref="AJ62" si="41">IF(AJ$6=0,0,+AJ61/AJ$6)</f>
        <v>2.6841356345193575E-2</v>
      </c>
    </row>
    <row r="63" spans="4:37" ht="15" customHeight="1">
      <c r="D63" s="52" t="s">
        <v>73</v>
      </c>
      <c r="E63" s="52"/>
      <c r="F63" s="58">
        <v>617565.49000000011</v>
      </c>
      <c r="G63" s="52"/>
      <c r="H63" s="80">
        <v>5270.18</v>
      </c>
      <c r="I63" s="80">
        <v>31193.599999999999</v>
      </c>
      <c r="J63" s="80">
        <v>16097.36</v>
      </c>
      <c r="K63" s="80">
        <v>42812.800000000003</v>
      </c>
      <c r="L63" s="80">
        <v>78468.429999999993</v>
      </c>
      <c r="M63" s="80">
        <v>76525.66</v>
      </c>
      <c r="N63" s="80">
        <v>136390.76999999999</v>
      </c>
      <c r="O63" s="80">
        <v>230330.72</v>
      </c>
      <c r="P63" s="80">
        <v>97705.06</v>
      </c>
      <c r="Q63" s="80">
        <v>111374.07</v>
      </c>
      <c r="R63" s="80">
        <v>103887.90000000001</v>
      </c>
      <c r="S63" s="80">
        <v>617565.49000000011</v>
      </c>
      <c r="T63" s="80">
        <v>867454.89</v>
      </c>
      <c r="U63" s="67"/>
      <c r="V63" s="80">
        <f>+T63-F63</f>
        <v>249889.39999999991</v>
      </c>
      <c r="W63" s="80">
        <v>104120.89</v>
      </c>
      <c r="X63" s="80">
        <v>104121.00000000001</v>
      </c>
      <c r="Y63" s="80">
        <v>104119.2</v>
      </c>
      <c r="Z63" s="80">
        <v>104091.25999999997</v>
      </c>
      <c r="AA63" s="80">
        <v>127928.96000000006</v>
      </c>
      <c r="AB63" s="80">
        <v>127759.31999999996</v>
      </c>
      <c r="AC63" s="80">
        <v>150714.31999999995</v>
      </c>
      <c r="AD63" s="80">
        <v>133059.26</v>
      </c>
      <c r="AE63" s="80">
        <f>+'[5]tabelle effett'!P414</f>
        <v>129076.45999999996</v>
      </c>
      <c r="AF63" s="80">
        <f>+'[5]tabelle effett'!Q414</f>
        <v>129075.42000000027</v>
      </c>
      <c r="AG63" s="80">
        <f>+'[5]tabelle effett'!R414</f>
        <v>129075.79999999981</v>
      </c>
      <c r="AH63" s="142">
        <v>138162.95934786199</v>
      </c>
      <c r="AI63" s="212">
        <f t="shared" ref="AI63" si="42">SUM(W63:AH63)</f>
        <v>1481304.8493478622</v>
      </c>
      <c r="AJ63" s="212">
        <v>1503825.6447102528</v>
      </c>
    </row>
    <row r="64" spans="4:37" ht="15" customHeight="1" thickBot="1">
      <c r="F64" s="58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67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142"/>
      <c r="AI64" s="206"/>
      <c r="AJ64" s="206"/>
    </row>
    <row r="65" spans="4:37" ht="15" customHeight="1" thickTop="1" thickBot="1">
      <c r="D65" s="89" t="s">
        <v>74</v>
      </c>
      <c r="E65" s="89"/>
      <c r="F65" s="90">
        <f>+F63+F61</f>
        <v>11813362.459396152</v>
      </c>
      <c r="G65" s="89"/>
      <c r="H65" s="91">
        <f t="shared" ref="H65:S65" si="43">+H63+H61</f>
        <v>675625.52569355804</v>
      </c>
      <c r="I65" s="91">
        <f t="shared" si="43"/>
        <v>262092.44992987535</v>
      </c>
      <c r="J65" s="91">
        <f t="shared" si="43"/>
        <v>592277.85308260738</v>
      </c>
      <c r="K65" s="91">
        <f t="shared" si="43"/>
        <v>5401487.5431145653</v>
      </c>
      <c r="L65" s="91">
        <f t="shared" si="43"/>
        <v>1125916.7646663606</v>
      </c>
      <c r="M65" s="91">
        <f t="shared" si="43"/>
        <v>5941642.3307833485</v>
      </c>
      <c r="N65" s="91">
        <f t="shared" si="43"/>
        <v>10280807.07493734</v>
      </c>
      <c r="O65" s="91">
        <f t="shared" si="43"/>
        <v>18282833.577366233</v>
      </c>
      <c r="P65" s="91">
        <f t="shared" si="43"/>
        <v>4522054.8647895167</v>
      </c>
      <c r="Q65" s="91">
        <f t="shared" si="43"/>
        <v>2697698.3999999887</v>
      </c>
      <c r="R65" s="91">
        <f t="shared" si="43"/>
        <v>8468147.6300000083</v>
      </c>
      <c r="S65" s="91">
        <f t="shared" si="43"/>
        <v>11813362.459396152</v>
      </c>
      <c r="T65" s="91">
        <f>+T63+T61</f>
        <v>1359396.6502666045</v>
      </c>
      <c r="U65" s="67"/>
      <c r="V65" s="91">
        <f>+T65-F65</f>
        <v>-10453965.809129547</v>
      </c>
      <c r="W65" s="91">
        <f>+W63+W61</f>
        <v>-38037.46974362644</v>
      </c>
      <c r="X65" s="91">
        <f t="shared" ref="X65:AI65" si="44">+X63+X61</f>
        <v>-308957.06845621776</v>
      </c>
      <c r="Y65" s="91">
        <f t="shared" si="44"/>
        <v>-1115295.5279808936</v>
      </c>
      <c r="Z65" s="91">
        <f t="shared" si="44"/>
        <v>-1362774.0184696009</v>
      </c>
      <c r="AA65" s="91">
        <f t="shared" si="44"/>
        <v>796462.23076600675</v>
      </c>
      <c r="AB65" s="91">
        <f t="shared" si="44"/>
        <v>-199690.83707552688</v>
      </c>
      <c r="AC65" s="91">
        <f t="shared" si="44"/>
        <v>1597595.3444721219</v>
      </c>
      <c r="AD65" s="91">
        <f t="shared" si="44"/>
        <v>-114312.09987532801</v>
      </c>
      <c r="AE65" s="91">
        <f t="shared" si="44"/>
        <v>1218376.448632739</v>
      </c>
      <c r="AF65" s="91">
        <f t="shared" si="44"/>
        <v>819543.35337894596</v>
      </c>
      <c r="AG65" s="91">
        <f t="shared" si="44"/>
        <v>1616705.0657190548</v>
      </c>
      <c r="AH65" s="146">
        <f t="shared" si="44"/>
        <v>1357361.854886946</v>
      </c>
      <c r="AI65" s="213">
        <f t="shared" si="44"/>
        <v>4266976.3778228471</v>
      </c>
      <c r="AJ65" s="213">
        <f t="shared" ref="AJ65" si="45">+AJ63+AJ61</f>
        <v>4604717.9089775383</v>
      </c>
      <c r="AK65" s="67"/>
    </row>
    <row r="66" spans="4:37" ht="15" customHeight="1" thickTop="1">
      <c r="D66" s="59" t="s">
        <v>50</v>
      </c>
      <c r="E66" s="82"/>
      <c r="F66" s="61">
        <f>IF(F$6=0,0,+F65/F$6)</f>
        <v>6.1791192273186267E-2</v>
      </c>
      <c r="G66" s="82"/>
      <c r="H66" s="61">
        <f t="shared" ref="H66:S66" si="46">IF(H$6=0,0,+H65/H$6)</f>
        <v>6.1224150917952226E-2</v>
      </c>
      <c r="I66" s="61">
        <f t="shared" si="46"/>
        <v>7.3694180321977627E-3</v>
      </c>
      <c r="J66" s="61">
        <f t="shared" si="46"/>
        <v>1.0535817629621953E-2</v>
      </c>
      <c r="K66" s="61">
        <f t="shared" si="46"/>
        <v>6.0002141856620061E-2</v>
      </c>
      <c r="L66" s="61">
        <f t="shared" si="46"/>
        <v>1.5827672550040837E-2</v>
      </c>
      <c r="M66" s="61">
        <f t="shared" si="46"/>
        <v>6.6884449985681202E-2</v>
      </c>
      <c r="N66" s="61">
        <f t="shared" si="46"/>
        <v>8.6199942101758117E-2</v>
      </c>
      <c r="O66" s="61">
        <f t="shared" si="46"/>
        <v>0.1066336567264821</v>
      </c>
      <c r="P66" s="61">
        <f t="shared" si="46"/>
        <v>4.0459204224010177E-2</v>
      </c>
      <c r="Q66" s="61">
        <f t="shared" si="46"/>
        <v>2.4806056009133284E-2</v>
      </c>
      <c r="R66" s="61">
        <f t="shared" si="46"/>
        <v>5.6790693071483808E-2</v>
      </c>
      <c r="S66" s="61">
        <f t="shared" si="46"/>
        <v>6.1791192273186267E-2</v>
      </c>
      <c r="T66" s="61">
        <f>IF(T$6=0,0,+T65/T$6)</f>
        <v>1.654812497687223E-2</v>
      </c>
      <c r="V66" s="80"/>
      <c r="W66" s="61">
        <f>IF(W$6=0,0,+W65/W$6)</f>
        <v>-7.1419283113678938E-3</v>
      </c>
      <c r="X66" s="61">
        <f t="shared" ref="X66:AI66" si="47">IF(X$6=0,0,+X65/X$6)</f>
        <v>-5.1110907835794188E-2</v>
      </c>
      <c r="Y66" s="61">
        <f t="shared" si="47"/>
        <v>-5.6801877749819631E-2</v>
      </c>
      <c r="Z66" s="61">
        <f t="shared" si="47"/>
        <v>-0.33615520181703451</v>
      </c>
      <c r="AA66" s="61">
        <f t="shared" si="47"/>
        <v>0.10274007006717516</v>
      </c>
      <c r="AB66" s="61">
        <f t="shared" si="47"/>
        <v>-4.5637117943666587E-2</v>
      </c>
      <c r="AC66" s="61">
        <f t="shared" si="47"/>
        <v>0.152292017071436</v>
      </c>
      <c r="AD66" s="61">
        <f t="shared" si="47"/>
        <v>-1.1564481840170083E-2</v>
      </c>
      <c r="AE66" s="61">
        <f t="shared" si="47"/>
        <v>0.17999921040997768</v>
      </c>
      <c r="AF66" s="61">
        <f t="shared" si="47"/>
        <v>0.13893139992920586</v>
      </c>
      <c r="AG66" s="61">
        <f t="shared" si="47"/>
        <v>0.12386492165857142</v>
      </c>
      <c r="AH66" s="134">
        <f t="shared" si="47"/>
        <v>0.1062374574656753</v>
      </c>
      <c r="AI66" s="203">
        <f t="shared" si="47"/>
        <v>4.0232071475233666E-2</v>
      </c>
      <c r="AJ66" s="203">
        <f t="shared" ref="AJ66" si="48">IF(AJ$6=0,0,+AJ65/AJ$6)</f>
        <v>3.9858487083931506E-2</v>
      </c>
    </row>
    <row r="67" spans="4:37" ht="15" customHeight="1">
      <c r="F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147"/>
      <c r="AI67" s="214"/>
      <c r="AJ67" s="214"/>
    </row>
    <row r="68" spans="4:37" ht="15" customHeight="1">
      <c r="D68" s="93" t="s">
        <v>75</v>
      </c>
      <c r="E68" s="94"/>
      <c r="F68" s="29">
        <v>-923539.24</v>
      </c>
      <c r="G68" s="94"/>
      <c r="H68" s="95"/>
      <c r="I68" s="95">
        <v>-122163.65</v>
      </c>
      <c r="J68" s="95"/>
      <c r="K68" s="95"/>
      <c r="L68" s="95"/>
      <c r="M68" s="95">
        <f>-61602.08-1637052.12</f>
        <v>-1698654.2000000002</v>
      </c>
      <c r="N68" s="95">
        <v>-522804.92</v>
      </c>
      <c r="O68" s="95">
        <v>-1527597.16</v>
      </c>
      <c r="P68" s="95">
        <v>-850429.99</v>
      </c>
      <c r="Q68" s="95">
        <v>-374983.43</v>
      </c>
      <c r="R68" s="95">
        <v>0</v>
      </c>
      <c r="S68" s="95">
        <v>-923539.24</v>
      </c>
      <c r="T68" s="95">
        <f>+[2]Income_statement!$S$128+[2]Income_statement!$S$130</f>
        <v>-851437.71</v>
      </c>
      <c r="U68" s="67"/>
      <c r="V68" s="95">
        <f>+T68-F68</f>
        <v>72101.530000000028</v>
      </c>
      <c r="W68" s="95">
        <f>+[3]Income_statement!$S$128+[3]Income_statement!$S$130</f>
        <v>-63985.43</v>
      </c>
      <c r="X68" s="95">
        <v>-67872.19</v>
      </c>
      <c r="Y68" s="95">
        <f>-224658.87-W68-X68</f>
        <v>-92801.25</v>
      </c>
      <c r="Z68" s="95">
        <v>-77462.880000000005</v>
      </c>
      <c r="AA68" s="95">
        <v>-117715.27000000002</v>
      </c>
      <c r="AB68" s="95">
        <f>-215401.36-400959.58-W68-X68-Y68-Z68-AA68</f>
        <v>-196523.91999999987</v>
      </c>
      <c r="AC68" s="95">
        <f>-79690.64-449510.29-W68-X68-Y68-Z68-AA68-AB68</f>
        <v>87160.009999999951</v>
      </c>
      <c r="AD68" s="95">
        <f>-93057.31-600110.89-W68-X68-Y68-Z68-AA68-AB68-AC68</f>
        <v>-163967.2699999999</v>
      </c>
      <c r="AE68" s="95">
        <f>-(106794.9+663925.34)-W68-X68-Y68-Z68-AA68-AB68-AC68-AD68</f>
        <v>-77552.040000000037</v>
      </c>
      <c r="AF68" s="95">
        <f>-119236.19-499849.25-W68-X68-Y68-Z68-AA68-AB68-AC68-AD68-AE68</f>
        <v>151634.79999999999</v>
      </c>
      <c r="AG68" s="95">
        <f>-655559.2+619085.44</f>
        <v>-36473.760000000009</v>
      </c>
      <c r="AH68" s="148">
        <v>-5951.9349999999613</v>
      </c>
      <c r="AI68" s="215">
        <f t="shared" ref="AI68:AI71" si="49">SUM(W68:AH68)</f>
        <v>-661511.13499999989</v>
      </c>
      <c r="AJ68" s="215">
        <v>-508576.0500000001</v>
      </c>
    </row>
    <row r="69" spans="4:37" ht="15" customHeight="1">
      <c r="D69" s="96" t="s">
        <v>76</v>
      </c>
      <c r="E69" s="97"/>
      <c r="F69" s="32">
        <v>-959775.25</v>
      </c>
      <c r="G69" s="97"/>
      <c r="H69" s="98"/>
      <c r="I69" s="98"/>
      <c r="J69" s="98">
        <v>-504712.09</v>
      </c>
      <c r="K69" s="98">
        <v>-1327563.6299999999</v>
      </c>
      <c r="L69" s="98">
        <f>-1244266.26+225253.59</f>
        <v>-1019012.67</v>
      </c>
      <c r="M69" s="98">
        <v>-215242.56</v>
      </c>
      <c r="N69" s="98">
        <v>-1424764.09</v>
      </c>
      <c r="O69" s="98">
        <v>-1565452.44</v>
      </c>
      <c r="P69" s="98">
        <v>-1631806.7</v>
      </c>
      <c r="Q69" s="98">
        <v>-854863.04</v>
      </c>
      <c r="R69" s="98">
        <v>-1456994.2799999998</v>
      </c>
      <c r="S69" s="98">
        <v>-959775.25</v>
      </c>
      <c r="T69" s="98">
        <f>+[2]Income_statement!$S$127</f>
        <v>-479050.36</v>
      </c>
      <c r="U69" s="67"/>
      <c r="V69" s="98">
        <f>+T69-F69</f>
        <v>480724.89</v>
      </c>
      <c r="W69" s="95">
        <f>+[3]Income_statement!$S$127</f>
        <v>-19371.330000000002</v>
      </c>
      <c r="X69" s="95">
        <v>-47536.740000000005</v>
      </c>
      <c r="Y69" s="95">
        <f>-133679.32-W69-X69</f>
        <v>-66771.25</v>
      </c>
      <c r="Z69" s="95">
        <v>-47924.780000000013</v>
      </c>
      <c r="AA69" s="95">
        <v>-18407.079999999973</v>
      </c>
      <c r="AB69" s="95">
        <f>-64180.65-W69-X69-Y69-Z69-AA69</f>
        <v>135830.53</v>
      </c>
      <c r="AC69" s="95">
        <f>-256265.09-W69-X69-Y69-Z69-AA69-AB69</f>
        <v>-192084.44000000003</v>
      </c>
      <c r="AD69" s="95">
        <f>-307397.11-W69-X69-Y69-Z69-AA69-AB69-AC69</f>
        <v>-51132.01999999996</v>
      </c>
      <c r="AE69" s="95">
        <f>-358465.63-W69-X69-Y69-Z69-AA69-AB69-AC69-AD69</f>
        <v>-51068.51999999999</v>
      </c>
      <c r="AF69" s="95">
        <f>-390493.37-W69-X69-Y69-Z69-AA69-AB69-AC69-AD69-AE69</f>
        <v>-32027.739999999991</v>
      </c>
      <c r="AG69" s="95">
        <f>-406991.1+390493.37</f>
        <v>-16497.729999999981</v>
      </c>
      <c r="AH69" s="148">
        <v>-15265.294666666668</v>
      </c>
      <c r="AI69" s="215">
        <f t="shared" si="49"/>
        <v>-422256.39466666663</v>
      </c>
      <c r="AJ69" s="215">
        <v>-404261.51</v>
      </c>
    </row>
    <row r="70" spans="4:37" ht="15" customHeight="1">
      <c r="D70" s="96" t="s">
        <v>77</v>
      </c>
      <c r="E70" s="97"/>
      <c r="F70" s="32">
        <v>-363006.51999999955</v>
      </c>
      <c r="G70" s="97"/>
      <c r="H70" s="98">
        <v>-144484.35</v>
      </c>
      <c r="I70" s="98">
        <v>-299297.77</v>
      </c>
      <c r="J70" s="98">
        <v>-23008.11</v>
      </c>
      <c r="K70" s="98">
        <v>-105094.9</v>
      </c>
      <c r="L70" s="98">
        <v>424986.04</v>
      </c>
      <c r="M70" s="98">
        <v>-1114369.1499999999</v>
      </c>
      <c r="N70" s="98">
        <v>-1051418.46</v>
      </c>
      <c r="O70" s="98">
        <v>-1882325.9</v>
      </c>
      <c r="P70" s="98">
        <v>-662735.43999999994</v>
      </c>
      <c r="Q70" s="98">
        <v>-142628.04999999999</v>
      </c>
      <c r="R70" s="98">
        <v>-1174762.8500000001</v>
      </c>
      <c r="S70" s="98">
        <v>-363006.51999999955</v>
      </c>
      <c r="T70" s="98">
        <f>+[2]Income_statement!$S$115+[2]Income_statement!$S$129</f>
        <v>-1572980.1400000006</v>
      </c>
      <c r="U70" s="67"/>
      <c r="V70" s="98">
        <f>+T70-F70</f>
        <v>-1209973.620000001</v>
      </c>
      <c r="W70" s="95">
        <f>+[3]Income_statement!$S$115+[3]Income_statement!$S$129</f>
        <v>-87940.989999999991</v>
      </c>
      <c r="X70" s="95">
        <v>-35339.030000000028</v>
      </c>
      <c r="Y70" s="95">
        <f>-202654.79-W70-X70</f>
        <v>-79374.76999999999</v>
      </c>
      <c r="Z70" s="95">
        <v>30048.950000000157</v>
      </c>
      <c r="AA70" s="95">
        <v>30316.349999999627</v>
      </c>
      <c r="AB70" s="95">
        <f>4066191.54-3854675.58-W70-X70-Y70-Z70-AA70</f>
        <v>353805.45000000019</v>
      </c>
      <c r="AC70" s="95">
        <v>-384031.93</v>
      </c>
      <c r="AD70" s="95">
        <f>-6181707.89+6207768.12-W70-X70-Y70-Z70-AA70-AB70-AC70</f>
        <v>198576.20000000048</v>
      </c>
      <c r="AE70" s="95">
        <v>-738023.47</v>
      </c>
      <c r="AF70" s="95">
        <v>223054.49</v>
      </c>
      <c r="AG70" s="95">
        <f>-497127.9+510533.54</f>
        <v>13405.639999999956</v>
      </c>
      <c r="AH70" s="148">
        <v>-160135.99</v>
      </c>
      <c r="AI70" s="215">
        <f t="shared" si="49"/>
        <v>-635639.09999999963</v>
      </c>
      <c r="AJ70" s="215">
        <v>-710995.99999999988</v>
      </c>
      <c r="AK70" s="99"/>
    </row>
    <row r="71" spans="4:37" ht="15" customHeight="1">
      <c r="D71" s="100" t="s">
        <v>78</v>
      </c>
      <c r="E71" s="101"/>
      <c r="F71" s="35"/>
      <c r="G71" s="101"/>
      <c r="H71" s="83">
        <v>-56070.41</v>
      </c>
      <c r="I71" s="83">
        <v>-34968.68</v>
      </c>
      <c r="J71" s="83"/>
      <c r="K71" s="83"/>
      <c r="L71" s="83"/>
      <c r="M71" s="83"/>
      <c r="N71" s="83"/>
      <c r="O71" s="83"/>
      <c r="P71" s="83">
        <v>48373.919999999984</v>
      </c>
      <c r="Q71" s="83">
        <v>5323.71</v>
      </c>
      <c r="R71" s="83"/>
      <c r="S71" s="83"/>
      <c r="T71" s="83">
        <f>+[2]Income_statement!$S$112</f>
        <v>253057.88</v>
      </c>
      <c r="U71" s="67"/>
      <c r="V71" s="83">
        <f>+T71-F71</f>
        <v>253057.88</v>
      </c>
      <c r="W71" s="83"/>
      <c r="X71" s="83"/>
      <c r="Y71" s="83"/>
      <c r="Z71" s="83">
        <v>84356.060000000012</v>
      </c>
      <c r="AA71" s="83">
        <v>1556.7499999999854</v>
      </c>
      <c r="AB71" s="83">
        <f>87468.43-W71-X71-Y71-Z71-AA71</f>
        <v>1555.6199999999953</v>
      </c>
      <c r="AC71" s="83">
        <v>0</v>
      </c>
      <c r="AD71" s="83">
        <f>90688.01-W71-X71-Y71-Z71-AA71-AB71-AC71</f>
        <v>3219.5800000000017</v>
      </c>
      <c r="AE71" s="83">
        <f>92321.96-W71-X71-Y71-Z71-AA71-AB71-AC71-AD71</f>
        <v>1633.9500000000116</v>
      </c>
      <c r="AF71" s="83">
        <f>104013.88-Z71-AA71-AB71-AD71-AE71</f>
        <v>11691.919999999998</v>
      </c>
      <c r="AG71" s="83">
        <v>0</v>
      </c>
      <c r="AH71" s="144">
        <v>2000</v>
      </c>
      <c r="AI71" s="215">
        <f t="shared" si="49"/>
        <v>106013.88</v>
      </c>
      <c r="AJ71" s="215">
        <v>98321.960000000036</v>
      </c>
    </row>
    <row r="72" spans="4:37" ht="15" customHeight="1">
      <c r="D72" s="102" t="s">
        <v>79</v>
      </c>
      <c r="E72" s="103"/>
      <c r="F72" s="104">
        <f>SUM(F68:F71)</f>
        <v>-2246321.0099999998</v>
      </c>
      <c r="G72" s="103"/>
      <c r="H72" s="105">
        <f t="shared" ref="H72:S72" si="50">SUM(H68:H71)</f>
        <v>-200554.76</v>
      </c>
      <c r="I72" s="105">
        <f t="shared" si="50"/>
        <v>-456430.10000000003</v>
      </c>
      <c r="J72" s="105">
        <f t="shared" si="50"/>
        <v>-527720.20000000007</v>
      </c>
      <c r="K72" s="105">
        <f t="shared" si="50"/>
        <v>-1432658.5299999998</v>
      </c>
      <c r="L72" s="105">
        <f t="shared" si="50"/>
        <v>-594026.63000000012</v>
      </c>
      <c r="M72" s="105">
        <f t="shared" si="50"/>
        <v>-3028265.91</v>
      </c>
      <c r="N72" s="105">
        <f t="shared" si="50"/>
        <v>-2998987.4699999997</v>
      </c>
      <c r="O72" s="105">
        <f t="shared" si="50"/>
        <v>-4975375.5</v>
      </c>
      <c r="P72" s="105">
        <f t="shared" si="50"/>
        <v>-3096598.21</v>
      </c>
      <c r="Q72" s="105">
        <f t="shared" si="50"/>
        <v>-1367150.81</v>
      </c>
      <c r="R72" s="105">
        <f t="shared" si="50"/>
        <v>-2631757.13</v>
      </c>
      <c r="S72" s="105">
        <f t="shared" si="50"/>
        <v>-2246321.0099999998</v>
      </c>
      <c r="T72" s="105">
        <f>SUM(T68:T71)</f>
        <v>-2650410.3300000005</v>
      </c>
      <c r="U72" s="67"/>
      <c r="V72" s="105">
        <f>+T72-F72</f>
        <v>-404089.32000000076</v>
      </c>
      <c r="W72" s="105">
        <f>SUM(W68:W71)</f>
        <v>-171297.75</v>
      </c>
      <c r="X72" s="105">
        <f t="shared" ref="X72:AI72" si="51">SUM(X68:X71)</f>
        <v>-150747.96000000002</v>
      </c>
      <c r="Y72" s="105">
        <f t="shared" si="51"/>
        <v>-238947.27</v>
      </c>
      <c r="Z72" s="105">
        <f t="shared" si="51"/>
        <v>-10982.649999999849</v>
      </c>
      <c r="AA72" s="105">
        <f t="shared" si="51"/>
        <v>-104249.25000000036</v>
      </c>
      <c r="AB72" s="105">
        <f t="shared" si="51"/>
        <v>294667.68000000028</v>
      </c>
      <c r="AC72" s="105">
        <f t="shared" si="51"/>
        <v>-488956.3600000001</v>
      </c>
      <c r="AD72" s="105">
        <f t="shared" si="51"/>
        <v>-13303.509999999384</v>
      </c>
      <c r="AE72" s="105">
        <f t="shared" si="51"/>
        <v>-865010.08000000007</v>
      </c>
      <c r="AF72" s="105">
        <f t="shared" si="51"/>
        <v>354353.47</v>
      </c>
      <c r="AG72" s="105">
        <f t="shared" si="51"/>
        <v>-39565.850000000035</v>
      </c>
      <c r="AH72" s="149">
        <f t="shared" si="51"/>
        <v>-179353.21966666661</v>
      </c>
      <c r="AI72" s="216">
        <f t="shared" si="51"/>
        <v>-1613392.7496666661</v>
      </c>
      <c r="AJ72" s="216">
        <f t="shared" ref="AJ72" si="52">SUM(AJ68:AJ71)</f>
        <v>-1525511.6</v>
      </c>
    </row>
    <row r="73" spans="4:37" ht="15" customHeight="1">
      <c r="E73" s="106"/>
      <c r="F73" s="58"/>
      <c r="G73" s="106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67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142"/>
      <c r="AI73" s="206"/>
      <c r="AJ73" s="206"/>
    </row>
    <row r="74" spans="4:37" ht="15" customHeight="1">
      <c r="D74" s="46" t="s">
        <v>80</v>
      </c>
      <c r="E74" s="107"/>
      <c r="F74" s="108">
        <f>+F72+F61</f>
        <v>8949475.9593961518</v>
      </c>
      <c r="G74" s="107"/>
      <c r="H74" s="109">
        <f t="shared" ref="H74:S74" si="53">+H72+H61</f>
        <v>469800.58569355798</v>
      </c>
      <c r="I74" s="109">
        <f t="shared" si="53"/>
        <v>-225531.25007012469</v>
      </c>
      <c r="J74" s="109">
        <f t="shared" si="53"/>
        <v>48460.293082607328</v>
      </c>
      <c r="K74" s="109">
        <f t="shared" si="53"/>
        <v>3926016.2131145657</v>
      </c>
      <c r="L74" s="109">
        <f t="shared" si="53"/>
        <v>453421.70466636051</v>
      </c>
      <c r="M74" s="109">
        <f t="shared" si="53"/>
        <v>2836850.7607833482</v>
      </c>
      <c r="N74" s="109">
        <f t="shared" si="53"/>
        <v>7145428.8349373406</v>
      </c>
      <c r="O74" s="109">
        <f t="shared" si="53"/>
        <v>13077127.357366234</v>
      </c>
      <c r="P74" s="109">
        <f t="shared" si="53"/>
        <v>1327751.5947895171</v>
      </c>
      <c r="Q74" s="109">
        <f t="shared" si="53"/>
        <v>1219173.5199999888</v>
      </c>
      <c r="R74" s="109">
        <f t="shared" si="53"/>
        <v>5732502.600000008</v>
      </c>
      <c r="S74" s="109">
        <f t="shared" si="53"/>
        <v>8949475.9593961518</v>
      </c>
      <c r="T74" s="109">
        <f>+T72+T61</f>
        <v>-2158468.5697333962</v>
      </c>
      <c r="U74" s="67"/>
      <c r="V74" s="109">
        <f>+T74-F74</f>
        <v>-11107944.529129548</v>
      </c>
      <c r="W74" s="109">
        <f>+W72+W61</f>
        <v>-313456.10974362644</v>
      </c>
      <c r="X74" s="109">
        <f t="shared" ref="X74:AI74" si="54">+X72+X61</f>
        <v>-563826.02845621784</v>
      </c>
      <c r="Y74" s="109">
        <f t="shared" si="54"/>
        <v>-1458361.9979808936</v>
      </c>
      <c r="Z74" s="109">
        <f t="shared" si="54"/>
        <v>-1477847.9284696009</v>
      </c>
      <c r="AA74" s="109">
        <f t="shared" si="54"/>
        <v>564284.02076600632</v>
      </c>
      <c r="AB74" s="109">
        <f t="shared" si="54"/>
        <v>-32782.477075526549</v>
      </c>
      <c r="AC74" s="109">
        <f t="shared" si="54"/>
        <v>957924.66447212198</v>
      </c>
      <c r="AD74" s="109">
        <f t="shared" si="54"/>
        <v>-260674.86987532739</v>
      </c>
      <c r="AE74" s="109">
        <f t="shared" si="54"/>
        <v>224289.90863273898</v>
      </c>
      <c r="AF74" s="109">
        <f t="shared" si="54"/>
        <v>1044821.4033789457</v>
      </c>
      <c r="AG74" s="109">
        <f t="shared" si="54"/>
        <v>1448063.4157190549</v>
      </c>
      <c r="AH74" s="150">
        <f t="shared" si="54"/>
        <v>1039845.6758724174</v>
      </c>
      <c r="AI74" s="217">
        <f t="shared" si="54"/>
        <v>1172278.7788083185</v>
      </c>
      <c r="AJ74" s="217">
        <f t="shared" ref="AJ74" si="55">+AJ72+AJ61</f>
        <v>1575380.6642672857</v>
      </c>
    </row>
    <row r="75" spans="4:37" ht="15" customHeight="1">
      <c r="D75" s="46"/>
      <c r="E75" s="107"/>
      <c r="F75" s="58"/>
      <c r="G75" s="107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67"/>
      <c r="V75" s="80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133"/>
      <c r="AI75" s="202"/>
      <c r="AJ75" s="202"/>
    </row>
    <row r="76" spans="4:37" ht="15" customHeight="1">
      <c r="D76" s="110" t="s">
        <v>81</v>
      </c>
      <c r="E76" s="106"/>
      <c r="F76" s="80">
        <v>-4238999.24</v>
      </c>
      <c r="G76" s="106"/>
      <c r="H76" s="80">
        <v>-205618</v>
      </c>
      <c r="I76" s="80"/>
      <c r="J76" s="80">
        <v>-345142</v>
      </c>
      <c r="K76" s="80">
        <v>-1399003</v>
      </c>
      <c r="L76" s="80">
        <v>-756542.48</v>
      </c>
      <c r="M76" s="80">
        <v>-1522742.04</v>
      </c>
      <c r="N76" s="80">
        <v>-4205343.5999999996</v>
      </c>
      <c r="O76" s="80">
        <v>-4530995.2799999993</v>
      </c>
      <c r="P76" s="80">
        <v>-648764.19999999995</v>
      </c>
      <c r="Q76" s="80">
        <v>-1009608.17</v>
      </c>
      <c r="R76" s="80">
        <v>-1223723</v>
      </c>
      <c r="S76" s="80">
        <v>-4238999.24</v>
      </c>
      <c r="T76" s="80">
        <v>0</v>
      </c>
      <c r="U76" s="67"/>
      <c r="V76" s="80">
        <f>+T76-F76</f>
        <v>4238999.24</v>
      </c>
      <c r="W76" s="80">
        <v>0</v>
      </c>
      <c r="X76" s="80">
        <v>0</v>
      </c>
      <c r="Y76" s="80"/>
      <c r="Z76" s="80"/>
      <c r="AA76" s="80"/>
      <c r="AB76" s="80"/>
      <c r="AC76" s="80"/>
      <c r="AD76" s="80"/>
      <c r="AE76" s="80"/>
      <c r="AF76" s="80"/>
      <c r="AG76" s="80"/>
      <c r="AH76" s="142"/>
      <c r="AI76" s="206"/>
      <c r="AJ76" s="206">
        <v>-1648496.1363255633</v>
      </c>
    </row>
    <row r="77" spans="4:37" ht="15" customHeight="1">
      <c r="D77" s="111" t="s">
        <v>82</v>
      </c>
      <c r="E77" s="112"/>
      <c r="F77" s="113">
        <v>1255573.93</v>
      </c>
      <c r="G77" s="112"/>
      <c r="H77" s="113"/>
      <c r="I77" s="113">
        <v>34736</v>
      </c>
      <c r="J77" s="113">
        <v>-40866</v>
      </c>
      <c r="K77" s="113">
        <v>375825</v>
      </c>
      <c r="L77" s="113">
        <v>425898.4</v>
      </c>
      <c r="M77" s="113">
        <v>478238.63</v>
      </c>
      <c r="N77" s="113">
        <v>1583847.29</v>
      </c>
      <c r="O77" s="113">
        <v>405996</v>
      </c>
      <c r="P77" s="113">
        <v>341161.7</v>
      </c>
      <c r="Q77" s="113">
        <v>1068680.4099999999</v>
      </c>
      <c r="R77" s="113">
        <v>-1270490</v>
      </c>
      <c r="S77" s="113">
        <v>853543</v>
      </c>
      <c r="T77" s="113">
        <f>+[8]Income_statement!$S$152</f>
        <v>347172.13</v>
      </c>
      <c r="U77" s="67"/>
      <c r="V77" s="113">
        <f>+T77-F77</f>
        <v>-908401.79999999993</v>
      </c>
      <c r="W77" s="80">
        <f>+[3]Income_statement!$S$152</f>
        <v>0</v>
      </c>
      <c r="X77" s="80">
        <f>+[4]Income_statement!$S$153-W77</f>
        <v>0</v>
      </c>
      <c r="Y77" s="80">
        <v>678019.52</v>
      </c>
      <c r="Z77" s="80">
        <v>446960.59000000008</v>
      </c>
      <c r="AA77" s="80">
        <v>-166463.75000000012</v>
      </c>
      <c r="AB77" s="80">
        <f>968187.25-W77-X77-Y77-Z77-AA77</f>
        <v>9670.890000000014</v>
      </c>
      <c r="AC77" s="80">
        <f>833183.97-W77-X77-Y77-Z77-AA77-AB77-77268.87-70315.62</f>
        <v>-282587.77</v>
      </c>
      <c r="AD77" s="80">
        <f>762498.57-W77-X77-Y77-Z77-AA77-AB77-AC77</f>
        <v>76899.089999999967</v>
      </c>
      <c r="AE77" s="80">
        <f>692678.23-W77-X77-Y77-Z77-AA77-AB77-AC77-AD77</f>
        <v>-69820.339999999967</v>
      </c>
      <c r="AF77" s="80">
        <f>399331.97-SUM(W77:AE77)</f>
        <v>-293346.26</v>
      </c>
      <c r="AG77" s="80">
        <f>-39780.61-399332.97</f>
        <v>-439113.57999999996</v>
      </c>
      <c r="AH77" s="142">
        <v>-53510.16</v>
      </c>
      <c r="AI77" s="194">
        <f t="shared" ref="AI77" si="56">SUM(W77:AH77)</f>
        <v>-93291.76999999999</v>
      </c>
      <c r="AJ77" s="194">
        <v>1183758.8645201854</v>
      </c>
      <c r="AK77" s="114"/>
    </row>
    <row r="78" spans="4:37" ht="15" customHeight="1">
      <c r="D78" s="102" t="s">
        <v>83</v>
      </c>
      <c r="E78" s="103"/>
      <c r="F78" s="104">
        <f>+F77+F76</f>
        <v>-2983425.3100000005</v>
      </c>
      <c r="G78" s="103"/>
      <c r="H78" s="105">
        <f t="shared" ref="H78:S78" si="57">+H77+H76</f>
        <v>-205618</v>
      </c>
      <c r="I78" s="105">
        <f t="shared" si="57"/>
        <v>34736</v>
      </c>
      <c r="J78" s="105">
        <f t="shared" si="57"/>
        <v>-386008</v>
      </c>
      <c r="K78" s="105">
        <f t="shared" si="57"/>
        <v>-1023178</v>
      </c>
      <c r="L78" s="105">
        <f t="shared" si="57"/>
        <v>-330644.07999999996</v>
      </c>
      <c r="M78" s="105">
        <f t="shared" si="57"/>
        <v>-1044503.41</v>
      </c>
      <c r="N78" s="105">
        <f t="shared" si="57"/>
        <v>-2621496.3099999996</v>
      </c>
      <c r="O78" s="105">
        <f t="shared" si="57"/>
        <v>-4124999.2799999993</v>
      </c>
      <c r="P78" s="105">
        <f t="shared" si="57"/>
        <v>-307602.49999999994</v>
      </c>
      <c r="Q78" s="105">
        <f t="shared" si="57"/>
        <v>59072.239999999874</v>
      </c>
      <c r="R78" s="105">
        <f t="shared" si="57"/>
        <v>-2494213</v>
      </c>
      <c r="S78" s="105">
        <f t="shared" si="57"/>
        <v>-3385456.24</v>
      </c>
      <c r="T78" s="105">
        <f>+T77+T76</f>
        <v>347172.13</v>
      </c>
      <c r="U78" s="67"/>
      <c r="V78" s="105">
        <f>+T78-F78</f>
        <v>3330597.4400000004</v>
      </c>
      <c r="W78" s="105">
        <f>+W76+W77</f>
        <v>0</v>
      </c>
      <c r="X78" s="105">
        <f t="shared" ref="X78:AI78" si="58">+X76+X77</f>
        <v>0</v>
      </c>
      <c r="Y78" s="105">
        <f t="shared" si="58"/>
        <v>678019.52</v>
      </c>
      <c r="Z78" s="105">
        <f t="shared" si="58"/>
        <v>446960.59000000008</v>
      </c>
      <c r="AA78" s="105">
        <f t="shared" si="58"/>
        <v>-166463.75000000012</v>
      </c>
      <c r="AB78" s="105">
        <f t="shared" si="58"/>
        <v>9670.890000000014</v>
      </c>
      <c r="AC78" s="105">
        <f t="shared" si="58"/>
        <v>-282587.77</v>
      </c>
      <c r="AD78" s="105">
        <f t="shared" si="58"/>
        <v>76899.089999999967</v>
      </c>
      <c r="AE78" s="105">
        <f t="shared" si="58"/>
        <v>-69820.339999999967</v>
      </c>
      <c r="AF78" s="105">
        <f t="shared" si="58"/>
        <v>-293346.26</v>
      </c>
      <c r="AG78" s="105">
        <f t="shared" si="58"/>
        <v>-439113.57999999996</v>
      </c>
      <c r="AH78" s="149">
        <f t="shared" si="58"/>
        <v>-53510.16</v>
      </c>
      <c r="AI78" s="216">
        <f t="shared" si="58"/>
        <v>-93291.76999999999</v>
      </c>
      <c r="AJ78" s="216">
        <f t="shared" ref="AJ78" si="59">+AJ76+AJ77</f>
        <v>-464737.27180537791</v>
      </c>
    </row>
    <row r="79" spans="4:37" ht="15" customHeight="1" thickBot="1">
      <c r="E79" s="106"/>
      <c r="F79" s="58"/>
      <c r="G79" s="106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67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142"/>
      <c r="AI79" s="206"/>
      <c r="AJ79" s="206"/>
    </row>
    <row r="80" spans="4:37" ht="15" customHeight="1" thickTop="1" thickBot="1">
      <c r="D80" s="89" t="s">
        <v>84</v>
      </c>
      <c r="E80" s="115"/>
      <c r="F80" s="90">
        <f>+F78+F74</f>
        <v>5966050.6493961513</v>
      </c>
      <c r="G80" s="115"/>
      <c r="H80" s="91">
        <f t="shared" ref="H80:S80" si="60">+H78+H74</f>
        <v>264182.58569355798</v>
      </c>
      <c r="I80" s="91">
        <f t="shared" si="60"/>
        <v>-190795.25007012469</v>
      </c>
      <c r="J80" s="91">
        <f t="shared" si="60"/>
        <v>-337547.70691739267</v>
      </c>
      <c r="K80" s="91">
        <f t="shared" si="60"/>
        <v>2902838.2131145657</v>
      </c>
      <c r="L80" s="91">
        <f t="shared" si="60"/>
        <v>122777.62466636056</v>
      </c>
      <c r="M80" s="91">
        <f t="shared" si="60"/>
        <v>1792347.3507833481</v>
      </c>
      <c r="N80" s="91">
        <f t="shared" si="60"/>
        <v>4523932.524937341</v>
      </c>
      <c r="O80" s="91">
        <f t="shared" si="60"/>
        <v>8952128.0773662347</v>
      </c>
      <c r="P80" s="91">
        <f t="shared" si="60"/>
        <v>1020149.0947895171</v>
      </c>
      <c r="Q80" s="91">
        <f t="shared" si="60"/>
        <v>1278245.7599999886</v>
      </c>
      <c r="R80" s="91">
        <f t="shared" si="60"/>
        <v>3238289.600000008</v>
      </c>
      <c r="S80" s="91">
        <f t="shared" si="60"/>
        <v>5564019.7193961516</v>
      </c>
      <c r="T80" s="91">
        <f>+T78+T74</f>
        <v>-1811296.4397333963</v>
      </c>
      <c r="U80" s="67"/>
      <c r="V80" s="91">
        <f>+T80-F80</f>
        <v>-7777347.0891295476</v>
      </c>
      <c r="W80" s="91">
        <f>+W78+W74</f>
        <v>-313456.10974362644</v>
      </c>
      <c r="X80" s="91">
        <f t="shared" ref="X80:AI80" si="61">+X78+X74</f>
        <v>-563826.02845621784</v>
      </c>
      <c r="Y80" s="91">
        <f t="shared" si="61"/>
        <v>-780342.47798089357</v>
      </c>
      <c r="Z80" s="91">
        <f t="shared" si="61"/>
        <v>-1030887.3384696008</v>
      </c>
      <c r="AA80" s="91">
        <f t="shared" si="61"/>
        <v>397820.2707660062</v>
      </c>
      <c r="AB80" s="91">
        <f t="shared" si="61"/>
        <v>-23111.587075526535</v>
      </c>
      <c r="AC80" s="91">
        <f t="shared" si="61"/>
        <v>675336.89447212196</v>
      </c>
      <c r="AD80" s="91">
        <f t="shared" si="61"/>
        <v>-183775.77987532743</v>
      </c>
      <c r="AE80" s="91">
        <f t="shared" si="61"/>
        <v>154469.56863273901</v>
      </c>
      <c r="AF80" s="91">
        <f t="shared" si="61"/>
        <v>751475.14337894565</v>
      </c>
      <c r="AG80" s="91">
        <f t="shared" si="61"/>
        <v>1008949.8357190549</v>
      </c>
      <c r="AH80" s="146">
        <f t="shared" si="61"/>
        <v>986335.51587241737</v>
      </c>
      <c r="AI80" s="213">
        <f t="shared" si="61"/>
        <v>1078987.0088083185</v>
      </c>
      <c r="AJ80" s="213">
        <f t="shared" ref="AJ80" si="62">+AJ78+AJ74</f>
        <v>1110643.3924619078</v>
      </c>
    </row>
    <row r="81" spans="4:36" ht="15" customHeight="1" thickTop="1">
      <c r="D81" s="59" t="s">
        <v>50</v>
      </c>
      <c r="E81" s="82"/>
      <c r="F81" s="61">
        <f>IF(F$6=0,0,+F80/F$6)</f>
        <v>3.1206134921830643E-2</v>
      </c>
      <c r="G81" s="82"/>
      <c r="H81" s="61">
        <f t="shared" ref="H81:S81" si="63">IF(H$6=0,0,+H80/H$6)</f>
        <v>2.393982151546685E-2</v>
      </c>
      <c r="I81" s="61">
        <f t="shared" si="63"/>
        <v>-5.3647098827175549E-3</v>
      </c>
      <c r="J81" s="61">
        <f t="shared" si="63"/>
        <v>-6.0045147102313016E-3</v>
      </c>
      <c r="K81" s="61">
        <f t="shared" si="63"/>
        <v>3.2246026462126265E-2</v>
      </c>
      <c r="L81" s="61">
        <f t="shared" si="63"/>
        <v>1.7259571050679033E-3</v>
      </c>
      <c r="M81" s="61">
        <f t="shared" si="63"/>
        <v>2.017626778363012E-2</v>
      </c>
      <c r="N81" s="61">
        <f t="shared" si="63"/>
        <v>3.7931138954305881E-2</v>
      </c>
      <c r="O81" s="61">
        <f t="shared" si="63"/>
        <v>5.2212811998417243E-2</v>
      </c>
      <c r="P81" s="61">
        <f t="shared" si="63"/>
        <v>9.12735952993559E-3</v>
      </c>
      <c r="Q81" s="61">
        <f t="shared" si="63"/>
        <v>1.1753810550503715E-2</v>
      </c>
      <c r="R81" s="61">
        <f t="shared" si="63"/>
        <v>2.1717230117559765E-2</v>
      </c>
      <c r="S81" s="61">
        <f t="shared" si="63"/>
        <v>2.9103264500239628E-2</v>
      </c>
      <c r="T81" s="61">
        <f>IF(T$6=0,0,+T80/T$6)</f>
        <v>-2.2049164126595102E-2</v>
      </c>
      <c r="V81" s="18"/>
      <c r="W81" s="61">
        <f>IF(W$6=0,0,+W80/W$6)</f>
        <v>-5.8854626231398068E-2</v>
      </c>
      <c r="X81" s="61">
        <f t="shared" ref="X81:AI81" si="64">IF(X$6=0,0,+X80/X$6)</f>
        <v>-9.3273995380142485E-2</v>
      </c>
      <c r="Y81" s="61">
        <f t="shared" si="64"/>
        <v>-3.9742756000740793E-2</v>
      </c>
      <c r="Z81" s="61">
        <f t="shared" si="64"/>
        <v>-0.25428877907654673</v>
      </c>
      <c r="AA81" s="61">
        <f t="shared" si="64"/>
        <v>5.1317037913188764E-2</v>
      </c>
      <c r="AB81" s="61">
        <f t="shared" si="64"/>
        <v>-5.281895958161564E-3</v>
      </c>
      <c r="AC81" s="61">
        <f t="shared" si="64"/>
        <v>6.43770140028182E-2</v>
      </c>
      <c r="AD81" s="61">
        <f t="shared" si="64"/>
        <v>-1.8591834734461177E-2</v>
      </c>
      <c r="AE81" s="61">
        <f t="shared" si="64"/>
        <v>2.2820861661816388E-2</v>
      </c>
      <c r="AF81" s="61">
        <f t="shared" si="64"/>
        <v>0.12739227674922382</v>
      </c>
      <c r="AG81" s="61">
        <f t="shared" si="64"/>
        <v>7.7301355088650839E-2</v>
      </c>
      <c r="AH81" s="134">
        <f t="shared" si="64"/>
        <v>7.7198115621945479E-2</v>
      </c>
      <c r="AI81" s="203">
        <f t="shared" si="64"/>
        <v>1.0173452725176325E-2</v>
      </c>
      <c r="AJ81" s="203">
        <f t="shared" ref="AJ81" si="65">IF(AJ$6=0,0,+AJ80/AJ$6)</f>
        <v>9.613740990949542E-3</v>
      </c>
    </row>
    <row r="82" spans="4:36" ht="15" customHeight="1"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142"/>
      <c r="AI82" s="206"/>
      <c r="AJ82" s="206"/>
    </row>
    <row r="83" spans="4:36" ht="15" customHeight="1">
      <c r="F83" s="80"/>
      <c r="H83" s="116"/>
      <c r="I83" s="116"/>
      <c r="J83" s="116"/>
      <c r="L83" s="116"/>
      <c r="M83" s="116"/>
      <c r="N83" s="116"/>
      <c r="O83" s="116"/>
      <c r="P83" s="116"/>
      <c r="Q83" s="116"/>
      <c r="R83" s="116"/>
      <c r="S83" s="116"/>
      <c r="T83" s="116"/>
      <c r="W83" s="80"/>
      <c r="X83" s="80"/>
      <c r="Z83" s="80"/>
      <c r="AA83" s="80"/>
      <c r="AB83" s="80"/>
      <c r="AC83" s="80"/>
      <c r="AD83" s="80"/>
      <c r="AE83" s="80"/>
      <c r="AF83" s="80"/>
      <c r="AG83" s="80"/>
      <c r="AH83" s="142"/>
      <c r="AI83" s="218"/>
      <c r="AJ83" s="218"/>
    </row>
    <row r="84" spans="4:36" ht="15" customHeight="1">
      <c r="F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142"/>
      <c r="AI84" s="206"/>
      <c r="AJ84" s="206"/>
    </row>
    <row r="85" spans="4:36" ht="15" customHeight="1">
      <c r="Y85" s="106"/>
      <c r="AI85" s="219"/>
      <c r="AJ85" s="219"/>
    </row>
    <row r="86" spans="4:36" ht="15" customHeight="1">
      <c r="AI86" s="185"/>
      <c r="AJ86" s="185"/>
    </row>
    <row r="87" spans="4:36" ht="15" customHeight="1"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AI87" s="220"/>
      <c r="AJ87" s="220"/>
    </row>
    <row r="88" spans="4:36" ht="15" customHeight="1"/>
    <row r="89" spans="4:36" ht="15" customHeight="1"/>
    <row r="90" spans="4:36" ht="15" customHeight="1"/>
    <row r="91" spans="4:36" ht="15" customHeight="1"/>
    <row r="92" spans="4:36" ht="15" customHeight="1"/>
    <row r="93" spans="4:36" ht="15" customHeight="1"/>
    <row r="94" spans="4:36" ht="15" customHeight="1"/>
    <row r="95" spans="4:36" ht="15" customHeight="1"/>
    <row r="96" spans="4:3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99F6-FB89-423D-B107-6FDFA3248B59}">
  <dimension ref="A1:Q40"/>
  <sheetViews>
    <sheetView zoomScale="70" zoomScaleNormal="70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P35" sqref="P35"/>
    </sheetView>
  </sheetViews>
  <sheetFormatPr baseColWidth="10" defaultRowHeight="14.5"/>
  <cols>
    <col min="1" max="1" width="33.90625" bestFit="1" customWidth="1"/>
    <col min="2" max="2" width="44.90625" style="153" bestFit="1" customWidth="1"/>
    <col min="3" max="5" width="12.1796875" bestFit="1" customWidth="1"/>
    <col min="6" max="6" width="13.26953125" bestFit="1" customWidth="1"/>
    <col min="7" max="7" width="12.1796875" bestFit="1" customWidth="1"/>
    <col min="8" max="15" width="13.26953125" bestFit="1" customWidth="1"/>
    <col min="16" max="16" width="12.1796875" style="242" bestFit="1" customWidth="1"/>
    <col min="17" max="17" width="14.90625" style="242" bestFit="1" customWidth="1"/>
  </cols>
  <sheetData>
    <row r="1" spans="1:17" ht="18.5">
      <c r="A1" s="154" t="s">
        <v>143</v>
      </c>
      <c r="B1" s="154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241"/>
    </row>
    <row r="2" spans="1:17" s="153" customFormat="1" ht="18.5">
      <c r="A2" s="154"/>
      <c r="B2" s="154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41"/>
      <c r="Q2" s="242"/>
    </row>
    <row r="3" spans="1:17" ht="15.5">
      <c r="A3" s="154" t="s">
        <v>144</v>
      </c>
      <c r="B3" s="154" t="s">
        <v>190</v>
      </c>
      <c r="C3" s="16">
        <v>2008</v>
      </c>
      <c r="D3" s="16">
        <v>2009</v>
      </c>
      <c r="E3" s="16">
        <v>2010</v>
      </c>
      <c r="F3" s="16">
        <v>2011</v>
      </c>
      <c r="G3" s="16">
        <v>2012</v>
      </c>
      <c r="H3" s="16">
        <v>2013</v>
      </c>
      <c r="I3" s="16">
        <v>2014</v>
      </c>
      <c r="J3" s="16">
        <v>2015</v>
      </c>
      <c r="K3" s="16">
        <v>2016</v>
      </c>
      <c r="L3" s="16">
        <v>2017</v>
      </c>
      <c r="M3" s="16">
        <v>2018</v>
      </c>
      <c r="N3" s="16">
        <v>2019</v>
      </c>
      <c r="O3" s="16">
        <v>2020</v>
      </c>
      <c r="P3" s="249">
        <v>2021</v>
      </c>
      <c r="Q3" s="243">
        <v>2022</v>
      </c>
    </row>
    <row r="4" spans="1:17" s="153" customFormat="1" ht="15.5">
      <c r="A4" s="154" t="s">
        <v>145</v>
      </c>
      <c r="B4" s="15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50"/>
      <c r="Q4" s="244"/>
    </row>
    <row r="5" spans="1:17">
      <c r="A5" t="s">
        <v>194</v>
      </c>
      <c r="B5" s="153" t="s">
        <v>146</v>
      </c>
      <c r="C5" s="114">
        <f>+BS_soles!C18/BS_soles!C56</f>
        <v>6.1194451202341114</v>
      </c>
      <c r="D5" s="114">
        <f>+BS_soles!D18/BS_soles!D56</f>
        <v>1.0211191732713538</v>
      </c>
      <c r="E5" s="114">
        <f>+BS_soles!E18/BS_soles!E56</f>
        <v>1.0017693489100079</v>
      </c>
      <c r="F5" s="114">
        <f>+BS_soles!F18/BS_soles!F56</f>
        <v>1.1167653199865821</v>
      </c>
      <c r="G5" s="114">
        <f>+BS_soles!G18/BS_soles!G56</f>
        <v>1.0710694154908236</v>
      </c>
      <c r="H5" s="114">
        <f>+BS_soles!H18/BS_soles!H56</f>
        <v>1.1651336276864412</v>
      </c>
      <c r="I5" s="114">
        <f>+BS_soles!I18/BS_soles!I56</f>
        <v>1.0812349928796421</v>
      </c>
      <c r="J5" s="114">
        <f>+BS_soles!J18/BS_soles!J56</f>
        <v>1.1070660453365673</v>
      </c>
      <c r="K5" s="114">
        <f>+BS_soles!K18/BS_soles!K56</f>
        <v>1.1280998307534815</v>
      </c>
      <c r="L5" s="114">
        <f>+BS_soles!L18/BS_soles!L56</f>
        <v>1.1076381647116984</v>
      </c>
      <c r="M5" s="114">
        <f>+BS_soles!M18/BS_soles!M56</f>
        <v>1.1059277551020716</v>
      </c>
      <c r="N5" s="114">
        <f>+BS_soles!N18/BS_soles!N56</f>
        <v>1.1672259959553835</v>
      </c>
      <c r="O5" s="114">
        <f>+BS_soles!O18/BS_soles!O56</f>
        <v>1.2919330530841977</v>
      </c>
      <c r="P5" s="252">
        <f>+BS_soles!P18/BS_soles!P56</f>
        <v>1.320509368106823</v>
      </c>
      <c r="Q5" s="246">
        <f>+BS_soles!Q18/BS_soles!Q56</f>
        <v>1.3769045234027626</v>
      </c>
    </row>
    <row r="6" spans="1:17">
      <c r="A6" t="s">
        <v>147</v>
      </c>
      <c r="B6" s="153" t="s">
        <v>148</v>
      </c>
      <c r="C6" s="114">
        <f>+(BS_soles!C18-BS_soles!C17)/BS_soles!C56</f>
        <v>5.9306857632986443</v>
      </c>
      <c r="D6" s="114">
        <f>+(BS_soles!D18-BS_soles!D17)/BS_soles!D56</f>
        <v>0.8084928694459379</v>
      </c>
      <c r="E6" s="114">
        <f>+(BS_soles!E18-BS_soles!E17)/BS_soles!E56</f>
        <v>0.68594099286568033</v>
      </c>
      <c r="F6" s="114">
        <f>+(BS_soles!F18-BS_soles!F17)/BS_soles!F56</f>
        <v>0.75897713826297009</v>
      </c>
      <c r="G6" s="114">
        <f>+(BS_soles!G18-BS_soles!G17)/BS_soles!G56</f>
        <v>0.80506826396091524</v>
      </c>
      <c r="H6" s="114">
        <f>+(BS_soles!H18-BS_soles!H17)/BS_soles!H56</f>
        <v>0.8383367297736154</v>
      </c>
      <c r="I6" s="114">
        <f>+(BS_soles!I18-BS_soles!I17)/BS_soles!I56</f>
        <v>0.98109422850467398</v>
      </c>
      <c r="J6" s="114">
        <f>+(BS_soles!J18-BS_soles!J17)/BS_soles!J56</f>
        <v>0.98408532964266304</v>
      </c>
      <c r="K6" s="114">
        <f>+(BS_soles!K18-BS_soles!K17)/BS_soles!K56</f>
        <v>0.98982830063391858</v>
      </c>
      <c r="L6" s="114">
        <f>+(BS_soles!L18-BS_soles!L17)/BS_soles!L56</f>
        <v>0.92804315170186036</v>
      </c>
      <c r="M6" s="114">
        <f>+(BS_soles!M18-BS_soles!M17)/BS_soles!M56</f>
        <v>1.0015012084419406</v>
      </c>
      <c r="N6" s="114">
        <f>+(BS_soles!N18-BS_soles!N17)/BS_soles!N56</f>
        <v>1.0322969984633574</v>
      </c>
      <c r="O6" s="114">
        <f>+(BS_soles!O18-BS_soles!O17)/BS_soles!O56</f>
        <v>1.1242009059449136</v>
      </c>
      <c r="P6" s="252">
        <f>+(BS_soles!P18-BS_soles!P17)/BS_soles!P56</f>
        <v>1.0405337980324947</v>
      </c>
      <c r="Q6" s="246">
        <f>+(BS_soles!Q18-BS_soles!Q17)/BS_soles!Q56</f>
        <v>1.1890969819975108</v>
      </c>
    </row>
    <row r="7" spans="1:17">
      <c r="A7" t="s">
        <v>149</v>
      </c>
      <c r="B7" s="153" t="s">
        <v>150</v>
      </c>
      <c r="C7" s="158">
        <f>+BS_soles!C18-BS_soles!C56</f>
        <v>6305552.209999999</v>
      </c>
      <c r="D7" s="158">
        <f>+BS_soles!D18-BS_soles!D56</f>
        <v>326619.16999999993</v>
      </c>
      <c r="E7" s="158">
        <f>+BS_soles!E18-BS_soles!E56</f>
        <v>64663.320000000298</v>
      </c>
      <c r="F7" s="158">
        <f>+BS_soles!F18-BS_soles!F56</f>
        <v>2238456.3100000024</v>
      </c>
      <c r="G7" s="158">
        <f>+BS_soles!G18-BS_soles!G56</f>
        <v>1925930.5200000033</v>
      </c>
      <c r="H7" s="158">
        <f>+BS_soles!H18-BS_soles!H56</f>
        <v>3206590.6776800081</v>
      </c>
      <c r="I7" s="158">
        <f>+BS_soles!I18-BS_soles!I56</f>
        <v>4027568.2100000009</v>
      </c>
      <c r="J7" s="158">
        <f>+BS_soles!J18-BS_soles!J56</f>
        <v>7703007.0664380342</v>
      </c>
      <c r="K7" s="158">
        <f>+BS_soles!K18-BS_soles!K56</f>
        <v>4639387.6086400002</v>
      </c>
      <c r="L7" s="158">
        <f>+BS_soles!L18-BS_soles!L56</f>
        <v>4471375.7804524377</v>
      </c>
      <c r="M7" s="158">
        <f>+BS_soles!M18-BS_soles!M56</f>
        <v>8972455.4436737001</v>
      </c>
      <c r="N7" s="158">
        <f>+BS_soles!N18-BS_soles!N56</f>
        <v>13789981.620539993</v>
      </c>
      <c r="O7" s="158">
        <f>+BS_soles!O18-BS_soles!O56</f>
        <v>14778324.53876704</v>
      </c>
      <c r="P7" s="251">
        <f>+BS_soles!P18-BS_soles!P56</f>
        <v>19969623.202039376</v>
      </c>
      <c r="Q7" s="245">
        <f>+BS_soles!Q18-BS_soles!Q56</f>
        <v>21319475.417392835</v>
      </c>
    </row>
    <row r="8" spans="1:17">
      <c r="A8" t="s">
        <v>151</v>
      </c>
      <c r="B8" s="153" t="s">
        <v>152</v>
      </c>
      <c r="C8" s="114">
        <f>+BS_soles!C10/BS_soles!C56</f>
        <v>0.90416845875531737</v>
      </c>
      <c r="D8" s="114">
        <f>+BS_soles!D10/BS_soles!D56</f>
        <v>6.1526102250082801E-2</v>
      </c>
      <c r="E8" s="114">
        <f>+BS_soles!E10/BS_soles!E56</f>
        <v>4.8370609020969957E-2</v>
      </c>
      <c r="F8" s="114">
        <f>+BS_soles!F10/BS_soles!F56</f>
        <v>5.0792824220255148E-2</v>
      </c>
      <c r="G8" s="114">
        <f>+BS_soles!G10/BS_soles!G56</f>
        <v>0.16719124688011261</v>
      </c>
      <c r="H8" s="114">
        <f>+BS_soles!H10/BS_soles!H56</f>
        <v>7.8446859472354483E-2</v>
      </c>
      <c r="I8" s="114">
        <f>+BS_soles!I10/BS_soles!I56</f>
        <v>0.20544571467670408</v>
      </c>
      <c r="J8" s="114">
        <f>+BS_soles!J10/BS_soles!J56</f>
        <v>0.43375769776171214</v>
      </c>
      <c r="K8" s="114">
        <f>+BS_soles!K10/BS_soles!K56</f>
        <v>0.2208493585220922</v>
      </c>
      <c r="L8" s="114">
        <f>+BS_soles!L10/BS_soles!L56</f>
        <v>0.44127847820990751</v>
      </c>
      <c r="M8" s="114">
        <f>+BS_soles!M10/BS_soles!M56</f>
        <v>2.8754461359747203E-2</v>
      </c>
      <c r="N8" s="114">
        <f>+BS_soles!N10/BS_soles!N56</f>
        <v>0.1368087142078058</v>
      </c>
      <c r="O8" s="114">
        <f>+BS_soles!O10/BS_soles!O56</f>
        <v>8.8393883181292848E-2</v>
      </c>
      <c r="P8" s="252">
        <f>+BS_soles!P10/BS_soles!P56</f>
        <v>0.31471317179132696</v>
      </c>
      <c r="Q8" s="246">
        <f>+BS_soles!Q10/BS_soles!Q56</f>
        <v>0.33473069152655122</v>
      </c>
    </row>
    <row r="9" spans="1:17">
      <c r="P9" s="253"/>
    </row>
    <row r="10" spans="1:17">
      <c r="A10" s="154" t="s">
        <v>196</v>
      </c>
      <c r="P10" s="253"/>
    </row>
    <row r="11" spans="1:17">
      <c r="A11" t="s">
        <v>153</v>
      </c>
      <c r="B11" s="153" t="s">
        <v>154</v>
      </c>
      <c r="C11" s="158">
        <f>+IS_soles!H7/BS_soles!C11</f>
        <v>1.8601613966851789</v>
      </c>
      <c r="D11" s="158">
        <f>+IS_soles!I7/BS_soles!D11</f>
        <v>3.351751675090906</v>
      </c>
      <c r="E11" s="158">
        <f>+IS_soles!J7/BS_soles!E11</f>
        <v>2.7910734824847343</v>
      </c>
      <c r="F11" s="158">
        <f>+IS_soles!K7/BS_soles!F11</f>
        <v>10.98956934200562</v>
      </c>
      <c r="G11" s="158">
        <f>+IS_soles!L7/BS_soles!G11</f>
        <v>4.778035165755516</v>
      </c>
      <c r="H11" s="158">
        <f>+IS_soles!M7/BS_soles!H11</f>
        <v>7.858114143135448</v>
      </c>
      <c r="I11" s="158">
        <f>+IS_soles!N7/BS_soles!I11</f>
        <v>3.730352128052584</v>
      </c>
      <c r="J11" s="158">
        <f>+IS_soles!O7/BS_soles!J11</f>
        <v>4.5221318187958595</v>
      </c>
      <c r="K11" s="158">
        <f>+IS_soles!P7/BS_soles!K11</f>
        <v>4.9357971564972392</v>
      </c>
      <c r="L11" s="158">
        <f>+IS_soles!Q7/BS_soles!L11</f>
        <v>6.5805464890853136</v>
      </c>
      <c r="M11" s="158">
        <f>+IS_soles!R7/BS_soles!M11</f>
        <v>2.0703567579815281</v>
      </c>
      <c r="N11" s="158">
        <f>+IS_soles!S7/BS_soles!N11</f>
        <v>3.5956453460405733</v>
      </c>
      <c r="O11" s="158">
        <f>+IS_soles!T7/BS_soles!O11</f>
        <v>1.9457560177224003</v>
      </c>
      <c r="P11" s="251">
        <f>+IS_soles!AI7/BS_soles!P11</f>
        <v>3.1029946520080172</v>
      </c>
      <c r="Q11" s="245">
        <f>+IS_soles!AJ7/BS_soles!Q11</f>
        <v>3.165984312475588</v>
      </c>
    </row>
    <row r="12" spans="1:17">
      <c r="A12" t="s">
        <v>155</v>
      </c>
      <c r="B12" s="153" t="s">
        <v>156</v>
      </c>
      <c r="C12" s="158">
        <f>+BS_soles!C11*360/IS_soles!H7</f>
        <v>193.53159389369256</v>
      </c>
      <c r="D12" s="158">
        <f>+BS_soles!D11*360/IS_soles!I7</f>
        <v>107.40652497480623</v>
      </c>
      <c r="E12" s="158">
        <f>+BS_soles!E11*360/IS_soles!J7</f>
        <v>128.98263061118419</v>
      </c>
      <c r="F12" s="158">
        <f>+BS_soles!F11*360/IS_soles!K7</f>
        <v>32.758335544957696</v>
      </c>
      <c r="G12" s="158">
        <f>+BS_soles!G11*360/IS_soles!L7</f>
        <v>75.344778242768712</v>
      </c>
      <c r="H12" s="158">
        <f>+BS_soles!H11*360/IS_soles!M7</f>
        <v>45.812518556310664</v>
      </c>
      <c r="I12" s="158">
        <f>+BS_soles!I11*360/IS_soles!N7</f>
        <v>96.505634761063874</v>
      </c>
      <c r="J12" s="158">
        <f>+BS_soles!J11*360/IS_soles!O7</f>
        <v>79.608471054224992</v>
      </c>
      <c r="K12" s="158">
        <f>+BS_soles!K11*360/IS_soles!P7</f>
        <v>72.936546739185545</v>
      </c>
      <c r="L12" s="158">
        <f>+BS_soles!L11*360/IS_soles!Q7</f>
        <v>54.706702641962409</v>
      </c>
      <c r="M12" s="158">
        <f>+BS_soles!M11*360/IS_soles!R7</f>
        <v>173.88307527779804</v>
      </c>
      <c r="N12" s="158">
        <f>+BS_soles!N11*360/IS_soles!S7</f>
        <v>100.1211091067205</v>
      </c>
      <c r="O12" s="158">
        <f>+BS_soles!O11*360/IS_soles!T7</f>
        <v>185.01805813320681</v>
      </c>
      <c r="P12" s="251">
        <f>+BS_soles!P11*360/IS_soles!AI7</f>
        <v>116.01695793031287</v>
      </c>
      <c r="Q12" s="245">
        <f>+BS_soles!Q11*360/IS_soles!AJ7</f>
        <v>113.70871251048749</v>
      </c>
    </row>
    <row r="13" spans="1:17">
      <c r="A13" t="s">
        <v>157</v>
      </c>
      <c r="B13" s="153" t="s">
        <v>158</v>
      </c>
      <c r="C13" s="158">
        <f>-IS_soles!H11/BS_soles!C17</f>
        <v>37.701848120785726</v>
      </c>
      <c r="D13" s="158">
        <f>-IS_soles!I11/BS_soles!D17</f>
        <v>9.3935834598825458</v>
      </c>
      <c r="E13" s="158">
        <f>-IS_soles!J11/BS_soles!E17</f>
        <v>4.2550443562449543</v>
      </c>
      <c r="F13" s="158">
        <f>-IS_soles!K11/BS_soles!F17</f>
        <v>11.377519582667967</v>
      </c>
      <c r="G13" s="158">
        <f>-IS_soles!L11/BS_soles!G17</f>
        <v>8.722740148079744</v>
      </c>
      <c r="H13" s="158">
        <f>-IS_soles!M11/BS_soles!H17</f>
        <v>11.770100279706396</v>
      </c>
      <c r="I13" s="158">
        <f>-IS_soles!N11/BS_soles!I17</f>
        <v>19.871099745586911</v>
      </c>
      <c r="J13" s="158">
        <f>-IS_soles!O11/BS_soles!J17</f>
        <v>15.834127882714947</v>
      </c>
      <c r="K13" s="158">
        <f>-IS_soles!P11/BS_soles!K17</f>
        <v>18.370836479132823</v>
      </c>
      <c r="L13" s="158">
        <f>-IS_soles!Q11/BS_soles!L17</f>
        <v>12.496229190308979</v>
      </c>
      <c r="M13" s="158">
        <f>-IS_soles!R11/BS_soles!M17</f>
        <v>14.206505455828756</v>
      </c>
      <c r="N13" s="158">
        <f>-IS_soles!S11/BS_soles!N17</f>
        <v>14.245379307813973</v>
      </c>
      <c r="O13" s="158">
        <f>-IS_soles!T11/BS_soles!O17</f>
        <v>8.1612986049860474</v>
      </c>
      <c r="P13" s="251">
        <f>-IS_soles!AI11/BS_soles!P17</f>
        <v>4.9084498837614623</v>
      </c>
      <c r="Q13" s="245">
        <f>-IS_soles!AK11/BS_soles!Q17</f>
        <v>-1.8137527685218028E-8</v>
      </c>
    </row>
    <row r="14" spans="1:17">
      <c r="A14" t="s">
        <v>159</v>
      </c>
      <c r="B14" s="153" t="s">
        <v>160</v>
      </c>
      <c r="C14" s="158">
        <f>+BS_soles!C17*360/-IS_soles!H11</f>
        <v>9.5486035285767681</v>
      </c>
      <c r="D14" s="158">
        <f>+BS_soles!D17*360/-IS_soles!I11</f>
        <v>38.324032733350656</v>
      </c>
      <c r="E14" s="158">
        <f>+BS_soles!E17*360/-IS_soles!J11</f>
        <v>84.605463506307004</v>
      </c>
      <c r="F14" s="158">
        <f>+BS_soles!F17*360/-IS_soles!K11</f>
        <v>31.641343034769093</v>
      </c>
      <c r="G14" s="158">
        <f>+BS_soles!G17*360/-IS_soles!L11</f>
        <v>41.271434651100051</v>
      </c>
      <c r="H14" s="158">
        <f>+BS_soles!H17*360/-IS_soles!M11</f>
        <v>30.585975603003117</v>
      </c>
      <c r="I14" s="158">
        <f>+BS_soles!I17*360/-IS_soles!N11</f>
        <v>18.116762766487088</v>
      </c>
      <c r="J14" s="158">
        <f>+BS_soles!J17*360/-IS_soles!O11</f>
        <v>22.735701180801236</v>
      </c>
      <c r="K14" s="158">
        <f>+BS_soles!K17*360/-IS_soles!P11</f>
        <v>19.596276980034034</v>
      </c>
      <c r="L14" s="158">
        <f>+BS_soles!L17*360/-IS_soles!Q11</f>
        <v>28.808690567166103</v>
      </c>
      <c r="M14" s="158">
        <f>+BS_soles!M17*360/-IS_soles!R11</f>
        <v>25.340503413687589</v>
      </c>
      <c r="N14" s="158">
        <f>+BS_soles!N17*360/-IS_soles!S11</f>
        <v>25.27135236072867</v>
      </c>
      <c r="O14" s="158">
        <f>+BS_soles!O17*360/-IS_soles!T11</f>
        <v>44.110627171521742</v>
      </c>
      <c r="P14" s="251">
        <f>+BS_soles!P17*360/-IS_soles!AI11</f>
        <v>73.342910394375551</v>
      </c>
      <c r="Q14" s="245">
        <f>+BS_soles!Q17*360/-IS_soles!AJ11</f>
        <v>40.917920091635487</v>
      </c>
    </row>
    <row r="15" spans="1:17">
      <c r="A15" t="s">
        <v>161</v>
      </c>
      <c r="B15" s="153" t="s">
        <v>162</v>
      </c>
      <c r="C15" s="158">
        <f>-IS_soles!H11/BS_soles!C49</f>
        <v>299.6009623715986</v>
      </c>
      <c r="D15" s="158">
        <f>-IS_soles!I11/BS_soles!D49</f>
        <v>82.305451687464483</v>
      </c>
      <c r="E15" s="158">
        <f>-IS_soles!J11/BS_soles!E49</f>
        <v>27.661124206705811</v>
      </c>
      <c r="F15" s="158">
        <f>-IS_soles!K11/BS_soles!F49</f>
        <v>19.227168672115059</v>
      </c>
      <c r="G15" s="158">
        <f>-IS_soles!L11/BS_soles!G49</f>
        <v>9.6454112940926571</v>
      </c>
      <c r="H15" s="158">
        <f>-IS_soles!M11/BS_soles!H49</f>
        <v>4.6598093577698414</v>
      </c>
      <c r="I15" s="158">
        <f>-IS_soles!N11/BS_soles!I49</f>
        <v>2.8573997381407761</v>
      </c>
      <c r="J15" s="158">
        <f>-IS_soles!O11/BS_soles!J49</f>
        <v>3.0533205631131577</v>
      </c>
      <c r="K15" s="158">
        <f>-IS_soles!P11/BS_soles!K49</f>
        <v>4.5619984066030748</v>
      </c>
      <c r="L15" s="158">
        <f>-IS_soles!Q11/BS_soles!L49</f>
        <v>5.8226924854806246</v>
      </c>
      <c r="M15" s="158">
        <f>-IS_soles!R11/BS_soles!M49</f>
        <v>3.2714435280616567</v>
      </c>
      <c r="N15" s="158">
        <f>-IS_soles!S11/BS_soles!N49</f>
        <v>2.9248464839859878</v>
      </c>
      <c r="O15" s="158">
        <f>-IS_soles!T11/BS_soles!O49</f>
        <v>1.6673906994882746</v>
      </c>
      <c r="P15" s="251">
        <f>-IS_soles!AI11/BS_soles!P49</f>
        <v>1.9260181745591243</v>
      </c>
      <c r="Q15" s="245">
        <f>-IS_soles!AK11/BS_soles!Q49</f>
        <v>-4.2383238081709905E-9</v>
      </c>
    </row>
    <row r="16" spans="1:17">
      <c r="A16" t="s">
        <v>163</v>
      </c>
      <c r="B16" s="153" t="s">
        <v>164</v>
      </c>
      <c r="C16" s="158">
        <f>+BS_soles!C49*360/-IS_soles!H11</f>
        <v>1.201598276421715</v>
      </c>
      <c r="D16" s="158">
        <f>+BS_soles!D49*360/-IS_soles!I11</f>
        <v>4.3739508455286167</v>
      </c>
      <c r="E16" s="158">
        <f>+BS_soles!E49*360/-IS_soles!J11</f>
        <v>13.014655417104349</v>
      </c>
      <c r="F16" s="158">
        <f>+BS_soles!F49*360/-IS_soles!K11</f>
        <v>18.723505584163512</v>
      </c>
      <c r="G16" s="158">
        <f>+BS_soles!G49*360/-IS_soles!L11</f>
        <v>37.32344728736269</v>
      </c>
      <c r="H16" s="158">
        <f>+BS_soles!H49*360/-IS_soles!M11</f>
        <v>77.256379469630062</v>
      </c>
      <c r="I16" s="158">
        <f>+BS_soles!I49*360/-IS_soles!N11</f>
        <v>125.98867256642262</v>
      </c>
      <c r="J16" s="158">
        <f>+BS_soles!J49*360/-IS_soles!O11</f>
        <v>117.90442325287488</v>
      </c>
      <c r="K16" s="158">
        <f>+BS_soles!K49*360/-IS_soles!P11</f>
        <v>78.912785124811293</v>
      </c>
      <c r="L16" s="158">
        <f>+BS_soles!L49*360/-IS_soles!Q11</f>
        <v>61.827067271316565</v>
      </c>
      <c r="M16" s="158">
        <f>+BS_soles!M49*360/-IS_soles!R11</f>
        <v>110.04316501630136</v>
      </c>
      <c r="N16" s="158">
        <f>+BS_soles!N49*360/-IS_soles!S11</f>
        <v>123.08338299840993</v>
      </c>
      <c r="O16" s="158">
        <f>+BS_soles!O49*360/-IS_soles!T11</f>
        <v>215.90620609224024</v>
      </c>
      <c r="P16" s="251">
        <f>+BS_soles!P49*360/-IS_soles!AI11</f>
        <v>186.91412404891034</v>
      </c>
      <c r="Q16" s="245">
        <f>+BS_soles!Q49*360/-IS_soles!AJ11</f>
        <v>175.10457956345854</v>
      </c>
    </row>
    <row r="17" spans="1:17">
      <c r="A17" t="s">
        <v>165</v>
      </c>
      <c r="B17" s="153" t="s">
        <v>166</v>
      </c>
      <c r="C17" s="158">
        <f>+C12+C14</f>
        <v>203.08019742226932</v>
      </c>
      <c r="D17" s="158">
        <f t="shared" ref="D17:Q17" si="0">+D12+D14</f>
        <v>145.73055770815688</v>
      </c>
      <c r="E17" s="158">
        <f t="shared" si="0"/>
        <v>213.58809411749121</v>
      </c>
      <c r="F17" s="158">
        <f t="shared" si="0"/>
        <v>64.399678579726782</v>
      </c>
      <c r="G17" s="158">
        <f t="shared" si="0"/>
        <v>116.61621289386876</v>
      </c>
      <c r="H17" s="158">
        <f t="shared" si="0"/>
        <v>76.398494159313785</v>
      </c>
      <c r="I17" s="158">
        <f t="shared" si="0"/>
        <v>114.62239752755096</v>
      </c>
      <c r="J17" s="158">
        <f t="shared" si="0"/>
        <v>102.34417223502624</v>
      </c>
      <c r="K17" s="158">
        <f t="shared" si="0"/>
        <v>92.532823719219579</v>
      </c>
      <c r="L17" s="158">
        <f t="shared" si="0"/>
        <v>83.515393209128518</v>
      </c>
      <c r="M17" s="158">
        <f t="shared" si="0"/>
        <v>199.22357869148564</v>
      </c>
      <c r="N17" s="158">
        <f t="shared" si="0"/>
        <v>125.39246146744917</v>
      </c>
      <c r="O17" s="158">
        <f t="shared" si="0"/>
        <v>229.12868530472855</v>
      </c>
      <c r="P17" s="251">
        <f t="shared" si="0"/>
        <v>189.35986832468842</v>
      </c>
      <c r="Q17" s="245">
        <f t="shared" si="0"/>
        <v>154.62663260212298</v>
      </c>
    </row>
    <row r="18" spans="1:17">
      <c r="A18" t="s">
        <v>167</v>
      </c>
      <c r="B18" s="153" t="s">
        <v>168</v>
      </c>
      <c r="C18" s="158">
        <f>+C17-C16</f>
        <v>201.8785991458476</v>
      </c>
      <c r="D18" s="158">
        <f t="shared" ref="D18:Q18" si="1">+D17-D16</f>
        <v>141.35660686262827</v>
      </c>
      <c r="E18" s="158">
        <f t="shared" si="1"/>
        <v>200.57343870038687</v>
      </c>
      <c r="F18" s="158">
        <f t="shared" si="1"/>
        <v>45.67617299556327</v>
      </c>
      <c r="G18" s="158">
        <f t="shared" si="1"/>
        <v>79.292765606506066</v>
      </c>
      <c r="H18" s="158">
        <f t="shared" si="1"/>
        <v>-0.85788531031627713</v>
      </c>
      <c r="I18" s="158">
        <f t="shared" si="1"/>
        <v>-11.366275038871663</v>
      </c>
      <c r="J18" s="158">
        <f t="shared" si="1"/>
        <v>-15.560251017848643</v>
      </c>
      <c r="K18" s="158">
        <f t="shared" si="1"/>
        <v>13.620038594408285</v>
      </c>
      <c r="L18" s="158">
        <f t="shared" si="1"/>
        <v>21.688325937811953</v>
      </c>
      <c r="M18" s="158">
        <f t="shared" si="1"/>
        <v>89.180413675184283</v>
      </c>
      <c r="N18" s="158">
        <f t="shared" si="1"/>
        <v>2.3090784690392354</v>
      </c>
      <c r="O18" s="158">
        <f t="shared" si="1"/>
        <v>13.222479212488309</v>
      </c>
      <c r="P18" s="251">
        <f t="shared" si="1"/>
        <v>2.4457442757780825</v>
      </c>
      <c r="Q18" s="245">
        <f t="shared" si="1"/>
        <v>-20.477946961335562</v>
      </c>
    </row>
    <row r="19" spans="1:17">
      <c r="A19" t="s">
        <v>169</v>
      </c>
      <c r="B19" s="153" t="s">
        <v>170</v>
      </c>
      <c r="C19" s="158">
        <f>+IS_soles!H7/BS_soles!C42</f>
        <v>1.4422113007981059</v>
      </c>
      <c r="D19" s="158">
        <f>+IS_soles!I7/BS_soles!D42</f>
        <v>2.23087065593784</v>
      </c>
      <c r="E19" s="158">
        <f>+IS_soles!J7/BS_soles!E42</f>
        <v>1.5276053529393978</v>
      </c>
      <c r="F19" s="158">
        <f>+IS_soles!K7/BS_soles!F42</f>
        <v>4.0319863751922238</v>
      </c>
      <c r="G19" s="158">
        <f>+IS_soles!L7/BS_soles!G42</f>
        <v>2.3416655276624545</v>
      </c>
      <c r="H19" s="158">
        <f>+IS_soles!M7/BS_soles!H42</f>
        <v>3.6274381465439363</v>
      </c>
      <c r="I19" s="158">
        <f>+IS_soles!N7/BS_soles!I42</f>
        <v>2.071993332313522</v>
      </c>
      <c r="J19" s="158">
        <f>+IS_soles!O7/BS_soles!J42</f>
        <v>2.017631611788409</v>
      </c>
      <c r="K19" s="158">
        <f>+IS_soles!P7/BS_soles!K42</f>
        <v>2.4481107690637538</v>
      </c>
      <c r="L19" s="158">
        <f>+IS_soles!Q7/BS_soles!L42</f>
        <v>2.1047268286056915</v>
      </c>
      <c r="M19" s="158">
        <f>+IS_soles!R7/BS_soles!M42</f>
        <v>1.5204416925779594</v>
      </c>
      <c r="N19" s="158">
        <f>+IS_soles!S7/BS_soles!N42</f>
        <v>1.8724984051996572</v>
      </c>
      <c r="O19" s="158">
        <f>+IS_soles!T7/BS_soles!O42</f>
        <v>1.1162146537508804</v>
      </c>
      <c r="P19" s="251">
        <f>+IS_soles!AI7/BS_soles!P42</f>
        <v>1.1639912050385219</v>
      </c>
      <c r="Q19" s="245">
        <f>+IS_soles!AJ7/BS_soles!Q42</f>
        <v>1.3229812995422794</v>
      </c>
    </row>
    <row r="20" spans="1:17">
      <c r="P20" s="253"/>
    </row>
    <row r="21" spans="1:17">
      <c r="A21" s="154" t="s">
        <v>171</v>
      </c>
      <c r="P21" s="253"/>
    </row>
    <row r="22" spans="1:17">
      <c r="A22" t="s">
        <v>172</v>
      </c>
      <c r="B22" s="153" t="s">
        <v>173</v>
      </c>
      <c r="C22" s="158">
        <f>+(BS_soles!C56+BS_soles!C64)/BS_soles!C72</f>
        <v>7.4531426770995735</v>
      </c>
      <c r="D22" s="158">
        <f>+(BS_soles!D56+BS_soles!D64)/BS_soles!D72</f>
        <v>32.448137964886662</v>
      </c>
      <c r="E22" s="158">
        <f>+(BS_soles!E56+BS_soles!E64)/BS_soles!E72</f>
        <v>144.19009503676722</v>
      </c>
      <c r="F22" s="158">
        <f>+(BS_soles!F56+BS_soles!F64)/BS_soles!F72</f>
        <v>6.0737474022416178</v>
      </c>
      <c r="G22" s="158">
        <f>+(BS_soles!G56+BS_soles!G64)/BS_soles!G72</f>
        <v>8.2643073353843857</v>
      </c>
      <c r="H22" s="158">
        <f>+(BS_soles!H56+BS_soles!H64)/BS_soles!H72</f>
        <v>3.8289367322590837</v>
      </c>
      <c r="I22" s="158">
        <f>+(BS_soles!I56+BS_soles!I64)/BS_soles!I72</f>
        <v>6.2111899685198892</v>
      </c>
      <c r="J22" s="158">
        <f>+(BS_soles!J56+BS_soles!J64)/BS_soles!J72</f>
        <v>5.661228811406021</v>
      </c>
      <c r="K22" s="158">
        <f>+(BS_soles!K56+BS_soles!K64)/BS_soles!K72</f>
        <v>3.8688376902201238</v>
      </c>
      <c r="L22" s="158">
        <f>+(BS_soles!L56+BS_soles!L64)/BS_soles!L72</f>
        <v>4.1010242160918118</v>
      </c>
      <c r="M22" s="158">
        <f>+(BS_soles!M56+BS_soles!M64)/BS_soles!M72</f>
        <v>6.3364510461988628</v>
      </c>
      <c r="N22" s="158">
        <f>+(BS_soles!N56+BS_soles!N64)/BS_soles!N72</f>
        <v>4.9488078945514689</v>
      </c>
      <c r="O22" s="158">
        <f>+(BS_soles!O56+BS_soles!O64)/BS_soles!O72</f>
        <v>3.7933545086544318</v>
      </c>
      <c r="P22" s="251">
        <f>+(BS_soles!P56+BS_soles!P64)/BS_soles!P72</f>
        <v>4.5454891709114653</v>
      </c>
      <c r="Q22" s="245">
        <f>+(BS_soles!Q56+BS_soles!Q64)/BS_soles!Q72</f>
        <v>3.9780996563107367</v>
      </c>
    </row>
    <row r="23" spans="1:17">
      <c r="A23" t="s">
        <v>174</v>
      </c>
      <c r="B23" s="153" t="s">
        <v>175</v>
      </c>
      <c r="C23" s="225">
        <f>+BS_soles!C72/BS_soles!C42</f>
        <v>0.11829919956460536</v>
      </c>
      <c r="D23" s="225">
        <f>+BS_soles!D72/BS_soles!D42</f>
        <v>2.9897030247787511E-2</v>
      </c>
      <c r="E23" s="225">
        <f>+BS_soles!E72/BS_soles!E42</f>
        <v>6.8875221808124389E-3</v>
      </c>
      <c r="F23" s="225">
        <f>+BS_soles!F72/BS_soles!F42</f>
        <v>0.14136778473077893</v>
      </c>
      <c r="G23" s="225">
        <f>+BS_soles!G72/BS_soles!G42</f>
        <v>0.10794115132391696</v>
      </c>
      <c r="H23" s="225">
        <f>+BS_soles!H72/BS_soles!H42</f>
        <v>0.20708492473317036</v>
      </c>
      <c r="I23" s="225">
        <f>+BS_soles!I72/BS_soles!I42</f>
        <v>0.13867336796914975</v>
      </c>
      <c r="J23" s="225">
        <f>+BS_soles!J72/BS_soles!J42</f>
        <v>0.15012245163910054</v>
      </c>
      <c r="K23" s="225">
        <f>+BS_soles!K72/BS_soles!K42</f>
        <v>0.20538782839503933</v>
      </c>
      <c r="L23" s="225">
        <f>+BS_soles!L72/BS_soles!L42</f>
        <v>0.19603906148350897</v>
      </c>
      <c r="M23" s="225">
        <f>+BS_soles!M72/BS_soles!M42</f>
        <v>0.13630568700492107</v>
      </c>
      <c r="N23" s="225">
        <f>+BS_soles!N72/BS_soles!N42</f>
        <v>0.16810090655063745</v>
      </c>
      <c r="O23" s="225">
        <f>+BS_soles!O72/BS_soles!O42</f>
        <v>0.20862216601027525</v>
      </c>
      <c r="P23" s="254">
        <f>+BS_soles!P72/BS_soles!P42</f>
        <v>0.18032674290402381</v>
      </c>
      <c r="Q23" s="247">
        <f>+BS_soles!Q72/BS_soles!Q42</f>
        <v>0.20087986762826252</v>
      </c>
    </row>
    <row r="24" spans="1:17">
      <c r="A24" t="s">
        <v>176</v>
      </c>
      <c r="B24" s="153" t="s">
        <v>177</v>
      </c>
      <c r="C24" s="225">
        <f>+(BS_soles!C56+BS_soles!C64)/BS_soles!C42</f>
        <v>0.88170081294167957</v>
      </c>
      <c r="D24" s="225">
        <f>+(BS_soles!D56+BS_soles!D64)/BS_soles!D42</f>
        <v>0.97010296222059889</v>
      </c>
      <c r="E24" s="225">
        <f>+(BS_soles!E56+BS_soles!E64)/BS_soles!E42</f>
        <v>0.99311247781918766</v>
      </c>
      <c r="F24" s="225">
        <f>+(BS_soles!F56+BS_soles!F64)/BS_soles!F42</f>
        <v>0.85863221526922084</v>
      </c>
      <c r="G24" s="225">
        <f>+(BS_soles!G56+BS_soles!G64)/BS_soles!G42</f>
        <v>0.89205884867608298</v>
      </c>
      <c r="H24" s="225">
        <f>+(BS_soles!H56+BS_soles!H64)/BS_soles!H42</f>
        <v>0.79291507500794356</v>
      </c>
      <c r="I24" s="225">
        <f>+(BS_soles!I56+BS_soles!I64)/BS_soles!I42</f>
        <v>0.86132663203085025</v>
      </c>
      <c r="J24" s="225">
        <f>+(BS_soles!J56+BS_soles!J64)/BS_soles!J42</f>
        <v>0.84987754845818297</v>
      </c>
      <c r="K24" s="225">
        <f>+(BS_soles!K56+BS_soles!K64)/BS_soles!K42</f>
        <v>0.79461217160719111</v>
      </c>
      <c r="L24" s="225">
        <f>+(BS_soles!L56+BS_soles!L64)/BS_soles!L42</f>
        <v>0.80396093844378191</v>
      </c>
      <c r="M24" s="225">
        <f>+(BS_soles!M56+BS_soles!M64)/BS_soles!M42</f>
        <v>0.86369431302518684</v>
      </c>
      <c r="N24" s="225">
        <f>+(BS_soles!N56+BS_soles!N64)/BS_soles!N42</f>
        <v>0.83189909341905333</v>
      </c>
      <c r="O24" s="225">
        <f>+(BS_soles!O56+BS_soles!O64)/BS_soles!O42</f>
        <v>0.79137783404033091</v>
      </c>
      <c r="P24" s="254">
        <f>+(BS_soles!P56+BS_soles!P64)/BS_soles!P42</f>
        <v>0.81967325709597616</v>
      </c>
      <c r="Q24" s="247">
        <f>+(BS_soles!Q56+BS_soles!Q64)/BS_soles!Q42</f>
        <v>0.7991201323717374</v>
      </c>
    </row>
    <row r="25" spans="1:17">
      <c r="A25" t="s">
        <v>178</v>
      </c>
      <c r="B25" s="153" t="s">
        <v>179</v>
      </c>
      <c r="C25" s="225">
        <f>+BS_soles!C56/(BS_soles!C56+BS_soles!C64)</f>
        <v>0.18256797937623823</v>
      </c>
      <c r="D25" s="225">
        <f>+BS_soles!D56/(BS_soles!D56+BS_soles!D64)</f>
        <v>1</v>
      </c>
      <c r="E25" s="225">
        <f>+BS_soles!E56/(BS_soles!E56+BS_soles!E64)</f>
        <v>1</v>
      </c>
      <c r="F25" s="225">
        <f>+BS_soles!F56/(BS_soles!F56+BS_soles!F64)</f>
        <v>1</v>
      </c>
      <c r="G25" s="225">
        <f>+BS_soles!G56/(BS_soles!G56+BS_soles!G64)</f>
        <v>1</v>
      </c>
      <c r="H25" s="225">
        <f>+BS_soles!H56/(BS_soles!H56+BS_soles!H64)</f>
        <v>1</v>
      </c>
      <c r="I25" s="225">
        <f>+BS_soles!I56/(BS_soles!I56+BS_soles!I64)</f>
        <v>1</v>
      </c>
      <c r="J25" s="225">
        <f>+BS_soles!J56/(BS_soles!J56+BS_soles!J64)</f>
        <v>1</v>
      </c>
      <c r="K25" s="225">
        <f>+BS_soles!K56/(BS_soles!K56+BS_soles!K64)</f>
        <v>1</v>
      </c>
      <c r="L25" s="225">
        <f>+BS_soles!L56/(BS_soles!L56+BS_soles!L64)</f>
        <v>1</v>
      </c>
      <c r="M25" s="225">
        <f>+BS_soles!M56/(BS_soles!M56+BS_soles!M64)</f>
        <v>1</v>
      </c>
      <c r="N25" s="225">
        <f>+BS_soles!N56/(BS_soles!N56+BS_soles!N64)</f>
        <v>0.9708759597214861</v>
      </c>
      <c r="O25" s="225">
        <f>+BS_soles!O56/(BS_soles!O56+BS_soles!O64)</f>
        <v>0.86927918911145508</v>
      </c>
      <c r="P25" s="254">
        <f>+BS_soles!P56/(BS_soles!P56+BS_soles!P64)</f>
        <v>0.8342385046434635</v>
      </c>
      <c r="Q25" s="247">
        <f>+BS_soles!Q56/(BS_soles!Q56+BS_soles!Q64)</f>
        <v>0.81059622754750493</v>
      </c>
    </row>
    <row r="26" spans="1:17">
      <c r="A26" t="s">
        <v>180</v>
      </c>
      <c r="B26" s="153" t="s">
        <v>181</v>
      </c>
      <c r="C26" s="225">
        <f>+BS_soles!C64/(BS_soles!C64+BS_soles!C72)</f>
        <v>0.85900474935084847</v>
      </c>
      <c r="D26" s="225">
        <f>+BS_soles!D64/(BS_soles!D64+BS_soles!D72)</f>
        <v>0</v>
      </c>
      <c r="E26" s="225">
        <f>+BS_soles!E64/(BS_soles!E64+BS_soles!E72)</f>
        <v>0</v>
      </c>
      <c r="F26" s="225">
        <f>+BS_soles!F64/(BS_soles!F64+BS_soles!F72)</f>
        <v>0</v>
      </c>
      <c r="G26" s="225">
        <f>+BS_soles!G64/(BS_soles!G64+BS_soles!G72)</f>
        <v>0</v>
      </c>
      <c r="H26" s="225">
        <f>+BS_soles!H64/(BS_soles!H64+BS_soles!H72)</f>
        <v>0</v>
      </c>
      <c r="I26" s="225">
        <f>+BS_soles!I64/(BS_soles!I64+BS_soles!I72)</f>
        <v>0</v>
      </c>
      <c r="J26" s="225">
        <f>+BS_soles!J64/(BS_soles!J64+BS_soles!J72)</f>
        <v>0</v>
      </c>
      <c r="K26" s="225">
        <f>+BS_soles!K64/(BS_soles!K64+BS_soles!K72)</f>
        <v>0</v>
      </c>
      <c r="L26" s="225">
        <f>+BS_soles!L64/(BS_soles!L64+BS_soles!L72)</f>
        <v>0</v>
      </c>
      <c r="M26" s="225">
        <f>+BS_soles!M64/(BS_soles!M64+BS_soles!M72)</f>
        <v>0</v>
      </c>
      <c r="N26" s="225">
        <f>+BS_soles!N64/(BS_soles!N64+BS_soles!N72)</f>
        <v>0.1259728973937822</v>
      </c>
      <c r="O26" s="225">
        <f>+BS_soles!O64/(BS_soles!O64+BS_soles!O72)</f>
        <v>0.33149287857046111</v>
      </c>
      <c r="P26" s="254">
        <f>+BS_soles!P64/(BS_soles!P64+BS_soles!P72)</f>
        <v>0.42970129852454725</v>
      </c>
      <c r="Q26" s="247">
        <f>+BS_soles!Q64/(BS_soles!Q64+BS_soles!Q72)</f>
        <v>0.42970129852454725</v>
      </c>
    </row>
    <row r="27" spans="1:17">
      <c r="A27" t="s">
        <v>182</v>
      </c>
      <c r="B27" s="153" t="s">
        <v>183</v>
      </c>
      <c r="C27">
        <f>IFERROR(+IS_soles!H61/(-IS_soles!H68-IS_soles!H69),0)</f>
        <v>0</v>
      </c>
      <c r="D27" s="158">
        <f>IFERROR(+IS_soles!I61/(-IS_soles!I68-IS_soles!I69),0)</f>
        <v>1.8900781855312554</v>
      </c>
      <c r="E27" s="158">
        <f>IFERROR(+IS_soles!J61/(-IS_soles!J68-IS_soles!J69),0)</f>
        <v>1.1416023204092602</v>
      </c>
      <c r="F27" s="158">
        <f>IFERROR(+IS_soles!K61/(-IS_soles!K68-IS_soles!K69),0)</f>
        <v>4.036472996111355</v>
      </c>
      <c r="G27" s="158">
        <f>IFERROR(+IS_soles!L61/(-IS_soles!L68-IS_soles!L69),0)</f>
        <v>1.0279051139436377</v>
      </c>
      <c r="H27" s="158">
        <f>IFERROR(+IS_soles!M61/(-IS_soles!M68-IS_soles!M69),0)</f>
        <v>3.0644895761166069</v>
      </c>
      <c r="I27" s="158">
        <f>IFERROR(+IS_soles!N61/(-IS_soles!N68-IS_soles!N69),0)</f>
        <v>5.2087583304364351</v>
      </c>
      <c r="J27" s="158">
        <f>IFERROR(+IS_soles!O61/(-IS_soles!O68-IS_soles!O69),0)</f>
        <v>5.8364737692425743</v>
      </c>
      <c r="K27" s="158">
        <f>IFERROR(+IS_soles!P61/(-IS_soles!P68-IS_soles!P69),0)</f>
        <v>1.782404483268482</v>
      </c>
      <c r="L27" s="158">
        <f>IFERROR(+IS_soles!Q61/(-IS_soles!Q68-IS_soles!Q69),0)</f>
        <v>2.1029652018271752</v>
      </c>
      <c r="M27" s="158">
        <f>IFERROR(+IS_soles!R61/(-IS_soles!R68-IS_soles!R69),0)</f>
        <v>5.7407636013505892</v>
      </c>
      <c r="N27" s="158">
        <f>IFERROR(+IS_soles!S61/(-IS_soles!S68-IS_soles!S69),0)</f>
        <v>5.9447304360707971</v>
      </c>
      <c r="O27" s="158">
        <f>+IS_soles!T61/(-IS_soles!T68-IS_soles!T69)</f>
        <v>0.36974533733820292</v>
      </c>
      <c r="P27" s="251">
        <f>IFERROR(+IS_soles!AI61/(-IS_soles!AI68-IS_soles!AI69),0)</f>
        <v>2.5703589120554033</v>
      </c>
      <c r="Q27" s="245">
        <f>IFERROR(+IS_soles!AJ61/(-IS_soles!AJ68-IS_soles!AJ69),0)</f>
        <v>3.3969814566649577</v>
      </c>
    </row>
    <row r="28" spans="1:17">
      <c r="P28" s="253"/>
    </row>
    <row r="29" spans="1:17">
      <c r="A29" s="154" t="s">
        <v>184</v>
      </c>
      <c r="P29" s="253"/>
    </row>
    <row r="30" spans="1:17">
      <c r="A30" t="s">
        <v>185</v>
      </c>
      <c r="B30" s="153" t="s">
        <v>186</v>
      </c>
      <c r="C30" s="42">
        <f>+IS_soles!H80/IS_soles!H7</f>
        <v>2.393982151546685E-2</v>
      </c>
      <c r="D30" s="42">
        <f>+IS_soles!I80/IS_soles!I7</f>
        <v>-5.3647098827175549E-3</v>
      </c>
      <c r="E30" s="42">
        <f>+IS_soles!J80/IS_soles!J7</f>
        <v>-6.0045147102313016E-3</v>
      </c>
      <c r="F30" s="42">
        <f>+IS_soles!K80/IS_soles!K7</f>
        <v>3.2246026462126265E-2</v>
      </c>
      <c r="G30" s="42">
        <f>+IS_soles!L80/IS_soles!L7</f>
        <v>1.7259571050679033E-3</v>
      </c>
      <c r="H30" s="42">
        <f>+IS_soles!M80/IS_soles!M7</f>
        <v>2.017626778363012E-2</v>
      </c>
      <c r="I30" s="42">
        <f>+IS_soles!N80/IS_soles!N7</f>
        <v>3.7931138954305881E-2</v>
      </c>
      <c r="J30" s="42">
        <f>+IS_soles!O80/IS_soles!O7</f>
        <v>5.241218135115213E-2</v>
      </c>
      <c r="K30" s="42">
        <f>+IS_soles!P80/IS_soles!P7</f>
        <v>9.1427258020429884E-3</v>
      </c>
      <c r="L30" s="42">
        <f>+IS_soles!Q80/IS_soles!Q7</f>
        <v>1.1753810550503715E-2</v>
      </c>
      <c r="M30" s="42">
        <f>+IS_soles!R80/IS_soles!R7</f>
        <v>2.1717230117559765E-2</v>
      </c>
      <c r="N30" s="42">
        <f>+IS_soles!S80/IS_soles!S7</f>
        <v>2.9103264500239628E-2</v>
      </c>
      <c r="O30" s="42">
        <f>+IS_soles!T80/IS_soles!T7</f>
        <v>-2.2051749366157832E-2</v>
      </c>
      <c r="P30" s="255">
        <f>+IS_soles!AI80/IS_soles!AI7</f>
        <v>1.0173452725176325E-2</v>
      </c>
      <c r="Q30" s="248">
        <f>+IS_soles!AJ80/IS_soles!AJ7</f>
        <v>9.613740990949542E-3</v>
      </c>
    </row>
    <row r="31" spans="1:17">
      <c r="A31" t="s">
        <v>189</v>
      </c>
      <c r="B31" s="153" t="s">
        <v>189</v>
      </c>
      <c r="C31" s="158">
        <f>+IS_soles!H61</f>
        <v>670355.34569355799</v>
      </c>
      <c r="D31" s="158">
        <f>+IS_soles!I61</f>
        <v>230898.84992987534</v>
      </c>
      <c r="E31" s="158">
        <f>+IS_soles!J61</f>
        <v>576180.4930826074</v>
      </c>
      <c r="F31" s="158">
        <f>+IS_soles!K61</f>
        <v>5358674.7431145655</v>
      </c>
      <c r="G31" s="158">
        <f>+IS_soles!L61</f>
        <v>1047448.3346663606</v>
      </c>
      <c r="H31" s="158">
        <f>+IS_soles!M61</f>
        <v>5865116.6707833484</v>
      </c>
      <c r="I31" s="158">
        <f>+IS_soles!N61</f>
        <v>10144416.30493734</v>
      </c>
      <c r="J31" s="158">
        <f>+IS_soles!O61</f>
        <v>18052502.857366234</v>
      </c>
      <c r="K31" s="158">
        <f>+IS_soles!P61</f>
        <v>4424349.8047895171</v>
      </c>
      <c r="L31" s="158">
        <f>+IS_soles!Q61</f>
        <v>2586324.3299999889</v>
      </c>
      <c r="M31" s="158">
        <f>+IS_soles!R61</f>
        <v>8364259.7300000079</v>
      </c>
      <c r="N31" s="158">
        <f>+IS_soles!S61</f>
        <v>11195796.969396152</v>
      </c>
      <c r="O31" s="158">
        <f>+IS_soles!T61</f>
        <v>491941.76026660448</v>
      </c>
      <c r="P31" s="251">
        <f>+IS_soles!AI61</f>
        <v>2785671.5284749847</v>
      </c>
      <c r="Q31" s="245">
        <f>+IS_soles!AJ61</f>
        <v>3100892.2642672858</v>
      </c>
    </row>
    <row r="32" spans="1:17" s="153" customFormat="1">
      <c r="A32" s="153" t="s">
        <v>192</v>
      </c>
      <c r="B32" s="153" t="s">
        <v>192</v>
      </c>
      <c r="C32" s="42">
        <f>+IS_soles!H62</f>
        <v>6.0746575273731937E-2</v>
      </c>
      <c r="D32" s="42">
        <f>+IS_soles!I62</f>
        <v>6.4923279886247029E-3</v>
      </c>
      <c r="E32" s="42">
        <f>+IS_soles!J62</f>
        <v>1.0249467484338508E-2</v>
      </c>
      <c r="F32" s="42">
        <f>+IS_soles!K62</f>
        <v>5.9526558107074308E-2</v>
      </c>
      <c r="G32" s="42">
        <f>+IS_soles!L62</f>
        <v>1.4724595791143982E-2</v>
      </c>
      <c r="H32" s="42">
        <f>+IS_soles!M62</f>
        <v>6.6023008587168669E-2</v>
      </c>
      <c r="I32" s="42">
        <f>+IS_soles!N62</f>
        <v>8.5056366856009646E-2</v>
      </c>
      <c r="J32" s="42">
        <f>+IS_soles!O62</f>
        <v>0.10529026502376215</v>
      </c>
      <c r="K32" s="42">
        <f>+IS_soles!P62</f>
        <v>3.9585028855851939E-2</v>
      </c>
      <c r="L32" s="42">
        <f>+IS_soles!Q62</f>
        <v>2.3781941742547687E-2</v>
      </c>
      <c r="M32" s="42">
        <f>+IS_soles!R62</f>
        <v>5.6093980389971314E-2</v>
      </c>
      <c r="N32" s="42">
        <f>+IS_soles!S62</f>
        <v>5.8560942793833115E-2</v>
      </c>
      <c r="O32" s="42">
        <f>+IS_soles!T62</f>
        <v>5.9884756436892313E-3</v>
      </c>
      <c r="P32" s="255">
        <f>+IS_soles!AI62</f>
        <v>2.6265281575641751E-2</v>
      </c>
      <c r="Q32" s="248">
        <f>+IS_soles!AJ62</f>
        <v>2.6841356345193575E-2</v>
      </c>
    </row>
    <row r="33" spans="1:17">
      <c r="A33" t="s">
        <v>74</v>
      </c>
      <c r="B33" s="153" t="s">
        <v>74</v>
      </c>
      <c r="C33" s="158">
        <f>+IS_soles!H65</f>
        <v>675625.52569355804</v>
      </c>
      <c r="D33" s="158">
        <f>+IS_soles!I65</f>
        <v>262092.44992987535</v>
      </c>
      <c r="E33" s="158">
        <f>+IS_soles!J65</f>
        <v>592277.85308260738</v>
      </c>
      <c r="F33" s="158">
        <f>+IS_soles!K65</f>
        <v>5401487.5431145653</v>
      </c>
      <c r="G33" s="158">
        <f>+IS_soles!L65</f>
        <v>1125916.7646663606</v>
      </c>
      <c r="H33" s="158">
        <f>+IS_soles!M65</f>
        <v>5941642.3307833485</v>
      </c>
      <c r="I33" s="158">
        <f>+IS_soles!N65</f>
        <v>10280807.07493734</v>
      </c>
      <c r="J33" s="158">
        <f>+IS_soles!O65</f>
        <v>18282833.577366233</v>
      </c>
      <c r="K33" s="158">
        <f>+IS_soles!P65</f>
        <v>4522054.8647895167</v>
      </c>
      <c r="L33" s="158">
        <f>+IS_soles!Q65</f>
        <v>2697698.3999999887</v>
      </c>
      <c r="M33" s="158">
        <f>+IS_soles!R65</f>
        <v>8468147.6300000083</v>
      </c>
      <c r="N33" s="158">
        <f>+IS_soles!S65</f>
        <v>11813362.459396152</v>
      </c>
      <c r="O33" s="158">
        <f>+IS_soles!T65</f>
        <v>1359396.6502666045</v>
      </c>
      <c r="P33" s="251">
        <f>+IS_soles!AI65</f>
        <v>4266976.3778228471</v>
      </c>
      <c r="Q33" s="245">
        <f>+IS_soles!AJ65</f>
        <v>4604717.9089775383</v>
      </c>
    </row>
    <row r="34" spans="1:17" s="153" customFormat="1">
      <c r="A34" s="153" t="s">
        <v>193</v>
      </c>
      <c r="B34" s="153" t="s">
        <v>193</v>
      </c>
      <c r="C34" s="42">
        <f>+IS_soles!H66</f>
        <v>6.1224150917952226E-2</v>
      </c>
      <c r="D34" s="42">
        <f>+IS_soles!I66</f>
        <v>7.3694180321977627E-3</v>
      </c>
      <c r="E34" s="42">
        <f>+IS_soles!J66</f>
        <v>1.0535817629621953E-2</v>
      </c>
      <c r="F34" s="42">
        <f>+IS_soles!K66</f>
        <v>6.0002141856620061E-2</v>
      </c>
      <c r="G34" s="42">
        <f>+IS_soles!L66</f>
        <v>1.5827672550040837E-2</v>
      </c>
      <c r="H34" s="42">
        <f>+IS_soles!M66</f>
        <v>6.6884449985681202E-2</v>
      </c>
      <c r="I34" s="42">
        <f>+IS_soles!N66</f>
        <v>8.6199942101758117E-2</v>
      </c>
      <c r="J34" s="42">
        <f>+IS_soles!O66</f>
        <v>0.1066336567264821</v>
      </c>
      <c r="K34" s="42">
        <f>+IS_soles!P66</f>
        <v>4.0459204224010177E-2</v>
      </c>
      <c r="L34" s="42">
        <f>+IS_soles!Q66</f>
        <v>2.4806056009133284E-2</v>
      </c>
      <c r="M34" s="42">
        <f>+IS_soles!R66</f>
        <v>5.6790693071483808E-2</v>
      </c>
      <c r="N34" s="42">
        <f>+IS_soles!S66</f>
        <v>6.1791192273186267E-2</v>
      </c>
      <c r="O34" s="42">
        <f>+IS_soles!T66</f>
        <v>1.654812497687223E-2</v>
      </c>
      <c r="P34" s="255">
        <f>+IS_soles!AI66</f>
        <v>4.0232071475233666E-2</v>
      </c>
      <c r="Q34" s="248">
        <f>+IS_soles!AJ66</f>
        <v>3.9858487083931506E-2</v>
      </c>
    </row>
    <row r="35" spans="1:17">
      <c r="A35" t="s">
        <v>197</v>
      </c>
      <c r="B35" s="153" t="s">
        <v>188</v>
      </c>
      <c r="C35" s="42">
        <f>+IS_soles!H80/BS_soles!C42</f>
        <v>3.4526281128695928E-2</v>
      </c>
      <c r="D35" s="42">
        <f>+IS_soles!I80/BS_soles!D42</f>
        <v>-1.1967973854974326E-2</v>
      </c>
      <c r="E35" s="42">
        <f>+IS_soles!J80/BS_soles!E42</f>
        <v>-9.172528813152692E-3</v>
      </c>
      <c r="F35" s="42">
        <f>+IS_soles!K80/BS_soles!F42</f>
        <v>0.13001553934938101</v>
      </c>
      <c r="G35" s="42">
        <f>+IS_soles!L80/BS_soles!G42</f>
        <v>4.0416142551615948E-3</v>
      </c>
      <c r="H35" s="42">
        <f>+IS_soles!M80/BS_soles!H42</f>
        <v>7.3188163413225371E-2</v>
      </c>
      <c r="I35" s="42">
        <f>+IS_soles!N80/BS_soles!I42</f>
        <v>7.8593067000379477E-2</v>
      </c>
      <c r="J35" s="42">
        <f>+IS_soles!O80/BS_soles!J42</f>
        <v>0.10574847393687146</v>
      </c>
      <c r="K35" s="42">
        <f>+IS_soles!P80/BS_soles!K42</f>
        <v>2.2382405494578487E-2</v>
      </c>
      <c r="L35" s="42">
        <f>+IS_soles!Q80/BS_soles!L42</f>
        <v>2.47385604039938E-2</v>
      </c>
      <c r="M35" s="42">
        <f>+IS_soles!R80/BS_soles!M42</f>
        <v>3.3019782118047604E-2</v>
      </c>
      <c r="N35" s="42">
        <f>+IS_soles!S80/BS_soles!N42</f>
        <v>5.4495816362802499E-2</v>
      </c>
      <c r="O35" s="42">
        <f>+IS_soles!T80/BS_soles!O42</f>
        <v>-2.4614485783347056E-2</v>
      </c>
      <c r="P35" s="255">
        <f>+IS_soles!AI80/BS_soles!P42</f>
        <v>1.1841809496980424E-2</v>
      </c>
      <c r="Q35" s="248">
        <f>+IS_soles!AJ80/BS_soles!Q42</f>
        <v>1.2718799549669306E-2</v>
      </c>
    </row>
    <row r="36" spans="1:17">
      <c r="A36" t="s">
        <v>198</v>
      </c>
      <c r="B36" s="153" t="s">
        <v>187</v>
      </c>
      <c r="C36" s="42">
        <f>+IS_soles!H80/BS_soles!C72</f>
        <v>0.29185557684048818</v>
      </c>
      <c r="D36" s="42">
        <f>+IS_soles!I80/BS_soles!D72</f>
        <v>-0.4003064436762912</v>
      </c>
      <c r="E36" s="42">
        <f>+IS_soles!J80/BS_soles!E72</f>
        <v>-1.3317603301091248</v>
      </c>
      <c r="F36" s="42">
        <f>+IS_soles!K80/BS_soles!F72</f>
        <v>0.91969708372372705</v>
      </c>
      <c r="G36" s="42">
        <f>+IS_soles!L80/BS_soles!G72</f>
        <v>3.7442756590887666E-2</v>
      </c>
      <c r="H36" s="42">
        <f>+IS_soles!M80/BS_soles!H72</f>
        <v>0.35342101076420013</v>
      </c>
      <c r="I36" s="42">
        <f>+IS_soles!N80/BS_soles!I72</f>
        <v>0.56674953634834802</v>
      </c>
      <c r="J36" s="42">
        <f>+IS_soles!O80/BS_soles!J72</f>
        <v>0.70441478128197887</v>
      </c>
      <c r="K36" s="42">
        <f>+IS_soles!P80/BS_soles!K72</f>
        <v>0.10897629946955066</v>
      </c>
      <c r="L36" s="42">
        <f>+IS_soles!Q80/BS_soles!L72</f>
        <v>0.12619199570119774</v>
      </c>
      <c r="M36" s="42">
        <f>+IS_soles!R80/BS_soles!M72</f>
        <v>0.24224801505791529</v>
      </c>
      <c r="N36" s="42">
        <f>+IS_soles!S80/BS_soles!N72</f>
        <v>0.32418514260889242</v>
      </c>
      <c r="O36" s="42">
        <f>+IS_soles!T80/BS_soles!O72</f>
        <v>-0.11798595640184621</v>
      </c>
      <c r="P36" s="255">
        <f>+IS_soles!AI80/BS_soles!P72</f>
        <v>6.5668626329501489E-2</v>
      </c>
      <c r="Q36" s="248">
        <f>+IS_soles!AJ80/BS_soles!Q72</f>
        <v>6.3315451666893938E-2</v>
      </c>
    </row>
    <row r="37" spans="1:17" s="153" customFormat="1"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258"/>
      <c r="Q37" s="248"/>
    </row>
    <row r="38" spans="1:17" s="153" customFormat="1"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258"/>
      <c r="Q38" s="248"/>
    </row>
    <row r="40" spans="1:17">
      <c r="O40" s="158">
        <f>+O33-BS_soles!O61</f>
        <v>364666.26832449692</v>
      </c>
      <c r="P40" s="245">
        <f>+P33-BS_soles!P52</f>
        <v>630906.77221553354</v>
      </c>
      <c r="Q40" s="245">
        <f>+Q33-BS_soles!Q52</f>
        <v>722867.17056411318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6596F-D696-4516-AE06-84EFA27D18FB}">
  <dimension ref="A1:A40"/>
  <sheetViews>
    <sheetView tabSelected="1" zoomScale="85" zoomScaleNormal="85" workbookViewId="0">
      <selection activeCell="A10" sqref="A10"/>
    </sheetView>
  </sheetViews>
  <sheetFormatPr baseColWidth="10" defaultRowHeight="14.5"/>
  <cols>
    <col min="1" max="16384" width="10.90625" style="256"/>
  </cols>
  <sheetData>
    <row r="1" spans="1:1">
      <c r="A1" s="257" t="s">
        <v>145</v>
      </c>
    </row>
    <row r="21" spans="1:1">
      <c r="A21" s="256" t="s">
        <v>195</v>
      </c>
    </row>
    <row r="40" spans="1:1">
      <c r="A40" s="256" t="s">
        <v>199</v>
      </c>
    </row>
  </sheetData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Ingresos_EBITDA_Net_Income</vt:lpstr>
      <vt:lpstr>BS_soles</vt:lpstr>
      <vt:lpstr>IS_soles</vt:lpstr>
      <vt:lpstr>Ratios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Escobar</dc:creator>
  <cp:lastModifiedBy>Cristian Escobar</cp:lastModifiedBy>
  <dcterms:created xsi:type="dcterms:W3CDTF">2021-06-10T22:21:32Z</dcterms:created>
  <dcterms:modified xsi:type="dcterms:W3CDTF">2022-01-10T23:45:34Z</dcterms:modified>
</cp:coreProperties>
</file>