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firstSheet="17" activeTab="22"/>
  </bookViews>
  <sheets>
    <sheet name="publicidad" sheetId="13" state="hidden" r:id="rId1"/>
    <sheet name="arrendamiento financiero nuevos" sheetId="15" r:id="rId2"/>
    <sheet name="CAPITAL AF" sheetId="14" state="hidden" r:id="rId3"/>
    <sheet name="INTERESES AF" sheetId="16" state="hidden" r:id="rId4"/>
    <sheet name="CAPITAL DOKOTA" sheetId="21" state="hidden" r:id="rId5"/>
    <sheet name="INTERES DAKOTA" sheetId="22" state="hidden" r:id="rId6"/>
    <sheet name="CAPITAL MAZDA" sheetId="24" state="hidden" r:id="rId7"/>
    <sheet name="INTERES MAZDA" sheetId="23" state="hidden" r:id="rId8"/>
    <sheet name="CAPITAL SPARK" sheetId="27" state="hidden" r:id="rId9"/>
    <sheet name="INTERES SPARK" sheetId="28" state="hidden" r:id="rId10"/>
    <sheet name="CAPITAL LANCER" sheetId="30" state="hidden" r:id="rId11"/>
    <sheet name="INTERES LANCER" sheetId="29" state="hidden" r:id="rId12"/>
    <sheet name="interes z4" sheetId="43" state="hidden" r:id="rId13"/>
    <sheet name="CAPITALTAA" sheetId="48" state="hidden" r:id="rId14"/>
    <sheet name="INTERESTAA" sheetId="49" state="hidden" r:id="rId15"/>
    <sheet name="nomina capital" sheetId="34" state="hidden" r:id="rId16"/>
    <sheet name="nomina interes" sheetId="32" state="hidden" r:id="rId17"/>
    <sheet name="BASE QUINCENAL" sheetId="53" r:id="rId18"/>
    <sheet name="capital arrendamiento" sheetId="46" state="hidden" r:id="rId19"/>
    <sheet name="interes arrendamiento" sheetId="45" state="hidden" r:id="rId20"/>
    <sheet name="capital arrendamiento 1" sheetId="42" state="hidden" r:id="rId21"/>
    <sheet name="interes arrenadmiento 1" sheetId="41" state="hidden" r:id="rId22"/>
    <sheet name="base" sheetId="19" r:id="rId23"/>
  </sheets>
  <definedNames>
    <definedName name="ACTIVOFIJO" comment="PLAZOS ACTIVO FIJO">base!$F$35:$F$38</definedName>
    <definedName name="ARRENDAMIENTO" comment="TIPOS DE CREDITO DE ARRENDAMIENTO">base!$D$8:$D$10</definedName>
    <definedName name="AUTOS">base!$B$21:$B$29</definedName>
    <definedName name="CAPITALDETRABAJO" comment="PLAZOS CAPITAL DE TRABAJO">base!$E$35:$E$37</definedName>
    <definedName name="COMISION_NOMINA">base!$E$50:$E$52</definedName>
    <definedName name="CONDICIONES">base!$B$64:$B$65</definedName>
    <definedName name="CONSUMO" comment="PLAZOS">base!$F$15</definedName>
    <definedName name="CREDITOS">base!$B$3:$B$5</definedName>
    <definedName name="FINANCIERO" comment="PLAZOS ARRENDAMIENTO FINANCIERO">base!$B$15:$B$16</definedName>
    <definedName name="LEASEBACK">base!$D$15</definedName>
    <definedName name="NOMINA" comment="PLAZOS">base!$E$15:$E$16</definedName>
    <definedName name="PERSONAL" comment="CREDITOS PERSONAL">base!$B$8:$B$9</definedName>
    <definedName name="PLAZO_NOMINA">base!$B$35:$B$45</definedName>
    <definedName name="PLAZOS">base!$C$50:$C$59</definedName>
    <definedName name="PURO">base!$C$15:$C$17</definedName>
    <definedName name="PYMES" comment="CREDITOS DE MIPYMES">base!$C$8:$C$9</definedName>
    <definedName name="TASA">base!$B$53:$B$61</definedName>
    <definedName name="TASA_ARRENDAMIENTO_PURO">base!$D$64:$D$66</definedName>
    <definedName name="TASAS">base!$B$53:$B$61</definedName>
    <definedName name="VR">base!$E$53:$E$56</definedName>
  </definedNames>
  <calcPr calcId="145621"/>
</workbook>
</file>

<file path=xl/calcChain.xml><?xml version="1.0" encoding="utf-8"?>
<calcChain xmlns="http://schemas.openxmlformats.org/spreadsheetml/2006/main">
  <c r="G148" i="53" l="1"/>
  <c r="I148" i="53"/>
  <c r="K148" i="53"/>
  <c r="M148" i="53"/>
  <c r="O148" i="53"/>
  <c r="E148" i="53"/>
  <c r="B27" i="53" l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l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l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B124" i="53" s="1"/>
  <c r="B125" i="53" s="1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C14" i="53"/>
  <c r="C10" i="53" l="1"/>
  <c r="I27" i="53" l="1"/>
  <c r="I29" i="53"/>
  <c r="I31" i="53"/>
  <c r="I33" i="53"/>
  <c r="I35" i="53"/>
  <c r="I37" i="53"/>
  <c r="I39" i="53"/>
  <c r="I41" i="53"/>
  <c r="I43" i="53"/>
  <c r="I45" i="53"/>
  <c r="I47" i="53"/>
  <c r="I49" i="53"/>
  <c r="I51" i="53"/>
  <c r="I53" i="53"/>
  <c r="I55" i="53"/>
  <c r="I57" i="53"/>
  <c r="I59" i="53"/>
  <c r="I61" i="53"/>
  <c r="I63" i="53"/>
  <c r="I65" i="53"/>
  <c r="I67" i="53"/>
  <c r="I69" i="53"/>
  <c r="I71" i="53"/>
  <c r="I73" i="53"/>
  <c r="I75" i="53"/>
  <c r="I77" i="53"/>
  <c r="I79" i="53"/>
  <c r="I81" i="53"/>
  <c r="I83" i="53"/>
  <c r="I85" i="53"/>
  <c r="I87" i="53"/>
  <c r="I89" i="53"/>
  <c r="I91" i="53"/>
  <c r="I93" i="53"/>
  <c r="I95" i="53"/>
  <c r="I97" i="53"/>
  <c r="I99" i="53"/>
  <c r="I101" i="53"/>
  <c r="I103" i="53"/>
  <c r="I105" i="53"/>
  <c r="I107" i="53"/>
  <c r="I109" i="53"/>
  <c r="I111" i="53"/>
  <c r="I113" i="53"/>
  <c r="I115" i="53"/>
  <c r="I117" i="53"/>
  <c r="I119" i="53"/>
  <c r="I121" i="53"/>
  <c r="I123" i="53"/>
  <c r="I125" i="53"/>
  <c r="I127" i="53"/>
  <c r="I129" i="53"/>
  <c r="I131" i="53"/>
  <c r="I133" i="53"/>
  <c r="I135" i="53"/>
  <c r="I137" i="53"/>
  <c r="I139" i="53"/>
  <c r="I141" i="53"/>
  <c r="I143" i="53"/>
  <c r="I145" i="53"/>
  <c r="G27" i="53"/>
  <c r="G29" i="53"/>
  <c r="G31" i="53"/>
  <c r="G33" i="53"/>
  <c r="G35" i="53"/>
  <c r="G37" i="53"/>
  <c r="G39" i="53"/>
  <c r="G41" i="53"/>
  <c r="G43" i="53"/>
  <c r="G45" i="53"/>
  <c r="G47" i="53"/>
  <c r="G49" i="53"/>
  <c r="G51" i="53"/>
  <c r="G53" i="53"/>
  <c r="G55" i="53"/>
  <c r="G57" i="53"/>
  <c r="G59" i="53"/>
  <c r="G61" i="53"/>
  <c r="G63" i="53"/>
  <c r="G65" i="53"/>
  <c r="G67" i="53"/>
  <c r="G69" i="53"/>
  <c r="G71" i="53"/>
  <c r="G73" i="53"/>
  <c r="G75" i="53"/>
  <c r="I28" i="53"/>
  <c r="I30" i="53"/>
  <c r="I32" i="53"/>
  <c r="I34" i="53"/>
  <c r="I36" i="53"/>
  <c r="I38" i="53"/>
  <c r="I40" i="53"/>
  <c r="I42" i="53"/>
  <c r="I44" i="53"/>
  <c r="I46" i="53"/>
  <c r="I48" i="53"/>
  <c r="I50" i="53"/>
  <c r="I52" i="53"/>
  <c r="I54" i="53"/>
  <c r="I56" i="53"/>
  <c r="I58" i="53"/>
  <c r="I60" i="53"/>
  <c r="I62" i="53"/>
  <c r="I64" i="53"/>
  <c r="I66" i="53"/>
  <c r="I68" i="53"/>
  <c r="I70" i="53"/>
  <c r="I72" i="53"/>
  <c r="I74" i="53"/>
  <c r="I76" i="53"/>
  <c r="I78" i="53"/>
  <c r="I80" i="53"/>
  <c r="I82" i="53"/>
  <c r="I84" i="53"/>
  <c r="I86" i="53"/>
  <c r="I88" i="53"/>
  <c r="I90" i="53"/>
  <c r="I92" i="53"/>
  <c r="I94" i="53"/>
  <c r="I96" i="53"/>
  <c r="I98" i="53"/>
  <c r="I100" i="53"/>
  <c r="I102" i="53"/>
  <c r="I104" i="53"/>
  <c r="I106" i="53"/>
  <c r="I108" i="53"/>
  <c r="I110" i="53"/>
  <c r="I112" i="53"/>
  <c r="I114" i="53"/>
  <c r="I116" i="53"/>
  <c r="I118" i="53"/>
  <c r="I120" i="53"/>
  <c r="I122" i="53"/>
  <c r="I124" i="53"/>
  <c r="I126" i="53"/>
  <c r="I128" i="53"/>
  <c r="I130" i="53"/>
  <c r="I132" i="53"/>
  <c r="I134" i="53"/>
  <c r="I136" i="53"/>
  <c r="I138" i="53"/>
  <c r="I140" i="53"/>
  <c r="I142" i="53"/>
  <c r="I144" i="53"/>
  <c r="I26" i="53"/>
  <c r="G28" i="53"/>
  <c r="G30" i="53"/>
  <c r="G32" i="53"/>
  <c r="G34" i="53"/>
  <c r="G36" i="53"/>
  <c r="G38" i="53"/>
  <c r="G40" i="53"/>
  <c r="G42" i="53"/>
  <c r="G44" i="53"/>
  <c r="G46" i="53"/>
  <c r="G48" i="53"/>
  <c r="G50" i="53"/>
  <c r="G52" i="53"/>
  <c r="G54" i="53"/>
  <c r="G56" i="53"/>
  <c r="G58" i="53"/>
  <c r="G60" i="53"/>
  <c r="G62" i="53"/>
  <c r="G64" i="53"/>
  <c r="G66" i="53"/>
  <c r="G68" i="53"/>
  <c r="G70" i="53"/>
  <c r="G72" i="53"/>
  <c r="G74" i="53"/>
  <c r="G77" i="53"/>
  <c r="G79" i="53"/>
  <c r="G81" i="53"/>
  <c r="G83" i="53"/>
  <c r="G85" i="53"/>
  <c r="G87" i="53"/>
  <c r="G89" i="53"/>
  <c r="G91" i="53"/>
  <c r="G93" i="53"/>
  <c r="G95" i="53"/>
  <c r="G97" i="53"/>
  <c r="G99" i="53"/>
  <c r="G101" i="53"/>
  <c r="G103" i="53"/>
  <c r="G105" i="53"/>
  <c r="G107" i="53"/>
  <c r="G109" i="53"/>
  <c r="G111" i="53"/>
  <c r="G113" i="53"/>
  <c r="G115" i="53"/>
  <c r="G117" i="53"/>
  <c r="G119" i="53"/>
  <c r="G121" i="53"/>
  <c r="G123" i="53"/>
  <c r="G125" i="53"/>
  <c r="G127" i="53"/>
  <c r="G129" i="53"/>
  <c r="G131" i="53"/>
  <c r="G133" i="53"/>
  <c r="G135" i="53"/>
  <c r="G137" i="53"/>
  <c r="G139" i="53"/>
  <c r="G141" i="53"/>
  <c r="G143" i="53"/>
  <c r="G145" i="53"/>
  <c r="E27" i="53"/>
  <c r="O27" i="53" s="1"/>
  <c r="E29" i="53"/>
  <c r="O29" i="53" s="1"/>
  <c r="E31" i="53"/>
  <c r="O31" i="53" s="1"/>
  <c r="E33" i="53"/>
  <c r="O33" i="53" s="1"/>
  <c r="E35" i="53"/>
  <c r="O35" i="53" s="1"/>
  <c r="E37" i="53"/>
  <c r="O37" i="53" s="1"/>
  <c r="E39" i="53"/>
  <c r="O39" i="53" s="1"/>
  <c r="E41" i="53"/>
  <c r="O41" i="53" s="1"/>
  <c r="E43" i="53"/>
  <c r="O43" i="53" s="1"/>
  <c r="E45" i="53"/>
  <c r="O45" i="53" s="1"/>
  <c r="E47" i="53"/>
  <c r="O47" i="53" s="1"/>
  <c r="E49" i="53"/>
  <c r="O49" i="53" s="1"/>
  <c r="E51" i="53"/>
  <c r="O51" i="53" s="1"/>
  <c r="E53" i="53"/>
  <c r="O53" i="53" s="1"/>
  <c r="E55" i="53"/>
  <c r="O55" i="53" s="1"/>
  <c r="E57" i="53"/>
  <c r="O57" i="53" s="1"/>
  <c r="E59" i="53"/>
  <c r="O59" i="53" s="1"/>
  <c r="E61" i="53"/>
  <c r="O61" i="53" s="1"/>
  <c r="E63" i="53"/>
  <c r="O63" i="53" s="1"/>
  <c r="E65" i="53"/>
  <c r="O65" i="53" s="1"/>
  <c r="E67" i="53"/>
  <c r="O67" i="53" s="1"/>
  <c r="E69" i="53"/>
  <c r="O69" i="53" s="1"/>
  <c r="E71" i="53"/>
  <c r="O71" i="53" s="1"/>
  <c r="E73" i="53"/>
  <c r="O73" i="53" s="1"/>
  <c r="E75" i="53"/>
  <c r="O75" i="53" s="1"/>
  <c r="E77" i="53"/>
  <c r="O77" i="53" s="1"/>
  <c r="E79" i="53"/>
  <c r="O79" i="53" s="1"/>
  <c r="E81" i="53"/>
  <c r="O81" i="53" s="1"/>
  <c r="E83" i="53"/>
  <c r="O83" i="53" s="1"/>
  <c r="E85" i="53"/>
  <c r="O85" i="53" s="1"/>
  <c r="E87" i="53"/>
  <c r="O87" i="53" s="1"/>
  <c r="E89" i="53"/>
  <c r="O89" i="53" s="1"/>
  <c r="E91" i="53"/>
  <c r="O91" i="53" s="1"/>
  <c r="E93" i="53"/>
  <c r="O93" i="53" s="1"/>
  <c r="E95" i="53"/>
  <c r="O95" i="53" s="1"/>
  <c r="E97" i="53"/>
  <c r="O97" i="53" s="1"/>
  <c r="E99" i="53"/>
  <c r="O99" i="53" s="1"/>
  <c r="E101" i="53"/>
  <c r="O101" i="53" s="1"/>
  <c r="E103" i="53"/>
  <c r="O103" i="53" s="1"/>
  <c r="E105" i="53"/>
  <c r="O105" i="53" s="1"/>
  <c r="E107" i="53"/>
  <c r="O107" i="53" s="1"/>
  <c r="E109" i="53"/>
  <c r="O109" i="53" s="1"/>
  <c r="E111" i="53"/>
  <c r="O111" i="53" s="1"/>
  <c r="E113" i="53"/>
  <c r="O113" i="53" s="1"/>
  <c r="E115" i="53"/>
  <c r="O115" i="53" s="1"/>
  <c r="E117" i="53"/>
  <c r="O117" i="53" s="1"/>
  <c r="E119" i="53"/>
  <c r="O119" i="53" s="1"/>
  <c r="E121" i="53"/>
  <c r="O121" i="53" s="1"/>
  <c r="E123" i="53"/>
  <c r="O123" i="53" s="1"/>
  <c r="E125" i="53"/>
  <c r="O125" i="53" s="1"/>
  <c r="G76" i="53"/>
  <c r="G78" i="53"/>
  <c r="G80" i="53"/>
  <c r="G82" i="53"/>
  <c r="G84" i="53"/>
  <c r="G86" i="53"/>
  <c r="G88" i="53"/>
  <c r="G90" i="53"/>
  <c r="G92" i="53"/>
  <c r="G94" i="53"/>
  <c r="G96" i="53"/>
  <c r="G98" i="53"/>
  <c r="G100" i="53"/>
  <c r="G102" i="53"/>
  <c r="G104" i="53"/>
  <c r="G106" i="53"/>
  <c r="G108" i="53"/>
  <c r="G110" i="53"/>
  <c r="G112" i="53"/>
  <c r="G114" i="53"/>
  <c r="G116" i="53"/>
  <c r="G118" i="53"/>
  <c r="G120" i="53"/>
  <c r="G122" i="53"/>
  <c r="G124" i="53"/>
  <c r="G126" i="53"/>
  <c r="G128" i="53"/>
  <c r="G130" i="53"/>
  <c r="G132" i="53"/>
  <c r="G134" i="53"/>
  <c r="G136" i="53"/>
  <c r="G138" i="53"/>
  <c r="G140" i="53"/>
  <c r="G142" i="53"/>
  <c r="G144" i="53"/>
  <c r="G26" i="53"/>
  <c r="E28" i="53"/>
  <c r="O28" i="53" s="1"/>
  <c r="E30" i="53"/>
  <c r="O30" i="53" s="1"/>
  <c r="E32" i="53"/>
  <c r="O32" i="53" s="1"/>
  <c r="E34" i="53"/>
  <c r="O34" i="53" s="1"/>
  <c r="E36" i="53"/>
  <c r="O36" i="53" s="1"/>
  <c r="E38" i="53"/>
  <c r="O38" i="53" s="1"/>
  <c r="E40" i="53"/>
  <c r="O40" i="53" s="1"/>
  <c r="E42" i="53"/>
  <c r="O42" i="53" s="1"/>
  <c r="E44" i="53"/>
  <c r="O44" i="53" s="1"/>
  <c r="E46" i="53"/>
  <c r="O46" i="53" s="1"/>
  <c r="E48" i="53"/>
  <c r="O48" i="53" s="1"/>
  <c r="E50" i="53"/>
  <c r="O50" i="53" s="1"/>
  <c r="E52" i="53"/>
  <c r="O52" i="53" s="1"/>
  <c r="E54" i="53"/>
  <c r="O54" i="53" s="1"/>
  <c r="E56" i="53"/>
  <c r="O56" i="53" s="1"/>
  <c r="E58" i="53"/>
  <c r="O58" i="53" s="1"/>
  <c r="E60" i="53"/>
  <c r="O60" i="53" s="1"/>
  <c r="E62" i="53"/>
  <c r="O62" i="53" s="1"/>
  <c r="E64" i="53"/>
  <c r="O64" i="53" s="1"/>
  <c r="E66" i="53"/>
  <c r="O66" i="53" s="1"/>
  <c r="E68" i="53"/>
  <c r="O68" i="53" s="1"/>
  <c r="E70" i="53"/>
  <c r="O70" i="53" s="1"/>
  <c r="E72" i="53"/>
  <c r="O72" i="53" s="1"/>
  <c r="E74" i="53"/>
  <c r="O74" i="53" s="1"/>
  <c r="E76" i="53"/>
  <c r="O76" i="53" s="1"/>
  <c r="E78" i="53"/>
  <c r="O78" i="53" s="1"/>
  <c r="E80" i="53"/>
  <c r="O80" i="53" s="1"/>
  <c r="E82" i="53"/>
  <c r="O82" i="53" s="1"/>
  <c r="E84" i="53"/>
  <c r="O84" i="53" s="1"/>
  <c r="E86" i="53"/>
  <c r="O86" i="53" s="1"/>
  <c r="E88" i="53"/>
  <c r="O88" i="53" s="1"/>
  <c r="E90" i="53"/>
  <c r="O90" i="53" s="1"/>
  <c r="E92" i="53"/>
  <c r="O92" i="53" s="1"/>
  <c r="E94" i="53"/>
  <c r="O94" i="53" s="1"/>
  <c r="E96" i="53"/>
  <c r="O96" i="53" s="1"/>
  <c r="E98" i="53"/>
  <c r="O98" i="53" s="1"/>
  <c r="E100" i="53"/>
  <c r="O100" i="53" s="1"/>
  <c r="E102" i="53"/>
  <c r="O102" i="53" s="1"/>
  <c r="E104" i="53"/>
  <c r="O104" i="53" s="1"/>
  <c r="E106" i="53"/>
  <c r="O106" i="53" s="1"/>
  <c r="E108" i="53"/>
  <c r="O108" i="53" s="1"/>
  <c r="E110" i="53"/>
  <c r="O110" i="53" s="1"/>
  <c r="E112" i="53"/>
  <c r="O112" i="53" s="1"/>
  <c r="E114" i="53"/>
  <c r="O114" i="53" s="1"/>
  <c r="E116" i="53"/>
  <c r="O116" i="53" s="1"/>
  <c r="E118" i="53"/>
  <c r="O118" i="53" s="1"/>
  <c r="E120" i="53"/>
  <c r="O120" i="53" s="1"/>
  <c r="E122" i="53"/>
  <c r="O122" i="53" s="1"/>
  <c r="E124" i="53"/>
  <c r="O124" i="53" s="1"/>
  <c r="E126" i="53"/>
  <c r="O126" i="53" s="1"/>
  <c r="E128" i="53"/>
  <c r="O128" i="53" s="1"/>
  <c r="E130" i="53"/>
  <c r="O130" i="53" s="1"/>
  <c r="E132" i="53"/>
  <c r="O132" i="53" s="1"/>
  <c r="E134" i="53"/>
  <c r="O134" i="53" s="1"/>
  <c r="E136" i="53"/>
  <c r="O136" i="53" s="1"/>
  <c r="E138" i="53"/>
  <c r="O138" i="53" s="1"/>
  <c r="E142" i="53"/>
  <c r="O142" i="53" s="1"/>
  <c r="E26" i="53"/>
  <c r="E127" i="53"/>
  <c r="O127" i="53" s="1"/>
  <c r="E129" i="53"/>
  <c r="O129" i="53" s="1"/>
  <c r="E131" i="53"/>
  <c r="O131" i="53" s="1"/>
  <c r="E133" i="53"/>
  <c r="O133" i="53" s="1"/>
  <c r="E135" i="53"/>
  <c r="O135" i="53" s="1"/>
  <c r="E137" i="53"/>
  <c r="O137" i="53" s="1"/>
  <c r="E139" i="53"/>
  <c r="O139" i="53" s="1"/>
  <c r="E141" i="53"/>
  <c r="O141" i="53" s="1"/>
  <c r="E143" i="53"/>
  <c r="O143" i="53" s="1"/>
  <c r="E145" i="53"/>
  <c r="O145" i="53" s="1"/>
  <c r="E140" i="53"/>
  <c r="O140" i="53" s="1"/>
  <c r="E144" i="53"/>
  <c r="O144" i="53" s="1"/>
  <c r="K26" i="53"/>
  <c r="C18" i="53"/>
  <c r="O26" i="53" l="1"/>
  <c r="K27" i="53"/>
  <c r="M27" i="53" s="1"/>
  <c r="K28" i="53"/>
  <c r="M28" i="53" s="1"/>
  <c r="K29" i="53"/>
  <c r="M29" i="53" s="1"/>
  <c r="K30" i="53"/>
  <c r="M30" i="53" s="1"/>
  <c r="K31" i="53"/>
  <c r="M31" i="53" s="1"/>
  <c r="K32" i="53"/>
  <c r="M32" i="53" s="1"/>
  <c r="K33" i="53"/>
  <c r="M33" i="53" s="1"/>
  <c r="K34" i="53"/>
  <c r="M34" i="53" s="1"/>
  <c r="K35" i="53"/>
  <c r="M35" i="53" s="1"/>
  <c r="K36" i="53"/>
  <c r="M36" i="53" s="1"/>
  <c r="K37" i="53"/>
  <c r="M37" i="53" s="1"/>
  <c r="K38" i="53"/>
  <c r="M38" i="53" s="1"/>
  <c r="K39" i="53"/>
  <c r="M39" i="53" s="1"/>
  <c r="K40" i="53"/>
  <c r="M40" i="53" s="1"/>
  <c r="K41" i="53"/>
  <c r="M41" i="53" s="1"/>
  <c r="K42" i="53"/>
  <c r="M42" i="53" s="1"/>
  <c r="K43" i="53"/>
  <c r="M43" i="53" s="1"/>
  <c r="K44" i="53"/>
  <c r="M44" i="53" s="1"/>
  <c r="K45" i="53"/>
  <c r="M45" i="53" s="1"/>
  <c r="K46" i="53"/>
  <c r="M46" i="53" s="1"/>
  <c r="K47" i="53"/>
  <c r="M47" i="53" s="1"/>
  <c r="K48" i="53"/>
  <c r="M48" i="53" s="1"/>
  <c r="K49" i="53"/>
  <c r="M49" i="53" s="1"/>
  <c r="K50" i="53"/>
  <c r="M50" i="53" s="1"/>
  <c r="K51" i="53"/>
  <c r="M51" i="53" s="1"/>
  <c r="K52" i="53"/>
  <c r="M52" i="53" s="1"/>
  <c r="K53" i="53"/>
  <c r="M53" i="53" s="1"/>
  <c r="K54" i="53"/>
  <c r="M54" i="53" s="1"/>
  <c r="K55" i="53"/>
  <c r="M55" i="53" s="1"/>
  <c r="K56" i="53"/>
  <c r="M56" i="53" s="1"/>
  <c r="K57" i="53"/>
  <c r="M57" i="53" s="1"/>
  <c r="K58" i="53"/>
  <c r="M58" i="53" s="1"/>
  <c r="K59" i="53"/>
  <c r="M59" i="53" s="1"/>
  <c r="K60" i="53"/>
  <c r="M60" i="53" s="1"/>
  <c r="K61" i="53"/>
  <c r="M61" i="53" s="1"/>
  <c r="K62" i="53"/>
  <c r="M62" i="53" s="1"/>
  <c r="K63" i="53"/>
  <c r="M63" i="53" s="1"/>
  <c r="K64" i="53"/>
  <c r="M64" i="53" s="1"/>
  <c r="K65" i="53"/>
  <c r="M65" i="53" s="1"/>
  <c r="K66" i="53"/>
  <c r="M66" i="53" s="1"/>
  <c r="K67" i="53"/>
  <c r="M67" i="53" s="1"/>
  <c r="K68" i="53"/>
  <c r="M68" i="53" s="1"/>
  <c r="K69" i="53"/>
  <c r="M69" i="53" s="1"/>
  <c r="K70" i="53"/>
  <c r="M70" i="53" s="1"/>
  <c r="K71" i="53"/>
  <c r="M71" i="53" s="1"/>
  <c r="K72" i="53"/>
  <c r="M72" i="53" s="1"/>
  <c r="K73" i="53"/>
  <c r="M73" i="53" s="1"/>
  <c r="K74" i="53"/>
  <c r="M74" i="53" s="1"/>
  <c r="K75" i="53"/>
  <c r="M75" i="53" s="1"/>
  <c r="K76" i="53"/>
  <c r="M76" i="53" s="1"/>
  <c r="K77" i="53"/>
  <c r="M77" i="53" s="1"/>
  <c r="K78" i="53"/>
  <c r="M78" i="53" s="1"/>
  <c r="K79" i="53"/>
  <c r="M79" i="53" s="1"/>
  <c r="K80" i="53"/>
  <c r="M80" i="53" s="1"/>
  <c r="K81" i="53"/>
  <c r="M81" i="53" s="1"/>
  <c r="K82" i="53"/>
  <c r="M82" i="53" s="1"/>
  <c r="K83" i="53"/>
  <c r="M83" i="53" s="1"/>
  <c r="K84" i="53"/>
  <c r="M84" i="53" s="1"/>
  <c r="K85" i="53"/>
  <c r="M85" i="53" s="1"/>
  <c r="K86" i="53"/>
  <c r="M86" i="53" s="1"/>
  <c r="K87" i="53"/>
  <c r="M87" i="53" s="1"/>
  <c r="K88" i="53"/>
  <c r="M88" i="53" s="1"/>
  <c r="K89" i="53"/>
  <c r="M89" i="53" s="1"/>
  <c r="K90" i="53"/>
  <c r="M90" i="53" s="1"/>
  <c r="K91" i="53"/>
  <c r="M91" i="53" s="1"/>
  <c r="K92" i="53"/>
  <c r="M92" i="53" s="1"/>
  <c r="K93" i="53"/>
  <c r="M93" i="53" s="1"/>
  <c r="K94" i="53"/>
  <c r="M94" i="53" s="1"/>
  <c r="K95" i="53"/>
  <c r="M95" i="53" s="1"/>
  <c r="K96" i="53"/>
  <c r="M96" i="53" s="1"/>
  <c r="K97" i="53"/>
  <c r="M97" i="53" s="1"/>
  <c r="M26" i="53"/>
  <c r="I146" i="53" l="1"/>
  <c r="O25" i="53" s="1"/>
  <c r="G146" i="53"/>
  <c r="O146" i="53" l="1"/>
  <c r="D7" i="49"/>
  <c r="D6" i="49"/>
  <c r="O7" i="48"/>
  <c r="N7" i="48"/>
  <c r="M7" i="48"/>
  <c r="L7" i="48"/>
  <c r="K7" i="48"/>
  <c r="J7" i="48"/>
  <c r="I7" i="48"/>
  <c r="H7" i="48"/>
  <c r="G7" i="48"/>
  <c r="F7" i="48"/>
  <c r="E7" i="48"/>
  <c r="O6" i="48"/>
  <c r="N6" i="48"/>
  <c r="M6" i="48"/>
  <c r="L6" i="48"/>
  <c r="K6" i="48"/>
  <c r="J6" i="48"/>
  <c r="I6" i="48"/>
  <c r="H6" i="48"/>
  <c r="G6" i="48"/>
  <c r="F6" i="48"/>
  <c r="E6" i="48"/>
  <c r="D7" i="48"/>
  <c r="D6" i="48"/>
  <c r="O7" i="49"/>
  <c r="N7" i="49"/>
  <c r="M7" i="49"/>
  <c r="L7" i="49"/>
  <c r="K7" i="49"/>
  <c r="J7" i="49"/>
  <c r="I7" i="49"/>
  <c r="H7" i="49"/>
  <c r="G7" i="49"/>
  <c r="F7" i="49"/>
  <c r="E7" i="49"/>
  <c r="O6" i="49"/>
  <c r="N6" i="49"/>
  <c r="M6" i="49"/>
  <c r="L6" i="49"/>
  <c r="K6" i="49"/>
  <c r="J6" i="49"/>
  <c r="I6" i="49"/>
  <c r="H6" i="49"/>
  <c r="G6" i="49"/>
  <c r="F6" i="49"/>
  <c r="E6" i="49"/>
  <c r="D5" i="49" l="1"/>
  <c r="D5" i="48"/>
  <c r="D7" i="45"/>
  <c r="D6" i="45"/>
  <c r="D5" i="45"/>
  <c r="O7" i="45"/>
  <c r="N7" i="45"/>
  <c r="M7" i="45"/>
  <c r="L7" i="45"/>
  <c r="K7" i="45"/>
  <c r="J7" i="45"/>
  <c r="I7" i="45"/>
  <c r="H7" i="45"/>
  <c r="G7" i="45"/>
  <c r="F7" i="45"/>
  <c r="E7" i="45"/>
  <c r="O6" i="45"/>
  <c r="N6" i="45"/>
  <c r="M6" i="45"/>
  <c r="L6" i="45"/>
  <c r="K6" i="45"/>
  <c r="J6" i="45"/>
  <c r="I6" i="45"/>
  <c r="H6" i="45"/>
  <c r="G6" i="45"/>
  <c r="F6" i="45"/>
  <c r="E6" i="45"/>
  <c r="O7" i="46"/>
  <c r="N7" i="46"/>
  <c r="M7" i="46"/>
  <c r="L7" i="46"/>
  <c r="K7" i="46"/>
  <c r="J7" i="46"/>
  <c r="I7" i="46"/>
  <c r="H7" i="46"/>
  <c r="G7" i="46"/>
  <c r="F7" i="46"/>
  <c r="E7" i="46"/>
  <c r="D7" i="46"/>
  <c r="O6" i="46"/>
  <c r="N6" i="46"/>
  <c r="M6" i="46"/>
  <c r="L6" i="46"/>
  <c r="K6" i="46"/>
  <c r="J6" i="46"/>
  <c r="I6" i="46"/>
  <c r="H6" i="46"/>
  <c r="G6" i="46"/>
  <c r="F6" i="46"/>
  <c r="E6" i="46"/>
  <c r="D6" i="46"/>
  <c r="D5" i="46"/>
  <c r="O7" i="34"/>
  <c r="N7" i="34"/>
  <c r="M7" i="34"/>
  <c r="L7" i="34"/>
  <c r="K7" i="34"/>
  <c r="J7" i="34"/>
  <c r="I7" i="34"/>
  <c r="H7" i="34"/>
  <c r="G7" i="34"/>
  <c r="F7" i="34"/>
  <c r="E7" i="34"/>
  <c r="O6" i="34"/>
  <c r="N6" i="34"/>
  <c r="M6" i="34"/>
  <c r="L6" i="34"/>
  <c r="K6" i="34"/>
  <c r="J6" i="34"/>
  <c r="I6" i="34"/>
  <c r="H6" i="34"/>
  <c r="G6" i="34"/>
  <c r="F6" i="34"/>
  <c r="E6" i="34"/>
  <c r="O7" i="43"/>
  <c r="N7" i="43"/>
  <c r="M7" i="43"/>
  <c r="L7" i="43"/>
  <c r="K7" i="43"/>
  <c r="J7" i="43"/>
  <c r="I7" i="43"/>
  <c r="H7" i="43"/>
  <c r="G7" i="43"/>
  <c r="F7" i="43"/>
  <c r="E7" i="43"/>
  <c r="O6" i="43"/>
  <c r="N6" i="43"/>
  <c r="M6" i="43"/>
  <c r="L6" i="43"/>
  <c r="K6" i="43"/>
  <c r="J6" i="43"/>
  <c r="I6" i="43"/>
  <c r="H6" i="43"/>
  <c r="G6" i="43"/>
  <c r="F6" i="43"/>
  <c r="E6" i="43"/>
  <c r="D7" i="43"/>
  <c r="D6" i="43"/>
  <c r="O7" i="41"/>
  <c r="N7" i="41"/>
  <c r="M7" i="41"/>
  <c r="L7" i="41"/>
  <c r="K7" i="41"/>
  <c r="J7" i="41"/>
  <c r="I7" i="41"/>
  <c r="H7" i="41"/>
  <c r="G7" i="41"/>
  <c r="F7" i="41"/>
  <c r="E7" i="41"/>
  <c r="O6" i="41"/>
  <c r="N6" i="41"/>
  <c r="M6" i="41"/>
  <c r="L6" i="41"/>
  <c r="K6" i="41"/>
  <c r="J6" i="41"/>
  <c r="I6" i="41"/>
  <c r="H6" i="41"/>
  <c r="G6" i="41"/>
  <c r="F6" i="41"/>
  <c r="E6" i="41"/>
  <c r="D7" i="41"/>
  <c r="D6" i="41"/>
  <c r="O7" i="42"/>
  <c r="N7" i="42"/>
  <c r="M7" i="42"/>
  <c r="L7" i="42"/>
  <c r="K7" i="42"/>
  <c r="J7" i="42"/>
  <c r="I7" i="42"/>
  <c r="H7" i="42"/>
  <c r="G7" i="42"/>
  <c r="F7" i="42"/>
  <c r="E7" i="42"/>
  <c r="O6" i="42"/>
  <c r="N6" i="42"/>
  <c r="M6" i="42"/>
  <c r="L6" i="42"/>
  <c r="K6" i="42"/>
  <c r="J6" i="42"/>
  <c r="I6" i="42"/>
  <c r="H6" i="42"/>
  <c r="G6" i="42"/>
  <c r="F6" i="42"/>
  <c r="E6" i="42"/>
  <c r="D7" i="42"/>
  <c r="D6" i="42"/>
  <c r="D20" i="45" l="1"/>
  <c r="D14" i="49"/>
  <c r="D16" i="49"/>
  <c r="D18" i="49"/>
  <c r="D20" i="49"/>
  <c r="D22" i="49"/>
  <c r="D13" i="49"/>
  <c r="D15" i="49"/>
  <c r="D17" i="49"/>
  <c r="D19" i="49"/>
  <c r="D21" i="49"/>
  <c r="D23" i="49"/>
  <c r="D12" i="49"/>
  <c r="C12" i="49" s="1"/>
  <c r="D23" i="48"/>
  <c r="D25" i="48"/>
  <c r="D16" i="48"/>
  <c r="D20" i="48"/>
  <c r="D14" i="48"/>
  <c r="C14" i="48" s="1"/>
  <c r="D18" i="48"/>
  <c r="D22" i="48"/>
  <c r="D24" i="48"/>
  <c r="D8" i="48"/>
  <c r="D9" i="48" s="1"/>
  <c r="D17" i="48"/>
  <c r="D21" i="48"/>
  <c r="D15" i="48"/>
  <c r="D19" i="48"/>
  <c r="D12" i="45"/>
  <c r="C12" i="45" s="1"/>
  <c r="D23" i="45"/>
  <c r="D16" i="45"/>
  <c r="D21" i="45"/>
  <c r="D13" i="45"/>
  <c r="D17" i="45"/>
  <c r="D14" i="45"/>
  <c r="D15" i="45"/>
  <c r="D18" i="45"/>
  <c r="D19" i="45"/>
  <c r="D22" i="45"/>
  <c r="D23" i="46"/>
  <c r="D8" i="46"/>
  <c r="D9" i="46" s="1"/>
  <c r="D16" i="46"/>
  <c r="D17" i="46"/>
  <c r="D20" i="46"/>
  <c r="D21" i="46"/>
  <c r="D24" i="46"/>
  <c r="D25" i="46"/>
  <c r="D14" i="46"/>
  <c r="C14" i="46" s="1"/>
  <c r="D15" i="46"/>
  <c r="D18" i="46"/>
  <c r="D19" i="46"/>
  <c r="D22" i="46"/>
  <c r="E5" i="48" l="1"/>
  <c r="E5" i="49"/>
  <c r="E5" i="46"/>
  <c r="E24" i="46" s="1"/>
  <c r="C14" i="15"/>
  <c r="E8" i="46" l="1"/>
  <c r="E9" i="46" s="1"/>
  <c r="E21" i="46"/>
  <c r="E22" i="46"/>
  <c r="E19" i="46"/>
  <c r="E18" i="46"/>
  <c r="E23" i="49"/>
  <c r="E20" i="49"/>
  <c r="E16" i="49"/>
  <c r="E21" i="49"/>
  <c r="E17" i="49"/>
  <c r="E15" i="49"/>
  <c r="E22" i="49"/>
  <c r="E18" i="49"/>
  <c r="E14" i="49"/>
  <c r="E19" i="49"/>
  <c r="E13" i="49"/>
  <c r="C13" i="49" s="1"/>
  <c r="E16" i="48"/>
  <c r="E20" i="48"/>
  <c r="E17" i="48"/>
  <c r="E21" i="48"/>
  <c r="E24" i="48"/>
  <c r="E19" i="48"/>
  <c r="E15" i="48"/>
  <c r="C15" i="48" s="1"/>
  <c r="E23" i="48"/>
  <c r="E22" i="48"/>
  <c r="E18" i="48"/>
  <c r="E8" i="48"/>
  <c r="E9" i="48" s="1"/>
  <c r="E25" i="48"/>
  <c r="E15" i="46"/>
  <c r="C15" i="46" s="1"/>
  <c r="F5" i="46" s="1"/>
  <c r="F17" i="46" s="1"/>
  <c r="E23" i="46"/>
  <c r="E16" i="46"/>
  <c r="E17" i="46"/>
  <c r="E25" i="46"/>
  <c r="E20" i="46"/>
  <c r="D5" i="41" l="1"/>
  <c r="D5" i="42"/>
  <c r="F16" i="46"/>
  <c r="C16" i="46" s="1"/>
  <c r="G5" i="46" s="1"/>
  <c r="F5" i="48"/>
  <c r="F5" i="49"/>
  <c r="D5" i="43"/>
  <c r="F21" i="46"/>
  <c r="F18" i="46"/>
  <c r="F22" i="46"/>
  <c r="F8" i="46"/>
  <c r="F9" i="46" s="1"/>
  <c r="F24" i="46"/>
  <c r="F19" i="46"/>
  <c r="F20" i="46"/>
  <c r="F23" i="46"/>
  <c r="F25" i="46"/>
  <c r="C13" i="15"/>
  <c r="O83" i="15" s="1"/>
  <c r="C66" i="15"/>
  <c r="D7" i="34"/>
  <c r="D6" i="34"/>
  <c r="O7" i="32"/>
  <c r="N7" i="32"/>
  <c r="M7" i="32"/>
  <c r="L7" i="32"/>
  <c r="K7" i="32"/>
  <c r="J7" i="32"/>
  <c r="I7" i="32"/>
  <c r="H7" i="32"/>
  <c r="G7" i="32"/>
  <c r="F7" i="32"/>
  <c r="E7" i="32"/>
  <c r="O6" i="32"/>
  <c r="N6" i="32"/>
  <c r="M6" i="32"/>
  <c r="L6" i="32"/>
  <c r="K6" i="32"/>
  <c r="J6" i="32"/>
  <c r="I6" i="32"/>
  <c r="H6" i="32"/>
  <c r="G6" i="32"/>
  <c r="F6" i="32"/>
  <c r="E6" i="32"/>
  <c r="D6" i="32"/>
  <c r="D7" i="32"/>
  <c r="D21" i="41" l="1"/>
  <c r="D15" i="41"/>
  <c r="D19" i="41"/>
  <c r="D23" i="41"/>
  <c r="D13" i="41"/>
  <c r="D17" i="41"/>
  <c r="D14" i="41"/>
  <c r="D18" i="41"/>
  <c r="D22" i="41"/>
  <c r="D12" i="41"/>
  <c r="C12" i="41" s="1"/>
  <c r="D16" i="41"/>
  <c r="D20" i="41"/>
  <c r="D22" i="42"/>
  <c r="D24" i="42"/>
  <c r="D16" i="42"/>
  <c r="D23" i="42"/>
  <c r="D19" i="42"/>
  <c r="D14" i="42"/>
  <c r="C14" i="42" s="1"/>
  <c r="D18" i="42"/>
  <c r="D15" i="42"/>
  <c r="D20" i="42"/>
  <c r="D25" i="42"/>
  <c r="D21" i="42"/>
  <c r="D17" i="42"/>
  <c r="D8" i="42"/>
  <c r="D9" i="42" s="1"/>
  <c r="G19" i="46"/>
  <c r="G18" i="46"/>
  <c r="G8" i="46"/>
  <c r="G9" i="46" s="1"/>
  <c r="F16" i="49"/>
  <c r="F19" i="49"/>
  <c r="F17" i="49"/>
  <c r="F15" i="49"/>
  <c r="F22" i="49"/>
  <c r="F18" i="49"/>
  <c r="F14" i="49"/>
  <c r="C14" i="49" s="1"/>
  <c r="F23" i="49"/>
  <c r="F21" i="49"/>
  <c r="F20" i="49"/>
  <c r="F21" i="48"/>
  <c r="F22" i="48"/>
  <c r="F8" i="48"/>
  <c r="F9" i="48" s="1"/>
  <c r="F24" i="48"/>
  <c r="F17" i="48"/>
  <c r="F18" i="48"/>
  <c r="F19" i="48"/>
  <c r="F23" i="48"/>
  <c r="F16" i="48"/>
  <c r="C16" i="48" s="1"/>
  <c r="F25" i="48"/>
  <c r="F20" i="48"/>
  <c r="D21" i="43"/>
  <c r="D15" i="43"/>
  <c r="D19" i="43"/>
  <c r="D23" i="43"/>
  <c r="D13" i="43"/>
  <c r="D17" i="43"/>
  <c r="D14" i="43"/>
  <c r="D18" i="43"/>
  <c r="D22" i="43"/>
  <c r="D12" i="43"/>
  <c r="C12" i="43" s="1"/>
  <c r="D16" i="43"/>
  <c r="D20" i="43"/>
  <c r="G24" i="46"/>
  <c r="G22" i="46"/>
  <c r="G17" i="46"/>
  <c r="C17" i="46" s="1"/>
  <c r="H5" i="46" s="1"/>
  <c r="G21" i="46"/>
  <c r="G23" i="46"/>
  <c r="G25" i="46"/>
  <c r="G20" i="46"/>
  <c r="D5" i="14"/>
  <c r="C19" i="15"/>
  <c r="C60" i="15"/>
  <c r="D5" i="16"/>
  <c r="C30" i="15"/>
  <c r="D5" i="32"/>
  <c r="D5" i="34"/>
  <c r="O7" i="29"/>
  <c r="N7" i="29"/>
  <c r="M7" i="29"/>
  <c r="L7" i="29"/>
  <c r="K7" i="29"/>
  <c r="J7" i="29"/>
  <c r="I7" i="29"/>
  <c r="H7" i="29"/>
  <c r="G7" i="29"/>
  <c r="F7" i="29"/>
  <c r="E7" i="29"/>
  <c r="D7" i="29"/>
  <c r="D6" i="29"/>
  <c r="D5" i="29"/>
  <c r="O7" i="30"/>
  <c r="N7" i="30"/>
  <c r="M7" i="30"/>
  <c r="L7" i="30"/>
  <c r="K7" i="30"/>
  <c r="J7" i="30"/>
  <c r="I7" i="30"/>
  <c r="H7" i="30"/>
  <c r="G7" i="30"/>
  <c r="F7" i="30"/>
  <c r="E7" i="30"/>
  <c r="O6" i="30"/>
  <c r="N6" i="30"/>
  <c r="M6" i="30"/>
  <c r="L6" i="30"/>
  <c r="K6" i="30"/>
  <c r="J6" i="30"/>
  <c r="I6" i="30"/>
  <c r="H6" i="30"/>
  <c r="G6" i="30"/>
  <c r="F6" i="30"/>
  <c r="E6" i="30"/>
  <c r="D7" i="30"/>
  <c r="D6" i="30"/>
  <c r="D5" i="30"/>
  <c r="O6" i="29"/>
  <c r="N6" i="29"/>
  <c r="M6" i="29"/>
  <c r="L6" i="29"/>
  <c r="K6" i="29"/>
  <c r="J6" i="29"/>
  <c r="I6" i="29"/>
  <c r="H6" i="29"/>
  <c r="G6" i="29"/>
  <c r="F6" i="29"/>
  <c r="E6" i="29"/>
  <c r="N7" i="28"/>
  <c r="M7" i="28"/>
  <c r="L7" i="28"/>
  <c r="O7" i="28"/>
  <c r="K7" i="28"/>
  <c r="J7" i="28"/>
  <c r="I7" i="28"/>
  <c r="H7" i="28"/>
  <c r="G7" i="28"/>
  <c r="F7" i="28"/>
  <c r="E7" i="28"/>
  <c r="N6" i="28"/>
  <c r="M6" i="28"/>
  <c r="O6" i="28"/>
  <c r="L6" i="28"/>
  <c r="K6" i="28"/>
  <c r="J6" i="28"/>
  <c r="I6" i="28"/>
  <c r="H6" i="28"/>
  <c r="G6" i="28"/>
  <c r="F6" i="28"/>
  <c r="E6" i="28"/>
  <c r="D7" i="28"/>
  <c r="D6" i="28"/>
  <c r="O7" i="27"/>
  <c r="N7" i="27"/>
  <c r="M7" i="27"/>
  <c r="L7" i="27"/>
  <c r="K7" i="27"/>
  <c r="J7" i="27"/>
  <c r="I7" i="27"/>
  <c r="H7" i="27"/>
  <c r="G7" i="27"/>
  <c r="F7" i="27"/>
  <c r="E7" i="27"/>
  <c r="O6" i="27"/>
  <c r="N6" i="27"/>
  <c r="M6" i="27"/>
  <c r="L6" i="27"/>
  <c r="K6" i="27"/>
  <c r="J6" i="27"/>
  <c r="I6" i="27"/>
  <c r="H6" i="27"/>
  <c r="G6" i="27"/>
  <c r="F6" i="27"/>
  <c r="E6" i="27"/>
  <c r="D7" i="27"/>
  <c r="D6" i="27"/>
  <c r="E5" i="42" l="1"/>
  <c r="G5" i="49"/>
  <c r="G5" i="48"/>
  <c r="H23" i="46"/>
  <c r="H25" i="46"/>
  <c r="H21" i="46"/>
  <c r="H22" i="46"/>
  <c r="H8" i="46"/>
  <c r="H9" i="46" s="1"/>
  <c r="H18" i="46"/>
  <c r="C18" i="46" s="1"/>
  <c r="H24" i="46"/>
  <c r="H19" i="46"/>
  <c r="H20" i="46"/>
  <c r="I5" i="46"/>
  <c r="I22" i="46" s="1"/>
  <c r="D18" i="30"/>
  <c r="D17" i="29"/>
  <c r="D23" i="34"/>
  <c r="D21" i="32"/>
  <c r="D8" i="34"/>
  <c r="D9" i="34" s="1"/>
  <c r="D16" i="34"/>
  <c r="D17" i="34"/>
  <c r="D20" i="34"/>
  <c r="D21" i="34"/>
  <c r="D24" i="34"/>
  <c r="D25" i="34"/>
  <c r="D14" i="34"/>
  <c r="C14" i="34" s="1"/>
  <c r="D15" i="34"/>
  <c r="D18" i="34"/>
  <c r="D19" i="34"/>
  <c r="D22" i="34"/>
  <c r="D14" i="32"/>
  <c r="D15" i="32"/>
  <c r="D18" i="32"/>
  <c r="D19" i="32"/>
  <c r="D22" i="32"/>
  <c r="D23" i="32"/>
  <c r="D12" i="32"/>
  <c r="C12" i="32" s="1"/>
  <c r="D13" i="32"/>
  <c r="D16" i="32"/>
  <c r="D17" i="32"/>
  <c r="D20" i="32"/>
  <c r="D21" i="29"/>
  <c r="D13" i="29"/>
  <c r="D20" i="29"/>
  <c r="D23" i="29"/>
  <c r="D12" i="29"/>
  <c r="C12" i="29" s="1"/>
  <c r="D16" i="29"/>
  <c r="D25" i="30"/>
  <c r="D22" i="30"/>
  <c r="D14" i="30"/>
  <c r="C14" i="30" s="1"/>
  <c r="D23" i="30"/>
  <c r="D15" i="30"/>
  <c r="D19" i="30"/>
  <c r="D14" i="29"/>
  <c r="D15" i="29"/>
  <c r="D18" i="29"/>
  <c r="D19" i="29"/>
  <c r="D22" i="29"/>
  <c r="D8" i="30"/>
  <c r="D9" i="30" s="1"/>
  <c r="D16" i="30"/>
  <c r="D17" i="30"/>
  <c r="D20" i="30"/>
  <c r="D21" i="30"/>
  <c r="D24" i="30"/>
  <c r="O7" i="23"/>
  <c r="N7" i="23"/>
  <c r="M7" i="23"/>
  <c r="L7" i="23"/>
  <c r="K7" i="23"/>
  <c r="J7" i="23"/>
  <c r="I7" i="23"/>
  <c r="H7" i="23"/>
  <c r="G7" i="23"/>
  <c r="F7" i="23"/>
  <c r="E7" i="23"/>
  <c r="O6" i="23"/>
  <c r="N6" i="23"/>
  <c r="M6" i="23"/>
  <c r="L6" i="23"/>
  <c r="K6" i="23"/>
  <c r="J6" i="23"/>
  <c r="I6" i="23"/>
  <c r="H6" i="23"/>
  <c r="G6" i="23"/>
  <c r="F6" i="23"/>
  <c r="E6" i="23"/>
  <c r="D7" i="23"/>
  <c r="D6" i="23"/>
  <c r="D5" i="23"/>
  <c r="O7" i="24"/>
  <c r="N7" i="24"/>
  <c r="M7" i="24"/>
  <c r="L7" i="24"/>
  <c r="K7" i="24"/>
  <c r="J7" i="24"/>
  <c r="I7" i="24"/>
  <c r="H7" i="24"/>
  <c r="G7" i="24"/>
  <c r="F7" i="24"/>
  <c r="E7" i="24"/>
  <c r="O6" i="24"/>
  <c r="N6" i="24"/>
  <c r="M6" i="24"/>
  <c r="L6" i="24"/>
  <c r="K6" i="24"/>
  <c r="J6" i="24"/>
  <c r="I6" i="24"/>
  <c r="H6" i="24"/>
  <c r="G6" i="24"/>
  <c r="F6" i="24"/>
  <c r="E6" i="24"/>
  <c r="D7" i="24"/>
  <c r="D6" i="24"/>
  <c r="D5" i="24"/>
  <c r="E23" i="42" l="1"/>
  <c r="E19" i="42"/>
  <c r="E15" i="42"/>
  <c r="C15" i="42" s="1"/>
  <c r="E22" i="42"/>
  <c r="E18" i="42"/>
  <c r="E25" i="42"/>
  <c r="E20" i="42"/>
  <c r="E8" i="42"/>
  <c r="E9" i="42" s="1"/>
  <c r="E21" i="42"/>
  <c r="E16" i="42"/>
  <c r="E24" i="42"/>
  <c r="E17" i="42"/>
  <c r="G16" i="49"/>
  <c r="G21" i="49"/>
  <c r="G17" i="49"/>
  <c r="G20" i="49"/>
  <c r="G23" i="49"/>
  <c r="G19" i="49"/>
  <c r="G22" i="49"/>
  <c r="G18" i="49"/>
  <c r="G15" i="49"/>
  <c r="C15" i="49" s="1"/>
  <c r="G18" i="48"/>
  <c r="G23" i="48"/>
  <c r="G25" i="48"/>
  <c r="G20" i="48"/>
  <c r="G21" i="48"/>
  <c r="G19" i="48"/>
  <c r="G22" i="48"/>
  <c r="G8" i="48"/>
  <c r="G9" i="48" s="1"/>
  <c r="G17" i="48"/>
  <c r="C17" i="48" s="1"/>
  <c r="G24" i="48"/>
  <c r="I23" i="46"/>
  <c r="I20" i="46"/>
  <c r="I21" i="46"/>
  <c r="I25" i="46"/>
  <c r="I24" i="46"/>
  <c r="I19" i="46"/>
  <c r="C19" i="46" s="1"/>
  <c r="I8" i="46"/>
  <c r="I9" i="46" s="1"/>
  <c r="E5" i="34"/>
  <c r="E19" i="34" s="1"/>
  <c r="E5" i="30"/>
  <c r="E23" i="30" s="1"/>
  <c r="D22" i="24"/>
  <c r="D21" i="23"/>
  <c r="D16" i="23"/>
  <c r="D23" i="23"/>
  <c r="D12" i="23"/>
  <c r="C12" i="23" s="1"/>
  <c r="D20" i="23"/>
  <c r="D15" i="24"/>
  <c r="D19" i="24"/>
  <c r="D23" i="24"/>
  <c r="D13" i="23"/>
  <c r="D17" i="23"/>
  <c r="D25" i="24"/>
  <c r="D14" i="24"/>
  <c r="C14" i="24" s="1"/>
  <c r="D18" i="24"/>
  <c r="D8" i="24"/>
  <c r="D9" i="24" s="1"/>
  <c r="D16" i="24"/>
  <c r="D17" i="24"/>
  <c r="D20" i="24"/>
  <c r="D21" i="24"/>
  <c r="D24" i="24"/>
  <c r="D14" i="23"/>
  <c r="D15" i="23"/>
  <c r="D18" i="23"/>
  <c r="D19" i="23"/>
  <c r="D22" i="23"/>
  <c r="F5" i="42" l="1"/>
  <c r="E24" i="30"/>
  <c r="H5" i="48"/>
  <c r="H5" i="49"/>
  <c r="J5" i="46"/>
  <c r="J24" i="46" s="1"/>
  <c r="E23" i="34"/>
  <c r="E15" i="34"/>
  <c r="C15" i="34" s="1"/>
  <c r="E18" i="34"/>
  <c r="E22" i="34"/>
  <c r="E8" i="34"/>
  <c r="E9" i="34" s="1"/>
  <c r="E25" i="34"/>
  <c r="E17" i="34"/>
  <c r="E21" i="34"/>
  <c r="E24" i="34"/>
  <c r="E16" i="34"/>
  <c r="E20" i="34"/>
  <c r="E15" i="30"/>
  <c r="C15" i="30" s="1"/>
  <c r="E8" i="30"/>
  <c r="E9" i="30" s="1"/>
  <c r="E25" i="30"/>
  <c r="E16" i="30"/>
  <c r="E18" i="30"/>
  <c r="E22" i="30"/>
  <c r="E21" i="30"/>
  <c r="E17" i="30"/>
  <c r="E19" i="30"/>
  <c r="E20" i="30"/>
  <c r="E5" i="24"/>
  <c r="E20" i="24" s="1"/>
  <c r="J22" i="46" l="1"/>
  <c r="J23" i="46"/>
  <c r="J21" i="46"/>
  <c r="F23" i="42"/>
  <c r="F25" i="42"/>
  <c r="F8" i="42"/>
  <c r="F9" i="42" s="1"/>
  <c r="F21" i="42"/>
  <c r="F18" i="42"/>
  <c r="F16" i="42"/>
  <c r="C16" i="42" s="1"/>
  <c r="F19" i="42"/>
  <c r="F17" i="42"/>
  <c r="F20" i="42"/>
  <c r="F22" i="42"/>
  <c r="F24" i="42"/>
  <c r="J20" i="46"/>
  <c r="C20" i="46" s="1"/>
  <c r="K5" i="46" s="1"/>
  <c r="K24" i="46" s="1"/>
  <c r="J8" i="46"/>
  <c r="J9" i="46" s="1"/>
  <c r="J25" i="46"/>
  <c r="K8" i="46"/>
  <c r="K9" i="46" s="1"/>
  <c r="H18" i="49"/>
  <c r="H16" i="49"/>
  <c r="C16" i="49" s="1"/>
  <c r="H21" i="49"/>
  <c r="H17" i="49"/>
  <c r="H20" i="49"/>
  <c r="H22" i="49"/>
  <c r="H23" i="49"/>
  <c r="H19" i="49"/>
  <c r="H24" i="48"/>
  <c r="H20" i="48"/>
  <c r="H8" i="48"/>
  <c r="H9" i="48" s="1"/>
  <c r="H22" i="48"/>
  <c r="H23" i="48"/>
  <c r="H25" i="48"/>
  <c r="H18" i="48"/>
  <c r="C18" i="48" s="1"/>
  <c r="H19" i="48"/>
  <c r="H21" i="48"/>
  <c r="K21" i="46"/>
  <c r="C21" i="46" s="1"/>
  <c r="L5" i="46" s="1"/>
  <c r="K25" i="46"/>
  <c r="F5" i="34"/>
  <c r="F17" i="34" s="1"/>
  <c r="E5" i="43"/>
  <c r="F5" i="30"/>
  <c r="F20" i="30" s="1"/>
  <c r="E5" i="32"/>
  <c r="F22" i="34"/>
  <c r="E19" i="24"/>
  <c r="F18" i="34"/>
  <c r="F25" i="30"/>
  <c r="E18" i="24"/>
  <c r="E21" i="24"/>
  <c r="E8" i="24"/>
  <c r="E9" i="24" s="1"/>
  <c r="E22" i="24"/>
  <c r="E25" i="24"/>
  <c r="E15" i="24"/>
  <c r="C15" i="24" s="1"/>
  <c r="E23" i="24"/>
  <c r="E17" i="24"/>
  <c r="E24" i="24"/>
  <c r="E16" i="24"/>
  <c r="F23" i="34" l="1"/>
  <c r="F19" i="34"/>
  <c r="K23" i="46"/>
  <c r="K22" i="46"/>
  <c r="F24" i="30"/>
  <c r="G5" i="42"/>
  <c r="F25" i="34"/>
  <c r="F20" i="34"/>
  <c r="F16" i="34"/>
  <c r="C16" i="34" s="1"/>
  <c r="F19" i="30"/>
  <c r="F21" i="30"/>
  <c r="F16" i="30"/>
  <c r="C16" i="30" s="1"/>
  <c r="G5" i="30" s="1"/>
  <c r="G25" i="30" s="1"/>
  <c r="I5" i="48"/>
  <c r="I5" i="49"/>
  <c r="L8" i="46"/>
  <c r="L9" i="46" s="1"/>
  <c r="L23" i="46"/>
  <c r="L25" i="46"/>
  <c r="L22" i="46"/>
  <c r="C22" i="46" s="1"/>
  <c r="M5" i="46" s="1"/>
  <c r="M25" i="46" s="1"/>
  <c r="L24" i="46"/>
  <c r="F21" i="34"/>
  <c r="F24" i="34"/>
  <c r="F8" i="34"/>
  <c r="F9" i="34" s="1"/>
  <c r="E15" i="43"/>
  <c r="E17" i="43"/>
  <c r="E19" i="43"/>
  <c r="E21" i="43"/>
  <c r="E23" i="43"/>
  <c r="E14" i="43"/>
  <c r="E16" i="43"/>
  <c r="E18" i="43"/>
  <c r="E20" i="43"/>
  <c r="E22" i="43"/>
  <c r="E13" i="43"/>
  <c r="C13" i="43" s="1"/>
  <c r="F23" i="30"/>
  <c r="F8" i="30"/>
  <c r="F9" i="30" s="1"/>
  <c r="F22" i="30"/>
  <c r="F18" i="30"/>
  <c r="F17" i="30"/>
  <c r="F5" i="32"/>
  <c r="G21" i="30"/>
  <c r="F5" i="24"/>
  <c r="G5" i="34" l="1"/>
  <c r="G19" i="34" s="1"/>
  <c r="F5" i="43"/>
  <c r="F17" i="43" s="1"/>
  <c r="G22" i="42"/>
  <c r="G25" i="42"/>
  <c r="G8" i="42"/>
  <c r="G9" i="42" s="1"/>
  <c r="G24" i="42"/>
  <c r="G20" i="42"/>
  <c r="G23" i="42"/>
  <c r="G19" i="42"/>
  <c r="G18" i="42"/>
  <c r="G21" i="42"/>
  <c r="G17" i="42"/>
  <c r="C17" i="42" s="1"/>
  <c r="F16" i="43"/>
  <c r="F20" i="43"/>
  <c r="G24" i="30"/>
  <c r="G22" i="30"/>
  <c r="G8" i="30"/>
  <c r="G9" i="30" s="1"/>
  <c r="G23" i="30"/>
  <c r="G17" i="30"/>
  <c r="C17" i="30" s="1"/>
  <c r="G20" i="30"/>
  <c r="G19" i="30"/>
  <c r="G18" i="30"/>
  <c r="I22" i="49"/>
  <c r="I18" i="49"/>
  <c r="I23" i="49"/>
  <c r="I19" i="49"/>
  <c r="I20" i="49"/>
  <c r="I21" i="49"/>
  <c r="I17" i="49"/>
  <c r="C17" i="49" s="1"/>
  <c r="I19" i="48"/>
  <c r="C19" i="48" s="1"/>
  <c r="I23" i="48"/>
  <c r="I21" i="48"/>
  <c r="I24" i="48"/>
  <c r="I22" i="48"/>
  <c r="I25" i="48"/>
  <c r="I8" i="48"/>
  <c r="I9" i="48" s="1"/>
  <c r="I20" i="48"/>
  <c r="M23" i="46"/>
  <c r="C23" i="46" s="1"/>
  <c r="N5" i="46" s="1"/>
  <c r="M24" i="46"/>
  <c r="M8" i="46"/>
  <c r="M9" i="46" s="1"/>
  <c r="C14" i="43"/>
  <c r="H5" i="30"/>
  <c r="H23" i="30" s="1"/>
  <c r="F23" i="24"/>
  <c r="F18" i="24"/>
  <c r="F20" i="24"/>
  <c r="F24" i="24"/>
  <c r="F21" i="24"/>
  <c r="F25" i="24"/>
  <c r="F17" i="24"/>
  <c r="F22" i="24"/>
  <c r="F16" i="24"/>
  <c r="C16" i="24" s="1"/>
  <c r="F8" i="24"/>
  <c r="F9" i="24" s="1"/>
  <c r="F19" i="24"/>
  <c r="G24" i="34" l="1"/>
  <c r="G8" i="34"/>
  <c r="G9" i="34" s="1"/>
  <c r="G22" i="34"/>
  <c r="G23" i="34"/>
  <c r="G20" i="34"/>
  <c r="G18" i="34"/>
  <c r="G17" i="34"/>
  <c r="C17" i="34" s="1"/>
  <c r="G21" i="34"/>
  <c r="G25" i="34"/>
  <c r="F19" i="43"/>
  <c r="F23" i="43"/>
  <c r="F18" i="43"/>
  <c r="F15" i="43"/>
  <c r="F21" i="43"/>
  <c r="F14" i="43"/>
  <c r="F22" i="43"/>
  <c r="H5" i="42"/>
  <c r="N25" i="46"/>
  <c r="N24" i="46"/>
  <c r="C24" i="46" s="1"/>
  <c r="J5" i="48"/>
  <c r="J5" i="49"/>
  <c r="N8" i="46"/>
  <c r="N9" i="46" s="1"/>
  <c r="O5" i="46"/>
  <c r="O8" i="46" s="1"/>
  <c r="O9" i="46" s="1"/>
  <c r="H22" i="30"/>
  <c r="H19" i="30"/>
  <c r="H25" i="30"/>
  <c r="H18" i="30"/>
  <c r="C18" i="30" s="1"/>
  <c r="I5" i="30" s="1"/>
  <c r="H8" i="30"/>
  <c r="H9" i="30" s="1"/>
  <c r="H24" i="30"/>
  <c r="H20" i="30"/>
  <c r="H21" i="30"/>
  <c r="G5" i="24"/>
  <c r="H5" i="34" l="1"/>
  <c r="H22" i="34" s="1"/>
  <c r="G5" i="32"/>
  <c r="G5" i="43"/>
  <c r="G20" i="43" s="1"/>
  <c r="H18" i="42"/>
  <c r="C18" i="42" s="1"/>
  <c r="H19" i="42"/>
  <c r="H22" i="42"/>
  <c r="H24" i="42"/>
  <c r="H20" i="42"/>
  <c r="H23" i="42"/>
  <c r="H25" i="42"/>
  <c r="H8" i="42"/>
  <c r="H9" i="42" s="1"/>
  <c r="H21" i="42"/>
  <c r="O25" i="46"/>
  <c r="C25" i="46" s="1"/>
  <c r="J20" i="49"/>
  <c r="J23" i="49"/>
  <c r="J18" i="49"/>
  <c r="C18" i="49" s="1"/>
  <c r="J21" i="49"/>
  <c r="J19" i="49"/>
  <c r="J22" i="49"/>
  <c r="J20" i="48"/>
  <c r="C20" i="48" s="1"/>
  <c r="J23" i="48"/>
  <c r="J21" i="48"/>
  <c r="J25" i="48"/>
  <c r="J8" i="48"/>
  <c r="J9" i="48" s="1"/>
  <c r="J24" i="48"/>
  <c r="J22" i="48"/>
  <c r="G23" i="43"/>
  <c r="I25" i="30"/>
  <c r="I23" i="30"/>
  <c r="I20" i="30"/>
  <c r="I8" i="30"/>
  <c r="I9" i="30" s="1"/>
  <c r="I24" i="30"/>
  <c r="I21" i="30"/>
  <c r="I19" i="30"/>
  <c r="C19" i="30" s="1"/>
  <c r="I22" i="30"/>
  <c r="G8" i="24"/>
  <c r="G9" i="24" s="1"/>
  <c r="G25" i="24"/>
  <c r="G23" i="24"/>
  <c r="G20" i="24"/>
  <c r="G18" i="24"/>
  <c r="G22" i="24"/>
  <c r="G19" i="24"/>
  <c r="G24" i="24"/>
  <c r="G17" i="24"/>
  <c r="C17" i="24" s="1"/>
  <c r="G21" i="24"/>
  <c r="H19" i="34" l="1"/>
  <c r="G22" i="43"/>
  <c r="H23" i="34"/>
  <c r="H18" i="34"/>
  <c r="C18" i="34" s="1"/>
  <c r="G16" i="43"/>
  <c r="H21" i="34"/>
  <c r="H24" i="34"/>
  <c r="H20" i="34"/>
  <c r="G15" i="43"/>
  <c r="C15" i="43" s="1"/>
  <c r="G21" i="43"/>
  <c r="G18" i="43"/>
  <c r="G17" i="43"/>
  <c r="G19" i="43"/>
  <c r="H8" i="34"/>
  <c r="H9" i="34" s="1"/>
  <c r="H25" i="34"/>
  <c r="I5" i="42"/>
  <c r="K5" i="48"/>
  <c r="K5" i="49"/>
  <c r="I5" i="34"/>
  <c r="I25" i="34" s="1"/>
  <c r="J5" i="30"/>
  <c r="H5" i="24"/>
  <c r="H5" i="32" l="1"/>
  <c r="H5" i="43"/>
  <c r="I23" i="42"/>
  <c r="I19" i="42"/>
  <c r="C19" i="42" s="1"/>
  <c r="I21" i="42"/>
  <c r="I8" i="42"/>
  <c r="I9" i="42" s="1"/>
  <c r="I22" i="42"/>
  <c r="I25" i="42"/>
  <c r="I20" i="42"/>
  <c r="I24" i="42"/>
  <c r="K22" i="49"/>
  <c r="K23" i="49"/>
  <c r="K19" i="49"/>
  <c r="C19" i="49" s="1"/>
  <c r="K20" i="49"/>
  <c r="K21" i="49"/>
  <c r="K22" i="48"/>
  <c r="K23" i="48"/>
  <c r="K24" i="48"/>
  <c r="K25" i="48"/>
  <c r="K8" i="48"/>
  <c r="K9" i="48" s="1"/>
  <c r="K21" i="48"/>
  <c r="C21" i="48" s="1"/>
  <c r="H22" i="43"/>
  <c r="H23" i="43"/>
  <c r="H16" i="43"/>
  <c r="C16" i="43" s="1"/>
  <c r="H21" i="43"/>
  <c r="H18" i="43"/>
  <c r="H19" i="43"/>
  <c r="H17" i="43"/>
  <c r="H20" i="43"/>
  <c r="I23" i="34"/>
  <c r="I21" i="34"/>
  <c r="I22" i="34"/>
  <c r="I24" i="34"/>
  <c r="I20" i="34"/>
  <c r="I8" i="34"/>
  <c r="I9" i="34" s="1"/>
  <c r="I19" i="34"/>
  <c r="C19" i="34" s="1"/>
  <c r="J22" i="30"/>
  <c r="J25" i="30"/>
  <c r="J23" i="30"/>
  <c r="J21" i="30"/>
  <c r="J20" i="30"/>
  <c r="C20" i="30" s="1"/>
  <c r="J8" i="30"/>
  <c r="J9" i="30" s="1"/>
  <c r="J24" i="30"/>
  <c r="H22" i="24"/>
  <c r="H21" i="24"/>
  <c r="H23" i="24"/>
  <c r="H19" i="24"/>
  <c r="H24" i="24"/>
  <c r="H25" i="24"/>
  <c r="H8" i="24"/>
  <c r="H9" i="24" s="1"/>
  <c r="H20" i="24"/>
  <c r="H18" i="24"/>
  <c r="C18" i="24" s="1"/>
  <c r="J5" i="42" l="1"/>
  <c r="L5" i="48"/>
  <c r="L5" i="49"/>
  <c r="I5" i="43"/>
  <c r="J5" i="34"/>
  <c r="J25" i="34" s="1"/>
  <c r="I5" i="32"/>
  <c r="K5" i="30"/>
  <c r="I5" i="24"/>
  <c r="J20" i="42" l="1"/>
  <c r="C20" i="42" s="1"/>
  <c r="J23" i="42"/>
  <c r="J22" i="42"/>
  <c r="J8" i="42"/>
  <c r="J9" i="42" s="1"/>
  <c r="J21" i="42"/>
  <c r="J25" i="42"/>
  <c r="J24" i="42"/>
  <c r="L22" i="49"/>
  <c r="L23" i="49"/>
  <c r="L21" i="49"/>
  <c r="L20" i="49"/>
  <c r="C20" i="49" s="1"/>
  <c r="L8" i="48"/>
  <c r="L9" i="48" s="1"/>
  <c r="L25" i="48"/>
  <c r="L23" i="48"/>
  <c r="L24" i="48"/>
  <c r="L22" i="48"/>
  <c r="C22" i="48" s="1"/>
  <c r="I17" i="43"/>
  <c r="C17" i="43" s="1"/>
  <c r="I18" i="43"/>
  <c r="I22" i="43"/>
  <c r="I23" i="43"/>
  <c r="I20" i="43"/>
  <c r="I21" i="43"/>
  <c r="I19" i="43"/>
  <c r="J24" i="34"/>
  <c r="J22" i="34"/>
  <c r="J23" i="34"/>
  <c r="J20" i="34"/>
  <c r="C20" i="34" s="1"/>
  <c r="J21" i="34"/>
  <c r="J8" i="34"/>
  <c r="J9" i="34" s="1"/>
  <c r="K22" i="30"/>
  <c r="K21" i="30"/>
  <c r="C21" i="30" s="1"/>
  <c r="K25" i="30"/>
  <c r="K23" i="30"/>
  <c r="K8" i="30"/>
  <c r="K9" i="30" s="1"/>
  <c r="K24" i="30"/>
  <c r="I25" i="24"/>
  <c r="I20" i="24"/>
  <c r="I8" i="24"/>
  <c r="I9" i="24" s="1"/>
  <c r="I22" i="24"/>
  <c r="I24" i="24"/>
  <c r="I21" i="24"/>
  <c r="I19" i="24"/>
  <c r="C19" i="24" s="1"/>
  <c r="I23" i="24"/>
  <c r="K5" i="42" l="1"/>
  <c r="M5" i="48"/>
  <c r="M5" i="49"/>
  <c r="J5" i="43"/>
  <c r="J5" i="32"/>
  <c r="K5" i="34"/>
  <c r="K25" i="34" s="1"/>
  <c r="L5" i="30"/>
  <c r="J5" i="24"/>
  <c r="O7" i="21"/>
  <c r="N7" i="21"/>
  <c r="M7" i="21"/>
  <c r="L7" i="21"/>
  <c r="K7" i="21"/>
  <c r="J7" i="21"/>
  <c r="I7" i="21"/>
  <c r="H7" i="21"/>
  <c r="G7" i="21"/>
  <c r="F7" i="21"/>
  <c r="E7" i="21"/>
  <c r="M6" i="21"/>
  <c r="N6" i="21"/>
  <c r="O6" i="21"/>
  <c r="L6" i="21"/>
  <c r="K6" i="21"/>
  <c r="J6" i="21"/>
  <c r="I6" i="21"/>
  <c r="H6" i="21"/>
  <c r="G6" i="21"/>
  <c r="F6" i="21"/>
  <c r="E6" i="21"/>
  <c r="D6" i="21"/>
  <c r="D7" i="22"/>
  <c r="D6" i="22"/>
  <c r="D5" i="22"/>
  <c r="D7" i="21"/>
  <c r="D5" i="21"/>
  <c r="O7" i="22"/>
  <c r="N7" i="22"/>
  <c r="M7" i="22"/>
  <c r="L7" i="22"/>
  <c r="K7" i="22"/>
  <c r="J7" i="22"/>
  <c r="I7" i="22"/>
  <c r="H7" i="22"/>
  <c r="G7" i="22"/>
  <c r="F7" i="22"/>
  <c r="E7" i="22"/>
  <c r="O6" i="22"/>
  <c r="N6" i="22"/>
  <c r="M6" i="22"/>
  <c r="L6" i="22"/>
  <c r="K6" i="22"/>
  <c r="J6" i="22"/>
  <c r="I6" i="22"/>
  <c r="H6" i="22"/>
  <c r="G6" i="22"/>
  <c r="F6" i="22"/>
  <c r="E6" i="22"/>
  <c r="K25" i="42" l="1"/>
  <c r="K22" i="42"/>
  <c r="K8" i="42"/>
  <c r="K9" i="42" s="1"/>
  <c r="K24" i="42"/>
  <c r="K23" i="42"/>
  <c r="K21" i="42"/>
  <c r="C21" i="42" s="1"/>
  <c r="M23" i="49"/>
  <c r="M22" i="49"/>
  <c r="M21" i="49"/>
  <c r="C21" i="49" s="1"/>
  <c r="M25" i="48"/>
  <c r="M8" i="48"/>
  <c r="M9" i="48" s="1"/>
  <c r="M23" i="48"/>
  <c r="C23" i="48" s="1"/>
  <c r="M24" i="48"/>
  <c r="J21" i="43"/>
  <c r="J18" i="43"/>
  <c r="C18" i="43" s="1"/>
  <c r="J19" i="43"/>
  <c r="J20" i="43"/>
  <c r="J22" i="43"/>
  <c r="J23" i="43"/>
  <c r="K23" i="34"/>
  <c r="K21" i="34"/>
  <c r="C21" i="34" s="1"/>
  <c r="K24" i="34"/>
  <c r="K8" i="34"/>
  <c r="K9" i="34" s="1"/>
  <c r="K22" i="34"/>
  <c r="L24" i="30"/>
  <c r="L23" i="30"/>
  <c r="L25" i="30"/>
  <c r="L8" i="30"/>
  <c r="L9" i="30" s="1"/>
  <c r="L22" i="30"/>
  <c r="C22" i="30" s="1"/>
  <c r="J22" i="24"/>
  <c r="J23" i="24"/>
  <c r="J24" i="24"/>
  <c r="J25" i="24"/>
  <c r="J21" i="24"/>
  <c r="J8" i="24"/>
  <c r="J9" i="24" s="1"/>
  <c r="J20" i="24"/>
  <c r="C20" i="24" s="1"/>
  <c r="D16" i="22"/>
  <c r="D18" i="21"/>
  <c r="D17" i="22"/>
  <c r="D12" i="22"/>
  <c r="C12" i="22" s="1"/>
  <c r="D21" i="22"/>
  <c r="D22" i="21"/>
  <c r="D25" i="21"/>
  <c r="D14" i="21"/>
  <c r="C14" i="21" s="1"/>
  <c r="D23" i="22"/>
  <c r="D13" i="22"/>
  <c r="D20" i="22"/>
  <c r="D23" i="21"/>
  <c r="D15" i="21"/>
  <c r="D19" i="21"/>
  <c r="D14" i="22"/>
  <c r="D15" i="22"/>
  <c r="D18" i="22"/>
  <c r="D19" i="22"/>
  <c r="D22" i="22"/>
  <c r="D8" i="21"/>
  <c r="D9" i="21" s="1"/>
  <c r="D16" i="21"/>
  <c r="D17" i="21"/>
  <c r="D20" i="21"/>
  <c r="D21" i="21"/>
  <c r="D24" i="21"/>
  <c r="O7" i="16"/>
  <c r="N7" i="16"/>
  <c r="M7" i="16"/>
  <c r="L7" i="16"/>
  <c r="K7" i="16"/>
  <c r="J7" i="16"/>
  <c r="I7" i="16"/>
  <c r="H7" i="16"/>
  <c r="G7" i="16"/>
  <c r="F7" i="16"/>
  <c r="E7" i="16"/>
  <c r="O6" i="16"/>
  <c r="N6" i="16"/>
  <c r="M6" i="16"/>
  <c r="L6" i="16"/>
  <c r="K6" i="16"/>
  <c r="J6" i="16"/>
  <c r="I6" i="16"/>
  <c r="H6" i="16"/>
  <c r="G6" i="16"/>
  <c r="F6" i="16"/>
  <c r="E6" i="16"/>
  <c r="D7" i="16"/>
  <c r="D6" i="16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L5" i="42" l="1"/>
  <c r="N5" i="48"/>
  <c r="N5" i="49"/>
  <c r="K5" i="32"/>
  <c r="K5" i="43"/>
  <c r="L5" i="34"/>
  <c r="L24" i="34" s="1"/>
  <c r="M5" i="30"/>
  <c r="K5" i="24"/>
  <c r="E5" i="21"/>
  <c r="E8" i="21" s="1"/>
  <c r="E9" i="21" s="1"/>
  <c r="D12" i="16"/>
  <c r="D14" i="14"/>
  <c r="L22" i="34" l="1"/>
  <c r="C22" i="34" s="1"/>
  <c r="L8" i="34"/>
  <c r="L9" i="34" s="1"/>
  <c r="L5" i="43"/>
  <c r="L23" i="43" s="1"/>
  <c r="L25" i="34"/>
  <c r="L23" i="34"/>
  <c r="L23" i="42"/>
  <c r="L8" i="42"/>
  <c r="L9" i="42" s="1"/>
  <c r="L24" i="42"/>
  <c r="L25" i="42"/>
  <c r="L22" i="42"/>
  <c r="C22" i="42" s="1"/>
  <c r="N23" i="49"/>
  <c r="N22" i="49"/>
  <c r="C22" i="49" s="1"/>
  <c r="N8" i="48"/>
  <c r="N9" i="48" s="1"/>
  <c r="N25" i="48"/>
  <c r="N24" i="48"/>
  <c r="C24" i="48" s="1"/>
  <c r="K23" i="43"/>
  <c r="K20" i="43"/>
  <c r="K21" i="43"/>
  <c r="K19" i="43"/>
  <c r="C19" i="43" s="1"/>
  <c r="K22" i="43"/>
  <c r="L22" i="43"/>
  <c r="E20" i="21"/>
  <c r="E18" i="21"/>
  <c r="E21" i="21"/>
  <c r="E15" i="21"/>
  <c r="C15" i="21" s="1"/>
  <c r="F5" i="21" s="1"/>
  <c r="E25" i="21"/>
  <c r="E17" i="21"/>
  <c r="E23" i="21"/>
  <c r="E16" i="21"/>
  <c r="M25" i="30"/>
  <c r="M23" i="30"/>
  <c r="C23" i="30" s="1"/>
  <c r="M8" i="30"/>
  <c r="M9" i="30" s="1"/>
  <c r="M24" i="30"/>
  <c r="K25" i="24"/>
  <c r="K8" i="24"/>
  <c r="K9" i="24" s="1"/>
  <c r="K24" i="24"/>
  <c r="K23" i="24"/>
  <c r="K21" i="24"/>
  <c r="C21" i="24" s="1"/>
  <c r="K22" i="24"/>
  <c r="E19" i="21"/>
  <c r="E22" i="21"/>
  <c r="E24" i="21"/>
  <c r="F64" i="15"/>
  <c r="M5" i="34" l="1"/>
  <c r="M23" i="34" s="1"/>
  <c r="C23" i="34" s="1"/>
  <c r="L21" i="43"/>
  <c r="L5" i="32"/>
  <c r="L20" i="43"/>
  <c r="M5" i="42"/>
  <c r="O5" i="48"/>
  <c r="O5" i="49"/>
  <c r="O23" i="49" s="1"/>
  <c r="C23" i="49" s="1"/>
  <c r="C20" i="43"/>
  <c r="F21" i="21"/>
  <c r="F25" i="21"/>
  <c r="N5" i="30"/>
  <c r="L5" i="24"/>
  <c r="F22" i="21"/>
  <c r="F20" i="21"/>
  <c r="F8" i="21"/>
  <c r="F9" i="21" s="1"/>
  <c r="F17" i="21"/>
  <c r="F19" i="21"/>
  <c r="F16" i="21"/>
  <c r="C16" i="21" s="1"/>
  <c r="F24" i="21"/>
  <c r="F18" i="21"/>
  <c r="F23" i="21"/>
  <c r="F66" i="15"/>
  <c r="F60" i="15"/>
  <c r="F59" i="15"/>
  <c r="C59" i="15"/>
  <c r="C58" i="15"/>
  <c r="F73" i="15"/>
  <c r="M24" i="34" l="1"/>
  <c r="M8" i="34"/>
  <c r="M9" i="34" s="1"/>
  <c r="M25" i="34"/>
  <c r="M5" i="43"/>
  <c r="M22" i="43" s="1"/>
  <c r="M23" i="42"/>
  <c r="C23" i="42" s="1"/>
  <c r="M8" i="42"/>
  <c r="M9" i="42" s="1"/>
  <c r="M25" i="42"/>
  <c r="M24" i="42"/>
  <c r="K84" i="15"/>
  <c r="O25" i="48"/>
  <c r="C25" i="48" s="1"/>
  <c r="O8" i="48"/>
  <c r="O9" i="48" s="1"/>
  <c r="M5" i="32"/>
  <c r="K120" i="15"/>
  <c r="K122" i="15"/>
  <c r="K124" i="15"/>
  <c r="K126" i="15"/>
  <c r="K128" i="15"/>
  <c r="K130" i="15"/>
  <c r="K85" i="15"/>
  <c r="K87" i="15"/>
  <c r="K89" i="15"/>
  <c r="K91" i="15"/>
  <c r="K93" i="15"/>
  <c r="K95" i="15"/>
  <c r="K97" i="15"/>
  <c r="K99" i="15"/>
  <c r="K101" i="15"/>
  <c r="K103" i="15"/>
  <c r="K105" i="15"/>
  <c r="K107" i="15"/>
  <c r="K109" i="15"/>
  <c r="K111" i="15"/>
  <c r="K113" i="15"/>
  <c r="K115" i="15"/>
  <c r="K117" i="15"/>
  <c r="K119" i="15"/>
  <c r="K121" i="15"/>
  <c r="K123" i="15"/>
  <c r="K125" i="15"/>
  <c r="K127" i="15"/>
  <c r="K129" i="15"/>
  <c r="K131" i="15"/>
  <c r="K86" i="15"/>
  <c r="K88" i="15"/>
  <c r="K90" i="15"/>
  <c r="K92" i="15"/>
  <c r="K94" i="15"/>
  <c r="K96" i="15"/>
  <c r="K98" i="15"/>
  <c r="K100" i="15"/>
  <c r="K102" i="15"/>
  <c r="K104" i="15"/>
  <c r="K106" i="15"/>
  <c r="K108" i="15"/>
  <c r="K110" i="15"/>
  <c r="K112" i="15"/>
  <c r="K114" i="15"/>
  <c r="K116" i="15"/>
  <c r="K118" i="15"/>
  <c r="N5" i="34"/>
  <c r="N24" i="30"/>
  <c r="C24" i="30" s="1"/>
  <c r="N25" i="30"/>
  <c r="N8" i="30"/>
  <c r="N9" i="30" s="1"/>
  <c r="L23" i="24"/>
  <c r="L22" i="24"/>
  <c r="C22" i="24" s="1"/>
  <c r="L25" i="24"/>
  <c r="L24" i="24"/>
  <c r="L8" i="24"/>
  <c r="L9" i="24" s="1"/>
  <c r="G5" i="21"/>
  <c r="F57" i="15"/>
  <c r="G84" i="15" s="1"/>
  <c r="F74" i="15"/>
  <c r="F67" i="15"/>
  <c r="M21" i="43" l="1"/>
  <c r="C21" i="43" s="1"/>
  <c r="M23" i="43"/>
  <c r="I84" i="15"/>
  <c r="N5" i="42"/>
  <c r="E84" i="15"/>
  <c r="C21" i="15"/>
  <c r="E86" i="15"/>
  <c r="M86" i="15" s="1"/>
  <c r="E88" i="15"/>
  <c r="E90" i="15"/>
  <c r="M90" i="15" s="1"/>
  <c r="E92" i="15"/>
  <c r="E94" i="15"/>
  <c r="M94" i="15" s="1"/>
  <c r="E96" i="15"/>
  <c r="M96" i="15" s="1"/>
  <c r="E98" i="15"/>
  <c r="E100" i="15"/>
  <c r="M100" i="15" s="1"/>
  <c r="E102" i="15"/>
  <c r="E104" i="15"/>
  <c r="E106" i="15"/>
  <c r="M106" i="15" s="1"/>
  <c r="E108" i="15"/>
  <c r="M108" i="15" s="1"/>
  <c r="E110" i="15"/>
  <c r="M110" i="15" s="1"/>
  <c r="E112" i="15"/>
  <c r="E114" i="15"/>
  <c r="M114" i="15" s="1"/>
  <c r="E116" i="15"/>
  <c r="E118" i="15"/>
  <c r="M118" i="15" s="1"/>
  <c r="E120" i="15"/>
  <c r="M120" i="15" s="1"/>
  <c r="E122" i="15"/>
  <c r="M122" i="15" s="1"/>
  <c r="E124" i="15"/>
  <c r="M124" i="15" s="1"/>
  <c r="E126" i="15"/>
  <c r="M126" i="15" s="1"/>
  <c r="E128" i="15"/>
  <c r="M128" i="15" s="1"/>
  <c r="E130" i="15"/>
  <c r="E132" i="15"/>
  <c r="E134" i="15"/>
  <c r="M134" i="15" s="1"/>
  <c r="E136" i="15"/>
  <c r="M136" i="15" s="1"/>
  <c r="E138" i="15"/>
  <c r="M138" i="15" s="1"/>
  <c r="E140" i="15"/>
  <c r="E142" i="15"/>
  <c r="M142" i="15" s="1"/>
  <c r="E144" i="15"/>
  <c r="E146" i="15"/>
  <c r="M146" i="15" s="1"/>
  <c r="E148" i="15"/>
  <c r="M148" i="15" s="1"/>
  <c r="E150" i="15"/>
  <c r="M150" i="15" s="1"/>
  <c r="E152" i="15"/>
  <c r="M152" i="15" s="1"/>
  <c r="E154" i="15"/>
  <c r="M154" i="15" s="1"/>
  <c r="E156" i="15"/>
  <c r="M156" i="15" s="1"/>
  <c r="E158" i="15"/>
  <c r="M158" i="15" s="1"/>
  <c r="E160" i="15"/>
  <c r="M160" i="15" s="1"/>
  <c r="E162" i="15"/>
  <c r="E164" i="15"/>
  <c r="M164" i="15" s="1"/>
  <c r="E166" i="15"/>
  <c r="E168" i="15"/>
  <c r="E170" i="15"/>
  <c r="M170" i="15" s="1"/>
  <c r="E172" i="15"/>
  <c r="M172" i="15" s="1"/>
  <c r="E174" i="15"/>
  <c r="E176" i="15"/>
  <c r="M176" i="15" s="1"/>
  <c r="E178" i="15"/>
  <c r="M178" i="15" s="1"/>
  <c r="E180" i="15"/>
  <c r="M180" i="15" s="1"/>
  <c r="E182" i="15"/>
  <c r="M182" i="15" s="1"/>
  <c r="E184" i="15"/>
  <c r="E186" i="15"/>
  <c r="M186" i="15" s="1"/>
  <c r="E188" i="15"/>
  <c r="M188" i="15" s="1"/>
  <c r="E190" i="15"/>
  <c r="M190" i="15" s="1"/>
  <c r="E192" i="15"/>
  <c r="M192" i="15" s="1"/>
  <c r="E194" i="15"/>
  <c r="E196" i="15"/>
  <c r="E198" i="15"/>
  <c r="M198" i="15" s="1"/>
  <c r="E200" i="15"/>
  <c r="M200" i="15" s="1"/>
  <c r="E202" i="15"/>
  <c r="M202" i="15" s="1"/>
  <c r="E85" i="15"/>
  <c r="M85" i="15" s="1"/>
  <c r="E89" i="15"/>
  <c r="M89" i="15" s="1"/>
  <c r="E93" i="15"/>
  <c r="E97" i="15"/>
  <c r="M97" i="15" s="1"/>
  <c r="E101" i="15"/>
  <c r="E105" i="15"/>
  <c r="M105" i="15" s="1"/>
  <c r="E109" i="15"/>
  <c r="E113" i="15"/>
  <c r="M113" i="15" s="1"/>
  <c r="E117" i="15"/>
  <c r="E121" i="15"/>
  <c r="M121" i="15" s="1"/>
  <c r="E125" i="15"/>
  <c r="E129" i="15"/>
  <c r="M129" i="15" s="1"/>
  <c r="E133" i="15"/>
  <c r="E137" i="15"/>
  <c r="M137" i="15" s="1"/>
  <c r="E141" i="15"/>
  <c r="E145" i="15"/>
  <c r="M145" i="15" s="1"/>
  <c r="E149" i="15"/>
  <c r="E153" i="15"/>
  <c r="M153" i="15" s="1"/>
  <c r="E157" i="15"/>
  <c r="E161" i="15"/>
  <c r="M161" i="15" s="1"/>
  <c r="E165" i="15"/>
  <c r="E169" i="15"/>
  <c r="M169" i="15" s="1"/>
  <c r="E173" i="15"/>
  <c r="E177" i="15"/>
  <c r="M177" i="15" s="1"/>
  <c r="E181" i="15"/>
  <c r="E185" i="15"/>
  <c r="M185" i="15" s="1"/>
  <c r="E189" i="15"/>
  <c r="E193" i="15"/>
  <c r="M193" i="15" s="1"/>
  <c r="E197" i="15"/>
  <c r="E201" i="15"/>
  <c r="M201" i="15" s="1"/>
  <c r="E87" i="15"/>
  <c r="M87" i="15" s="1"/>
  <c r="E91" i="15"/>
  <c r="M91" i="15" s="1"/>
  <c r="E95" i="15"/>
  <c r="M95" i="15" s="1"/>
  <c r="E99" i="15"/>
  <c r="M99" i="15" s="1"/>
  <c r="E103" i="15"/>
  <c r="M103" i="15" s="1"/>
  <c r="E107" i="15"/>
  <c r="E111" i="15"/>
  <c r="E115" i="15"/>
  <c r="M115" i="15" s="1"/>
  <c r="E119" i="15"/>
  <c r="M119" i="15" s="1"/>
  <c r="E123" i="15"/>
  <c r="M123" i="15" s="1"/>
  <c r="E127" i="15"/>
  <c r="M127" i="15" s="1"/>
  <c r="E131" i="15"/>
  <c r="M131" i="15" s="1"/>
  <c r="E135" i="15"/>
  <c r="M135" i="15" s="1"/>
  <c r="E139" i="15"/>
  <c r="M139" i="15" s="1"/>
  <c r="E143" i="15"/>
  <c r="M143" i="15" s="1"/>
  <c r="E147" i="15"/>
  <c r="M147" i="15" s="1"/>
  <c r="E151" i="15"/>
  <c r="M151" i="15" s="1"/>
  <c r="E155" i="15"/>
  <c r="M155" i="15" s="1"/>
  <c r="E159" i="15"/>
  <c r="M159" i="15" s="1"/>
  <c r="E163" i="15"/>
  <c r="E167" i="15"/>
  <c r="E171" i="15"/>
  <c r="M171" i="15" s="1"/>
  <c r="E175" i="15"/>
  <c r="E179" i="15"/>
  <c r="M179" i="15" s="1"/>
  <c r="E183" i="15"/>
  <c r="E187" i="15"/>
  <c r="M187" i="15" s="1"/>
  <c r="E191" i="15"/>
  <c r="M191" i="15" s="1"/>
  <c r="E195" i="15"/>
  <c r="M195" i="15" s="1"/>
  <c r="E199" i="15"/>
  <c r="M199" i="15" s="1"/>
  <c r="E203" i="15"/>
  <c r="M203" i="15" s="1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154" i="15"/>
  <c r="I156" i="15"/>
  <c r="I158" i="15"/>
  <c r="I160" i="15"/>
  <c r="I162" i="15"/>
  <c r="I164" i="15"/>
  <c r="I166" i="15"/>
  <c r="I168" i="15"/>
  <c r="I170" i="15"/>
  <c r="I172" i="15"/>
  <c r="I174" i="15"/>
  <c r="I176" i="15"/>
  <c r="I178" i="15"/>
  <c r="I180" i="15"/>
  <c r="I182" i="15"/>
  <c r="I184" i="15"/>
  <c r="I186" i="15"/>
  <c r="I188" i="15"/>
  <c r="I190" i="15"/>
  <c r="I192" i="15"/>
  <c r="I194" i="15"/>
  <c r="I196" i="15"/>
  <c r="I198" i="15"/>
  <c r="I200" i="15"/>
  <c r="I202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193" i="15"/>
  <c r="I197" i="15"/>
  <c r="I20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84" i="15"/>
  <c r="G186" i="15"/>
  <c r="G188" i="15"/>
  <c r="G190" i="15"/>
  <c r="G192" i="15"/>
  <c r="G194" i="15"/>
  <c r="G196" i="15"/>
  <c r="G198" i="15"/>
  <c r="G200" i="15"/>
  <c r="G202" i="15"/>
  <c r="O84" i="15"/>
  <c r="I87" i="15"/>
  <c r="I91" i="15"/>
  <c r="I95" i="15"/>
  <c r="I99" i="15"/>
  <c r="I103" i="15"/>
  <c r="I107" i="15"/>
  <c r="I111" i="15"/>
  <c r="I119" i="15"/>
  <c r="I127" i="15"/>
  <c r="I135" i="15"/>
  <c r="I143" i="15"/>
  <c r="I151" i="15"/>
  <c r="I159" i="15"/>
  <c r="I167" i="15"/>
  <c r="I175" i="15"/>
  <c r="I183" i="15"/>
  <c r="I191" i="15"/>
  <c r="I199" i="15"/>
  <c r="G87" i="15"/>
  <c r="G95" i="15"/>
  <c r="G103" i="15"/>
  <c r="G111" i="15"/>
  <c r="G119" i="15"/>
  <c r="G127" i="15"/>
  <c r="G135" i="15"/>
  <c r="G139" i="15"/>
  <c r="G143" i="15"/>
  <c r="G147" i="15"/>
  <c r="G151" i="15"/>
  <c r="G155" i="15"/>
  <c r="G159" i="15"/>
  <c r="G163" i="15"/>
  <c r="G167" i="15"/>
  <c r="G171" i="15"/>
  <c r="G175" i="15"/>
  <c r="G179" i="15"/>
  <c r="G183" i="15"/>
  <c r="G187" i="15"/>
  <c r="G191" i="15"/>
  <c r="G195" i="15"/>
  <c r="G199" i="15"/>
  <c r="G203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G91" i="15"/>
  <c r="G99" i="15"/>
  <c r="G107" i="15"/>
  <c r="G115" i="15"/>
  <c r="G123" i="15"/>
  <c r="G131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5" i="15"/>
  <c r="G189" i="15"/>
  <c r="G193" i="15"/>
  <c r="G197" i="15"/>
  <c r="G201" i="15"/>
  <c r="M167" i="15"/>
  <c r="M183" i="15"/>
  <c r="N25" i="34"/>
  <c r="N24" i="34"/>
  <c r="C24" i="34" s="1"/>
  <c r="N8" i="34"/>
  <c r="N9" i="34" s="1"/>
  <c r="O5" i="30"/>
  <c r="M5" i="24"/>
  <c r="M111" i="15"/>
  <c r="M175" i="15"/>
  <c r="M174" i="15"/>
  <c r="G23" i="21"/>
  <c r="G21" i="21"/>
  <c r="G24" i="21"/>
  <c r="G19" i="21"/>
  <c r="G22" i="21"/>
  <c r="G17" i="21"/>
  <c r="C17" i="21" s="1"/>
  <c r="G8" i="21"/>
  <c r="G9" i="21" s="1"/>
  <c r="G20" i="21"/>
  <c r="G18" i="21"/>
  <c r="G25" i="21"/>
  <c r="M184" i="15"/>
  <c r="M107" i="15"/>
  <c r="M163" i="15"/>
  <c r="M102" i="15"/>
  <c r="M166" i="15"/>
  <c r="M104" i="15"/>
  <c r="M168" i="15"/>
  <c r="M132" i="15"/>
  <c r="M196" i="15"/>
  <c r="M140" i="15"/>
  <c r="M88" i="15"/>
  <c r="M144" i="15"/>
  <c r="M112" i="15"/>
  <c r="M194" i="15"/>
  <c r="M162" i="15"/>
  <c r="M130" i="15"/>
  <c r="M98" i="15"/>
  <c r="M197" i="15"/>
  <c r="M189" i="15"/>
  <c r="M181" i="15"/>
  <c r="M173" i="15"/>
  <c r="M165" i="15"/>
  <c r="M157" i="15"/>
  <c r="M149" i="15"/>
  <c r="M141" i="15"/>
  <c r="M133" i="15"/>
  <c r="M125" i="15"/>
  <c r="M117" i="15"/>
  <c r="M109" i="15"/>
  <c r="M101" i="15"/>
  <c r="M93" i="15"/>
  <c r="M92" i="15"/>
  <c r="M116" i="15"/>
  <c r="N5" i="43" l="1"/>
  <c r="N23" i="43" s="1"/>
  <c r="N8" i="42"/>
  <c r="N9" i="42" s="1"/>
  <c r="N25" i="42"/>
  <c r="N24" i="42"/>
  <c r="C24" i="42" s="1"/>
  <c r="O85" i="15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101" i="15" s="1"/>
  <c r="O102" i="15" s="1"/>
  <c r="O103" i="15" s="1"/>
  <c r="O104" i="15" s="1"/>
  <c r="O105" i="15" s="1"/>
  <c r="O106" i="15" s="1"/>
  <c r="O107" i="15" s="1"/>
  <c r="O108" i="15" s="1"/>
  <c r="O109" i="15" s="1"/>
  <c r="O110" i="15" s="1"/>
  <c r="O111" i="15" s="1"/>
  <c r="O112" i="15" s="1"/>
  <c r="O113" i="15" s="1"/>
  <c r="O114" i="15" s="1"/>
  <c r="O115" i="15" s="1"/>
  <c r="O116" i="15" s="1"/>
  <c r="O117" i="15" s="1"/>
  <c r="O118" i="15" s="1"/>
  <c r="O119" i="15" s="1"/>
  <c r="O120" i="15" s="1"/>
  <c r="O121" i="15" s="1"/>
  <c r="O122" i="15" s="1"/>
  <c r="O123" i="15" s="1"/>
  <c r="O124" i="15" s="1"/>
  <c r="O125" i="15" s="1"/>
  <c r="O126" i="15" s="1"/>
  <c r="O127" i="15" s="1"/>
  <c r="O128" i="15" s="1"/>
  <c r="O129" i="15" s="1"/>
  <c r="O130" i="15" s="1"/>
  <c r="O131" i="15" s="1"/>
  <c r="N5" i="32"/>
  <c r="O5" i="34"/>
  <c r="O25" i="30"/>
  <c r="C25" i="30" s="1"/>
  <c r="O8" i="30"/>
  <c r="O9" i="30" s="1"/>
  <c r="M8" i="24"/>
  <c r="M9" i="24" s="1"/>
  <c r="M24" i="24"/>
  <c r="M25" i="24"/>
  <c r="M23" i="24"/>
  <c r="C23" i="24" s="1"/>
  <c r="H5" i="21"/>
  <c r="N22" i="43" l="1"/>
  <c r="C22" i="43" s="1"/>
  <c r="O5" i="42"/>
  <c r="O25" i="34"/>
  <c r="C25" i="34" s="1"/>
  <c r="O8" i="34"/>
  <c r="O9" i="34" s="1"/>
  <c r="N5" i="24"/>
  <c r="H22" i="21"/>
  <c r="H19" i="21"/>
  <c r="H8" i="21"/>
  <c r="H9" i="21" s="1"/>
  <c r="H21" i="21"/>
  <c r="H25" i="21"/>
  <c r="H23" i="21"/>
  <c r="H18" i="21"/>
  <c r="C18" i="21" s="1"/>
  <c r="H20" i="21"/>
  <c r="H24" i="21"/>
  <c r="O25" i="42" l="1"/>
  <c r="C25" i="42" s="1"/>
  <c r="O8" i="42"/>
  <c r="O9" i="42" s="1"/>
  <c r="O5" i="32"/>
  <c r="O5" i="43"/>
  <c r="O23" i="43" s="1"/>
  <c r="C23" i="43" s="1"/>
  <c r="N8" i="24"/>
  <c r="N9" i="24" s="1"/>
  <c r="N24" i="24"/>
  <c r="C24" i="24" s="1"/>
  <c r="N25" i="24"/>
  <c r="I5" i="21"/>
  <c r="O5" i="24" l="1"/>
  <c r="I25" i="21"/>
  <c r="I23" i="21"/>
  <c r="I24" i="21"/>
  <c r="I8" i="21"/>
  <c r="I9" i="21" s="1"/>
  <c r="I22" i="21"/>
  <c r="I21" i="21"/>
  <c r="I19" i="21"/>
  <c r="C19" i="21" s="1"/>
  <c r="I20" i="21"/>
  <c r="O25" i="24" l="1"/>
  <c r="C25" i="24" s="1"/>
  <c r="O8" i="24"/>
  <c r="O9" i="24" s="1"/>
  <c r="J5" i="21"/>
  <c r="J22" i="21" l="1"/>
  <c r="J8" i="21"/>
  <c r="J9" i="21" s="1"/>
  <c r="J25" i="21"/>
  <c r="J24" i="21"/>
  <c r="J23" i="21"/>
  <c r="J21" i="21"/>
  <c r="J20" i="21"/>
  <c r="C20" i="21" s="1"/>
  <c r="K5" i="21" l="1"/>
  <c r="D8" i="14"/>
  <c r="D9" i="14" s="1"/>
  <c r="D18" i="14"/>
  <c r="D20" i="14"/>
  <c r="D22" i="14"/>
  <c r="D24" i="14"/>
  <c r="D17" i="14"/>
  <c r="D15" i="14"/>
  <c r="D19" i="14"/>
  <c r="D21" i="14"/>
  <c r="D23" i="14"/>
  <c r="D25" i="14"/>
  <c r="D16" i="14"/>
  <c r="C14" i="14"/>
  <c r="E5" i="13"/>
  <c r="F6" i="13"/>
  <c r="F5" i="13"/>
  <c r="K25" i="21" l="1"/>
  <c r="K8" i="21"/>
  <c r="K9" i="21" s="1"/>
  <c r="K24" i="21"/>
  <c r="K23" i="21"/>
  <c r="K21" i="21"/>
  <c r="C21" i="21" s="1"/>
  <c r="K22" i="21"/>
  <c r="E5" i="14"/>
  <c r="E17" i="14" s="1"/>
  <c r="E31" i="15"/>
  <c r="D22" i="16"/>
  <c r="D14" i="16"/>
  <c r="D15" i="16"/>
  <c r="D18" i="16"/>
  <c r="D21" i="16"/>
  <c r="C12" i="16"/>
  <c r="D17" i="16"/>
  <c r="D13" i="16"/>
  <c r="D20" i="16"/>
  <c r="D16" i="16"/>
  <c r="D23" i="16"/>
  <c r="D19" i="16"/>
  <c r="E21" i="14"/>
  <c r="F11" i="13"/>
  <c r="F12" i="13" s="1"/>
  <c r="F13" i="13" s="1"/>
  <c r="E42" i="15" l="1"/>
  <c r="E45" i="15" s="1"/>
  <c r="E15" i="14"/>
  <c r="C15" i="14" s="1"/>
  <c r="E18" i="14"/>
  <c r="L5" i="21"/>
  <c r="E22" i="14"/>
  <c r="E25" i="14"/>
  <c r="E8" i="14"/>
  <c r="E24" i="14"/>
  <c r="E20" i="14"/>
  <c r="E16" i="14"/>
  <c r="E23" i="14"/>
  <c r="E19" i="14"/>
  <c r="E5" i="45" l="1"/>
  <c r="E5" i="41"/>
  <c r="E16" i="32"/>
  <c r="E17" i="32"/>
  <c r="E15" i="32"/>
  <c r="E18" i="32"/>
  <c r="E22" i="32"/>
  <c r="E23" i="32"/>
  <c r="E13" i="32"/>
  <c r="C13" i="32" s="1"/>
  <c r="E20" i="32"/>
  <c r="E21" i="32"/>
  <c r="E14" i="32"/>
  <c r="E19" i="32"/>
  <c r="E5" i="28"/>
  <c r="E17" i="28" s="1"/>
  <c r="E5" i="29"/>
  <c r="E16" i="28"/>
  <c r="E5" i="22"/>
  <c r="E19" i="22" s="1"/>
  <c r="E5" i="23"/>
  <c r="E23" i="22"/>
  <c r="L22" i="21"/>
  <c r="C22" i="21" s="1"/>
  <c r="L8" i="21"/>
  <c r="L9" i="21" s="1"/>
  <c r="L25" i="21"/>
  <c r="L23" i="21"/>
  <c r="L24" i="21"/>
  <c r="E5" i="16"/>
  <c r="E18" i="16" s="1"/>
  <c r="G31" i="15"/>
  <c r="E18" i="45" l="1"/>
  <c r="E19" i="45"/>
  <c r="E13" i="45"/>
  <c r="C13" i="45" s="1"/>
  <c r="E20" i="45"/>
  <c r="E21" i="45"/>
  <c r="E22" i="45"/>
  <c r="E23" i="45"/>
  <c r="E14" i="45"/>
  <c r="E16" i="45"/>
  <c r="E17" i="45"/>
  <c r="E15" i="45"/>
  <c r="E23" i="41"/>
  <c r="E13" i="41"/>
  <c r="C13" i="41" s="1"/>
  <c r="E20" i="41"/>
  <c r="E21" i="41"/>
  <c r="E14" i="41"/>
  <c r="E16" i="41"/>
  <c r="E17" i="41"/>
  <c r="E15" i="41"/>
  <c r="E18" i="41"/>
  <c r="E22" i="41"/>
  <c r="E19" i="41"/>
  <c r="E14" i="28"/>
  <c r="E22" i="28"/>
  <c r="E20" i="28"/>
  <c r="E23" i="28"/>
  <c r="E15" i="28"/>
  <c r="E18" i="28"/>
  <c r="E21" i="28"/>
  <c r="E13" i="28"/>
  <c r="E19" i="28"/>
  <c r="E19" i="29"/>
  <c r="E13" i="29"/>
  <c r="C13" i="29" s="1"/>
  <c r="E21" i="29"/>
  <c r="E23" i="29"/>
  <c r="E15" i="29"/>
  <c r="E18" i="29"/>
  <c r="E16" i="29"/>
  <c r="E17" i="29"/>
  <c r="E14" i="29"/>
  <c r="E20" i="29"/>
  <c r="E22" i="29"/>
  <c r="E16" i="22"/>
  <c r="E14" i="22"/>
  <c r="E15" i="22"/>
  <c r="E21" i="22"/>
  <c r="E17" i="22"/>
  <c r="E18" i="22"/>
  <c r="E22" i="22"/>
  <c r="E13" i="22"/>
  <c r="C13" i="22" s="1"/>
  <c r="E20" i="22"/>
  <c r="E14" i="23"/>
  <c r="E15" i="23"/>
  <c r="E18" i="23"/>
  <c r="E22" i="23"/>
  <c r="E13" i="23"/>
  <c r="C13" i="23" s="1"/>
  <c r="E20" i="23"/>
  <c r="E21" i="23"/>
  <c r="E23" i="23"/>
  <c r="E16" i="23"/>
  <c r="E17" i="23"/>
  <c r="E19" i="23"/>
  <c r="M5" i="21"/>
  <c r="E21" i="16"/>
  <c r="E15" i="16"/>
  <c r="E14" i="16"/>
  <c r="E20" i="16"/>
  <c r="E19" i="16"/>
  <c r="E23" i="16"/>
  <c r="E22" i="16"/>
  <c r="E17" i="16"/>
  <c r="E13" i="16"/>
  <c r="C13" i="16" s="1"/>
  <c r="E16" i="16"/>
  <c r="E9" i="14"/>
  <c r="G42" i="15" l="1"/>
  <c r="G45" i="15" s="1"/>
  <c r="M23" i="21"/>
  <c r="C23" i="21" s="1"/>
  <c r="M25" i="21"/>
  <c r="M24" i="21"/>
  <c r="M8" i="21"/>
  <c r="M9" i="21" s="1"/>
  <c r="F5" i="14"/>
  <c r="N5" i="21" l="1"/>
  <c r="F18" i="14"/>
  <c r="F20" i="14"/>
  <c r="F22" i="14"/>
  <c r="F24" i="14"/>
  <c r="F16" i="14"/>
  <c r="C16" i="14" s="1"/>
  <c r="F17" i="14"/>
  <c r="F19" i="14"/>
  <c r="F21" i="14"/>
  <c r="F23" i="14"/>
  <c r="F25" i="14"/>
  <c r="F5" i="16"/>
  <c r="F8" i="14"/>
  <c r="F9" i="14" s="1"/>
  <c r="F5" i="45" l="1"/>
  <c r="F5" i="41"/>
  <c r="F5" i="29"/>
  <c r="F15" i="29" s="1"/>
  <c r="F5" i="23"/>
  <c r="F16" i="23" s="1"/>
  <c r="F5" i="28"/>
  <c r="I31" i="15"/>
  <c r="F5" i="22"/>
  <c r="N8" i="21"/>
  <c r="N9" i="21" s="1"/>
  <c r="N25" i="21"/>
  <c r="N24" i="21"/>
  <c r="C24" i="21" s="1"/>
  <c r="F15" i="16"/>
  <c r="F17" i="16"/>
  <c r="F19" i="16"/>
  <c r="F21" i="16"/>
  <c r="F23" i="16"/>
  <c r="F16" i="16"/>
  <c r="F18" i="16"/>
  <c r="F20" i="16"/>
  <c r="F22" i="16"/>
  <c r="F14" i="16"/>
  <c r="F20" i="23" l="1"/>
  <c r="F21" i="41"/>
  <c r="F14" i="41"/>
  <c r="C14" i="41" s="1"/>
  <c r="F15" i="41"/>
  <c r="F22" i="41"/>
  <c r="F16" i="41"/>
  <c r="F18" i="41"/>
  <c r="F19" i="41"/>
  <c r="F17" i="41"/>
  <c r="F20" i="41"/>
  <c r="F23" i="41"/>
  <c r="F16" i="45"/>
  <c r="F20" i="45"/>
  <c r="F21" i="45"/>
  <c r="F14" i="45"/>
  <c r="C14" i="45" s="1"/>
  <c r="F15" i="45"/>
  <c r="F22" i="45"/>
  <c r="F23" i="45"/>
  <c r="F17" i="45"/>
  <c r="F18" i="45"/>
  <c r="F19" i="45"/>
  <c r="F22" i="29"/>
  <c r="F23" i="29"/>
  <c r="F21" i="29"/>
  <c r="F17" i="29"/>
  <c r="F14" i="29"/>
  <c r="C14" i="29" s="1"/>
  <c r="F20" i="29"/>
  <c r="F19" i="29"/>
  <c r="F16" i="29"/>
  <c r="F18" i="29"/>
  <c r="F21" i="32"/>
  <c r="F18" i="32"/>
  <c r="F19" i="32"/>
  <c r="F17" i="32"/>
  <c r="F20" i="32"/>
  <c r="F14" i="32"/>
  <c r="C14" i="32" s="1"/>
  <c r="F15" i="32"/>
  <c r="F22" i="32"/>
  <c r="F23" i="32"/>
  <c r="F16" i="32"/>
  <c r="F15" i="23"/>
  <c r="F21" i="23"/>
  <c r="F17" i="23"/>
  <c r="F18" i="23"/>
  <c r="F22" i="23"/>
  <c r="F14" i="23"/>
  <c r="C14" i="23" s="1"/>
  <c r="F19" i="23"/>
  <c r="F23" i="23"/>
  <c r="F18" i="28"/>
  <c r="F19" i="28"/>
  <c r="F21" i="28"/>
  <c r="F17" i="28"/>
  <c r="F14" i="28"/>
  <c r="F15" i="28"/>
  <c r="F22" i="28"/>
  <c r="F23" i="28"/>
  <c r="F16" i="28"/>
  <c r="F20" i="28"/>
  <c r="F21" i="22"/>
  <c r="F16" i="22"/>
  <c r="F20" i="22"/>
  <c r="F23" i="22"/>
  <c r="F14" i="22"/>
  <c r="C14" i="22" s="1"/>
  <c r="F15" i="22"/>
  <c r="F22" i="22"/>
  <c r="F17" i="22"/>
  <c r="F18" i="22"/>
  <c r="F19" i="22"/>
  <c r="O5" i="21"/>
  <c r="C14" i="16"/>
  <c r="I42" i="15" l="1"/>
  <c r="O25" i="21"/>
  <c r="C25" i="21" s="1"/>
  <c r="O8" i="21"/>
  <c r="O9" i="21" s="1"/>
  <c r="G5" i="14"/>
  <c r="G18" i="14" l="1"/>
  <c r="G20" i="14"/>
  <c r="G22" i="14"/>
  <c r="G24" i="14"/>
  <c r="G17" i="14"/>
  <c r="C17" i="14" s="1"/>
  <c r="G19" i="14"/>
  <c r="G21" i="14"/>
  <c r="G23" i="14"/>
  <c r="G25" i="14"/>
  <c r="G8" i="14"/>
  <c r="G9" i="14" s="1"/>
  <c r="G5" i="45" l="1"/>
  <c r="G5" i="41"/>
  <c r="G5" i="29"/>
  <c r="G18" i="29" s="1"/>
  <c r="G5" i="23"/>
  <c r="G17" i="23" s="1"/>
  <c r="G5" i="28"/>
  <c r="G16" i="23"/>
  <c r="K31" i="15"/>
  <c r="G5" i="22"/>
  <c r="G5" i="16"/>
  <c r="H5" i="14"/>
  <c r="G23" i="41" l="1"/>
  <c r="G16" i="41"/>
  <c r="G17" i="41"/>
  <c r="G18" i="41"/>
  <c r="G20" i="41"/>
  <c r="G21" i="41"/>
  <c r="G19" i="41"/>
  <c r="G15" i="41"/>
  <c r="C15" i="41" s="1"/>
  <c r="G22" i="41"/>
  <c r="G23" i="45"/>
  <c r="G16" i="45"/>
  <c r="G17" i="45"/>
  <c r="G15" i="45"/>
  <c r="C15" i="45" s="1"/>
  <c r="G19" i="45"/>
  <c r="G20" i="45"/>
  <c r="G21" i="45"/>
  <c r="G18" i="45"/>
  <c r="G22" i="45"/>
  <c r="G20" i="23"/>
  <c r="G23" i="23"/>
  <c r="G23" i="29"/>
  <c r="G17" i="29"/>
  <c r="G21" i="23"/>
  <c r="G22" i="23"/>
  <c r="G18" i="23"/>
  <c r="G19" i="29"/>
  <c r="G21" i="29"/>
  <c r="G15" i="29"/>
  <c r="C15" i="29" s="1"/>
  <c r="G16" i="29"/>
  <c r="G22" i="29"/>
  <c r="G20" i="29"/>
  <c r="G23" i="32"/>
  <c r="G20" i="32"/>
  <c r="G21" i="32"/>
  <c r="G19" i="32"/>
  <c r="G16" i="32"/>
  <c r="G17" i="32"/>
  <c r="G15" i="32"/>
  <c r="C15" i="32" s="1"/>
  <c r="G18" i="32"/>
  <c r="G22" i="32"/>
  <c r="G15" i="23"/>
  <c r="C15" i="23" s="1"/>
  <c r="G19" i="23"/>
  <c r="G20" i="28"/>
  <c r="G21" i="28"/>
  <c r="G18" i="28"/>
  <c r="G22" i="28"/>
  <c r="G23" i="28"/>
  <c r="G16" i="28"/>
  <c r="G17" i="28"/>
  <c r="G15" i="28"/>
  <c r="G19" i="28"/>
  <c r="G15" i="22"/>
  <c r="C15" i="22" s="1"/>
  <c r="G18" i="22"/>
  <c r="G16" i="22"/>
  <c r="G17" i="22"/>
  <c r="G23" i="22"/>
  <c r="G19" i="22"/>
  <c r="G20" i="22"/>
  <c r="G21" i="22"/>
  <c r="G22" i="22"/>
  <c r="H19" i="14"/>
  <c r="H21" i="14"/>
  <c r="H23" i="14"/>
  <c r="H25" i="14"/>
  <c r="H20" i="14"/>
  <c r="H22" i="14"/>
  <c r="H24" i="14"/>
  <c r="H18" i="14"/>
  <c r="C18" i="14" s="1"/>
  <c r="G17" i="16"/>
  <c r="G19" i="16"/>
  <c r="G21" i="16"/>
  <c r="G23" i="16"/>
  <c r="G16" i="16"/>
  <c r="G18" i="16"/>
  <c r="G20" i="16"/>
  <c r="G22" i="16"/>
  <c r="G15" i="16"/>
  <c r="C15" i="16" s="1"/>
  <c r="H8" i="14"/>
  <c r="H9" i="14" s="1"/>
  <c r="H5" i="45" l="1"/>
  <c r="H5" i="41"/>
  <c r="K42" i="15"/>
  <c r="K45" i="15" s="1"/>
  <c r="H22" i="32"/>
  <c r="H23" i="32"/>
  <c r="H16" i="32"/>
  <c r="C16" i="32" s="1"/>
  <c r="H21" i="32"/>
  <c r="H18" i="32"/>
  <c r="H19" i="32"/>
  <c r="H17" i="32"/>
  <c r="H20" i="32"/>
  <c r="H5" i="28"/>
  <c r="H22" i="28" s="1"/>
  <c r="H5" i="29"/>
  <c r="H17" i="28"/>
  <c r="H5" i="22"/>
  <c r="H18" i="22" s="1"/>
  <c r="H5" i="23"/>
  <c r="H17" i="22"/>
  <c r="H5" i="16"/>
  <c r="M31" i="15"/>
  <c r="I5" i="14"/>
  <c r="H18" i="41" l="1"/>
  <c r="H19" i="41"/>
  <c r="H21" i="41"/>
  <c r="H22" i="41"/>
  <c r="H23" i="41"/>
  <c r="H16" i="41"/>
  <c r="C16" i="41" s="1"/>
  <c r="H17" i="41"/>
  <c r="H20" i="41"/>
  <c r="H23" i="45"/>
  <c r="H16" i="45"/>
  <c r="C16" i="45" s="1"/>
  <c r="H20" i="45"/>
  <c r="H21" i="45"/>
  <c r="H18" i="45"/>
  <c r="H19" i="45"/>
  <c r="H17" i="45"/>
  <c r="H22" i="45"/>
  <c r="H18" i="28"/>
  <c r="H20" i="28"/>
  <c r="H19" i="28"/>
  <c r="H21" i="28"/>
  <c r="H23" i="28"/>
  <c r="H16" i="28"/>
  <c r="H19" i="29"/>
  <c r="H23" i="29"/>
  <c r="H17" i="29"/>
  <c r="H22" i="29"/>
  <c r="H20" i="29"/>
  <c r="H21" i="29"/>
  <c r="H16" i="29"/>
  <c r="C16" i="29" s="1"/>
  <c r="H18" i="29"/>
  <c r="H23" i="22"/>
  <c r="H20" i="22"/>
  <c r="H19" i="22"/>
  <c r="H22" i="22"/>
  <c r="H16" i="22"/>
  <c r="C16" i="22" s="1"/>
  <c r="H21" i="22"/>
  <c r="H21" i="23"/>
  <c r="H17" i="23"/>
  <c r="H18" i="23"/>
  <c r="H19" i="23"/>
  <c r="H23" i="23"/>
  <c r="H16" i="23"/>
  <c r="C16" i="23" s="1"/>
  <c r="H20" i="23"/>
  <c r="H22" i="23"/>
  <c r="H19" i="16"/>
  <c r="H23" i="16"/>
  <c r="H16" i="16"/>
  <c r="C16" i="16" s="1"/>
  <c r="H20" i="16"/>
  <c r="H21" i="16"/>
  <c r="H17" i="16"/>
  <c r="H22" i="16"/>
  <c r="H18" i="16"/>
  <c r="I21" i="14"/>
  <c r="I23" i="14"/>
  <c r="I25" i="14"/>
  <c r="I20" i="14"/>
  <c r="I22" i="14"/>
  <c r="I24" i="14"/>
  <c r="I19" i="14"/>
  <c r="C19" i="14" s="1"/>
  <c r="I8" i="14"/>
  <c r="I9" i="14" s="1"/>
  <c r="I5" i="45" l="1"/>
  <c r="I5" i="41"/>
  <c r="M42" i="15"/>
  <c r="M45" i="15" s="1"/>
  <c r="I17" i="32"/>
  <c r="C17" i="32" s="1"/>
  <c r="I18" i="32"/>
  <c r="I22" i="32"/>
  <c r="I23" i="32"/>
  <c r="I20" i="32"/>
  <c r="I21" i="32"/>
  <c r="I19" i="32"/>
  <c r="I5" i="28"/>
  <c r="I17" i="28" s="1"/>
  <c r="I5" i="29"/>
  <c r="I5" i="22"/>
  <c r="I19" i="22" s="1"/>
  <c r="I5" i="23"/>
  <c r="I23" i="22"/>
  <c r="I5" i="16"/>
  <c r="I18" i="16" s="1"/>
  <c r="O31" i="15"/>
  <c r="J5" i="14"/>
  <c r="I23" i="41" l="1"/>
  <c r="I20" i="41"/>
  <c r="I21" i="41"/>
  <c r="I19" i="41"/>
  <c r="I17" i="41"/>
  <c r="C17" i="41" s="1"/>
  <c r="I18" i="41"/>
  <c r="I22" i="41"/>
  <c r="I19" i="45"/>
  <c r="I20" i="45"/>
  <c r="I21" i="45"/>
  <c r="I22" i="45"/>
  <c r="I23" i="45"/>
  <c r="I18" i="45"/>
  <c r="I17" i="45"/>
  <c r="C17" i="45" s="1"/>
  <c r="I23" i="28"/>
  <c r="I22" i="28"/>
  <c r="I21" i="28"/>
  <c r="I18" i="28"/>
  <c r="I19" i="28"/>
  <c r="I20" i="28"/>
  <c r="I22" i="29"/>
  <c r="I23" i="29"/>
  <c r="I18" i="29"/>
  <c r="I19" i="29"/>
  <c r="I17" i="29"/>
  <c r="C17" i="29" s="1"/>
  <c r="I20" i="29"/>
  <c r="I21" i="29"/>
  <c r="I17" i="22"/>
  <c r="C17" i="22" s="1"/>
  <c r="I22" i="22"/>
  <c r="I20" i="22"/>
  <c r="I18" i="22"/>
  <c r="I21" i="22"/>
  <c r="I23" i="23"/>
  <c r="I20" i="23"/>
  <c r="I21" i="23"/>
  <c r="I18" i="23"/>
  <c r="I17" i="23"/>
  <c r="C17" i="23" s="1"/>
  <c r="I19" i="23"/>
  <c r="I22" i="23"/>
  <c r="I23" i="16"/>
  <c r="I19" i="16"/>
  <c r="I22" i="16"/>
  <c r="I21" i="16"/>
  <c r="I17" i="16"/>
  <c r="C17" i="16" s="1"/>
  <c r="I20" i="16"/>
  <c r="J22" i="14"/>
  <c r="J24" i="14"/>
  <c r="J20" i="14"/>
  <c r="J21" i="14"/>
  <c r="J23" i="14"/>
  <c r="J25" i="14"/>
  <c r="C20" i="14"/>
  <c r="J8" i="14"/>
  <c r="J9" i="14" s="1"/>
  <c r="J5" i="45" l="1"/>
  <c r="J5" i="41"/>
  <c r="O42" i="15"/>
  <c r="O45" i="15" s="1"/>
  <c r="J18" i="32"/>
  <c r="C18" i="32" s="1"/>
  <c r="J19" i="32"/>
  <c r="J20" i="32"/>
  <c r="J21" i="32"/>
  <c r="J22" i="32"/>
  <c r="J23" i="32"/>
  <c r="J5" i="28"/>
  <c r="J19" i="28" s="1"/>
  <c r="J5" i="29"/>
  <c r="J5" i="22"/>
  <c r="J23" i="22" s="1"/>
  <c r="J5" i="23"/>
  <c r="J21" i="22"/>
  <c r="J5" i="16"/>
  <c r="J19" i="16" s="1"/>
  <c r="Q31" i="15"/>
  <c r="K5" i="14"/>
  <c r="J21" i="41" l="1"/>
  <c r="J23" i="41"/>
  <c r="J18" i="41"/>
  <c r="C18" i="41" s="1"/>
  <c r="J19" i="41"/>
  <c r="J20" i="41"/>
  <c r="J22" i="41"/>
  <c r="J22" i="45"/>
  <c r="J23" i="45"/>
  <c r="J20" i="45"/>
  <c r="J21" i="45"/>
  <c r="J18" i="45"/>
  <c r="C18" i="45" s="1"/>
  <c r="J19" i="45"/>
  <c r="J18" i="16"/>
  <c r="C18" i="16" s="1"/>
  <c r="J18" i="28"/>
  <c r="J23" i="28"/>
  <c r="J20" i="28"/>
  <c r="J21" i="28"/>
  <c r="J22" i="28"/>
  <c r="J20" i="29"/>
  <c r="J21" i="29"/>
  <c r="J18" i="29"/>
  <c r="C18" i="29" s="1"/>
  <c r="J19" i="29"/>
  <c r="J23" i="29"/>
  <c r="J22" i="29"/>
  <c r="J18" i="22"/>
  <c r="C18" i="22" s="1"/>
  <c r="J19" i="22"/>
  <c r="J20" i="22"/>
  <c r="J22" i="22"/>
  <c r="J20" i="23"/>
  <c r="J23" i="23"/>
  <c r="J21" i="23"/>
  <c r="J22" i="23"/>
  <c r="J18" i="23"/>
  <c r="C18" i="23" s="1"/>
  <c r="J19" i="23"/>
  <c r="J20" i="16"/>
  <c r="J22" i="16"/>
  <c r="J21" i="16"/>
  <c r="J23" i="16"/>
  <c r="K22" i="14"/>
  <c r="K24" i="14"/>
  <c r="K21" i="14"/>
  <c r="K23" i="14"/>
  <c r="K25" i="14"/>
  <c r="K8" i="14"/>
  <c r="K9" i="14" s="1"/>
  <c r="C21" i="14"/>
  <c r="Q42" i="15" l="1"/>
  <c r="Q45" i="15" s="1"/>
  <c r="K5" i="45"/>
  <c r="K5" i="41"/>
  <c r="K23" i="32"/>
  <c r="K20" i="32"/>
  <c r="K21" i="32"/>
  <c r="K19" i="32"/>
  <c r="C19" i="32" s="1"/>
  <c r="K22" i="32"/>
  <c r="K5" i="28"/>
  <c r="K20" i="28" s="1"/>
  <c r="K5" i="29"/>
  <c r="K23" i="28"/>
  <c r="K5" i="22"/>
  <c r="K19" i="22" s="1"/>
  <c r="C19" i="22" s="1"/>
  <c r="K5" i="23"/>
  <c r="K23" i="22"/>
  <c r="K5" i="16"/>
  <c r="K23" i="16" s="1"/>
  <c r="S31" i="15"/>
  <c r="L5" i="14"/>
  <c r="K23" i="41" l="1"/>
  <c r="K20" i="41"/>
  <c r="K21" i="41"/>
  <c r="K19" i="41"/>
  <c r="C19" i="41" s="1"/>
  <c r="K22" i="41"/>
  <c r="K23" i="45"/>
  <c r="K19" i="45"/>
  <c r="C19" i="45" s="1"/>
  <c r="K20" i="45"/>
  <c r="K21" i="45"/>
  <c r="K22" i="45"/>
  <c r="K22" i="28"/>
  <c r="K19" i="28"/>
  <c r="K21" i="28"/>
  <c r="K20" i="29"/>
  <c r="K21" i="29"/>
  <c r="K19" i="29"/>
  <c r="C19" i="29" s="1"/>
  <c r="K22" i="29"/>
  <c r="K23" i="29"/>
  <c r="K22" i="22"/>
  <c r="K20" i="22"/>
  <c r="K21" i="22"/>
  <c r="K19" i="23"/>
  <c r="C19" i="23" s="1"/>
  <c r="K22" i="23"/>
  <c r="K23" i="23"/>
  <c r="K20" i="23"/>
  <c r="K21" i="23"/>
  <c r="K21" i="16"/>
  <c r="K19" i="16"/>
  <c r="K20" i="16"/>
  <c r="K22" i="16"/>
  <c r="L23" i="14"/>
  <c r="L25" i="14"/>
  <c r="L24" i="14"/>
  <c r="L22" i="14"/>
  <c r="C22" i="14" s="1"/>
  <c r="L8" i="14"/>
  <c r="L9" i="14" s="1"/>
  <c r="C19" i="16"/>
  <c r="L5" i="45" l="1"/>
  <c r="L5" i="41"/>
  <c r="S42" i="15"/>
  <c r="S45" i="15" s="1"/>
  <c r="L21" i="32"/>
  <c r="L22" i="32"/>
  <c r="L23" i="32"/>
  <c r="L20" i="32"/>
  <c r="C20" i="32" s="1"/>
  <c r="L5" i="28"/>
  <c r="L22" i="28" s="1"/>
  <c r="L5" i="29"/>
  <c r="L21" i="28"/>
  <c r="L5" i="22"/>
  <c r="L21" i="22" s="1"/>
  <c r="L5" i="23"/>
  <c r="L5" i="16"/>
  <c r="L20" i="16" s="1"/>
  <c r="W31" i="15"/>
  <c r="U31" i="15"/>
  <c r="M5" i="14"/>
  <c r="L20" i="41" l="1"/>
  <c r="C20" i="41" s="1"/>
  <c r="L21" i="41"/>
  <c r="L22" i="41"/>
  <c r="L23" i="41"/>
  <c r="L23" i="45"/>
  <c r="L20" i="45"/>
  <c r="C20" i="45" s="1"/>
  <c r="L21" i="45"/>
  <c r="L22" i="45"/>
  <c r="L20" i="22"/>
  <c r="C20" i="22" s="1"/>
  <c r="L23" i="28"/>
  <c r="L20" i="28"/>
  <c r="L23" i="29"/>
  <c r="L20" i="29"/>
  <c r="C20" i="29" s="1"/>
  <c r="L21" i="29"/>
  <c r="L22" i="29"/>
  <c r="L23" i="22"/>
  <c r="L22" i="22"/>
  <c r="L21" i="23"/>
  <c r="L20" i="23"/>
  <c r="C20" i="23" s="1"/>
  <c r="L23" i="23"/>
  <c r="L22" i="23"/>
  <c r="L22" i="16"/>
  <c r="L21" i="16"/>
  <c r="L23" i="16"/>
  <c r="M25" i="14"/>
  <c r="M24" i="14"/>
  <c r="M23" i="14"/>
  <c r="C23" i="14" s="1"/>
  <c r="M8" i="14"/>
  <c r="M9" i="14" s="1"/>
  <c r="C20" i="16"/>
  <c r="M5" i="45" l="1"/>
  <c r="M5" i="41"/>
  <c r="U42" i="15"/>
  <c r="U45" i="15" s="1"/>
  <c r="M22" i="32"/>
  <c r="M23" i="32"/>
  <c r="M21" i="32"/>
  <c r="C21" i="32" s="1"/>
  <c r="M5" i="28"/>
  <c r="M21" i="28" s="1"/>
  <c r="M5" i="29"/>
  <c r="M5" i="22"/>
  <c r="M21" i="22" s="1"/>
  <c r="C21" i="22" s="1"/>
  <c r="M5" i="23"/>
  <c r="M5" i="16"/>
  <c r="M22" i="16" s="1"/>
  <c r="Y31" i="15"/>
  <c r="N5" i="14"/>
  <c r="M23" i="41" l="1"/>
  <c r="M21" i="41"/>
  <c r="C21" i="41" s="1"/>
  <c r="M22" i="41"/>
  <c r="M21" i="45"/>
  <c r="C21" i="45" s="1"/>
  <c r="M22" i="45"/>
  <c r="M23" i="45"/>
  <c r="M23" i="28"/>
  <c r="M22" i="28"/>
  <c r="M21" i="29"/>
  <c r="C21" i="29" s="1"/>
  <c r="M23" i="29"/>
  <c r="M22" i="29"/>
  <c r="M23" i="22"/>
  <c r="M22" i="22"/>
  <c r="M22" i="23"/>
  <c r="M23" i="23"/>
  <c r="M21" i="23"/>
  <c r="C21" i="23" s="1"/>
  <c r="M21" i="16"/>
  <c r="C21" i="16" s="1"/>
  <c r="M23" i="16"/>
  <c r="N24" i="14"/>
  <c r="C24" i="14" s="1"/>
  <c r="N25" i="14"/>
  <c r="N8" i="14"/>
  <c r="N9" i="14" s="1"/>
  <c r="N5" i="45" l="1"/>
  <c r="N5" i="41"/>
  <c r="W42" i="15"/>
  <c r="W45" i="15" s="1"/>
  <c r="N23" i="32"/>
  <c r="N22" i="32"/>
  <c r="C22" i="32" s="1"/>
  <c r="N5" i="28"/>
  <c r="N22" i="28" s="1"/>
  <c r="N5" i="29"/>
  <c r="N5" i="22"/>
  <c r="N22" i="22" s="1"/>
  <c r="C22" i="22" s="1"/>
  <c r="N5" i="23"/>
  <c r="N23" i="22"/>
  <c r="N5" i="16"/>
  <c r="AA31" i="15"/>
  <c r="O5" i="14"/>
  <c r="O25" i="14" s="1"/>
  <c r="N23" i="41" l="1"/>
  <c r="N22" i="41"/>
  <c r="C22" i="41" s="1"/>
  <c r="N22" i="45"/>
  <c r="C22" i="45" s="1"/>
  <c r="N23" i="45"/>
  <c r="N23" i="28"/>
  <c r="N22" i="29"/>
  <c r="C22" i="29" s="1"/>
  <c r="N23" i="29"/>
  <c r="N23" i="23"/>
  <c r="N22" i="23"/>
  <c r="C22" i="23" s="1"/>
  <c r="N23" i="16"/>
  <c r="N22" i="16"/>
  <c r="C22" i="16" s="1"/>
  <c r="O8" i="14"/>
  <c r="O9" i="14" s="1"/>
  <c r="C25" i="14"/>
  <c r="O23" i="32" l="1"/>
  <c r="C23" i="32" s="1"/>
  <c r="O5" i="45"/>
  <c r="O23" i="45" s="1"/>
  <c r="C23" i="45" s="1"/>
  <c r="O5" i="41"/>
  <c r="O23" i="41" s="1"/>
  <c r="C23" i="41" s="1"/>
  <c r="Y42" i="15"/>
  <c r="Y45" i="15" s="1"/>
  <c r="O5" i="28"/>
  <c r="O23" i="28" s="1"/>
  <c r="O5" i="29"/>
  <c r="O23" i="29" s="1"/>
  <c r="C23" i="29" s="1"/>
  <c r="O5" i="22"/>
  <c r="O23" i="22" s="1"/>
  <c r="C23" i="22" s="1"/>
  <c r="O5" i="23"/>
  <c r="O23" i="23" s="1"/>
  <c r="C23" i="23" s="1"/>
  <c r="I45" i="15"/>
  <c r="O5" i="16"/>
  <c r="O23" i="16" l="1"/>
  <c r="C23" i="16" s="1"/>
  <c r="AB42" i="15" l="1"/>
  <c r="AA42" i="15"/>
  <c r="AA45" i="15" s="1"/>
  <c r="F63" i="15" l="1"/>
  <c r="F68" i="15"/>
  <c r="F61" i="15"/>
  <c r="M84" i="15" l="1"/>
  <c r="D5" i="28" l="1"/>
  <c r="D5" i="27"/>
  <c r="D20" i="28" l="1"/>
  <c r="C20" i="28" s="1"/>
  <c r="D13" i="28"/>
  <c r="C13" i="28" s="1"/>
  <c r="D17" i="28"/>
  <c r="C17" i="28" s="1"/>
  <c r="D15" i="28"/>
  <c r="C15" i="28" s="1"/>
  <c r="D12" i="28"/>
  <c r="C12" i="28" s="1"/>
  <c r="D21" i="28"/>
  <c r="C21" i="28" s="1"/>
  <c r="D14" i="28"/>
  <c r="C14" i="28" s="1"/>
  <c r="D18" i="28"/>
  <c r="C18" i="28" s="1"/>
  <c r="D19" i="28"/>
  <c r="C19" i="28" s="1"/>
  <c r="D22" i="28"/>
  <c r="C22" i="28" s="1"/>
  <c r="D16" i="28"/>
  <c r="C16" i="28" s="1"/>
  <c r="D23" i="28"/>
  <c r="C23" i="28" s="1"/>
  <c r="D8" i="27"/>
  <c r="D9" i="27" s="1"/>
  <c r="D14" i="27"/>
  <c r="C14" i="27" s="1"/>
  <c r="D15" i="27"/>
  <c r="D16" i="27"/>
  <c r="D17" i="27"/>
  <c r="D20" i="27"/>
  <c r="D22" i="27"/>
  <c r="D24" i="27"/>
  <c r="D19" i="27"/>
  <c r="D23" i="27"/>
  <c r="D18" i="27"/>
  <c r="D21" i="27"/>
  <c r="D25" i="27"/>
  <c r="E5" i="27" l="1"/>
  <c r="E18" i="27" l="1"/>
  <c r="E17" i="27"/>
  <c r="E21" i="27"/>
  <c r="E24" i="27"/>
  <c r="E15" i="27"/>
  <c r="C15" i="27" s="1"/>
  <c r="E25" i="27"/>
  <c r="E8" i="27"/>
  <c r="E9" i="27" s="1"/>
  <c r="E23" i="27"/>
  <c r="E19" i="27"/>
  <c r="E22" i="27"/>
  <c r="E20" i="27"/>
  <c r="E16" i="27"/>
  <c r="F5" i="27" l="1"/>
  <c r="F25" i="27" l="1"/>
  <c r="F19" i="27"/>
  <c r="F17" i="27"/>
  <c r="F21" i="27"/>
  <c r="F18" i="27"/>
  <c r="F22" i="27"/>
  <c r="F23" i="27"/>
  <c r="F16" i="27"/>
  <c r="C16" i="27" s="1"/>
  <c r="F24" i="27"/>
  <c r="F20" i="27"/>
  <c r="F8" i="27"/>
  <c r="F9" i="27" s="1"/>
  <c r="G5" i="27" l="1"/>
  <c r="G19" i="27" l="1"/>
  <c r="G21" i="27"/>
  <c r="G25" i="27"/>
  <c r="G20" i="27"/>
  <c r="G24" i="27"/>
  <c r="G8" i="27"/>
  <c r="G9" i="27" s="1"/>
  <c r="G17" i="27"/>
  <c r="C17" i="27" s="1"/>
  <c r="G23" i="27"/>
  <c r="G18" i="27"/>
  <c r="G22" i="27"/>
  <c r="H5" i="27" l="1"/>
  <c r="H18" i="27" l="1"/>
  <c r="C18" i="27" s="1"/>
  <c r="H24" i="27"/>
  <c r="H20" i="27"/>
  <c r="H21" i="27"/>
  <c r="H8" i="27"/>
  <c r="H9" i="27" s="1"/>
  <c r="H22" i="27"/>
  <c r="H19" i="27"/>
  <c r="H23" i="27"/>
  <c r="H25" i="27"/>
  <c r="I5" i="27" l="1"/>
  <c r="I22" i="27" l="1"/>
  <c r="I23" i="27"/>
  <c r="I19" i="27"/>
  <c r="C19" i="27" s="1"/>
  <c r="I21" i="27"/>
  <c r="I25" i="27"/>
  <c r="I20" i="27"/>
  <c r="I24" i="27"/>
  <c r="I8" i="27"/>
  <c r="I9" i="27" s="1"/>
  <c r="J5" i="27" l="1"/>
  <c r="J22" i="27" l="1"/>
  <c r="J25" i="27"/>
  <c r="J23" i="27"/>
  <c r="J24" i="27"/>
  <c r="J21" i="27"/>
  <c r="J20" i="27"/>
  <c r="C20" i="27" s="1"/>
  <c r="J8" i="27"/>
  <c r="J9" i="27" s="1"/>
  <c r="K5" i="27" l="1"/>
  <c r="K23" i="27" l="1"/>
  <c r="K21" i="27"/>
  <c r="C21" i="27" s="1"/>
  <c r="K8" i="27"/>
  <c r="K9" i="27" s="1"/>
  <c r="K24" i="27"/>
  <c r="K25" i="27"/>
  <c r="K22" i="27"/>
  <c r="L5" i="27" l="1"/>
  <c r="L24" i="27" l="1"/>
  <c r="L22" i="27"/>
  <c r="C22" i="27" s="1"/>
  <c r="L25" i="27"/>
  <c r="L23" i="27"/>
  <c r="L8" i="27"/>
  <c r="L9" i="27" s="1"/>
  <c r="M5" i="27" l="1"/>
  <c r="M24" i="27" l="1"/>
  <c r="M25" i="27"/>
  <c r="M23" i="27"/>
  <c r="C23" i="27" s="1"/>
  <c r="M8" i="27"/>
  <c r="M9" i="27" s="1"/>
  <c r="N5" i="27" l="1"/>
  <c r="N24" i="27" l="1"/>
  <c r="C24" i="27" s="1"/>
  <c r="N25" i="27"/>
  <c r="N8" i="27"/>
  <c r="N9" i="27" s="1"/>
  <c r="O5" i="27" l="1"/>
  <c r="O8" i="27" l="1"/>
  <c r="O9" i="27" s="1"/>
  <c r="O25" i="27"/>
  <c r="C25" i="27" s="1"/>
</calcChain>
</file>

<file path=xl/sharedStrings.xml><?xml version="1.0" encoding="utf-8"?>
<sst xmlns="http://schemas.openxmlformats.org/spreadsheetml/2006/main" count="293" uniqueCount="120">
  <si>
    <t>TOTAL</t>
  </si>
  <si>
    <t>SUBTOTAL</t>
  </si>
  <si>
    <t>IVA</t>
  </si>
  <si>
    <t>Producto</t>
  </si>
  <si>
    <t>Cantidad</t>
  </si>
  <si>
    <t>Precio unitario</t>
  </si>
  <si>
    <t>Total</t>
  </si>
  <si>
    <t>precio unitario</t>
  </si>
  <si>
    <t>presupuesto de gastos publicidad</t>
  </si>
  <si>
    <t>traje de ada</t>
  </si>
  <si>
    <t>obsequio moneda de chocolate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</si>
  <si>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</si>
  <si>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</si>
  <si>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</si>
  <si>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</si>
  <si>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</si>
  <si>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</si>
  <si>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</si>
  <si>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</si>
  <si>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</si>
  <si>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</si>
  <si>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CAPITAL</t>
  </si>
  <si>
    <t>INTERES</t>
  </si>
  <si>
    <t>PLAZO</t>
  </si>
  <si>
    <t>PAGO MENSUAL</t>
  </si>
  <si>
    <t>monto</t>
  </si>
  <si>
    <t xml:space="preserve"> ACUMULADO</t>
  </si>
  <si>
    <t>MES 11</t>
  </si>
  <si>
    <t>MES 12</t>
  </si>
  <si>
    <t>INGRESOS</t>
  </si>
  <si>
    <t>PAGO</t>
  </si>
  <si>
    <t>COLOCACION</t>
  </si>
  <si>
    <t>INTERESES</t>
  </si>
  <si>
    <t>MONTO</t>
  </si>
  <si>
    <t>PROYECCION FINANCIERA SMART QUO S.A. DE C.V.SOFOM ENR</t>
  </si>
  <si>
    <t>CONDICIONES</t>
  </si>
  <si>
    <t>CUADRO RESUMEN DEL CREDITO</t>
  </si>
  <si>
    <t>PRECIO</t>
  </si>
  <si>
    <t>MONTO ORIGINAL</t>
  </si>
  <si>
    <t>PAGO INICIAL (a)</t>
  </si>
  <si>
    <t>%PAGO INICIAL</t>
  </si>
  <si>
    <t>COMISION POR APERTURA (B)</t>
  </si>
  <si>
    <t>% OPCION DE COMPRA</t>
  </si>
  <si>
    <t>TOTAL PAGO INICIAL</t>
  </si>
  <si>
    <t>COMSION POR APERTURA</t>
  </si>
  <si>
    <t>RENTA DEL BIEN</t>
  </si>
  <si>
    <t>PLAZO AÑOS</t>
  </si>
  <si>
    <t>PLAZO MENSUAL</t>
  </si>
  <si>
    <t>SEGURO</t>
  </si>
  <si>
    <t>PERSONALIDAD</t>
  </si>
  <si>
    <t>FISICA</t>
  </si>
  <si>
    <t>TASA</t>
  </si>
  <si>
    <t>TEM</t>
  </si>
  <si>
    <t>COMISION POR APERTURA</t>
  </si>
  <si>
    <t>VALOR FINAL (VR)</t>
  </si>
  <si>
    <t>TIPO DE SEGURO</t>
  </si>
  <si>
    <t>FINANCIADO</t>
  </si>
  <si>
    <t>ASEGURADORA</t>
  </si>
  <si>
    <t>MONTO DEL SEGURO</t>
  </si>
  <si>
    <t>MENSUALIDAD DEL SEGURO</t>
  </si>
  <si>
    <t>FECHA DE PAGO</t>
  </si>
  <si>
    <t>PERIODO</t>
  </si>
  <si>
    <t>CAPITAL RESTANTE</t>
  </si>
  <si>
    <t>PAGO SEGURO</t>
  </si>
  <si>
    <t>RENTA MENSUAL</t>
  </si>
  <si>
    <t>PORCENTAJE DE COBRANZA</t>
  </si>
  <si>
    <t>MESES</t>
  </si>
  <si>
    <t>Ingresos por intereses</t>
  </si>
  <si>
    <t>Ingresos por comisiones</t>
  </si>
  <si>
    <t>Total de ingresos</t>
  </si>
  <si>
    <t>FLUJO INICIAL</t>
  </si>
  <si>
    <t>CAPITAL DE TRABAJO INICIAL Y/O APORTACION DE CAPITAL</t>
  </si>
  <si>
    <t>PERSONAL</t>
  </si>
  <si>
    <t>ARRENDAMIENTO</t>
  </si>
  <si>
    <t>NOMINA</t>
  </si>
  <si>
    <t>CONSUMO</t>
  </si>
  <si>
    <t>FINANCIERO</t>
  </si>
  <si>
    <t>CREDITOS</t>
  </si>
  <si>
    <t>CREDITO</t>
  </si>
  <si>
    <t>TIPO</t>
  </si>
  <si>
    <t>ACTIVOFIJO</t>
  </si>
  <si>
    <t>CAPITALDETRABAJO</t>
  </si>
  <si>
    <t>AUTOS</t>
  </si>
  <si>
    <t>Saveriro</t>
  </si>
  <si>
    <t>BIENES MUEBLES</t>
  </si>
  <si>
    <t>BIENES INMUEBLES</t>
  </si>
  <si>
    <t>INVENTARIOS</t>
  </si>
  <si>
    <t>SUBTIPO</t>
  </si>
  <si>
    <t>FORMAL</t>
  </si>
  <si>
    <t>MODELOS</t>
  </si>
  <si>
    <t>MES 0</t>
  </si>
  <si>
    <t>COMISION POR APERTURA NOMINA</t>
  </si>
  <si>
    <t>CAPITAL AUTORIZADO</t>
  </si>
  <si>
    <t>SOLICITUD DE CREDITO</t>
  </si>
  <si>
    <t>CUADRO DE SELECCION</t>
  </si>
  <si>
    <t>COMISION FINANCIADA</t>
  </si>
  <si>
    <t>CONDICIONES DE FINANCIAMIENTO</t>
  </si>
  <si>
    <t>NO</t>
  </si>
  <si>
    <t>SI</t>
  </si>
  <si>
    <t>SEGURO DE VIDA</t>
  </si>
  <si>
    <t>SEGURO FINANCIADO</t>
  </si>
  <si>
    <t>PRECIO DEL AUTOMOVIL</t>
  </si>
  <si>
    <t>VALOR FINAL COMPRA</t>
  </si>
  <si>
    <t>SEGURO MULTIANUAL</t>
  </si>
  <si>
    <t>OPCION DE COMPRA (VR)</t>
  </si>
  <si>
    <t>AMORTIZACION</t>
  </si>
  <si>
    <t>SEMANAL</t>
  </si>
  <si>
    <t>6 MESES</t>
  </si>
  <si>
    <t>12 MESES</t>
  </si>
  <si>
    <t>18 MESES</t>
  </si>
  <si>
    <t xml:space="preserve"> </t>
  </si>
  <si>
    <t>IMPORTE</t>
  </si>
  <si>
    <t>PAGO TOTAL</t>
  </si>
  <si>
    <t>COMISION</t>
  </si>
  <si>
    <t>36 MESES</t>
  </si>
  <si>
    <t>TASA ANUAL</t>
  </si>
  <si>
    <t>NOMBRE DEL CLIENTE</t>
  </si>
  <si>
    <t>4 meses</t>
  </si>
  <si>
    <t>24 MESES</t>
  </si>
  <si>
    <t>anticipo de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</si>
</sst>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.0%"/>
    <numFmt numFmtId="166" formatCode="_-[$$-80A]* #,##0.00_-;\-[$$-80A]* #,##0.00_-;_-[$$-80A]* &quot;-&quot;??_-;_-@_-"/>
    <numFmt numFmtId="167" formatCode="[$-F800]dddd\,\ mmmm\ dd\,\ yyyy"/>
    <numFmt numFmtId="168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8"/>
      <color theme="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3" tint="-0.249977111117893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44" fontId="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44" fontId="0" fillId="0" borderId="0" xfId="0" applyNumberFormat="1" applyBorder="1"/>
    <xf numFmtId="0" fontId="0" fillId="0" borderId="0" xfId="1" applyNumberFormat="1" applyFont="1" applyFill="1" applyBorder="1"/>
    <xf numFmtId="9" fontId="0" fillId="0" borderId="0" xfId="4" applyFont="1" applyBorder="1"/>
    <xf numFmtId="1" fontId="0" fillId="0" borderId="0" xfId="1" applyNumberFormat="1" applyFont="1" applyBorder="1"/>
    <xf numFmtId="0" fontId="9" fillId="0" borderId="0" xfId="0" applyFont="1"/>
    <xf numFmtId="0" fontId="12" fillId="0" borderId="0" xfId="0" applyFont="1"/>
    <xf numFmtId="44" fontId="12" fillId="0" borderId="0" xfId="0" applyNumberFormat="1" applyFont="1"/>
    <xf numFmtId="0" fontId="15" fillId="0" borderId="0" xfId="0" applyFont="1" applyBorder="1"/>
    <xf numFmtId="44" fontId="15" fillId="0" borderId="0" xfId="1" applyNumberFormat="1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44" fontId="12" fillId="0" borderId="0" xfId="1" applyNumberFormat="1" applyFont="1" applyBorder="1" applyAlignment="1">
      <alignment horizontal="center"/>
    </xf>
    <xf numFmtId="44" fontId="15" fillId="0" borderId="0" xfId="0" applyNumberFormat="1" applyFo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10" fillId="5" borderId="7" xfId="0" applyFont="1" applyFill="1" applyBorder="1" applyAlignment="1">
      <alignment horizontal="right"/>
    </xf>
    <xf numFmtId="0" fontId="18" fillId="5" borderId="1" xfId="0" applyFont="1" applyFill="1" applyBorder="1"/>
    <xf numFmtId="0" fontId="10" fillId="5" borderId="8" xfId="0" applyFont="1" applyFill="1" applyBorder="1"/>
    <xf numFmtId="0" fontId="10" fillId="0" borderId="9" xfId="0" applyFont="1" applyBorder="1"/>
    <xf numFmtId="9" fontId="10" fillId="5" borderId="7" xfId="4" applyFont="1" applyFill="1" applyBorder="1" applyAlignment="1">
      <alignment horizontal="right"/>
    </xf>
    <xf numFmtId="9" fontId="18" fillId="5" borderId="7" xfId="4" applyFont="1" applyFill="1" applyBorder="1" applyAlignment="1">
      <alignment horizontal="right"/>
    </xf>
    <xf numFmtId="0" fontId="18" fillId="5" borderId="9" xfId="0" applyFont="1" applyFill="1" applyBorder="1"/>
    <xf numFmtId="8" fontId="9" fillId="0" borderId="0" xfId="0" applyNumberFormat="1" applyFont="1"/>
    <xf numFmtId="0" fontId="18" fillId="5" borderId="7" xfId="4" applyNumberFormat="1" applyFont="1" applyFill="1" applyBorder="1" applyAlignment="1">
      <alignment horizontal="right"/>
    </xf>
    <xf numFmtId="0" fontId="10" fillId="0" borderId="9" xfId="0" applyFont="1" applyFill="1" applyBorder="1"/>
    <xf numFmtId="9" fontId="9" fillId="0" borderId="0" xfId="4" applyFont="1"/>
    <xf numFmtId="0" fontId="10" fillId="5" borderId="9" xfId="0" applyFont="1" applyFill="1" applyBorder="1"/>
    <xf numFmtId="8" fontId="19" fillId="0" borderId="0" xfId="4" applyNumberFormat="1" applyFont="1"/>
    <xf numFmtId="0" fontId="10" fillId="5" borderId="10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8" fontId="9" fillId="0" borderId="4" xfId="0" applyNumberFormat="1" applyFont="1" applyBorder="1"/>
    <xf numFmtId="8" fontId="9" fillId="0" borderId="0" xfId="1" applyNumberFormat="1" applyFont="1"/>
    <xf numFmtId="166" fontId="18" fillId="5" borderId="7" xfId="1" applyNumberFormat="1" applyFont="1" applyFill="1" applyBorder="1" applyAlignment="1">
      <alignment horizontal="right"/>
    </xf>
    <xf numFmtId="8" fontId="0" fillId="0" borderId="0" xfId="1" applyNumberFormat="1" applyFont="1" applyBorder="1"/>
    <xf numFmtId="8" fontId="15" fillId="0" borderId="0" xfId="1" applyNumberFormat="1" applyFont="1" applyBorder="1"/>
    <xf numFmtId="0" fontId="2" fillId="0" borderId="0" xfId="0" applyFont="1" applyBorder="1" applyAlignment="1">
      <alignment horizontal="center"/>
    </xf>
    <xf numFmtId="8" fontId="0" fillId="0" borderId="4" xfId="0" applyNumberFormat="1" applyBorder="1"/>
    <xf numFmtId="44" fontId="0" fillId="0" borderId="4" xfId="0" applyNumberFormat="1" applyBorder="1"/>
    <xf numFmtId="44" fontId="15" fillId="0" borderId="11" xfId="1" applyNumberFormat="1" applyFont="1" applyBorder="1"/>
    <xf numFmtId="0" fontId="15" fillId="0" borderId="0" xfId="0" applyFont="1" applyFill="1"/>
    <xf numFmtId="44" fontId="12" fillId="0" borderId="0" xfId="1" applyNumberFormat="1" applyFont="1" applyFill="1" applyBorder="1" applyAlignment="1">
      <alignment horizontal="center"/>
    </xf>
    <xf numFmtId="8" fontId="12" fillId="0" borderId="0" xfId="1" applyNumberFormat="1" applyFont="1" applyFill="1" applyBorder="1"/>
    <xf numFmtId="8" fontId="15" fillId="0" borderId="0" xfId="1" applyNumberFormat="1" applyFont="1" applyFill="1" applyBorder="1"/>
    <xf numFmtId="44" fontId="15" fillId="0" borderId="0" xfId="1" applyNumberFormat="1" applyFont="1" applyFill="1" applyBorder="1"/>
    <xf numFmtId="0" fontId="15" fillId="0" borderId="0" xfId="0" applyFont="1" applyFill="1" applyBorder="1"/>
    <xf numFmtId="44" fontId="15" fillId="0" borderId="0" xfId="0" applyNumberFormat="1" applyFont="1" applyFill="1" applyBorder="1"/>
    <xf numFmtId="0" fontId="20" fillId="3" borderId="4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/>
    </xf>
    <xf numFmtId="166" fontId="20" fillId="3" borderId="12" xfId="1" applyNumberFormat="1" applyFont="1" applyFill="1" applyBorder="1" applyAlignment="1">
      <alignment horizontal="left" vertical="center" wrapText="1"/>
    </xf>
    <xf numFmtId="166" fontId="9" fillId="0" borderId="0" xfId="0" applyNumberFormat="1" applyFont="1"/>
    <xf numFmtId="166" fontId="9" fillId="0" borderId="0" xfId="4" applyNumberFormat="1" applyFont="1"/>
    <xf numFmtId="166" fontId="9" fillId="0" borderId="4" xfId="0" applyNumberFormat="1" applyFont="1" applyBorder="1"/>
    <xf numFmtId="44" fontId="12" fillId="6" borderId="0" xfId="0" applyNumberFormat="1" applyFont="1" applyFill="1"/>
    <xf numFmtId="44" fontId="12" fillId="6" borderId="0" xfId="0" applyNumberFormat="1" applyFont="1" applyFill="1" applyBorder="1"/>
    <xf numFmtId="44" fontId="13" fillId="6" borderId="0" xfId="0" applyNumberFormat="1" applyFont="1" applyFill="1" applyBorder="1"/>
    <xf numFmtId="44" fontId="14" fillId="6" borderId="0" xfId="0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0" fillId="5" borderId="1" xfId="0" applyFont="1" applyFill="1" applyBorder="1" applyAlignment="1"/>
    <xf numFmtId="0" fontId="10" fillId="5" borderId="2" xfId="0" applyFont="1" applyFill="1" applyBorder="1" applyAlignment="1"/>
    <xf numFmtId="0" fontId="17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5" fillId="0" borderId="4" xfId="0" applyFont="1" applyBorder="1"/>
    <xf numFmtId="9" fontId="15" fillId="0" borderId="4" xfId="4" applyFont="1" applyBorder="1"/>
    <xf numFmtId="0" fontId="10" fillId="0" borderId="0" xfId="0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10" fillId="0" borderId="0" xfId="4" applyFont="1" applyFill="1" applyBorder="1" applyAlignment="1">
      <alignment horizontal="right"/>
    </xf>
    <xf numFmtId="9" fontId="18" fillId="0" borderId="0" xfId="4" applyFont="1" applyFill="1" applyBorder="1" applyAlignment="1">
      <alignment horizontal="right"/>
    </xf>
    <xf numFmtId="0" fontId="18" fillId="0" borderId="0" xfId="4" applyNumberFormat="1" applyFont="1" applyFill="1" applyBorder="1" applyAlignment="1">
      <alignment horizontal="right"/>
    </xf>
    <xf numFmtId="8" fontId="18" fillId="0" borderId="0" xfId="4" applyNumberFormat="1" applyFont="1" applyFill="1" applyBorder="1" applyAlignment="1">
      <alignment horizontal="right"/>
    </xf>
    <xf numFmtId="0" fontId="0" fillId="0" borderId="0" xfId="4" applyNumberFormat="1" applyFont="1" applyAlignment="1">
      <alignment horizontal="center"/>
    </xf>
    <xf numFmtId="0" fontId="21" fillId="0" borderId="0" xfId="0" applyFont="1" applyFill="1" applyBorder="1"/>
    <xf numFmtId="166" fontId="15" fillId="0" borderId="4" xfId="4" applyNumberFormat="1" applyFont="1" applyBorder="1"/>
    <xf numFmtId="0" fontId="15" fillId="0" borderId="4" xfId="4" applyNumberFormat="1" applyFont="1" applyBorder="1"/>
    <xf numFmtId="166" fontId="12" fillId="0" borderId="13" xfId="1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/>
    <xf numFmtId="166" fontId="18" fillId="5" borderId="7" xfId="4" applyNumberFormat="1" applyFont="1" applyFill="1" applyBorder="1" applyAlignment="1">
      <alignment horizontal="right"/>
    </xf>
    <xf numFmtId="0" fontId="15" fillId="5" borderId="4" xfId="0" applyFont="1" applyFill="1" applyBorder="1"/>
    <xf numFmtId="166" fontId="15" fillId="5" borderId="4" xfId="4" applyNumberFormat="1" applyFont="1" applyFill="1" applyBorder="1"/>
    <xf numFmtId="9" fontId="15" fillId="5" borderId="4" xfId="4" applyFont="1" applyFill="1" applyBorder="1"/>
    <xf numFmtId="166" fontId="15" fillId="5" borderId="4" xfId="0" applyNumberFormat="1" applyFont="1" applyFill="1" applyBorder="1"/>
    <xf numFmtId="166" fontId="15" fillId="0" borderId="0" xfId="4" applyNumberFormat="1" applyFont="1" applyFill="1" applyBorder="1"/>
    <xf numFmtId="165" fontId="0" fillId="0" borderId="0" xfId="4" applyNumberFormat="1" applyFont="1"/>
    <xf numFmtId="165" fontId="0" fillId="0" borderId="0" xfId="4" applyNumberFormat="1" applyFont="1" applyBorder="1"/>
    <xf numFmtId="9" fontId="15" fillId="0" borderId="0" xfId="4" applyFont="1" applyFill="1" applyBorder="1"/>
    <xf numFmtId="0" fontId="15" fillId="0" borderId="0" xfId="4" applyNumberFormat="1" applyFont="1" applyFill="1" applyBorder="1"/>
    <xf numFmtId="166" fontId="15" fillId="0" borderId="0" xfId="0" applyNumberFormat="1" applyFont="1" applyFill="1" applyBorder="1"/>
    <xf numFmtId="166" fontId="12" fillId="5" borderId="4" xfId="4" applyNumberFormat="1" applyFont="1" applyFill="1" applyBorder="1"/>
    <xf numFmtId="0" fontId="12" fillId="0" borderId="4" xfId="4" applyNumberFormat="1" applyFont="1" applyBorder="1"/>
    <xf numFmtId="9" fontId="12" fillId="0" borderId="4" xfId="4" applyFont="1" applyBorder="1"/>
    <xf numFmtId="166" fontId="12" fillId="5" borderId="4" xfId="0" applyNumberFormat="1" applyFont="1" applyFill="1" applyBorder="1"/>
    <xf numFmtId="8" fontId="9" fillId="5" borderId="4" xfId="0" applyNumberFormat="1" applyFont="1" applyFill="1" applyBorder="1"/>
    <xf numFmtId="8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Border="1"/>
    <xf numFmtId="6" fontId="9" fillId="0" borderId="4" xfId="0" applyNumberFormat="1" applyFont="1" applyBorder="1"/>
    <xf numFmtId="0" fontId="22" fillId="0" borderId="0" xfId="0" applyFont="1" applyFill="1" applyAlignment="1">
      <alignment horizontal="center" vertical="center" wrapText="1"/>
    </xf>
    <xf numFmtId="167" fontId="9" fillId="0" borderId="4" xfId="0" applyNumberFormat="1" applyFont="1" applyBorder="1"/>
    <xf numFmtId="8" fontId="15" fillId="0" borderId="0" xfId="0" applyNumberFormat="1" applyFont="1"/>
    <xf numFmtId="10" fontId="15" fillId="0" borderId="4" xfId="4" applyNumberFormat="1" applyFont="1" applyBorder="1"/>
    <xf numFmtId="165" fontId="0" fillId="0" borderId="0" xfId="4" applyNumberFormat="1" applyFont="1" applyAlignment="1">
      <alignment horizontal="center"/>
    </xf>
    <xf numFmtId="10" fontId="0" fillId="0" borderId="0" xfId="4" applyNumberFormat="1" applyFont="1" applyAlignment="1">
      <alignment horizontal="center"/>
    </xf>
    <xf numFmtId="168" fontId="0" fillId="0" borderId="0" xfId="4" applyNumberFormat="1" applyFont="1" applyAlignment="1">
      <alignment horizontal="center"/>
    </xf>
    <xf numFmtId="165" fontId="15" fillId="0" borderId="4" xfId="4" applyNumberFormat="1" applyFont="1" applyBorder="1"/>
    <xf numFmtId="0" fontId="22" fillId="0" borderId="4" xfId="0" applyFont="1" applyFill="1" applyBorder="1" applyAlignment="1">
      <alignment horizontal="center" vertical="center" wrapText="1"/>
    </xf>
    <xf numFmtId="6" fontId="10" fillId="0" borderId="4" xfId="0" applyNumberFormat="1" applyFont="1" applyBorder="1"/>
    <xf numFmtId="14" fontId="9" fillId="0" borderId="4" xfId="0" applyNumberFormat="1" applyFont="1" applyBorder="1"/>
    <xf numFmtId="12" fontId="9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8" fontId="9" fillId="0" borderId="4" xfId="0" applyNumberFormat="1" applyFont="1" applyBorder="1" applyAlignment="1">
      <alignment horizontal="center"/>
    </xf>
    <xf numFmtId="9" fontId="9" fillId="0" borderId="4" xfId="4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8" fontId="18" fillId="5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8" fontId="9" fillId="0" borderId="0" xfId="0" applyNumberFormat="1" applyFont="1" applyFill="1" applyBorder="1" applyAlignment="1">
      <alignment horizontal="center"/>
    </xf>
    <xf numFmtId="9" fontId="9" fillId="0" borderId="0" xfId="4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13" fontId="9" fillId="0" borderId="0" xfId="0" applyNumberFormat="1" applyFont="1" applyFill="1" applyBorder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0" fillId="0" borderId="0" xfId="4" applyNumberFormat="1" applyFont="1" applyAlignment="1">
      <alignment horizontal="center" vertical="center" textRotation="90" wrapText="1"/>
    </xf>
    <xf numFmtId="0" fontId="0" fillId="0" borderId="0" xfId="4" applyNumberFormat="1" applyFont="1" applyAlignment="1">
      <alignment vertical="center" textRotation="90" wrapText="1"/>
    </xf>
  </cellXfs>
  <cellStyles count="6">
    <cellStyle name="Incorrecto" xfId="5" builtinId="27"/>
    <cellStyle name="Moneda" xfId="1" builtinId="4"/>
    <cellStyle name="Moneda 3" xfId="3"/>
    <cellStyle name="Normal" xfId="0" builtinId="0"/>
    <cellStyle name="Normal 2" xfId="2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baseColWidth="10" defaultRowHeight="15" x14ac:dyDescent="0.25"/>
  <cols>
    <col min="1" max="1" width="29.140625" style="2" bestFit="1" customWidth="1"/>
    <col min="2" max="2" width="8.85546875" style="1" bestFit="1" customWidth="1"/>
    <col min="3" max="4" width="11.42578125" style="1" hidden="1" customWidth="1"/>
    <col min="5" max="5" width="14.140625" style="1" customWidth="1"/>
    <col min="6" max="6" width="10.5703125" style="1" bestFit="1" customWidth="1"/>
    <col min="7" max="7" width="4" style="1" customWidth="1"/>
    <col min="8" max="8" width="31.7109375" style="1" customWidth="1"/>
    <col min="9" max="249" width="11.42578125" style="1"/>
    <col min="250" max="250" width="22.140625" style="1" customWidth="1"/>
    <col min="251" max="251" width="27.140625" style="1" bestFit="1" customWidth="1"/>
    <col min="252" max="253" width="0" style="1" hidden="1" customWidth="1"/>
    <col min="254" max="254" width="11.42578125" style="1"/>
    <col min="255" max="255" width="0.28515625" style="1" customWidth="1"/>
    <col min="256" max="256" width="15.140625" style="1" customWidth="1"/>
    <col min="257" max="257" width="3.140625" style="1" customWidth="1"/>
    <col min="258" max="258" width="17.85546875" style="1" bestFit="1" customWidth="1"/>
    <col min="259" max="259" width="4.5703125" style="1" customWidth="1"/>
    <col min="260" max="260" width="14.42578125" style="1" customWidth="1"/>
    <col min="261" max="261" width="4" style="1" customWidth="1"/>
    <col min="262" max="262" width="12.7109375" style="1" customWidth="1"/>
    <col min="263" max="263" width="3.5703125" style="1" customWidth="1"/>
    <col min="264" max="264" width="31.7109375" style="1" customWidth="1"/>
    <col min="265" max="505" width="11.42578125" style="1"/>
    <col min="506" max="506" width="22.140625" style="1" customWidth="1"/>
    <col min="507" max="507" width="27.140625" style="1" bestFit="1" customWidth="1"/>
    <col min="508" max="509" width="0" style="1" hidden="1" customWidth="1"/>
    <col min="510" max="510" width="11.42578125" style="1"/>
    <col min="511" max="511" width="0.28515625" style="1" customWidth="1"/>
    <col min="512" max="512" width="15.140625" style="1" customWidth="1"/>
    <col min="513" max="513" width="3.140625" style="1" customWidth="1"/>
    <col min="514" max="514" width="17.85546875" style="1" bestFit="1" customWidth="1"/>
    <col min="515" max="515" width="4.5703125" style="1" customWidth="1"/>
    <col min="516" max="516" width="14.42578125" style="1" customWidth="1"/>
    <col min="517" max="517" width="4" style="1" customWidth="1"/>
    <col min="518" max="518" width="12.7109375" style="1" customWidth="1"/>
    <col min="519" max="519" width="3.5703125" style="1" customWidth="1"/>
    <col min="520" max="520" width="31.7109375" style="1" customWidth="1"/>
    <col min="521" max="761" width="11.42578125" style="1"/>
    <col min="762" max="762" width="22.140625" style="1" customWidth="1"/>
    <col min="763" max="763" width="27.140625" style="1" bestFit="1" customWidth="1"/>
    <col min="764" max="765" width="0" style="1" hidden="1" customWidth="1"/>
    <col min="766" max="766" width="11.42578125" style="1"/>
    <col min="767" max="767" width="0.28515625" style="1" customWidth="1"/>
    <col min="768" max="768" width="15.140625" style="1" customWidth="1"/>
    <col min="769" max="769" width="3.140625" style="1" customWidth="1"/>
    <col min="770" max="770" width="17.85546875" style="1" bestFit="1" customWidth="1"/>
    <col min="771" max="771" width="4.5703125" style="1" customWidth="1"/>
    <col min="772" max="772" width="14.42578125" style="1" customWidth="1"/>
    <col min="773" max="773" width="4" style="1" customWidth="1"/>
    <col min="774" max="774" width="12.7109375" style="1" customWidth="1"/>
    <col min="775" max="775" width="3.5703125" style="1" customWidth="1"/>
    <col min="776" max="776" width="31.7109375" style="1" customWidth="1"/>
    <col min="777" max="1017" width="11.42578125" style="1"/>
    <col min="1018" max="1018" width="22.140625" style="1" customWidth="1"/>
    <col min="1019" max="1019" width="27.140625" style="1" bestFit="1" customWidth="1"/>
    <col min="1020" max="1021" width="0" style="1" hidden="1" customWidth="1"/>
    <col min="1022" max="1022" width="11.42578125" style="1"/>
    <col min="1023" max="1023" width="0.28515625" style="1" customWidth="1"/>
    <col min="1024" max="1024" width="15.140625" style="1" customWidth="1"/>
    <col min="1025" max="1025" width="3.140625" style="1" customWidth="1"/>
    <col min="1026" max="1026" width="17.85546875" style="1" bestFit="1" customWidth="1"/>
    <col min="1027" max="1027" width="4.5703125" style="1" customWidth="1"/>
    <col min="1028" max="1028" width="14.42578125" style="1" customWidth="1"/>
    <col min="1029" max="1029" width="4" style="1" customWidth="1"/>
    <col min="1030" max="1030" width="12.7109375" style="1" customWidth="1"/>
    <col min="1031" max="1031" width="3.5703125" style="1" customWidth="1"/>
    <col min="1032" max="1032" width="31.7109375" style="1" customWidth="1"/>
    <col min="1033" max="1273" width="11.42578125" style="1"/>
    <col min="1274" max="1274" width="22.140625" style="1" customWidth="1"/>
    <col min="1275" max="1275" width="27.140625" style="1" bestFit="1" customWidth="1"/>
    <col min="1276" max="1277" width="0" style="1" hidden="1" customWidth="1"/>
    <col min="1278" max="1278" width="11.42578125" style="1"/>
    <col min="1279" max="1279" width="0.28515625" style="1" customWidth="1"/>
    <col min="1280" max="1280" width="15.140625" style="1" customWidth="1"/>
    <col min="1281" max="1281" width="3.140625" style="1" customWidth="1"/>
    <col min="1282" max="1282" width="17.85546875" style="1" bestFit="1" customWidth="1"/>
    <col min="1283" max="1283" width="4.5703125" style="1" customWidth="1"/>
    <col min="1284" max="1284" width="14.42578125" style="1" customWidth="1"/>
    <col min="1285" max="1285" width="4" style="1" customWidth="1"/>
    <col min="1286" max="1286" width="12.7109375" style="1" customWidth="1"/>
    <col min="1287" max="1287" width="3.5703125" style="1" customWidth="1"/>
    <col min="1288" max="1288" width="31.7109375" style="1" customWidth="1"/>
    <col min="1289" max="1529" width="11.42578125" style="1"/>
    <col min="1530" max="1530" width="22.140625" style="1" customWidth="1"/>
    <col min="1531" max="1531" width="27.140625" style="1" bestFit="1" customWidth="1"/>
    <col min="1532" max="1533" width="0" style="1" hidden="1" customWidth="1"/>
    <col min="1534" max="1534" width="11.42578125" style="1"/>
    <col min="1535" max="1535" width="0.28515625" style="1" customWidth="1"/>
    <col min="1536" max="1536" width="15.140625" style="1" customWidth="1"/>
    <col min="1537" max="1537" width="3.140625" style="1" customWidth="1"/>
    <col min="1538" max="1538" width="17.85546875" style="1" bestFit="1" customWidth="1"/>
    <col min="1539" max="1539" width="4.5703125" style="1" customWidth="1"/>
    <col min="1540" max="1540" width="14.42578125" style="1" customWidth="1"/>
    <col min="1541" max="1541" width="4" style="1" customWidth="1"/>
    <col min="1542" max="1542" width="12.7109375" style="1" customWidth="1"/>
    <col min="1543" max="1543" width="3.5703125" style="1" customWidth="1"/>
    <col min="1544" max="1544" width="31.7109375" style="1" customWidth="1"/>
    <col min="1545" max="1785" width="11.42578125" style="1"/>
    <col min="1786" max="1786" width="22.140625" style="1" customWidth="1"/>
    <col min="1787" max="1787" width="27.140625" style="1" bestFit="1" customWidth="1"/>
    <col min="1788" max="1789" width="0" style="1" hidden="1" customWidth="1"/>
    <col min="1790" max="1790" width="11.42578125" style="1"/>
    <col min="1791" max="1791" width="0.28515625" style="1" customWidth="1"/>
    <col min="1792" max="1792" width="15.140625" style="1" customWidth="1"/>
    <col min="1793" max="1793" width="3.140625" style="1" customWidth="1"/>
    <col min="1794" max="1794" width="17.85546875" style="1" bestFit="1" customWidth="1"/>
    <col min="1795" max="1795" width="4.5703125" style="1" customWidth="1"/>
    <col min="1796" max="1796" width="14.42578125" style="1" customWidth="1"/>
    <col min="1797" max="1797" width="4" style="1" customWidth="1"/>
    <col min="1798" max="1798" width="12.7109375" style="1" customWidth="1"/>
    <col min="1799" max="1799" width="3.5703125" style="1" customWidth="1"/>
    <col min="1800" max="1800" width="31.7109375" style="1" customWidth="1"/>
    <col min="1801" max="2041" width="11.42578125" style="1"/>
    <col min="2042" max="2042" width="22.140625" style="1" customWidth="1"/>
    <col min="2043" max="2043" width="27.140625" style="1" bestFit="1" customWidth="1"/>
    <col min="2044" max="2045" width="0" style="1" hidden="1" customWidth="1"/>
    <col min="2046" max="2046" width="11.42578125" style="1"/>
    <col min="2047" max="2047" width="0.28515625" style="1" customWidth="1"/>
    <col min="2048" max="2048" width="15.140625" style="1" customWidth="1"/>
    <col min="2049" max="2049" width="3.140625" style="1" customWidth="1"/>
    <col min="2050" max="2050" width="17.85546875" style="1" bestFit="1" customWidth="1"/>
    <col min="2051" max="2051" width="4.5703125" style="1" customWidth="1"/>
    <col min="2052" max="2052" width="14.42578125" style="1" customWidth="1"/>
    <col min="2053" max="2053" width="4" style="1" customWidth="1"/>
    <col min="2054" max="2054" width="12.7109375" style="1" customWidth="1"/>
    <col min="2055" max="2055" width="3.5703125" style="1" customWidth="1"/>
    <col min="2056" max="2056" width="31.7109375" style="1" customWidth="1"/>
    <col min="2057" max="2297" width="11.42578125" style="1"/>
    <col min="2298" max="2298" width="22.140625" style="1" customWidth="1"/>
    <col min="2299" max="2299" width="27.140625" style="1" bestFit="1" customWidth="1"/>
    <col min="2300" max="2301" width="0" style="1" hidden="1" customWidth="1"/>
    <col min="2302" max="2302" width="11.42578125" style="1"/>
    <col min="2303" max="2303" width="0.28515625" style="1" customWidth="1"/>
    <col min="2304" max="2304" width="15.140625" style="1" customWidth="1"/>
    <col min="2305" max="2305" width="3.140625" style="1" customWidth="1"/>
    <col min="2306" max="2306" width="17.85546875" style="1" bestFit="1" customWidth="1"/>
    <col min="2307" max="2307" width="4.5703125" style="1" customWidth="1"/>
    <col min="2308" max="2308" width="14.42578125" style="1" customWidth="1"/>
    <col min="2309" max="2309" width="4" style="1" customWidth="1"/>
    <col min="2310" max="2310" width="12.7109375" style="1" customWidth="1"/>
    <col min="2311" max="2311" width="3.5703125" style="1" customWidth="1"/>
    <col min="2312" max="2312" width="31.7109375" style="1" customWidth="1"/>
    <col min="2313" max="2553" width="11.42578125" style="1"/>
    <col min="2554" max="2554" width="22.140625" style="1" customWidth="1"/>
    <col min="2555" max="2555" width="27.140625" style="1" bestFit="1" customWidth="1"/>
    <col min="2556" max="2557" width="0" style="1" hidden="1" customWidth="1"/>
    <col min="2558" max="2558" width="11.42578125" style="1"/>
    <col min="2559" max="2559" width="0.28515625" style="1" customWidth="1"/>
    <col min="2560" max="2560" width="15.140625" style="1" customWidth="1"/>
    <col min="2561" max="2561" width="3.140625" style="1" customWidth="1"/>
    <col min="2562" max="2562" width="17.85546875" style="1" bestFit="1" customWidth="1"/>
    <col min="2563" max="2563" width="4.5703125" style="1" customWidth="1"/>
    <col min="2564" max="2564" width="14.42578125" style="1" customWidth="1"/>
    <col min="2565" max="2565" width="4" style="1" customWidth="1"/>
    <col min="2566" max="2566" width="12.7109375" style="1" customWidth="1"/>
    <col min="2567" max="2567" width="3.5703125" style="1" customWidth="1"/>
    <col min="2568" max="2568" width="31.7109375" style="1" customWidth="1"/>
    <col min="2569" max="2809" width="11.42578125" style="1"/>
    <col min="2810" max="2810" width="22.140625" style="1" customWidth="1"/>
    <col min="2811" max="2811" width="27.140625" style="1" bestFit="1" customWidth="1"/>
    <col min="2812" max="2813" width="0" style="1" hidden="1" customWidth="1"/>
    <col min="2814" max="2814" width="11.42578125" style="1"/>
    <col min="2815" max="2815" width="0.28515625" style="1" customWidth="1"/>
    <col min="2816" max="2816" width="15.140625" style="1" customWidth="1"/>
    <col min="2817" max="2817" width="3.140625" style="1" customWidth="1"/>
    <col min="2818" max="2818" width="17.85546875" style="1" bestFit="1" customWidth="1"/>
    <col min="2819" max="2819" width="4.5703125" style="1" customWidth="1"/>
    <col min="2820" max="2820" width="14.42578125" style="1" customWidth="1"/>
    <col min="2821" max="2821" width="4" style="1" customWidth="1"/>
    <col min="2822" max="2822" width="12.7109375" style="1" customWidth="1"/>
    <col min="2823" max="2823" width="3.5703125" style="1" customWidth="1"/>
    <col min="2824" max="2824" width="31.7109375" style="1" customWidth="1"/>
    <col min="2825" max="3065" width="11.42578125" style="1"/>
    <col min="3066" max="3066" width="22.140625" style="1" customWidth="1"/>
    <col min="3067" max="3067" width="27.140625" style="1" bestFit="1" customWidth="1"/>
    <col min="3068" max="3069" width="0" style="1" hidden="1" customWidth="1"/>
    <col min="3070" max="3070" width="11.42578125" style="1"/>
    <col min="3071" max="3071" width="0.28515625" style="1" customWidth="1"/>
    <col min="3072" max="3072" width="15.140625" style="1" customWidth="1"/>
    <col min="3073" max="3073" width="3.140625" style="1" customWidth="1"/>
    <col min="3074" max="3074" width="17.85546875" style="1" bestFit="1" customWidth="1"/>
    <col min="3075" max="3075" width="4.5703125" style="1" customWidth="1"/>
    <col min="3076" max="3076" width="14.42578125" style="1" customWidth="1"/>
    <col min="3077" max="3077" width="4" style="1" customWidth="1"/>
    <col min="3078" max="3078" width="12.7109375" style="1" customWidth="1"/>
    <col min="3079" max="3079" width="3.5703125" style="1" customWidth="1"/>
    <col min="3080" max="3080" width="31.7109375" style="1" customWidth="1"/>
    <col min="3081" max="3321" width="11.42578125" style="1"/>
    <col min="3322" max="3322" width="22.140625" style="1" customWidth="1"/>
    <col min="3323" max="3323" width="27.140625" style="1" bestFit="1" customWidth="1"/>
    <col min="3324" max="3325" width="0" style="1" hidden="1" customWidth="1"/>
    <col min="3326" max="3326" width="11.42578125" style="1"/>
    <col min="3327" max="3327" width="0.28515625" style="1" customWidth="1"/>
    <col min="3328" max="3328" width="15.140625" style="1" customWidth="1"/>
    <col min="3329" max="3329" width="3.140625" style="1" customWidth="1"/>
    <col min="3330" max="3330" width="17.85546875" style="1" bestFit="1" customWidth="1"/>
    <col min="3331" max="3331" width="4.5703125" style="1" customWidth="1"/>
    <col min="3332" max="3332" width="14.42578125" style="1" customWidth="1"/>
    <col min="3333" max="3333" width="4" style="1" customWidth="1"/>
    <col min="3334" max="3334" width="12.7109375" style="1" customWidth="1"/>
    <col min="3335" max="3335" width="3.5703125" style="1" customWidth="1"/>
    <col min="3336" max="3336" width="31.7109375" style="1" customWidth="1"/>
    <col min="3337" max="3577" width="11.42578125" style="1"/>
    <col min="3578" max="3578" width="22.140625" style="1" customWidth="1"/>
    <col min="3579" max="3579" width="27.140625" style="1" bestFit="1" customWidth="1"/>
    <col min="3580" max="3581" width="0" style="1" hidden="1" customWidth="1"/>
    <col min="3582" max="3582" width="11.42578125" style="1"/>
    <col min="3583" max="3583" width="0.28515625" style="1" customWidth="1"/>
    <col min="3584" max="3584" width="15.140625" style="1" customWidth="1"/>
    <col min="3585" max="3585" width="3.140625" style="1" customWidth="1"/>
    <col min="3586" max="3586" width="17.85546875" style="1" bestFit="1" customWidth="1"/>
    <col min="3587" max="3587" width="4.5703125" style="1" customWidth="1"/>
    <col min="3588" max="3588" width="14.42578125" style="1" customWidth="1"/>
    <col min="3589" max="3589" width="4" style="1" customWidth="1"/>
    <col min="3590" max="3590" width="12.7109375" style="1" customWidth="1"/>
    <col min="3591" max="3591" width="3.5703125" style="1" customWidth="1"/>
    <col min="3592" max="3592" width="31.7109375" style="1" customWidth="1"/>
    <col min="3593" max="3833" width="11.42578125" style="1"/>
    <col min="3834" max="3834" width="22.140625" style="1" customWidth="1"/>
    <col min="3835" max="3835" width="27.140625" style="1" bestFit="1" customWidth="1"/>
    <col min="3836" max="3837" width="0" style="1" hidden="1" customWidth="1"/>
    <col min="3838" max="3838" width="11.42578125" style="1"/>
    <col min="3839" max="3839" width="0.28515625" style="1" customWidth="1"/>
    <col min="3840" max="3840" width="15.140625" style="1" customWidth="1"/>
    <col min="3841" max="3841" width="3.140625" style="1" customWidth="1"/>
    <col min="3842" max="3842" width="17.85546875" style="1" bestFit="1" customWidth="1"/>
    <col min="3843" max="3843" width="4.5703125" style="1" customWidth="1"/>
    <col min="3844" max="3844" width="14.42578125" style="1" customWidth="1"/>
    <col min="3845" max="3845" width="4" style="1" customWidth="1"/>
    <col min="3846" max="3846" width="12.7109375" style="1" customWidth="1"/>
    <col min="3847" max="3847" width="3.5703125" style="1" customWidth="1"/>
    <col min="3848" max="3848" width="31.7109375" style="1" customWidth="1"/>
    <col min="3849" max="4089" width="11.42578125" style="1"/>
    <col min="4090" max="4090" width="22.140625" style="1" customWidth="1"/>
    <col min="4091" max="4091" width="27.140625" style="1" bestFit="1" customWidth="1"/>
    <col min="4092" max="4093" width="0" style="1" hidden="1" customWidth="1"/>
    <col min="4094" max="4094" width="11.42578125" style="1"/>
    <col min="4095" max="4095" width="0.28515625" style="1" customWidth="1"/>
    <col min="4096" max="4096" width="15.140625" style="1" customWidth="1"/>
    <col min="4097" max="4097" width="3.140625" style="1" customWidth="1"/>
    <col min="4098" max="4098" width="17.85546875" style="1" bestFit="1" customWidth="1"/>
    <col min="4099" max="4099" width="4.5703125" style="1" customWidth="1"/>
    <col min="4100" max="4100" width="14.42578125" style="1" customWidth="1"/>
    <col min="4101" max="4101" width="4" style="1" customWidth="1"/>
    <col min="4102" max="4102" width="12.7109375" style="1" customWidth="1"/>
    <col min="4103" max="4103" width="3.5703125" style="1" customWidth="1"/>
    <col min="4104" max="4104" width="31.7109375" style="1" customWidth="1"/>
    <col min="4105" max="4345" width="11.42578125" style="1"/>
    <col min="4346" max="4346" width="22.140625" style="1" customWidth="1"/>
    <col min="4347" max="4347" width="27.140625" style="1" bestFit="1" customWidth="1"/>
    <col min="4348" max="4349" width="0" style="1" hidden="1" customWidth="1"/>
    <col min="4350" max="4350" width="11.42578125" style="1"/>
    <col min="4351" max="4351" width="0.28515625" style="1" customWidth="1"/>
    <col min="4352" max="4352" width="15.140625" style="1" customWidth="1"/>
    <col min="4353" max="4353" width="3.140625" style="1" customWidth="1"/>
    <col min="4354" max="4354" width="17.85546875" style="1" bestFit="1" customWidth="1"/>
    <col min="4355" max="4355" width="4.5703125" style="1" customWidth="1"/>
    <col min="4356" max="4356" width="14.42578125" style="1" customWidth="1"/>
    <col min="4357" max="4357" width="4" style="1" customWidth="1"/>
    <col min="4358" max="4358" width="12.7109375" style="1" customWidth="1"/>
    <col min="4359" max="4359" width="3.5703125" style="1" customWidth="1"/>
    <col min="4360" max="4360" width="31.7109375" style="1" customWidth="1"/>
    <col min="4361" max="4601" width="11.42578125" style="1"/>
    <col min="4602" max="4602" width="22.140625" style="1" customWidth="1"/>
    <col min="4603" max="4603" width="27.140625" style="1" bestFit="1" customWidth="1"/>
    <col min="4604" max="4605" width="0" style="1" hidden="1" customWidth="1"/>
    <col min="4606" max="4606" width="11.42578125" style="1"/>
    <col min="4607" max="4607" width="0.28515625" style="1" customWidth="1"/>
    <col min="4608" max="4608" width="15.140625" style="1" customWidth="1"/>
    <col min="4609" max="4609" width="3.140625" style="1" customWidth="1"/>
    <col min="4610" max="4610" width="17.85546875" style="1" bestFit="1" customWidth="1"/>
    <col min="4611" max="4611" width="4.5703125" style="1" customWidth="1"/>
    <col min="4612" max="4612" width="14.42578125" style="1" customWidth="1"/>
    <col min="4613" max="4613" width="4" style="1" customWidth="1"/>
    <col min="4614" max="4614" width="12.7109375" style="1" customWidth="1"/>
    <col min="4615" max="4615" width="3.5703125" style="1" customWidth="1"/>
    <col min="4616" max="4616" width="31.7109375" style="1" customWidth="1"/>
    <col min="4617" max="4857" width="11.42578125" style="1"/>
    <col min="4858" max="4858" width="22.140625" style="1" customWidth="1"/>
    <col min="4859" max="4859" width="27.140625" style="1" bestFit="1" customWidth="1"/>
    <col min="4860" max="4861" width="0" style="1" hidden="1" customWidth="1"/>
    <col min="4862" max="4862" width="11.42578125" style="1"/>
    <col min="4863" max="4863" width="0.28515625" style="1" customWidth="1"/>
    <col min="4864" max="4864" width="15.140625" style="1" customWidth="1"/>
    <col min="4865" max="4865" width="3.140625" style="1" customWidth="1"/>
    <col min="4866" max="4866" width="17.85546875" style="1" bestFit="1" customWidth="1"/>
    <col min="4867" max="4867" width="4.5703125" style="1" customWidth="1"/>
    <col min="4868" max="4868" width="14.42578125" style="1" customWidth="1"/>
    <col min="4869" max="4869" width="4" style="1" customWidth="1"/>
    <col min="4870" max="4870" width="12.7109375" style="1" customWidth="1"/>
    <col min="4871" max="4871" width="3.5703125" style="1" customWidth="1"/>
    <col min="4872" max="4872" width="31.7109375" style="1" customWidth="1"/>
    <col min="4873" max="5113" width="11.42578125" style="1"/>
    <col min="5114" max="5114" width="22.140625" style="1" customWidth="1"/>
    <col min="5115" max="5115" width="27.140625" style="1" bestFit="1" customWidth="1"/>
    <col min="5116" max="5117" width="0" style="1" hidden="1" customWidth="1"/>
    <col min="5118" max="5118" width="11.42578125" style="1"/>
    <col min="5119" max="5119" width="0.28515625" style="1" customWidth="1"/>
    <col min="5120" max="5120" width="15.140625" style="1" customWidth="1"/>
    <col min="5121" max="5121" width="3.140625" style="1" customWidth="1"/>
    <col min="5122" max="5122" width="17.85546875" style="1" bestFit="1" customWidth="1"/>
    <col min="5123" max="5123" width="4.5703125" style="1" customWidth="1"/>
    <col min="5124" max="5124" width="14.42578125" style="1" customWidth="1"/>
    <col min="5125" max="5125" width="4" style="1" customWidth="1"/>
    <col min="5126" max="5126" width="12.7109375" style="1" customWidth="1"/>
    <col min="5127" max="5127" width="3.5703125" style="1" customWidth="1"/>
    <col min="5128" max="5128" width="31.7109375" style="1" customWidth="1"/>
    <col min="5129" max="5369" width="11.42578125" style="1"/>
    <col min="5370" max="5370" width="22.140625" style="1" customWidth="1"/>
    <col min="5371" max="5371" width="27.140625" style="1" bestFit="1" customWidth="1"/>
    <col min="5372" max="5373" width="0" style="1" hidden="1" customWidth="1"/>
    <col min="5374" max="5374" width="11.42578125" style="1"/>
    <col min="5375" max="5375" width="0.28515625" style="1" customWidth="1"/>
    <col min="5376" max="5376" width="15.140625" style="1" customWidth="1"/>
    <col min="5377" max="5377" width="3.140625" style="1" customWidth="1"/>
    <col min="5378" max="5378" width="17.85546875" style="1" bestFit="1" customWidth="1"/>
    <col min="5379" max="5379" width="4.5703125" style="1" customWidth="1"/>
    <col min="5380" max="5380" width="14.42578125" style="1" customWidth="1"/>
    <col min="5381" max="5381" width="4" style="1" customWidth="1"/>
    <col min="5382" max="5382" width="12.7109375" style="1" customWidth="1"/>
    <col min="5383" max="5383" width="3.5703125" style="1" customWidth="1"/>
    <col min="5384" max="5384" width="31.7109375" style="1" customWidth="1"/>
    <col min="5385" max="5625" width="11.42578125" style="1"/>
    <col min="5626" max="5626" width="22.140625" style="1" customWidth="1"/>
    <col min="5627" max="5627" width="27.140625" style="1" bestFit="1" customWidth="1"/>
    <col min="5628" max="5629" width="0" style="1" hidden="1" customWidth="1"/>
    <col min="5630" max="5630" width="11.42578125" style="1"/>
    <col min="5631" max="5631" width="0.28515625" style="1" customWidth="1"/>
    <col min="5632" max="5632" width="15.140625" style="1" customWidth="1"/>
    <col min="5633" max="5633" width="3.140625" style="1" customWidth="1"/>
    <col min="5634" max="5634" width="17.85546875" style="1" bestFit="1" customWidth="1"/>
    <col min="5635" max="5635" width="4.5703125" style="1" customWidth="1"/>
    <col min="5636" max="5636" width="14.42578125" style="1" customWidth="1"/>
    <col min="5637" max="5637" width="4" style="1" customWidth="1"/>
    <col min="5638" max="5638" width="12.7109375" style="1" customWidth="1"/>
    <col min="5639" max="5639" width="3.5703125" style="1" customWidth="1"/>
    <col min="5640" max="5640" width="31.7109375" style="1" customWidth="1"/>
    <col min="5641" max="5881" width="11.42578125" style="1"/>
    <col min="5882" max="5882" width="22.140625" style="1" customWidth="1"/>
    <col min="5883" max="5883" width="27.140625" style="1" bestFit="1" customWidth="1"/>
    <col min="5884" max="5885" width="0" style="1" hidden="1" customWidth="1"/>
    <col min="5886" max="5886" width="11.42578125" style="1"/>
    <col min="5887" max="5887" width="0.28515625" style="1" customWidth="1"/>
    <col min="5888" max="5888" width="15.140625" style="1" customWidth="1"/>
    <col min="5889" max="5889" width="3.140625" style="1" customWidth="1"/>
    <col min="5890" max="5890" width="17.85546875" style="1" bestFit="1" customWidth="1"/>
    <col min="5891" max="5891" width="4.5703125" style="1" customWidth="1"/>
    <col min="5892" max="5892" width="14.42578125" style="1" customWidth="1"/>
    <col min="5893" max="5893" width="4" style="1" customWidth="1"/>
    <col min="5894" max="5894" width="12.7109375" style="1" customWidth="1"/>
    <col min="5895" max="5895" width="3.5703125" style="1" customWidth="1"/>
    <col min="5896" max="5896" width="31.7109375" style="1" customWidth="1"/>
    <col min="5897" max="6137" width="11.42578125" style="1"/>
    <col min="6138" max="6138" width="22.140625" style="1" customWidth="1"/>
    <col min="6139" max="6139" width="27.140625" style="1" bestFit="1" customWidth="1"/>
    <col min="6140" max="6141" width="0" style="1" hidden="1" customWidth="1"/>
    <col min="6142" max="6142" width="11.42578125" style="1"/>
    <col min="6143" max="6143" width="0.28515625" style="1" customWidth="1"/>
    <col min="6144" max="6144" width="15.140625" style="1" customWidth="1"/>
    <col min="6145" max="6145" width="3.140625" style="1" customWidth="1"/>
    <col min="6146" max="6146" width="17.85546875" style="1" bestFit="1" customWidth="1"/>
    <col min="6147" max="6147" width="4.5703125" style="1" customWidth="1"/>
    <col min="6148" max="6148" width="14.42578125" style="1" customWidth="1"/>
    <col min="6149" max="6149" width="4" style="1" customWidth="1"/>
    <col min="6150" max="6150" width="12.7109375" style="1" customWidth="1"/>
    <col min="6151" max="6151" width="3.5703125" style="1" customWidth="1"/>
    <col min="6152" max="6152" width="31.7109375" style="1" customWidth="1"/>
    <col min="6153" max="6393" width="11.42578125" style="1"/>
    <col min="6394" max="6394" width="22.140625" style="1" customWidth="1"/>
    <col min="6395" max="6395" width="27.140625" style="1" bestFit="1" customWidth="1"/>
    <col min="6396" max="6397" width="0" style="1" hidden="1" customWidth="1"/>
    <col min="6398" max="6398" width="11.42578125" style="1"/>
    <col min="6399" max="6399" width="0.28515625" style="1" customWidth="1"/>
    <col min="6400" max="6400" width="15.140625" style="1" customWidth="1"/>
    <col min="6401" max="6401" width="3.140625" style="1" customWidth="1"/>
    <col min="6402" max="6402" width="17.85546875" style="1" bestFit="1" customWidth="1"/>
    <col min="6403" max="6403" width="4.5703125" style="1" customWidth="1"/>
    <col min="6404" max="6404" width="14.42578125" style="1" customWidth="1"/>
    <col min="6405" max="6405" width="4" style="1" customWidth="1"/>
    <col min="6406" max="6406" width="12.7109375" style="1" customWidth="1"/>
    <col min="6407" max="6407" width="3.5703125" style="1" customWidth="1"/>
    <col min="6408" max="6408" width="31.7109375" style="1" customWidth="1"/>
    <col min="6409" max="6649" width="11.42578125" style="1"/>
    <col min="6650" max="6650" width="22.140625" style="1" customWidth="1"/>
    <col min="6651" max="6651" width="27.140625" style="1" bestFit="1" customWidth="1"/>
    <col min="6652" max="6653" width="0" style="1" hidden="1" customWidth="1"/>
    <col min="6654" max="6654" width="11.42578125" style="1"/>
    <col min="6655" max="6655" width="0.28515625" style="1" customWidth="1"/>
    <col min="6656" max="6656" width="15.140625" style="1" customWidth="1"/>
    <col min="6657" max="6657" width="3.140625" style="1" customWidth="1"/>
    <col min="6658" max="6658" width="17.85546875" style="1" bestFit="1" customWidth="1"/>
    <col min="6659" max="6659" width="4.5703125" style="1" customWidth="1"/>
    <col min="6660" max="6660" width="14.42578125" style="1" customWidth="1"/>
    <col min="6661" max="6661" width="4" style="1" customWidth="1"/>
    <col min="6662" max="6662" width="12.7109375" style="1" customWidth="1"/>
    <col min="6663" max="6663" width="3.5703125" style="1" customWidth="1"/>
    <col min="6664" max="6664" width="31.7109375" style="1" customWidth="1"/>
    <col min="6665" max="6905" width="11.42578125" style="1"/>
    <col min="6906" max="6906" width="22.140625" style="1" customWidth="1"/>
    <col min="6907" max="6907" width="27.140625" style="1" bestFit="1" customWidth="1"/>
    <col min="6908" max="6909" width="0" style="1" hidden="1" customWidth="1"/>
    <col min="6910" max="6910" width="11.42578125" style="1"/>
    <col min="6911" max="6911" width="0.28515625" style="1" customWidth="1"/>
    <col min="6912" max="6912" width="15.140625" style="1" customWidth="1"/>
    <col min="6913" max="6913" width="3.140625" style="1" customWidth="1"/>
    <col min="6914" max="6914" width="17.85546875" style="1" bestFit="1" customWidth="1"/>
    <col min="6915" max="6915" width="4.5703125" style="1" customWidth="1"/>
    <col min="6916" max="6916" width="14.42578125" style="1" customWidth="1"/>
    <col min="6917" max="6917" width="4" style="1" customWidth="1"/>
    <col min="6918" max="6918" width="12.7109375" style="1" customWidth="1"/>
    <col min="6919" max="6919" width="3.5703125" style="1" customWidth="1"/>
    <col min="6920" max="6920" width="31.7109375" style="1" customWidth="1"/>
    <col min="6921" max="7161" width="11.42578125" style="1"/>
    <col min="7162" max="7162" width="22.140625" style="1" customWidth="1"/>
    <col min="7163" max="7163" width="27.140625" style="1" bestFit="1" customWidth="1"/>
    <col min="7164" max="7165" width="0" style="1" hidden="1" customWidth="1"/>
    <col min="7166" max="7166" width="11.42578125" style="1"/>
    <col min="7167" max="7167" width="0.28515625" style="1" customWidth="1"/>
    <col min="7168" max="7168" width="15.140625" style="1" customWidth="1"/>
    <col min="7169" max="7169" width="3.140625" style="1" customWidth="1"/>
    <col min="7170" max="7170" width="17.85546875" style="1" bestFit="1" customWidth="1"/>
    <col min="7171" max="7171" width="4.5703125" style="1" customWidth="1"/>
    <col min="7172" max="7172" width="14.42578125" style="1" customWidth="1"/>
    <col min="7173" max="7173" width="4" style="1" customWidth="1"/>
    <col min="7174" max="7174" width="12.7109375" style="1" customWidth="1"/>
    <col min="7175" max="7175" width="3.5703125" style="1" customWidth="1"/>
    <col min="7176" max="7176" width="31.7109375" style="1" customWidth="1"/>
    <col min="7177" max="7417" width="11.42578125" style="1"/>
    <col min="7418" max="7418" width="22.140625" style="1" customWidth="1"/>
    <col min="7419" max="7419" width="27.140625" style="1" bestFit="1" customWidth="1"/>
    <col min="7420" max="7421" width="0" style="1" hidden="1" customWidth="1"/>
    <col min="7422" max="7422" width="11.42578125" style="1"/>
    <col min="7423" max="7423" width="0.28515625" style="1" customWidth="1"/>
    <col min="7424" max="7424" width="15.140625" style="1" customWidth="1"/>
    <col min="7425" max="7425" width="3.140625" style="1" customWidth="1"/>
    <col min="7426" max="7426" width="17.85546875" style="1" bestFit="1" customWidth="1"/>
    <col min="7427" max="7427" width="4.5703125" style="1" customWidth="1"/>
    <col min="7428" max="7428" width="14.42578125" style="1" customWidth="1"/>
    <col min="7429" max="7429" width="4" style="1" customWidth="1"/>
    <col min="7430" max="7430" width="12.7109375" style="1" customWidth="1"/>
    <col min="7431" max="7431" width="3.5703125" style="1" customWidth="1"/>
    <col min="7432" max="7432" width="31.7109375" style="1" customWidth="1"/>
    <col min="7433" max="7673" width="11.42578125" style="1"/>
    <col min="7674" max="7674" width="22.140625" style="1" customWidth="1"/>
    <col min="7675" max="7675" width="27.140625" style="1" bestFit="1" customWidth="1"/>
    <col min="7676" max="7677" width="0" style="1" hidden="1" customWidth="1"/>
    <col min="7678" max="7678" width="11.42578125" style="1"/>
    <col min="7679" max="7679" width="0.28515625" style="1" customWidth="1"/>
    <col min="7680" max="7680" width="15.140625" style="1" customWidth="1"/>
    <col min="7681" max="7681" width="3.140625" style="1" customWidth="1"/>
    <col min="7682" max="7682" width="17.85546875" style="1" bestFit="1" customWidth="1"/>
    <col min="7683" max="7683" width="4.5703125" style="1" customWidth="1"/>
    <col min="7684" max="7684" width="14.42578125" style="1" customWidth="1"/>
    <col min="7685" max="7685" width="4" style="1" customWidth="1"/>
    <col min="7686" max="7686" width="12.7109375" style="1" customWidth="1"/>
    <col min="7687" max="7687" width="3.5703125" style="1" customWidth="1"/>
    <col min="7688" max="7688" width="31.7109375" style="1" customWidth="1"/>
    <col min="7689" max="7929" width="11.42578125" style="1"/>
    <col min="7930" max="7930" width="22.140625" style="1" customWidth="1"/>
    <col min="7931" max="7931" width="27.140625" style="1" bestFit="1" customWidth="1"/>
    <col min="7932" max="7933" width="0" style="1" hidden="1" customWidth="1"/>
    <col min="7934" max="7934" width="11.42578125" style="1"/>
    <col min="7935" max="7935" width="0.28515625" style="1" customWidth="1"/>
    <col min="7936" max="7936" width="15.140625" style="1" customWidth="1"/>
    <col min="7937" max="7937" width="3.140625" style="1" customWidth="1"/>
    <col min="7938" max="7938" width="17.85546875" style="1" bestFit="1" customWidth="1"/>
    <col min="7939" max="7939" width="4.5703125" style="1" customWidth="1"/>
    <col min="7940" max="7940" width="14.42578125" style="1" customWidth="1"/>
    <col min="7941" max="7941" width="4" style="1" customWidth="1"/>
    <col min="7942" max="7942" width="12.7109375" style="1" customWidth="1"/>
    <col min="7943" max="7943" width="3.5703125" style="1" customWidth="1"/>
    <col min="7944" max="7944" width="31.7109375" style="1" customWidth="1"/>
    <col min="7945" max="8185" width="11.42578125" style="1"/>
    <col min="8186" max="8186" width="22.140625" style="1" customWidth="1"/>
    <col min="8187" max="8187" width="27.140625" style="1" bestFit="1" customWidth="1"/>
    <col min="8188" max="8189" width="0" style="1" hidden="1" customWidth="1"/>
    <col min="8190" max="8190" width="11.42578125" style="1"/>
    <col min="8191" max="8191" width="0.28515625" style="1" customWidth="1"/>
    <col min="8192" max="8192" width="15.140625" style="1" customWidth="1"/>
    <col min="8193" max="8193" width="3.140625" style="1" customWidth="1"/>
    <col min="8194" max="8194" width="17.85546875" style="1" bestFit="1" customWidth="1"/>
    <col min="8195" max="8195" width="4.5703125" style="1" customWidth="1"/>
    <col min="8196" max="8196" width="14.42578125" style="1" customWidth="1"/>
    <col min="8197" max="8197" width="4" style="1" customWidth="1"/>
    <col min="8198" max="8198" width="12.7109375" style="1" customWidth="1"/>
    <col min="8199" max="8199" width="3.5703125" style="1" customWidth="1"/>
    <col min="8200" max="8200" width="31.7109375" style="1" customWidth="1"/>
    <col min="8201" max="8441" width="11.42578125" style="1"/>
    <col min="8442" max="8442" width="22.140625" style="1" customWidth="1"/>
    <col min="8443" max="8443" width="27.140625" style="1" bestFit="1" customWidth="1"/>
    <col min="8444" max="8445" width="0" style="1" hidden="1" customWidth="1"/>
    <col min="8446" max="8446" width="11.42578125" style="1"/>
    <col min="8447" max="8447" width="0.28515625" style="1" customWidth="1"/>
    <col min="8448" max="8448" width="15.140625" style="1" customWidth="1"/>
    <col min="8449" max="8449" width="3.140625" style="1" customWidth="1"/>
    <col min="8450" max="8450" width="17.85546875" style="1" bestFit="1" customWidth="1"/>
    <col min="8451" max="8451" width="4.5703125" style="1" customWidth="1"/>
    <col min="8452" max="8452" width="14.42578125" style="1" customWidth="1"/>
    <col min="8453" max="8453" width="4" style="1" customWidth="1"/>
    <col min="8454" max="8454" width="12.7109375" style="1" customWidth="1"/>
    <col min="8455" max="8455" width="3.5703125" style="1" customWidth="1"/>
    <col min="8456" max="8456" width="31.7109375" style="1" customWidth="1"/>
    <col min="8457" max="8697" width="11.42578125" style="1"/>
    <col min="8698" max="8698" width="22.140625" style="1" customWidth="1"/>
    <col min="8699" max="8699" width="27.140625" style="1" bestFit="1" customWidth="1"/>
    <col min="8700" max="8701" width="0" style="1" hidden="1" customWidth="1"/>
    <col min="8702" max="8702" width="11.42578125" style="1"/>
    <col min="8703" max="8703" width="0.28515625" style="1" customWidth="1"/>
    <col min="8704" max="8704" width="15.140625" style="1" customWidth="1"/>
    <col min="8705" max="8705" width="3.140625" style="1" customWidth="1"/>
    <col min="8706" max="8706" width="17.85546875" style="1" bestFit="1" customWidth="1"/>
    <col min="8707" max="8707" width="4.5703125" style="1" customWidth="1"/>
    <col min="8708" max="8708" width="14.42578125" style="1" customWidth="1"/>
    <col min="8709" max="8709" width="4" style="1" customWidth="1"/>
    <col min="8710" max="8710" width="12.7109375" style="1" customWidth="1"/>
    <col min="8711" max="8711" width="3.5703125" style="1" customWidth="1"/>
    <col min="8712" max="8712" width="31.7109375" style="1" customWidth="1"/>
    <col min="8713" max="8953" width="11.42578125" style="1"/>
    <col min="8954" max="8954" width="22.140625" style="1" customWidth="1"/>
    <col min="8955" max="8955" width="27.140625" style="1" bestFit="1" customWidth="1"/>
    <col min="8956" max="8957" width="0" style="1" hidden="1" customWidth="1"/>
    <col min="8958" max="8958" width="11.42578125" style="1"/>
    <col min="8959" max="8959" width="0.28515625" style="1" customWidth="1"/>
    <col min="8960" max="8960" width="15.140625" style="1" customWidth="1"/>
    <col min="8961" max="8961" width="3.140625" style="1" customWidth="1"/>
    <col min="8962" max="8962" width="17.85546875" style="1" bestFit="1" customWidth="1"/>
    <col min="8963" max="8963" width="4.5703125" style="1" customWidth="1"/>
    <col min="8964" max="8964" width="14.42578125" style="1" customWidth="1"/>
    <col min="8965" max="8965" width="4" style="1" customWidth="1"/>
    <col min="8966" max="8966" width="12.7109375" style="1" customWidth="1"/>
    <col min="8967" max="8967" width="3.5703125" style="1" customWidth="1"/>
    <col min="8968" max="8968" width="31.7109375" style="1" customWidth="1"/>
    <col min="8969" max="9209" width="11.42578125" style="1"/>
    <col min="9210" max="9210" width="22.140625" style="1" customWidth="1"/>
    <col min="9211" max="9211" width="27.140625" style="1" bestFit="1" customWidth="1"/>
    <col min="9212" max="9213" width="0" style="1" hidden="1" customWidth="1"/>
    <col min="9214" max="9214" width="11.42578125" style="1"/>
    <col min="9215" max="9215" width="0.28515625" style="1" customWidth="1"/>
    <col min="9216" max="9216" width="15.140625" style="1" customWidth="1"/>
    <col min="9217" max="9217" width="3.140625" style="1" customWidth="1"/>
    <col min="9218" max="9218" width="17.85546875" style="1" bestFit="1" customWidth="1"/>
    <col min="9219" max="9219" width="4.5703125" style="1" customWidth="1"/>
    <col min="9220" max="9220" width="14.42578125" style="1" customWidth="1"/>
    <col min="9221" max="9221" width="4" style="1" customWidth="1"/>
    <col min="9222" max="9222" width="12.7109375" style="1" customWidth="1"/>
    <col min="9223" max="9223" width="3.5703125" style="1" customWidth="1"/>
    <col min="9224" max="9224" width="31.7109375" style="1" customWidth="1"/>
    <col min="9225" max="9465" width="11.42578125" style="1"/>
    <col min="9466" max="9466" width="22.140625" style="1" customWidth="1"/>
    <col min="9467" max="9467" width="27.140625" style="1" bestFit="1" customWidth="1"/>
    <col min="9468" max="9469" width="0" style="1" hidden="1" customWidth="1"/>
    <col min="9470" max="9470" width="11.42578125" style="1"/>
    <col min="9471" max="9471" width="0.28515625" style="1" customWidth="1"/>
    <col min="9472" max="9472" width="15.140625" style="1" customWidth="1"/>
    <col min="9473" max="9473" width="3.140625" style="1" customWidth="1"/>
    <col min="9474" max="9474" width="17.85546875" style="1" bestFit="1" customWidth="1"/>
    <col min="9475" max="9475" width="4.5703125" style="1" customWidth="1"/>
    <col min="9476" max="9476" width="14.42578125" style="1" customWidth="1"/>
    <col min="9477" max="9477" width="4" style="1" customWidth="1"/>
    <col min="9478" max="9478" width="12.7109375" style="1" customWidth="1"/>
    <col min="9479" max="9479" width="3.5703125" style="1" customWidth="1"/>
    <col min="9480" max="9480" width="31.7109375" style="1" customWidth="1"/>
    <col min="9481" max="9721" width="11.42578125" style="1"/>
    <col min="9722" max="9722" width="22.140625" style="1" customWidth="1"/>
    <col min="9723" max="9723" width="27.140625" style="1" bestFit="1" customWidth="1"/>
    <col min="9724" max="9725" width="0" style="1" hidden="1" customWidth="1"/>
    <col min="9726" max="9726" width="11.42578125" style="1"/>
    <col min="9727" max="9727" width="0.28515625" style="1" customWidth="1"/>
    <col min="9728" max="9728" width="15.140625" style="1" customWidth="1"/>
    <col min="9729" max="9729" width="3.140625" style="1" customWidth="1"/>
    <col min="9730" max="9730" width="17.85546875" style="1" bestFit="1" customWidth="1"/>
    <col min="9731" max="9731" width="4.5703125" style="1" customWidth="1"/>
    <col min="9732" max="9732" width="14.42578125" style="1" customWidth="1"/>
    <col min="9733" max="9733" width="4" style="1" customWidth="1"/>
    <col min="9734" max="9734" width="12.7109375" style="1" customWidth="1"/>
    <col min="9735" max="9735" width="3.5703125" style="1" customWidth="1"/>
    <col min="9736" max="9736" width="31.7109375" style="1" customWidth="1"/>
    <col min="9737" max="9977" width="11.42578125" style="1"/>
    <col min="9978" max="9978" width="22.140625" style="1" customWidth="1"/>
    <col min="9979" max="9979" width="27.140625" style="1" bestFit="1" customWidth="1"/>
    <col min="9980" max="9981" width="0" style="1" hidden="1" customWidth="1"/>
    <col min="9982" max="9982" width="11.42578125" style="1"/>
    <col min="9983" max="9983" width="0.28515625" style="1" customWidth="1"/>
    <col min="9984" max="9984" width="15.140625" style="1" customWidth="1"/>
    <col min="9985" max="9985" width="3.140625" style="1" customWidth="1"/>
    <col min="9986" max="9986" width="17.85546875" style="1" bestFit="1" customWidth="1"/>
    <col min="9987" max="9987" width="4.5703125" style="1" customWidth="1"/>
    <col min="9988" max="9988" width="14.42578125" style="1" customWidth="1"/>
    <col min="9989" max="9989" width="4" style="1" customWidth="1"/>
    <col min="9990" max="9990" width="12.7109375" style="1" customWidth="1"/>
    <col min="9991" max="9991" width="3.5703125" style="1" customWidth="1"/>
    <col min="9992" max="9992" width="31.7109375" style="1" customWidth="1"/>
    <col min="9993" max="10233" width="11.42578125" style="1"/>
    <col min="10234" max="10234" width="22.140625" style="1" customWidth="1"/>
    <col min="10235" max="10235" width="27.140625" style="1" bestFit="1" customWidth="1"/>
    <col min="10236" max="10237" width="0" style="1" hidden="1" customWidth="1"/>
    <col min="10238" max="10238" width="11.42578125" style="1"/>
    <col min="10239" max="10239" width="0.28515625" style="1" customWidth="1"/>
    <col min="10240" max="10240" width="15.140625" style="1" customWidth="1"/>
    <col min="10241" max="10241" width="3.140625" style="1" customWidth="1"/>
    <col min="10242" max="10242" width="17.85546875" style="1" bestFit="1" customWidth="1"/>
    <col min="10243" max="10243" width="4.5703125" style="1" customWidth="1"/>
    <col min="10244" max="10244" width="14.42578125" style="1" customWidth="1"/>
    <col min="10245" max="10245" width="4" style="1" customWidth="1"/>
    <col min="10246" max="10246" width="12.7109375" style="1" customWidth="1"/>
    <col min="10247" max="10247" width="3.5703125" style="1" customWidth="1"/>
    <col min="10248" max="10248" width="31.7109375" style="1" customWidth="1"/>
    <col min="10249" max="10489" width="11.42578125" style="1"/>
    <col min="10490" max="10490" width="22.140625" style="1" customWidth="1"/>
    <col min="10491" max="10491" width="27.140625" style="1" bestFit="1" customWidth="1"/>
    <col min="10492" max="10493" width="0" style="1" hidden="1" customWidth="1"/>
    <col min="10494" max="10494" width="11.42578125" style="1"/>
    <col min="10495" max="10495" width="0.28515625" style="1" customWidth="1"/>
    <col min="10496" max="10496" width="15.140625" style="1" customWidth="1"/>
    <col min="10497" max="10497" width="3.140625" style="1" customWidth="1"/>
    <col min="10498" max="10498" width="17.85546875" style="1" bestFit="1" customWidth="1"/>
    <col min="10499" max="10499" width="4.5703125" style="1" customWidth="1"/>
    <col min="10500" max="10500" width="14.42578125" style="1" customWidth="1"/>
    <col min="10501" max="10501" width="4" style="1" customWidth="1"/>
    <col min="10502" max="10502" width="12.7109375" style="1" customWidth="1"/>
    <col min="10503" max="10503" width="3.5703125" style="1" customWidth="1"/>
    <col min="10504" max="10504" width="31.7109375" style="1" customWidth="1"/>
    <col min="10505" max="10745" width="11.42578125" style="1"/>
    <col min="10746" max="10746" width="22.140625" style="1" customWidth="1"/>
    <col min="10747" max="10747" width="27.140625" style="1" bestFit="1" customWidth="1"/>
    <col min="10748" max="10749" width="0" style="1" hidden="1" customWidth="1"/>
    <col min="10750" max="10750" width="11.42578125" style="1"/>
    <col min="10751" max="10751" width="0.28515625" style="1" customWidth="1"/>
    <col min="10752" max="10752" width="15.140625" style="1" customWidth="1"/>
    <col min="10753" max="10753" width="3.140625" style="1" customWidth="1"/>
    <col min="10754" max="10754" width="17.85546875" style="1" bestFit="1" customWidth="1"/>
    <col min="10755" max="10755" width="4.5703125" style="1" customWidth="1"/>
    <col min="10756" max="10756" width="14.42578125" style="1" customWidth="1"/>
    <col min="10757" max="10757" width="4" style="1" customWidth="1"/>
    <col min="10758" max="10758" width="12.7109375" style="1" customWidth="1"/>
    <col min="10759" max="10759" width="3.5703125" style="1" customWidth="1"/>
    <col min="10760" max="10760" width="31.7109375" style="1" customWidth="1"/>
    <col min="10761" max="11001" width="11.42578125" style="1"/>
    <col min="11002" max="11002" width="22.140625" style="1" customWidth="1"/>
    <col min="11003" max="11003" width="27.140625" style="1" bestFit="1" customWidth="1"/>
    <col min="11004" max="11005" width="0" style="1" hidden="1" customWidth="1"/>
    <col min="11006" max="11006" width="11.42578125" style="1"/>
    <col min="11007" max="11007" width="0.28515625" style="1" customWidth="1"/>
    <col min="11008" max="11008" width="15.140625" style="1" customWidth="1"/>
    <col min="11009" max="11009" width="3.140625" style="1" customWidth="1"/>
    <col min="11010" max="11010" width="17.85546875" style="1" bestFit="1" customWidth="1"/>
    <col min="11011" max="11011" width="4.5703125" style="1" customWidth="1"/>
    <col min="11012" max="11012" width="14.42578125" style="1" customWidth="1"/>
    <col min="11013" max="11013" width="4" style="1" customWidth="1"/>
    <col min="11014" max="11014" width="12.7109375" style="1" customWidth="1"/>
    <col min="11015" max="11015" width="3.5703125" style="1" customWidth="1"/>
    <col min="11016" max="11016" width="31.7109375" style="1" customWidth="1"/>
    <col min="11017" max="11257" width="11.42578125" style="1"/>
    <col min="11258" max="11258" width="22.140625" style="1" customWidth="1"/>
    <col min="11259" max="11259" width="27.140625" style="1" bestFit="1" customWidth="1"/>
    <col min="11260" max="11261" width="0" style="1" hidden="1" customWidth="1"/>
    <col min="11262" max="11262" width="11.42578125" style="1"/>
    <col min="11263" max="11263" width="0.28515625" style="1" customWidth="1"/>
    <col min="11264" max="11264" width="15.140625" style="1" customWidth="1"/>
    <col min="11265" max="11265" width="3.140625" style="1" customWidth="1"/>
    <col min="11266" max="11266" width="17.85546875" style="1" bestFit="1" customWidth="1"/>
    <col min="11267" max="11267" width="4.5703125" style="1" customWidth="1"/>
    <col min="11268" max="11268" width="14.42578125" style="1" customWidth="1"/>
    <col min="11269" max="11269" width="4" style="1" customWidth="1"/>
    <col min="11270" max="11270" width="12.7109375" style="1" customWidth="1"/>
    <col min="11271" max="11271" width="3.5703125" style="1" customWidth="1"/>
    <col min="11272" max="11272" width="31.7109375" style="1" customWidth="1"/>
    <col min="11273" max="11513" width="11.42578125" style="1"/>
    <col min="11514" max="11514" width="22.140625" style="1" customWidth="1"/>
    <col min="11515" max="11515" width="27.140625" style="1" bestFit="1" customWidth="1"/>
    <col min="11516" max="11517" width="0" style="1" hidden="1" customWidth="1"/>
    <col min="11518" max="11518" width="11.42578125" style="1"/>
    <col min="11519" max="11519" width="0.28515625" style="1" customWidth="1"/>
    <col min="11520" max="11520" width="15.140625" style="1" customWidth="1"/>
    <col min="11521" max="11521" width="3.140625" style="1" customWidth="1"/>
    <col min="11522" max="11522" width="17.85546875" style="1" bestFit="1" customWidth="1"/>
    <col min="11523" max="11523" width="4.5703125" style="1" customWidth="1"/>
    <col min="11524" max="11524" width="14.42578125" style="1" customWidth="1"/>
    <col min="11525" max="11525" width="4" style="1" customWidth="1"/>
    <col min="11526" max="11526" width="12.7109375" style="1" customWidth="1"/>
    <col min="11527" max="11527" width="3.5703125" style="1" customWidth="1"/>
    <col min="11528" max="11528" width="31.7109375" style="1" customWidth="1"/>
    <col min="11529" max="11769" width="11.42578125" style="1"/>
    <col min="11770" max="11770" width="22.140625" style="1" customWidth="1"/>
    <col min="11771" max="11771" width="27.140625" style="1" bestFit="1" customWidth="1"/>
    <col min="11772" max="11773" width="0" style="1" hidden="1" customWidth="1"/>
    <col min="11774" max="11774" width="11.42578125" style="1"/>
    <col min="11775" max="11775" width="0.28515625" style="1" customWidth="1"/>
    <col min="11776" max="11776" width="15.140625" style="1" customWidth="1"/>
    <col min="11777" max="11777" width="3.140625" style="1" customWidth="1"/>
    <col min="11778" max="11778" width="17.85546875" style="1" bestFit="1" customWidth="1"/>
    <col min="11779" max="11779" width="4.5703125" style="1" customWidth="1"/>
    <col min="11780" max="11780" width="14.42578125" style="1" customWidth="1"/>
    <col min="11781" max="11781" width="4" style="1" customWidth="1"/>
    <col min="11782" max="11782" width="12.7109375" style="1" customWidth="1"/>
    <col min="11783" max="11783" width="3.5703125" style="1" customWidth="1"/>
    <col min="11784" max="11784" width="31.7109375" style="1" customWidth="1"/>
    <col min="11785" max="12025" width="11.42578125" style="1"/>
    <col min="12026" max="12026" width="22.140625" style="1" customWidth="1"/>
    <col min="12027" max="12027" width="27.140625" style="1" bestFit="1" customWidth="1"/>
    <col min="12028" max="12029" width="0" style="1" hidden="1" customWidth="1"/>
    <col min="12030" max="12030" width="11.42578125" style="1"/>
    <col min="12031" max="12031" width="0.28515625" style="1" customWidth="1"/>
    <col min="12032" max="12032" width="15.140625" style="1" customWidth="1"/>
    <col min="12033" max="12033" width="3.140625" style="1" customWidth="1"/>
    <col min="12034" max="12034" width="17.85546875" style="1" bestFit="1" customWidth="1"/>
    <col min="12035" max="12035" width="4.5703125" style="1" customWidth="1"/>
    <col min="12036" max="12036" width="14.42578125" style="1" customWidth="1"/>
    <col min="12037" max="12037" width="4" style="1" customWidth="1"/>
    <col min="12038" max="12038" width="12.7109375" style="1" customWidth="1"/>
    <col min="12039" max="12039" width="3.5703125" style="1" customWidth="1"/>
    <col min="12040" max="12040" width="31.7109375" style="1" customWidth="1"/>
    <col min="12041" max="12281" width="11.42578125" style="1"/>
    <col min="12282" max="12282" width="22.140625" style="1" customWidth="1"/>
    <col min="12283" max="12283" width="27.140625" style="1" bestFit="1" customWidth="1"/>
    <col min="12284" max="12285" width="0" style="1" hidden="1" customWidth="1"/>
    <col min="12286" max="12286" width="11.42578125" style="1"/>
    <col min="12287" max="12287" width="0.28515625" style="1" customWidth="1"/>
    <col min="12288" max="12288" width="15.140625" style="1" customWidth="1"/>
    <col min="12289" max="12289" width="3.140625" style="1" customWidth="1"/>
    <col min="12290" max="12290" width="17.85546875" style="1" bestFit="1" customWidth="1"/>
    <col min="12291" max="12291" width="4.5703125" style="1" customWidth="1"/>
    <col min="12292" max="12292" width="14.42578125" style="1" customWidth="1"/>
    <col min="12293" max="12293" width="4" style="1" customWidth="1"/>
    <col min="12294" max="12294" width="12.7109375" style="1" customWidth="1"/>
    <col min="12295" max="12295" width="3.5703125" style="1" customWidth="1"/>
    <col min="12296" max="12296" width="31.7109375" style="1" customWidth="1"/>
    <col min="12297" max="12537" width="11.42578125" style="1"/>
    <col min="12538" max="12538" width="22.140625" style="1" customWidth="1"/>
    <col min="12539" max="12539" width="27.140625" style="1" bestFit="1" customWidth="1"/>
    <col min="12540" max="12541" width="0" style="1" hidden="1" customWidth="1"/>
    <col min="12542" max="12542" width="11.42578125" style="1"/>
    <col min="12543" max="12543" width="0.28515625" style="1" customWidth="1"/>
    <col min="12544" max="12544" width="15.140625" style="1" customWidth="1"/>
    <col min="12545" max="12545" width="3.140625" style="1" customWidth="1"/>
    <col min="12546" max="12546" width="17.85546875" style="1" bestFit="1" customWidth="1"/>
    <col min="12547" max="12547" width="4.5703125" style="1" customWidth="1"/>
    <col min="12548" max="12548" width="14.42578125" style="1" customWidth="1"/>
    <col min="12549" max="12549" width="4" style="1" customWidth="1"/>
    <col min="12550" max="12550" width="12.7109375" style="1" customWidth="1"/>
    <col min="12551" max="12551" width="3.5703125" style="1" customWidth="1"/>
    <col min="12552" max="12552" width="31.7109375" style="1" customWidth="1"/>
    <col min="12553" max="12793" width="11.42578125" style="1"/>
    <col min="12794" max="12794" width="22.140625" style="1" customWidth="1"/>
    <col min="12795" max="12795" width="27.140625" style="1" bestFit="1" customWidth="1"/>
    <col min="12796" max="12797" width="0" style="1" hidden="1" customWidth="1"/>
    <col min="12798" max="12798" width="11.42578125" style="1"/>
    <col min="12799" max="12799" width="0.28515625" style="1" customWidth="1"/>
    <col min="12800" max="12800" width="15.140625" style="1" customWidth="1"/>
    <col min="12801" max="12801" width="3.140625" style="1" customWidth="1"/>
    <col min="12802" max="12802" width="17.85546875" style="1" bestFit="1" customWidth="1"/>
    <col min="12803" max="12803" width="4.5703125" style="1" customWidth="1"/>
    <col min="12804" max="12804" width="14.42578125" style="1" customWidth="1"/>
    <col min="12805" max="12805" width="4" style="1" customWidth="1"/>
    <col min="12806" max="12806" width="12.7109375" style="1" customWidth="1"/>
    <col min="12807" max="12807" width="3.5703125" style="1" customWidth="1"/>
    <col min="12808" max="12808" width="31.7109375" style="1" customWidth="1"/>
    <col min="12809" max="13049" width="11.42578125" style="1"/>
    <col min="13050" max="13050" width="22.140625" style="1" customWidth="1"/>
    <col min="13051" max="13051" width="27.140625" style="1" bestFit="1" customWidth="1"/>
    <col min="13052" max="13053" width="0" style="1" hidden="1" customWidth="1"/>
    <col min="13054" max="13054" width="11.42578125" style="1"/>
    <col min="13055" max="13055" width="0.28515625" style="1" customWidth="1"/>
    <col min="13056" max="13056" width="15.140625" style="1" customWidth="1"/>
    <col min="13057" max="13057" width="3.140625" style="1" customWidth="1"/>
    <col min="13058" max="13058" width="17.85546875" style="1" bestFit="1" customWidth="1"/>
    <col min="13059" max="13059" width="4.5703125" style="1" customWidth="1"/>
    <col min="13060" max="13060" width="14.42578125" style="1" customWidth="1"/>
    <col min="13061" max="13061" width="4" style="1" customWidth="1"/>
    <col min="13062" max="13062" width="12.7109375" style="1" customWidth="1"/>
    <col min="13063" max="13063" width="3.5703125" style="1" customWidth="1"/>
    <col min="13064" max="13064" width="31.7109375" style="1" customWidth="1"/>
    <col min="13065" max="13305" width="11.42578125" style="1"/>
    <col min="13306" max="13306" width="22.140625" style="1" customWidth="1"/>
    <col min="13307" max="13307" width="27.140625" style="1" bestFit="1" customWidth="1"/>
    <col min="13308" max="13309" width="0" style="1" hidden="1" customWidth="1"/>
    <col min="13310" max="13310" width="11.42578125" style="1"/>
    <col min="13311" max="13311" width="0.28515625" style="1" customWidth="1"/>
    <col min="13312" max="13312" width="15.140625" style="1" customWidth="1"/>
    <col min="13313" max="13313" width="3.140625" style="1" customWidth="1"/>
    <col min="13314" max="13314" width="17.85546875" style="1" bestFit="1" customWidth="1"/>
    <col min="13315" max="13315" width="4.5703125" style="1" customWidth="1"/>
    <col min="13316" max="13316" width="14.42578125" style="1" customWidth="1"/>
    <col min="13317" max="13317" width="4" style="1" customWidth="1"/>
    <col min="13318" max="13318" width="12.7109375" style="1" customWidth="1"/>
    <col min="13319" max="13319" width="3.5703125" style="1" customWidth="1"/>
    <col min="13320" max="13320" width="31.7109375" style="1" customWidth="1"/>
    <col min="13321" max="13561" width="11.42578125" style="1"/>
    <col min="13562" max="13562" width="22.140625" style="1" customWidth="1"/>
    <col min="13563" max="13563" width="27.140625" style="1" bestFit="1" customWidth="1"/>
    <col min="13564" max="13565" width="0" style="1" hidden="1" customWidth="1"/>
    <col min="13566" max="13566" width="11.42578125" style="1"/>
    <col min="13567" max="13567" width="0.28515625" style="1" customWidth="1"/>
    <col min="13568" max="13568" width="15.140625" style="1" customWidth="1"/>
    <col min="13569" max="13569" width="3.140625" style="1" customWidth="1"/>
    <col min="13570" max="13570" width="17.85546875" style="1" bestFit="1" customWidth="1"/>
    <col min="13571" max="13571" width="4.5703125" style="1" customWidth="1"/>
    <col min="13572" max="13572" width="14.42578125" style="1" customWidth="1"/>
    <col min="13573" max="13573" width="4" style="1" customWidth="1"/>
    <col min="13574" max="13574" width="12.7109375" style="1" customWidth="1"/>
    <col min="13575" max="13575" width="3.5703125" style="1" customWidth="1"/>
    <col min="13576" max="13576" width="31.7109375" style="1" customWidth="1"/>
    <col min="13577" max="13817" width="11.42578125" style="1"/>
    <col min="13818" max="13818" width="22.140625" style="1" customWidth="1"/>
    <col min="13819" max="13819" width="27.140625" style="1" bestFit="1" customWidth="1"/>
    <col min="13820" max="13821" width="0" style="1" hidden="1" customWidth="1"/>
    <col min="13822" max="13822" width="11.42578125" style="1"/>
    <col min="13823" max="13823" width="0.28515625" style="1" customWidth="1"/>
    <col min="13824" max="13824" width="15.140625" style="1" customWidth="1"/>
    <col min="13825" max="13825" width="3.140625" style="1" customWidth="1"/>
    <col min="13826" max="13826" width="17.85546875" style="1" bestFit="1" customWidth="1"/>
    <col min="13827" max="13827" width="4.5703125" style="1" customWidth="1"/>
    <col min="13828" max="13828" width="14.42578125" style="1" customWidth="1"/>
    <col min="13829" max="13829" width="4" style="1" customWidth="1"/>
    <col min="13830" max="13830" width="12.7109375" style="1" customWidth="1"/>
    <col min="13831" max="13831" width="3.5703125" style="1" customWidth="1"/>
    <col min="13832" max="13832" width="31.7109375" style="1" customWidth="1"/>
    <col min="13833" max="14073" width="11.42578125" style="1"/>
    <col min="14074" max="14074" width="22.140625" style="1" customWidth="1"/>
    <col min="14075" max="14075" width="27.140625" style="1" bestFit="1" customWidth="1"/>
    <col min="14076" max="14077" width="0" style="1" hidden="1" customWidth="1"/>
    <col min="14078" max="14078" width="11.42578125" style="1"/>
    <col min="14079" max="14079" width="0.28515625" style="1" customWidth="1"/>
    <col min="14080" max="14080" width="15.140625" style="1" customWidth="1"/>
    <col min="14081" max="14081" width="3.140625" style="1" customWidth="1"/>
    <col min="14082" max="14082" width="17.85546875" style="1" bestFit="1" customWidth="1"/>
    <col min="14083" max="14083" width="4.5703125" style="1" customWidth="1"/>
    <col min="14084" max="14084" width="14.42578125" style="1" customWidth="1"/>
    <col min="14085" max="14085" width="4" style="1" customWidth="1"/>
    <col min="14086" max="14086" width="12.7109375" style="1" customWidth="1"/>
    <col min="14087" max="14087" width="3.5703125" style="1" customWidth="1"/>
    <col min="14088" max="14088" width="31.7109375" style="1" customWidth="1"/>
    <col min="14089" max="14329" width="11.42578125" style="1"/>
    <col min="14330" max="14330" width="22.140625" style="1" customWidth="1"/>
    <col min="14331" max="14331" width="27.140625" style="1" bestFit="1" customWidth="1"/>
    <col min="14332" max="14333" width="0" style="1" hidden="1" customWidth="1"/>
    <col min="14334" max="14334" width="11.42578125" style="1"/>
    <col min="14335" max="14335" width="0.28515625" style="1" customWidth="1"/>
    <col min="14336" max="14336" width="15.140625" style="1" customWidth="1"/>
    <col min="14337" max="14337" width="3.140625" style="1" customWidth="1"/>
    <col min="14338" max="14338" width="17.85546875" style="1" bestFit="1" customWidth="1"/>
    <col min="14339" max="14339" width="4.5703125" style="1" customWidth="1"/>
    <col min="14340" max="14340" width="14.42578125" style="1" customWidth="1"/>
    <col min="14341" max="14341" width="4" style="1" customWidth="1"/>
    <col min="14342" max="14342" width="12.7109375" style="1" customWidth="1"/>
    <col min="14343" max="14343" width="3.5703125" style="1" customWidth="1"/>
    <col min="14344" max="14344" width="31.7109375" style="1" customWidth="1"/>
    <col min="14345" max="14585" width="11.42578125" style="1"/>
    <col min="14586" max="14586" width="22.140625" style="1" customWidth="1"/>
    <col min="14587" max="14587" width="27.140625" style="1" bestFit="1" customWidth="1"/>
    <col min="14588" max="14589" width="0" style="1" hidden="1" customWidth="1"/>
    <col min="14590" max="14590" width="11.42578125" style="1"/>
    <col min="14591" max="14591" width="0.28515625" style="1" customWidth="1"/>
    <col min="14592" max="14592" width="15.140625" style="1" customWidth="1"/>
    <col min="14593" max="14593" width="3.140625" style="1" customWidth="1"/>
    <col min="14594" max="14594" width="17.85546875" style="1" bestFit="1" customWidth="1"/>
    <col min="14595" max="14595" width="4.5703125" style="1" customWidth="1"/>
    <col min="14596" max="14596" width="14.42578125" style="1" customWidth="1"/>
    <col min="14597" max="14597" width="4" style="1" customWidth="1"/>
    <col min="14598" max="14598" width="12.7109375" style="1" customWidth="1"/>
    <col min="14599" max="14599" width="3.5703125" style="1" customWidth="1"/>
    <col min="14600" max="14600" width="31.7109375" style="1" customWidth="1"/>
    <col min="14601" max="14841" width="11.42578125" style="1"/>
    <col min="14842" max="14842" width="22.140625" style="1" customWidth="1"/>
    <col min="14843" max="14843" width="27.140625" style="1" bestFit="1" customWidth="1"/>
    <col min="14844" max="14845" width="0" style="1" hidden="1" customWidth="1"/>
    <col min="14846" max="14846" width="11.42578125" style="1"/>
    <col min="14847" max="14847" width="0.28515625" style="1" customWidth="1"/>
    <col min="14848" max="14848" width="15.140625" style="1" customWidth="1"/>
    <col min="14849" max="14849" width="3.140625" style="1" customWidth="1"/>
    <col min="14850" max="14850" width="17.85546875" style="1" bestFit="1" customWidth="1"/>
    <col min="14851" max="14851" width="4.5703125" style="1" customWidth="1"/>
    <col min="14852" max="14852" width="14.42578125" style="1" customWidth="1"/>
    <col min="14853" max="14853" width="4" style="1" customWidth="1"/>
    <col min="14854" max="14854" width="12.7109375" style="1" customWidth="1"/>
    <col min="14855" max="14855" width="3.5703125" style="1" customWidth="1"/>
    <col min="14856" max="14856" width="31.7109375" style="1" customWidth="1"/>
    <col min="14857" max="15097" width="11.42578125" style="1"/>
    <col min="15098" max="15098" width="22.140625" style="1" customWidth="1"/>
    <col min="15099" max="15099" width="27.140625" style="1" bestFit="1" customWidth="1"/>
    <col min="15100" max="15101" width="0" style="1" hidden="1" customWidth="1"/>
    <col min="15102" max="15102" width="11.42578125" style="1"/>
    <col min="15103" max="15103" width="0.28515625" style="1" customWidth="1"/>
    <col min="15104" max="15104" width="15.140625" style="1" customWidth="1"/>
    <col min="15105" max="15105" width="3.140625" style="1" customWidth="1"/>
    <col min="15106" max="15106" width="17.85546875" style="1" bestFit="1" customWidth="1"/>
    <col min="15107" max="15107" width="4.5703125" style="1" customWidth="1"/>
    <col min="15108" max="15108" width="14.42578125" style="1" customWidth="1"/>
    <col min="15109" max="15109" width="4" style="1" customWidth="1"/>
    <col min="15110" max="15110" width="12.7109375" style="1" customWidth="1"/>
    <col min="15111" max="15111" width="3.5703125" style="1" customWidth="1"/>
    <col min="15112" max="15112" width="31.7109375" style="1" customWidth="1"/>
    <col min="15113" max="15353" width="11.42578125" style="1"/>
    <col min="15354" max="15354" width="22.140625" style="1" customWidth="1"/>
    <col min="15355" max="15355" width="27.140625" style="1" bestFit="1" customWidth="1"/>
    <col min="15356" max="15357" width="0" style="1" hidden="1" customWidth="1"/>
    <col min="15358" max="15358" width="11.42578125" style="1"/>
    <col min="15359" max="15359" width="0.28515625" style="1" customWidth="1"/>
    <col min="15360" max="15360" width="15.140625" style="1" customWidth="1"/>
    <col min="15361" max="15361" width="3.140625" style="1" customWidth="1"/>
    <col min="15362" max="15362" width="17.85546875" style="1" bestFit="1" customWidth="1"/>
    <col min="15363" max="15363" width="4.5703125" style="1" customWidth="1"/>
    <col min="15364" max="15364" width="14.42578125" style="1" customWidth="1"/>
    <col min="15365" max="15365" width="4" style="1" customWidth="1"/>
    <col min="15366" max="15366" width="12.7109375" style="1" customWidth="1"/>
    <col min="15367" max="15367" width="3.5703125" style="1" customWidth="1"/>
    <col min="15368" max="15368" width="31.7109375" style="1" customWidth="1"/>
    <col min="15369" max="15609" width="11.42578125" style="1"/>
    <col min="15610" max="15610" width="22.140625" style="1" customWidth="1"/>
    <col min="15611" max="15611" width="27.140625" style="1" bestFit="1" customWidth="1"/>
    <col min="15612" max="15613" width="0" style="1" hidden="1" customWidth="1"/>
    <col min="15614" max="15614" width="11.42578125" style="1"/>
    <col min="15615" max="15615" width="0.28515625" style="1" customWidth="1"/>
    <col min="15616" max="15616" width="15.140625" style="1" customWidth="1"/>
    <col min="15617" max="15617" width="3.140625" style="1" customWidth="1"/>
    <col min="15618" max="15618" width="17.85546875" style="1" bestFit="1" customWidth="1"/>
    <col min="15619" max="15619" width="4.5703125" style="1" customWidth="1"/>
    <col min="15620" max="15620" width="14.42578125" style="1" customWidth="1"/>
    <col min="15621" max="15621" width="4" style="1" customWidth="1"/>
    <col min="15622" max="15622" width="12.7109375" style="1" customWidth="1"/>
    <col min="15623" max="15623" width="3.5703125" style="1" customWidth="1"/>
    <col min="15624" max="15624" width="31.7109375" style="1" customWidth="1"/>
    <col min="15625" max="15865" width="11.42578125" style="1"/>
    <col min="15866" max="15866" width="22.140625" style="1" customWidth="1"/>
    <col min="15867" max="15867" width="27.140625" style="1" bestFit="1" customWidth="1"/>
    <col min="15868" max="15869" width="0" style="1" hidden="1" customWidth="1"/>
    <col min="15870" max="15870" width="11.42578125" style="1"/>
    <col min="15871" max="15871" width="0.28515625" style="1" customWidth="1"/>
    <col min="15872" max="15872" width="15.140625" style="1" customWidth="1"/>
    <col min="15873" max="15873" width="3.140625" style="1" customWidth="1"/>
    <col min="15874" max="15874" width="17.85546875" style="1" bestFit="1" customWidth="1"/>
    <col min="15875" max="15875" width="4.5703125" style="1" customWidth="1"/>
    <col min="15876" max="15876" width="14.42578125" style="1" customWidth="1"/>
    <col min="15877" max="15877" width="4" style="1" customWidth="1"/>
    <col min="15878" max="15878" width="12.7109375" style="1" customWidth="1"/>
    <col min="15879" max="15879" width="3.5703125" style="1" customWidth="1"/>
    <col min="15880" max="15880" width="31.7109375" style="1" customWidth="1"/>
    <col min="15881" max="16121" width="11.42578125" style="1"/>
    <col min="16122" max="16122" width="22.140625" style="1" customWidth="1"/>
    <col min="16123" max="16123" width="27.140625" style="1" bestFit="1" customWidth="1"/>
    <col min="16124" max="16125" width="0" style="1" hidden="1" customWidth="1"/>
    <col min="16126" max="16126" width="11.42578125" style="1"/>
    <col min="16127" max="16127" width="0.28515625" style="1" customWidth="1"/>
    <col min="16128" max="16128" width="15.140625" style="1" customWidth="1"/>
    <col min="16129" max="16129" width="3.140625" style="1" customWidth="1"/>
    <col min="16130" max="16130" width="17.85546875" style="1" bestFit="1" customWidth="1"/>
    <col min="16131" max="16131" width="4.5703125" style="1" customWidth="1"/>
    <col min="16132" max="16132" width="14.42578125" style="1" customWidth="1"/>
    <col min="16133" max="16133" width="4" style="1" customWidth="1"/>
    <col min="16134" max="16134" width="12.7109375" style="1" customWidth="1"/>
    <col min="16135" max="16135" width="3.5703125" style="1" customWidth="1"/>
    <col min="16136" max="16136" width="31.7109375" style="1" customWidth="1"/>
    <col min="16137" max="16384" width="11.42578125" style="1"/>
  </cols>
  <sheetData>
    <row r="1" spans="1:7" customFormat="1" ht="18.75" x14ac:dyDescent="0.3">
      <c r="A1" s="136" t="s">
        <v>8</v>
      </c>
      <c r="B1" s="136"/>
      <c r="C1" s="136"/>
      <c r="D1" s="136"/>
      <c r="E1" s="136"/>
    </row>
    <row r="2" spans="1:7" customFormat="1" ht="18.75" x14ac:dyDescent="0.3">
      <c r="A2" s="136"/>
      <c r="B2" s="136"/>
      <c r="C2" s="136"/>
      <c r="D2" s="136"/>
      <c r="E2" s="136"/>
      <c r="F2" s="136"/>
    </row>
    <row r="3" spans="1:7" customFormat="1" ht="18.75" x14ac:dyDescent="0.3">
      <c r="A3" s="136"/>
      <c r="B3" s="136"/>
      <c r="C3" s="136"/>
      <c r="D3" s="136"/>
      <c r="E3" s="136"/>
      <c r="F3" s="136"/>
    </row>
    <row r="4" spans="1:7" x14ac:dyDescent="0.25">
      <c r="A4" s="6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6</v>
      </c>
      <c r="G4"/>
    </row>
    <row r="5" spans="1:7" x14ac:dyDescent="0.25">
      <c r="A5" s="7" t="s">
        <v>9</v>
      </c>
      <c r="B5" s="1">
        <v>1</v>
      </c>
      <c r="E5" s="1">
        <f>350+98+174+61.5+100</f>
        <v>783.5</v>
      </c>
      <c r="F5" s="1">
        <f>+B5*E5</f>
        <v>783.5</v>
      </c>
    </row>
    <row r="6" spans="1:7" x14ac:dyDescent="0.25">
      <c r="A6" s="7" t="s">
        <v>10</v>
      </c>
      <c r="B6" s="1">
        <v>1</v>
      </c>
      <c r="E6" s="1">
        <v>300</v>
      </c>
      <c r="F6" s="1">
        <f t="shared" ref="F6" si="0">+B6*E6</f>
        <v>300</v>
      </c>
    </row>
    <row r="7" spans="1:7" x14ac:dyDescent="0.25">
      <c r="A7" s="5"/>
      <c r="B7" s="8"/>
      <c r="E7" s="8"/>
    </row>
    <row r="8" spans="1:7" x14ac:dyDescent="0.25">
      <c r="A8" s="5"/>
      <c r="B8" s="8"/>
      <c r="E8" s="8"/>
    </row>
    <row r="9" spans="1:7" x14ac:dyDescent="0.25">
      <c r="A9" s="5"/>
      <c r="B9" s="8"/>
      <c r="E9" s="8"/>
      <c r="F9" s="8"/>
    </row>
    <row r="10" spans="1:7" x14ac:dyDescent="0.25">
      <c r="A10" s="5"/>
      <c r="B10" s="8"/>
      <c r="E10" s="8"/>
      <c r="F10" s="8"/>
    </row>
    <row r="11" spans="1:7" x14ac:dyDescent="0.25">
      <c r="E11" s="9" t="s">
        <v>1</v>
      </c>
      <c r="F11" s="10">
        <f>SUM(F5:F10)</f>
        <v>1083.5</v>
      </c>
    </row>
    <row r="12" spans="1:7" x14ac:dyDescent="0.25">
      <c r="E12" s="9" t="s">
        <v>2</v>
      </c>
      <c r="F12" s="10">
        <f>+F11*0.16</f>
        <v>173.36</v>
      </c>
    </row>
    <row r="13" spans="1:7" x14ac:dyDescent="0.25">
      <c r="E13" s="9" t="s">
        <v>0</v>
      </c>
      <c r="F13" s="10">
        <f>+F11+F12</f>
        <v>1256.8600000000001</v>
      </c>
    </row>
  </sheetData>
  <mergeCells count="3">
    <mergeCell ref="A1:E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E6" sqref="E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26" sqref="D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2"/>
  <sheetViews>
    <sheetView workbookViewId="0">
      <selection activeCell="H5" sqref="H5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51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0"/>
  <sheetViews>
    <sheetView workbookViewId="0">
      <selection activeCell="A23" sqref="A23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+CAPITALTAA!C14</f>
        <v>#REF!</v>
      </c>
      <c r="F5" s="51" t="e">
        <f>+CAPITALTAA!C15</f>
        <v>#REF!</v>
      </c>
      <c r="G5" s="51" t="e">
        <f>+CAPITALTAA!C16</f>
        <v>#REF!</v>
      </c>
      <c r="H5" s="51" t="e">
        <f>+CAPITALTAA!C17</f>
        <v>#REF!</v>
      </c>
      <c r="I5" s="51" t="e">
        <f>+CAPITALTAA!C18</f>
        <v>#REF!</v>
      </c>
      <c r="J5" s="51" t="e">
        <f>+CAPITALTAA!C19</f>
        <v>#REF!</v>
      </c>
      <c r="K5" s="3" t="e">
        <f>+CAPITALTAA!C20</f>
        <v>#REF!</v>
      </c>
      <c r="L5" s="3" t="e">
        <f>+CAPITALTAA!C21</f>
        <v>#REF!</v>
      </c>
      <c r="M5" s="3" t="e">
        <f>+CAPITALTAA!C22</f>
        <v>#REF!</v>
      </c>
      <c r="N5" s="3" t="e">
        <f>+CAPITALTAA!C23</f>
        <v>#REF!</v>
      </c>
      <c r="O5" s="3" t="e">
        <f>+CAPITALTAA!C24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 t="shared" si="0"/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C1" workbookViewId="0">
      <selection activeCell="E26" sqref="E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S148"/>
  <sheetViews>
    <sheetView workbookViewId="0">
      <selection activeCell="C11" sqref="C11"/>
    </sheetView>
  </sheetViews>
  <sheetFormatPr baseColWidth="10" defaultRowHeight="15.75" x14ac:dyDescent="0.25"/>
  <cols>
    <col min="1" max="1" width="13.140625" style="22" bestFit="1" customWidth="1"/>
    <col min="2" max="2" width="29.140625" style="22" customWidth="1"/>
    <col min="3" max="3" width="23.42578125" style="57" bestFit="1" customWidth="1"/>
    <col min="4" max="4" width="2.7109375" style="57" customWidth="1"/>
    <col min="5" max="5" width="19.85546875" style="22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7109375" style="62" customWidth="1"/>
    <col min="12" max="12" width="2.7109375" style="62" customWidth="1"/>
    <col min="13" max="13" width="15.7109375" style="62" customWidth="1"/>
    <col min="14" max="14" width="2.7109375" style="62" customWidth="1"/>
    <col min="15" max="15" width="15.85546875" style="22" bestFit="1" customWidth="1"/>
    <col min="16" max="16" width="2.7109375" style="62" customWidth="1"/>
    <col min="17" max="17" width="15.140625" style="22" hidden="1" customWidth="1"/>
    <col min="18" max="16384" width="11.42578125" style="22"/>
  </cols>
  <sheetData>
    <row r="2" spans="1:16" x14ac:dyDescent="0.25">
      <c r="A2" s="140" t="s">
        <v>34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s="57" customFormat="1" x14ac:dyDescent="0.25">
      <c r="A3" s="88"/>
      <c r="B3" s="124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s="57" customFormat="1" x14ac:dyDescent="0.25">
      <c r="A4" s="88"/>
      <c r="B4" s="132" t="s">
        <v>116</v>
      </c>
      <c r="C4" s="158"/>
      <c r="D4" s="159"/>
      <c r="E4" s="159"/>
      <c r="F4" s="159"/>
      <c r="G4" s="160"/>
      <c r="H4" s="104"/>
      <c r="I4" s="104"/>
      <c r="J4" s="17"/>
      <c r="K4" s="17"/>
      <c r="L4" s="17"/>
      <c r="M4" s="17"/>
      <c r="N4" s="17"/>
      <c r="O4" s="88"/>
      <c r="P4" s="88"/>
    </row>
    <row r="5" spans="1:16" ht="16.5" thickBot="1" x14ac:dyDescent="0.3">
      <c r="B5" s="152" t="s">
        <v>94</v>
      </c>
      <c r="C5" s="153"/>
      <c r="D5" s="84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6" x14ac:dyDescent="0.25">
      <c r="B6" s="83"/>
      <c r="C6" s="83"/>
      <c r="D6" s="83"/>
      <c r="E6" s="103"/>
      <c r="F6" s="150"/>
      <c r="G6" s="150"/>
      <c r="H6" s="17"/>
      <c r="I6" s="17"/>
      <c r="J6" s="17"/>
      <c r="K6" s="17"/>
      <c r="L6" s="17"/>
      <c r="M6" s="17"/>
      <c r="N6" s="17"/>
    </row>
    <row r="7" spans="1:16" x14ac:dyDescent="0.25">
      <c r="B7" s="89" t="s">
        <v>78</v>
      </c>
      <c r="C7" s="89" t="s">
        <v>72</v>
      </c>
      <c r="E7" s="103"/>
      <c r="F7" s="150"/>
      <c r="G7" s="150"/>
    </row>
    <row r="8" spans="1:16" x14ac:dyDescent="0.25">
      <c r="B8" s="89" t="s">
        <v>79</v>
      </c>
      <c r="C8" s="89" t="s">
        <v>74</v>
      </c>
      <c r="E8" s="103"/>
      <c r="F8" s="154"/>
      <c r="G8" s="154"/>
    </row>
    <row r="9" spans="1:16" x14ac:dyDescent="0.25">
      <c r="B9" s="89" t="s">
        <v>87</v>
      </c>
      <c r="C9" s="89" t="s">
        <v>88</v>
      </c>
      <c r="E9" s="62"/>
      <c r="G9" s="62"/>
    </row>
    <row r="10" spans="1:16" x14ac:dyDescent="0.25">
      <c r="B10" s="89" t="s">
        <v>115</v>
      </c>
      <c r="C10" s="127">
        <f>+$C$11*12</f>
        <v>0.41759999999999997</v>
      </c>
      <c r="E10" s="62"/>
      <c r="G10" s="62"/>
    </row>
    <row r="11" spans="1:16" x14ac:dyDescent="0.25">
      <c r="B11" s="89" t="s">
        <v>51</v>
      </c>
      <c r="C11" s="131">
        <v>3.4799999999999998E-2</v>
      </c>
      <c r="E11" s="103"/>
      <c r="F11" s="155"/>
      <c r="G11" s="150"/>
    </row>
    <row r="12" spans="1:16" x14ac:dyDescent="0.25">
      <c r="B12" s="89" t="s">
        <v>23</v>
      </c>
      <c r="C12" s="101">
        <v>8</v>
      </c>
      <c r="E12" s="103"/>
      <c r="F12" s="156"/>
      <c r="G12" s="150"/>
    </row>
    <row r="13" spans="1:16" x14ac:dyDescent="0.25">
      <c r="B13" s="106" t="s">
        <v>93</v>
      </c>
      <c r="C13" s="107">
        <v>3000</v>
      </c>
      <c r="E13" s="103"/>
      <c r="F13" s="121"/>
      <c r="G13" s="135"/>
    </row>
    <row r="14" spans="1:16" x14ac:dyDescent="0.25">
      <c r="B14" s="89" t="s">
        <v>92</v>
      </c>
      <c r="C14" s="100">
        <f>IF(C16="SI",C13+(C13*C15),C13)</f>
        <v>3000</v>
      </c>
      <c r="E14" s="103"/>
      <c r="F14" s="156"/>
      <c r="G14" s="150"/>
    </row>
    <row r="15" spans="1:16" x14ac:dyDescent="0.25">
      <c r="B15" s="89" t="s">
        <v>53</v>
      </c>
      <c r="C15" s="90">
        <v>0.03</v>
      </c>
      <c r="E15" s="103"/>
      <c r="F15" s="156"/>
      <c r="G15" s="157"/>
    </row>
    <row r="16" spans="1:16" x14ac:dyDescent="0.25">
      <c r="B16" s="89" t="s">
        <v>95</v>
      </c>
      <c r="C16" s="90" t="s">
        <v>97</v>
      </c>
      <c r="E16" s="103"/>
      <c r="F16" s="150"/>
      <c r="G16" s="150"/>
    </row>
    <row r="17" spans="2:16" x14ac:dyDescent="0.25">
      <c r="B17" s="89" t="s">
        <v>99</v>
      </c>
      <c r="C17" s="101">
        <v>0</v>
      </c>
      <c r="E17" s="103"/>
      <c r="F17" s="151"/>
      <c r="G17" s="151"/>
    </row>
    <row r="18" spans="2:16" x14ac:dyDescent="0.25">
      <c r="B18" s="89" t="s">
        <v>113</v>
      </c>
      <c r="C18" s="100">
        <f>+C13*C15</f>
        <v>90</v>
      </c>
      <c r="E18" s="103"/>
      <c r="F18" s="151"/>
      <c r="G18" s="151"/>
      <c r="H18" s="22"/>
      <c r="J18" s="22"/>
      <c r="K18" s="22"/>
      <c r="L18" s="22"/>
      <c r="M18" s="22"/>
      <c r="N18" s="22"/>
    </row>
    <row r="19" spans="2:16" x14ac:dyDescent="0.25">
      <c r="E19" s="103"/>
      <c r="F19" s="150"/>
      <c r="G19" s="150"/>
      <c r="H19" s="22"/>
      <c r="J19" s="22"/>
      <c r="K19" s="22"/>
      <c r="L19" s="22"/>
      <c r="M19" s="22"/>
      <c r="N19" s="22"/>
    </row>
    <row r="20" spans="2:16" x14ac:dyDescent="0.25">
      <c r="E20" s="103"/>
      <c r="F20" s="150"/>
      <c r="G20" s="150"/>
      <c r="H20" s="22"/>
      <c r="J20" s="22"/>
      <c r="K20" s="22"/>
      <c r="L20" s="22"/>
      <c r="M20" s="22"/>
      <c r="N20" s="22"/>
    </row>
    <row r="21" spans="2:16" x14ac:dyDescent="0.25">
      <c r="E21" s="103"/>
      <c r="F21" s="150"/>
      <c r="G21" s="150"/>
      <c r="H21" s="22"/>
      <c r="J21" s="22"/>
      <c r="K21" s="22"/>
      <c r="L21" s="22"/>
      <c r="M21" s="22"/>
      <c r="N21" s="22"/>
    </row>
    <row r="22" spans="2:16" x14ac:dyDescent="0.25">
      <c r="B22" s="17"/>
      <c r="C22" s="17"/>
      <c r="D22" s="17"/>
      <c r="E22" s="17"/>
      <c r="F22" s="17"/>
      <c r="G22" s="17"/>
      <c r="H22" s="17"/>
      <c r="I22" s="73"/>
      <c r="J22" s="17"/>
      <c r="K22" s="17"/>
      <c r="L22" s="17"/>
      <c r="M22" s="17"/>
      <c r="N22" s="17"/>
      <c r="O22" s="17"/>
      <c r="P22" s="17"/>
    </row>
    <row r="23" spans="2:16" x14ac:dyDescent="0.25">
      <c r="B23" s="17"/>
      <c r="C23" s="17"/>
      <c r="D23" s="17"/>
      <c r="E23" s="17"/>
      <c r="F23" s="17"/>
      <c r="G23" s="17"/>
      <c r="H23" s="17"/>
      <c r="I23" s="73"/>
      <c r="J23" s="17"/>
      <c r="K23" s="17"/>
      <c r="L23" s="17"/>
      <c r="M23" s="17"/>
      <c r="N23" s="17"/>
      <c r="O23" s="17"/>
      <c r="P23" s="17"/>
    </row>
    <row r="24" spans="2:16" x14ac:dyDescent="0.25">
      <c r="B24" s="45" t="s">
        <v>60</v>
      </c>
      <c r="C24" s="45" t="s">
        <v>61</v>
      </c>
      <c r="D24" s="45"/>
      <c r="E24" s="45" t="s">
        <v>30</v>
      </c>
      <c r="G24" s="45" t="s">
        <v>21</v>
      </c>
      <c r="I24" s="45" t="s">
        <v>32</v>
      </c>
      <c r="K24" s="45" t="s">
        <v>111</v>
      </c>
      <c r="M24" s="45" t="s">
        <v>2</v>
      </c>
      <c r="O24" s="46" t="s">
        <v>112</v>
      </c>
    </row>
    <row r="25" spans="2:16" x14ac:dyDescent="0.25">
      <c r="B25" s="47"/>
      <c r="C25" s="47">
        <v>0</v>
      </c>
      <c r="D25" s="47"/>
      <c r="E25" s="48">
        <v>0</v>
      </c>
      <c r="G25" s="47"/>
      <c r="I25" s="48"/>
      <c r="K25" s="48"/>
      <c r="M25" s="48"/>
      <c r="O25" s="122">
        <f>+I25*0.16</f>
        <v>0</v>
      </c>
    </row>
    <row r="26" spans="2:16" x14ac:dyDescent="0.25">
      <c r="B26" s="134">
        <v>42262</v>
      </c>
      <c r="C26" s="47">
        <v>1</v>
      </c>
      <c r="D26" s="47"/>
      <c r="E26" s="123">
        <f>PMT($C$10/24,$C$12,-$C$13,0)</f>
        <v>404.95324200483321</v>
      </c>
      <c r="G26" s="48">
        <f>PPMT($C$10/24,C26,$C$12,-$C$13)</f>
        <v>352.75324200483323</v>
      </c>
      <c r="I26" s="48">
        <f>IPMT($C$10/24,C26,$C$12,-$C$13)</f>
        <v>52.199999999999996</v>
      </c>
      <c r="K26" s="48">
        <f>+I26/1.16</f>
        <v>45</v>
      </c>
      <c r="M26" s="48">
        <f>+K26*0.16</f>
        <v>7.2</v>
      </c>
      <c r="O26" s="123">
        <f>+E26</f>
        <v>404.95324200483321</v>
      </c>
    </row>
    <row r="27" spans="2:16" x14ac:dyDescent="0.25">
      <c r="B27" s="134">
        <f>+B26+15</f>
        <v>42277</v>
      </c>
      <c r="C27" s="47">
        <v>2</v>
      </c>
      <c r="D27" s="47"/>
      <c r="E27" s="123">
        <f t="shared" ref="E27:E90" si="0">PMT($C$10/24,$C$12,-$C$13,0)</f>
        <v>404.95324200483321</v>
      </c>
      <c r="G27" s="48">
        <f t="shared" ref="G27:G90" si="1">PPMT($C$10/24,C27,$C$12,-$C$13)</f>
        <v>358.89114841571734</v>
      </c>
      <c r="I27" s="48">
        <f t="shared" ref="I27:I90" si="2">IPMT($C$10/24,C27,$C$12,-$C$13)</f>
        <v>46.062093589115904</v>
      </c>
      <c r="K27" s="48">
        <f t="shared" ref="K27:K90" si="3">+I27/1.16</f>
        <v>39.708701369927503</v>
      </c>
      <c r="M27" s="48">
        <f t="shared" ref="M27:M90" si="4">+K27*0.16</f>
        <v>6.3533922191884002</v>
      </c>
      <c r="O27" s="123">
        <f t="shared" ref="O27:O90" si="5">+E27</f>
        <v>404.95324200483321</v>
      </c>
    </row>
    <row r="28" spans="2:16" x14ac:dyDescent="0.25">
      <c r="B28" s="134">
        <f t="shared" ref="B28:B49" si="6">+B27+15</f>
        <v>42292</v>
      </c>
      <c r="C28" s="47">
        <v>3</v>
      </c>
      <c r="D28" s="47"/>
      <c r="E28" s="123">
        <f t="shared" si="0"/>
        <v>404.95324200483321</v>
      </c>
      <c r="G28" s="48">
        <f t="shared" si="1"/>
        <v>365.1358543981508</v>
      </c>
      <c r="I28" s="48">
        <f t="shared" si="2"/>
        <v>39.817387606682423</v>
      </c>
      <c r="K28" s="48">
        <f t="shared" si="3"/>
        <v>34.325334143691748</v>
      </c>
      <c r="M28" s="48">
        <f t="shared" si="4"/>
        <v>5.4920534629906799</v>
      </c>
      <c r="O28" s="123">
        <f t="shared" si="5"/>
        <v>404.95324200483321</v>
      </c>
    </row>
    <row r="29" spans="2:16" x14ac:dyDescent="0.25">
      <c r="B29" s="134">
        <f t="shared" si="6"/>
        <v>42307</v>
      </c>
      <c r="C29" s="47">
        <v>4</v>
      </c>
      <c r="D29" s="47"/>
      <c r="E29" s="123">
        <f t="shared" si="0"/>
        <v>404.95324200483321</v>
      </c>
      <c r="G29" s="48">
        <f t="shared" si="1"/>
        <v>371.48921826467864</v>
      </c>
      <c r="I29" s="48">
        <f t="shared" si="2"/>
        <v>33.464023740154595</v>
      </c>
      <c r="K29" s="48">
        <f t="shared" si="3"/>
        <v>28.848296327719481</v>
      </c>
      <c r="M29" s="48">
        <f t="shared" si="4"/>
        <v>4.6157274124351169</v>
      </c>
      <c r="O29" s="123">
        <f t="shared" si="5"/>
        <v>404.95324200483321</v>
      </c>
    </row>
    <row r="30" spans="2:16" x14ac:dyDescent="0.25">
      <c r="B30" s="134">
        <f t="shared" si="6"/>
        <v>42322</v>
      </c>
      <c r="C30" s="47">
        <v>5</v>
      </c>
      <c r="D30" s="47"/>
      <c r="E30" s="123">
        <f t="shared" si="0"/>
        <v>404.95324200483321</v>
      </c>
      <c r="G30" s="48">
        <f t="shared" si="1"/>
        <v>377.953130662484</v>
      </c>
      <c r="I30" s="48">
        <f t="shared" si="2"/>
        <v>27.000111342349189</v>
      </c>
      <c r="K30" s="48">
        <f t="shared" si="3"/>
        <v>23.275958053749303</v>
      </c>
      <c r="M30" s="48">
        <f t="shared" si="4"/>
        <v>3.7241532885998887</v>
      </c>
      <c r="O30" s="123">
        <f t="shared" si="5"/>
        <v>404.95324200483321</v>
      </c>
    </row>
    <row r="31" spans="2:16" x14ac:dyDescent="0.25">
      <c r="B31" s="134">
        <f t="shared" si="6"/>
        <v>42337</v>
      </c>
      <c r="C31" s="47">
        <v>6</v>
      </c>
      <c r="D31" s="47"/>
      <c r="E31" s="123">
        <f t="shared" si="0"/>
        <v>404.95324200483321</v>
      </c>
      <c r="G31" s="48">
        <f t="shared" si="1"/>
        <v>384.52951513601124</v>
      </c>
      <c r="I31" s="48">
        <f t="shared" si="2"/>
        <v>20.423726868821969</v>
      </c>
      <c r="K31" s="48">
        <f t="shared" si="3"/>
        <v>17.606661093812043</v>
      </c>
      <c r="M31" s="48">
        <f t="shared" si="4"/>
        <v>2.8170657750099268</v>
      </c>
      <c r="O31" s="123">
        <f t="shared" si="5"/>
        <v>404.95324200483321</v>
      </c>
    </row>
    <row r="32" spans="2:16" x14ac:dyDescent="0.25">
      <c r="B32" s="134">
        <f t="shared" si="6"/>
        <v>42352</v>
      </c>
      <c r="C32" s="47">
        <v>7</v>
      </c>
      <c r="D32" s="47"/>
      <c r="E32" s="123">
        <f t="shared" si="0"/>
        <v>404.95324200483321</v>
      </c>
      <c r="G32" s="48">
        <f t="shared" si="1"/>
        <v>391.22032869937783</v>
      </c>
      <c r="I32" s="48">
        <f t="shared" si="2"/>
        <v>13.732913305455373</v>
      </c>
      <c r="K32" s="48">
        <f t="shared" si="3"/>
        <v>11.838718366771873</v>
      </c>
      <c r="M32" s="48">
        <f t="shared" si="4"/>
        <v>1.8941949386834998</v>
      </c>
      <c r="O32" s="123">
        <f t="shared" si="5"/>
        <v>404.95324200483321</v>
      </c>
    </row>
    <row r="33" spans="2:19" x14ac:dyDescent="0.25">
      <c r="B33" s="134">
        <f t="shared" si="6"/>
        <v>42367</v>
      </c>
      <c r="C33" s="47">
        <v>8</v>
      </c>
      <c r="D33" s="47"/>
      <c r="E33" s="123">
        <f t="shared" si="0"/>
        <v>404.95324200483321</v>
      </c>
      <c r="G33" s="48">
        <f t="shared" si="1"/>
        <v>398.02756241874704</v>
      </c>
      <c r="I33" s="48">
        <f t="shared" si="2"/>
        <v>6.9256795860861979</v>
      </c>
      <c r="K33" s="48">
        <f t="shared" si="3"/>
        <v>5.9704134362812056</v>
      </c>
      <c r="M33" s="48">
        <f t="shared" si="4"/>
        <v>0.95526614980499291</v>
      </c>
      <c r="O33" s="123">
        <f t="shared" si="5"/>
        <v>404.95324200483321</v>
      </c>
    </row>
    <row r="34" spans="2:19" hidden="1" x14ac:dyDescent="0.25">
      <c r="B34" s="134">
        <f t="shared" si="6"/>
        <v>42382</v>
      </c>
      <c r="C34" s="47">
        <v>9</v>
      </c>
      <c r="D34" s="47"/>
      <c r="E34" s="123">
        <f t="shared" si="0"/>
        <v>404.95324200483321</v>
      </c>
      <c r="G34" s="48" t="e">
        <f t="shared" si="1"/>
        <v>#NUM!</v>
      </c>
      <c r="I34" s="48" t="e">
        <f t="shared" si="2"/>
        <v>#NUM!</v>
      </c>
      <c r="K34" s="48" t="e">
        <f t="shared" si="3"/>
        <v>#NUM!</v>
      </c>
      <c r="M34" s="48" t="e">
        <f t="shared" si="4"/>
        <v>#NUM!</v>
      </c>
      <c r="O34" s="123">
        <f t="shared" si="5"/>
        <v>404.95324200483321</v>
      </c>
    </row>
    <row r="35" spans="2:19" hidden="1" x14ac:dyDescent="0.25">
      <c r="B35" s="134">
        <f t="shared" si="6"/>
        <v>42397</v>
      </c>
      <c r="C35" s="47">
        <v>10</v>
      </c>
      <c r="D35" s="47"/>
      <c r="E35" s="123">
        <f t="shared" si="0"/>
        <v>404.95324200483321</v>
      </c>
      <c r="G35" s="48" t="e">
        <f t="shared" si="1"/>
        <v>#NUM!</v>
      </c>
      <c r="I35" s="48" t="e">
        <f t="shared" si="2"/>
        <v>#NUM!</v>
      </c>
      <c r="K35" s="48" t="e">
        <f t="shared" si="3"/>
        <v>#NUM!</v>
      </c>
      <c r="M35" s="48" t="e">
        <f t="shared" si="4"/>
        <v>#NUM!</v>
      </c>
      <c r="O35" s="123">
        <f t="shared" si="5"/>
        <v>404.95324200483321</v>
      </c>
    </row>
    <row r="36" spans="2:19" hidden="1" x14ac:dyDescent="0.25">
      <c r="B36" s="134">
        <f t="shared" si="6"/>
        <v>42412</v>
      </c>
      <c r="C36" s="47">
        <v>11</v>
      </c>
      <c r="D36" s="47"/>
      <c r="E36" s="123">
        <f t="shared" si="0"/>
        <v>404.95324200483321</v>
      </c>
      <c r="G36" s="48" t="e">
        <f t="shared" si="1"/>
        <v>#NUM!</v>
      </c>
      <c r="I36" s="48" t="e">
        <f t="shared" si="2"/>
        <v>#NUM!</v>
      </c>
      <c r="K36" s="48" t="e">
        <f t="shared" si="3"/>
        <v>#NUM!</v>
      </c>
      <c r="M36" s="48" t="e">
        <f t="shared" si="4"/>
        <v>#NUM!</v>
      </c>
      <c r="O36" s="123">
        <f t="shared" si="5"/>
        <v>404.95324200483321</v>
      </c>
    </row>
    <row r="37" spans="2:19" hidden="1" x14ac:dyDescent="0.25">
      <c r="B37" s="134">
        <f t="shared" si="6"/>
        <v>42427</v>
      </c>
      <c r="C37" s="47">
        <v>12</v>
      </c>
      <c r="D37" s="47"/>
      <c r="E37" s="123">
        <f t="shared" si="0"/>
        <v>404.95324200483321</v>
      </c>
      <c r="G37" s="48" t="e">
        <f t="shared" si="1"/>
        <v>#NUM!</v>
      </c>
      <c r="I37" s="48" t="e">
        <f t="shared" si="2"/>
        <v>#NUM!</v>
      </c>
      <c r="K37" s="48" t="e">
        <f t="shared" si="3"/>
        <v>#NUM!</v>
      </c>
      <c r="M37" s="48" t="e">
        <f t="shared" si="4"/>
        <v>#NUM!</v>
      </c>
      <c r="O37" s="123">
        <f t="shared" si="5"/>
        <v>404.95324200483321</v>
      </c>
    </row>
    <row r="38" spans="2:19" hidden="1" x14ac:dyDescent="0.25">
      <c r="B38" s="134">
        <f t="shared" si="6"/>
        <v>42442</v>
      </c>
      <c r="C38" s="47">
        <v>13</v>
      </c>
      <c r="D38" s="47"/>
      <c r="E38" s="123">
        <f t="shared" si="0"/>
        <v>404.95324200483321</v>
      </c>
      <c r="G38" s="48" t="e">
        <f t="shared" si="1"/>
        <v>#NUM!</v>
      </c>
      <c r="I38" s="48" t="e">
        <f t="shared" si="2"/>
        <v>#NUM!</v>
      </c>
      <c r="K38" s="48" t="e">
        <f t="shared" si="3"/>
        <v>#NUM!</v>
      </c>
      <c r="M38" s="48" t="e">
        <f t="shared" si="4"/>
        <v>#NUM!</v>
      </c>
      <c r="O38" s="123">
        <f t="shared" si="5"/>
        <v>404.95324200483321</v>
      </c>
    </row>
    <row r="39" spans="2:19" hidden="1" x14ac:dyDescent="0.25">
      <c r="B39" s="134">
        <f t="shared" si="6"/>
        <v>42457</v>
      </c>
      <c r="C39" s="47">
        <v>14</v>
      </c>
      <c r="D39" s="47"/>
      <c r="E39" s="123">
        <f t="shared" si="0"/>
        <v>404.95324200483321</v>
      </c>
      <c r="G39" s="48" t="e">
        <f t="shared" si="1"/>
        <v>#NUM!</v>
      </c>
      <c r="I39" s="48" t="e">
        <f t="shared" si="2"/>
        <v>#NUM!</v>
      </c>
      <c r="K39" s="48" t="e">
        <f t="shared" si="3"/>
        <v>#NUM!</v>
      </c>
      <c r="M39" s="48" t="e">
        <f t="shared" si="4"/>
        <v>#NUM!</v>
      </c>
      <c r="O39" s="123">
        <f t="shared" si="5"/>
        <v>404.95324200483321</v>
      </c>
    </row>
    <row r="40" spans="2:19" hidden="1" x14ac:dyDescent="0.25">
      <c r="B40" s="134">
        <f t="shared" si="6"/>
        <v>42472</v>
      </c>
      <c r="C40" s="47">
        <v>15</v>
      </c>
      <c r="D40" s="47"/>
      <c r="E40" s="123">
        <f t="shared" si="0"/>
        <v>404.95324200483321</v>
      </c>
      <c r="G40" s="48" t="e">
        <f t="shared" si="1"/>
        <v>#NUM!</v>
      </c>
      <c r="I40" s="48" t="e">
        <f t="shared" si="2"/>
        <v>#NUM!</v>
      </c>
      <c r="K40" s="48" t="e">
        <f t="shared" si="3"/>
        <v>#NUM!</v>
      </c>
      <c r="M40" s="48" t="e">
        <f t="shared" si="4"/>
        <v>#NUM!</v>
      </c>
      <c r="O40" s="123">
        <f t="shared" si="5"/>
        <v>404.95324200483321</v>
      </c>
    </row>
    <row r="41" spans="2:19" hidden="1" x14ac:dyDescent="0.25">
      <c r="B41" s="134">
        <f t="shared" si="6"/>
        <v>42487</v>
      </c>
      <c r="C41" s="47">
        <v>16</v>
      </c>
      <c r="D41" s="47"/>
      <c r="E41" s="123">
        <f t="shared" si="0"/>
        <v>404.95324200483321</v>
      </c>
      <c r="G41" s="48" t="e">
        <f t="shared" si="1"/>
        <v>#NUM!</v>
      </c>
      <c r="I41" s="48" t="e">
        <f t="shared" si="2"/>
        <v>#NUM!</v>
      </c>
      <c r="K41" s="48" t="e">
        <f t="shared" si="3"/>
        <v>#NUM!</v>
      </c>
      <c r="M41" s="48" t="e">
        <f t="shared" si="4"/>
        <v>#NUM!</v>
      </c>
      <c r="O41" s="123">
        <f t="shared" si="5"/>
        <v>404.95324200483321</v>
      </c>
    </row>
    <row r="42" spans="2:19" hidden="1" x14ac:dyDescent="0.25">
      <c r="B42" s="134">
        <f t="shared" si="6"/>
        <v>42502</v>
      </c>
      <c r="C42" s="47">
        <v>17</v>
      </c>
      <c r="D42" s="47"/>
      <c r="E42" s="123">
        <f t="shared" si="0"/>
        <v>404.95324200483321</v>
      </c>
      <c r="G42" s="48" t="e">
        <f t="shared" si="1"/>
        <v>#NUM!</v>
      </c>
      <c r="I42" s="48" t="e">
        <f t="shared" si="2"/>
        <v>#NUM!</v>
      </c>
      <c r="K42" s="48" t="e">
        <f t="shared" si="3"/>
        <v>#NUM!</v>
      </c>
      <c r="M42" s="48" t="e">
        <f t="shared" si="4"/>
        <v>#NUM!</v>
      </c>
      <c r="O42" s="123">
        <f t="shared" si="5"/>
        <v>404.95324200483321</v>
      </c>
    </row>
    <row r="43" spans="2:19" hidden="1" x14ac:dyDescent="0.25">
      <c r="B43" s="134">
        <f t="shared" si="6"/>
        <v>42517</v>
      </c>
      <c r="C43" s="47">
        <v>18</v>
      </c>
      <c r="D43" s="47"/>
      <c r="E43" s="123">
        <f t="shared" si="0"/>
        <v>404.95324200483321</v>
      </c>
      <c r="G43" s="48" t="e">
        <f t="shared" si="1"/>
        <v>#NUM!</v>
      </c>
      <c r="I43" s="48" t="e">
        <f t="shared" si="2"/>
        <v>#NUM!</v>
      </c>
      <c r="K43" s="48" t="e">
        <f t="shared" si="3"/>
        <v>#NUM!</v>
      </c>
      <c r="M43" s="48" t="e">
        <f t="shared" si="4"/>
        <v>#NUM!</v>
      </c>
      <c r="O43" s="123">
        <f t="shared" si="5"/>
        <v>404.95324200483321</v>
      </c>
    </row>
    <row r="44" spans="2:19" hidden="1" x14ac:dyDescent="0.25">
      <c r="B44" s="134">
        <f t="shared" si="6"/>
        <v>42532</v>
      </c>
      <c r="C44" s="47">
        <v>19</v>
      </c>
      <c r="D44" s="47"/>
      <c r="E44" s="123">
        <f t="shared" si="0"/>
        <v>404.95324200483321</v>
      </c>
      <c r="G44" s="48" t="e">
        <f t="shared" si="1"/>
        <v>#NUM!</v>
      </c>
      <c r="I44" s="48" t="e">
        <f t="shared" si="2"/>
        <v>#NUM!</v>
      </c>
      <c r="K44" s="48" t="e">
        <f t="shared" si="3"/>
        <v>#NUM!</v>
      </c>
      <c r="M44" s="48" t="e">
        <f t="shared" si="4"/>
        <v>#NUM!</v>
      </c>
      <c r="O44" s="123">
        <f t="shared" si="5"/>
        <v>404.95324200483321</v>
      </c>
      <c r="S44" s="22" t="s">
        <v>110</v>
      </c>
    </row>
    <row r="45" spans="2:19" hidden="1" x14ac:dyDescent="0.25">
      <c r="B45" s="134">
        <f t="shared" si="6"/>
        <v>42547</v>
      </c>
      <c r="C45" s="47">
        <v>20</v>
      </c>
      <c r="D45" s="47"/>
      <c r="E45" s="123">
        <f t="shared" si="0"/>
        <v>404.95324200483321</v>
      </c>
      <c r="G45" s="48" t="e">
        <f t="shared" si="1"/>
        <v>#NUM!</v>
      </c>
      <c r="I45" s="48" t="e">
        <f t="shared" si="2"/>
        <v>#NUM!</v>
      </c>
      <c r="K45" s="48" t="e">
        <f t="shared" si="3"/>
        <v>#NUM!</v>
      </c>
      <c r="M45" s="48" t="e">
        <f t="shared" si="4"/>
        <v>#NUM!</v>
      </c>
      <c r="O45" s="123">
        <f t="shared" si="5"/>
        <v>404.95324200483321</v>
      </c>
    </row>
    <row r="46" spans="2:19" hidden="1" x14ac:dyDescent="0.25">
      <c r="B46" s="134">
        <f t="shared" si="6"/>
        <v>42562</v>
      </c>
      <c r="C46" s="47">
        <v>21</v>
      </c>
      <c r="D46" s="47"/>
      <c r="E46" s="123">
        <f t="shared" si="0"/>
        <v>404.95324200483321</v>
      </c>
      <c r="G46" s="48" t="e">
        <f t="shared" si="1"/>
        <v>#NUM!</v>
      </c>
      <c r="I46" s="48" t="e">
        <f t="shared" si="2"/>
        <v>#NUM!</v>
      </c>
      <c r="K46" s="48" t="e">
        <f t="shared" si="3"/>
        <v>#NUM!</v>
      </c>
      <c r="M46" s="48" t="e">
        <f t="shared" si="4"/>
        <v>#NUM!</v>
      </c>
      <c r="O46" s="123">
        <f t="shared" si="5"/>
        <v>404.95324200483321</v>
      </c>
    </row>
    <row r="47" spans="2:19" hidden="1" x14ac:dyDescent="0.25">
      <c r="B47" s="134">
        <f t="shared" si="6"/>
        <v>42577</v>
      </c>
      <c r="C47" s="47">
        <v>22</v>
      </c>
      <c r="D47" s="47"/>
      <c r="E47" s="123">
        <f t="shared" si="0"/>
        <v>404.95324200483321</v>
      </c>
      <c r="G47" s="48" t="e">
        <f t="shared" si="1"/>
        <v>#NUM!</v>
      </c>
      <c r="I47" s="48" t="e">
        <f t="shared" si="2"/>
        <v>#NUM!</v>
      </c>
      <c r="K47" s="48" t="e">
        <f t="shared" si="3"/>
        <v>#NUM!</v>
      </c>
      <c r="M47" s="48" t="e">
        <f t="shared" si="4"/>
        <v>#NUM!</v>
      </c>
      <c r="O47" s="123">
        <f t="shared" si="5"/>
        <v>404.95324200483321</v>
      </c>
    </row>
    <row r="48" spans="2:19" hidden="1" x14ac:dyDescent="0.25">
      <c r="B48" s="134">
        <f t="shared" si="6"/>
        <v>42592</v>
      </c>
      <c r="C48" s="47">
        <v>23</v>
      </c>
      <c r="D48" s="47"/>
      <c r="E48" s="123">
        <f t="shared" si="0"/>
        <v>404.95324200483321</v>
      </c>
      <c r="G48" s="48" t="e">
        <f t="shared" si="1"/>
        <v>#NUM!</v>
      </c>
      <c r="I48" s="48" t="e">
        <f t="shared" si="2"/>
        <v>#NUM!</v>
      </c>
      <c r="K48" s="48" t="e">
        <f t="shared" si="3"/>
        <v>#NUM!</v>
      </c>
      <c r="M48" s="48" t="e">
        <f t="shared" si="4"/>
        <v>#NUM!</v>
      </c>
      <c r="O48" s="123">
        <f t="shared" si="5"/>
        <v>404.95324200483321</v>
      </c>
    </row>
    <row r="49" spans="2:15" hidden="1" x14ac:dyDescent="0.25">
      <c r="B49" s="134">
        <f t="shared" si="6"/>
        <v>42607</v>
      </c>
      <c r="C49" s="47">
        <v>24</v>
      </c>
      <c r="D49" s="47"/>
      <c r="E49" s="123">
        <f t="shared" si="0"/>
        <v>404.95324200483321</v>
      </c>
      <c r="G49" s="48" t="e">
        <f t="shared" si="1"/>
        <v>#NUM!</v>
      </c>
      <c r="I49" s="48" t="e">
        <f t="shared" si="2"/>
        <v>#NUM!</v>
      </c>
      <c r="K49" s="48" t="e">
        <f t="shared" si="3"/>
        <v>#NUM!</v>
      </c>
      <c r="M49" s="48" t="e">
        <f t="shared" si="4"/>
        <v>#NUM!</v>
      </c>
      <c r="O49" s="123">
        <f t="shared" si="5"/>
        <v>404.95324200483321</v>
      </c>
    </row>
    <row r="50" spans="2:15" hidden="1" x14ac:dyDescent="0.25">
      <c r="B50" s="134">
        <f t="shared" ref="B50:B113" si="7">+B49+15</f>
        <v>42622</v>
      </c>
      <c r="C50" s="47">
        <v>25</v>
      </c>
      <c r="D50" s="47"/>
      <c r="E50" s="123">
        <f t="shared" si="0"/>
        <v>404.95324200483321</v>
      </c>
      <c r="G50" s="48" t="e">
        <f t="shared" si="1"/>
        <v>#NUM!</v>
      </c>
      <c r="I50" s="48" t="e">
        <f t="shared" si="2"/>
        <v>#NUM!</v>
      </c>
      <c r="K50" s="48" t="e">
        <f t="shared" si="3"/>
        <v>#NUM!</v>
      </c>
      <c r="M50" s="48" t="e">
        <f t="shared" si="4"/>
        <v>#NUM!</v>
      </c>
      <c r="O50" s="123">
        <f t="shared" si="5"/>
        <v>404.95324200483321</v>
      </c>
    </row>
    <row r="51" spans="2:15" hidden="1" x14ac:dyDescent="0.25">
      <c r="B51" s="134">
        <f t="shared" si="7"/>
        <v>42637</v>
      </c>
      <c r="C51" s="47">
        <v>26</v>
      </c>
      <c r="D51" s="47"/>
      <c r="E51" s="123">
        <f t="shared" si="0"/>
        <v>404.95324200483321</v>
      </c>
      <c r="G51" s="48" t="e">
        <f t="shared" si="1"/>
        <v>#NUM!</v>
      </c>
      <c r="I51" s="48" t="e">
        <f t="shared" si="2"/>
        <v>#NUM!</v>
      </c>
      <c r="K51" s="48" t="e">
        <f t="shared" si="3"/>
        <v>#NUM!</v>
      </c>
      <c r="M51" s="48" t="e">
        <f t="shared" si="4"/>
        <v>#NUM!</v>
      </c>
      <c r="O51" s="123">
        <f t="shared" si="5"/>
        <v>404.95324200483321</v>
      </c>
    </row>
    <row r="52" spans="2:15" hidden="1" x14ac:dyDescent="0.25">
      <c r="B52" s="134">
        <f t="shared" si="7"/>
        <v>42652</v>
      </c>
      <c r="C52" s="47">
        <v>27</v>
      </c>
      <c r="D52" s="47"/>
      <c r="E52" s="123">
        <f t="shared" si="0"/>
        <v>404.95324200483321</v>
      </c>
      <c r="G52" s="48" t="e">
        <f t="shared" si="1"/>
        <v>#NUM!</v>
      </c>
      <c r="I52" s="48" t="e">
        <f t="shared" si="2"/>
        <v>#NUM!</v>
      </c>
      <c r="K52" s="48" t="e">
        <f t="shared" si="3"/>
        <v>#NUM!</v>
      </c>
      <c r="M52" s="48" t="e">
        <f t="shared" si="4"/>
        <v>#NUM!</v>
      </c>
      <c r="O52" s="123">
        <f t="shared" si="5"/>
        <v>404.95324200483321</v>
      </c>
    </row>
    <row r="53" spans="2:15" hidden="1" x14ac:dyDescent="0.25">
      <c r="B53" s="134">
        <f t="shared" si="7"/>
        <v>42667</v>
      </c>
      <c r="C53" s="47">
        <v>28</v>
      </c>
      <c r="D53" s="47"/>
      <c r="E53" s="123">
        <f t="shared" si="0"/>
        <v>404.95324200483321</v>
      </c>
      <c r="G53" s="48" t="e">
        <f t="shared" si="1"/>
        <v>#NUM!</v>
      </c>
      <c r="I53" s="48" t="e">
        <f t="shared" si="2"/>
        <v>#NUM!</v>
      </c>
      <c r="K53" s="48" t="e">
        <f t="shared" si="3"/>
        <v>#NUM!</v>
      </c>
      <c r="M53" s="48" t="e">
        <f t="shared" si="4"/>
        <v>#NUM!</v>
      </c>
      <c r="O53" s="123">
        <f t="shared" si="5"/>
        <v>404.95324200483321</v>
      </c>
    </row>
    <row r="54" spans="2:15" hidden="1" x14ac:dyDescent="0.25">
      <c r="B54" s="134">
        <f t="shared" si="7"/>
        <v>42682</v>
      </c>
      <c r="C54" s="47">
        <v>29</v>
      </c>
      <c r="D54" s="47"/>
      <c r="E54" s="123">
        <f t="shared" si="0"/>
        <v>404.95324200483321</v>
      </c>
      <c r="G54" s="48" t="e">
        <f t="shared" si="1"/>
        <v>#NUM!</v>
      </c>
      <c r="I54" s="48" t="e">
        <f t="shared" si="2"/>
        <v>#NUM!</v>
      </c>
      <c r="K54" s="48" t="e">
        <f t="shared" si="3"/>
        <v>#NUM!</v>
      </c>
      <c r="M54" s="48" t="e">
        <f t="shared" si="4"/>
        <v>#NUM!</v>
      </c>
      <c r="O54" s="123">
        <f t="shared" si="5"/>
        <v>404.95324200483321</v>
      </c>
    </row>
    <row r="55" spans="2:15" hidden="1" x14ac:dyDescent="0.25">
      <c r="B55" s="134">
        <f t="shared" si="7"/>
        <v>42697</v>
      </c>
      <c r="C55" s="47">
        <v>30</v>
      </c>
      <c r="D55" s="47"/>
      <c r="E55" s="123">
        <f t="shared" si="0"/>
        <v>404.95324200483321</v>
      </c>
      <c r="G55" s="48" t="e">
        <f t="shared" si="1"/>
        <v>#NUM!</v>
      </c>
      <c r="I55" s="48" t="e">
        <f t="shared" si="2"/>
        <v>#NUM!</v>
      </c>
      <c r="K55" s="48" t="e">
        <f t="shared" si="3"/>
        <v>#NUM!</v>
      </c>
      <c r="M55" s="48" t="e">
        <f t="shared" si="4"/>
        <v>#NUM!</v>
      </c>
      <c r="O55" s="123">
        <f t="shared" si="5"/>
        <v>404.95324200483321</v>
      </c>
    </row>
    <row r="56" spans="2:15" hidden="1" x14ac:dyDescent="0.25">
      <c r="B56" s="134">
        <f t="shared" si="7"/>
        <v>42712</v>
      </c>
      <c r="C56" s="47">
        <v>31</v>
      </c>
      <c r="D56" s="47"/>
      <c r="E56" s="123">
        <f t="shared" si="0"/>
        <v>404.95324200483321</v>
      </c>
      <c r="G56" s="48" t="e">
        <f t="shared" si="1"/>
        <v>#NUM!</v>
      </c>
      <c r="I56" s="48" t="e">
        <f t="shared" si="2"/>
        <v>#NUM!</v>
      </c>
      <c r="K56" s="48" t="e">
        <f t="shared" si="3"/>
        <v>#NUM!</v>
      </c>
      <c r="M56" s="48" t="e">
        <f t="shared" si="4"/>
        <v>#NUM!</v>
      </c>
      <c r="O56" s="123">
        <f t="shared" si="5"/>
        <v>404.95324200483321</v>
      </c>
    </row>
    <row r="57" spans="2:15" hidden="1" x14ac:dyDescent="0.25">
      <c r="B57" s="134">
        <f t="shared" si="7"/>
        <v>42727</v>
      </c>
      <c r="C57" s="47">
        <v>32</v>
      </c>
      <c r="D57" s="47"/>
      <c r="E57" s="123">
        <f t="shared" si="0"/>
        <v>404.95324200483321</v>
      </c>
      <c r="G57" s="48" t="e">
        <f t="shared" si="1"/>
        <v>#NUM!</v>
      </c>
      <c r="I57" s="48" t="e">
        <f t="shared" si="2"/>
        <v>#NUM!</v>
      </c>
      <c r="K57" s="48" t="e">
        <f t="shared" si="3"/>
        <v>#NUM!</v>
      </c>
      <c r="M57" s="48" t="e">
        <f t="shared" si="4"/>
        <v>#NUM!</v>
      </c>
      <c r="O57" s="123">
        <f t="shared" si="5"/>
        <v>404.95324200483321</v>
      </c>
    </row>
    <row r="58" spans="2:15" hidden="1" x14ac:dyDescent="0.25">
      <c r="B58" s="134">
        <f t="shared" si="7"/>
        <v>42742</v>
      </c>
      <c r="C58" s="47">
        <v>33</v>
      </c>
      <c r="D58" s="47"/>
      <c r="E58" s="123">
        <f t="shared" si="0"/>
        <v>404.95324200483321</v>
      </c>
      <c r="G58" s="48" t="e">
        <f t="shared" si="1"/>
        <v>#NUM!</v>
      </c>
      <c r="I58" s="48" t="e">
        <f t="shared" si="2"/>
        <v>#NUM!</v>
      </c>
      <c r="K58" s="48" t="e">
        <f t="shared" si="3"/>
        <v>#NUM!</v>
      </c>
      <c r="M58" s="48" t="e">
        <f t="shared" si="4"/>
        <v>#NUM!</v>
      </c>
      <c r="O58" s="123">
        <f t="shared" si="5"/>
        <v>404.95324200483321</v>
      </c>
    </row>
    <row r="59" spans="2:15" hidden="1" x14ac:dyDescent="0.25">
      <c r="B59" s="134">
        <f t="shared" si="7"/>
        <v>42757</v>
      </c>
      <c r="C59" s="47">
        <v>34</v>
      </c>
      <c r="D59" s="47"/>
      <c r="E59" s="123">
        <f t="shared" si="0"/>
        <v>404.95324200483321</v>
      </c>
      <c r="G59" s="48" t="e">
        <f t="shared" si="1"/>
        <v>#NUM!</v>
      </c>
      <c r="I59" s="48" t="e">
        <f t="shared" si="2"/>
        <v>#NUM!</v>
      </c>
      <c r="K59" s="48" t="e">
        <f t="shared" si="3"/>
        <v>#NUM!</v>
      </c>
      <c r="M59" s="48" t="e">
        <f t="shared" si="4"/>
        <v>#NUM!</v>
      </c>
      <c r="O59" s="123">
        <f t="shared" si="5"/>
        <v>404.95324200483321</v>
      </c>
    </row>
    <row r="60" spans="2:15" hidden="1" x14ac:dyDescent="0.25">
      <c r="B60" s="134">
        <f t="shared" si="7"/>
        <v>42772</v>
      </c>
      <c r="C60" s="47">
        <v>35</v>
      </c>
      <c r="D60" s="47"/>
      <c r="E60" s="123">
        <f t="shared" si="0"/>
        <v>404.95324200483321</v>
      </c>
      <c r="G60" s="48" t="e">
        <f t="shared" si="1"/>
        <v>#NUM!</v>
      </c>
      <c r="I60" s="48" t="e">
        <f t="shared" si="2"/>
        <v>#NUM!</v>
      </c>
      <c r="K60" s="48" t="e">
        <f t="shared" si="3"/>
        <v>#NUM!</v>
      </c>
      <c r="M60" s="48" t="e">
        <f t="shared" si="4"/>
        <v>#NUM!</v>
      </c>
      <c r="O60" s="123">
        <f t="shared" si="5"/>
        <v>404.95324200483321</v>
      </c>
    </row>
    <row r="61" spans="2:15" hidden="1" x14ac:dyDescent="0.25">
      <c r="B61" s="134">
        <f t="shared" si="7"/>
        <v>42787</v>
      </c>
      <c r="C61" s="47">
        <v>36</v>
      </c>
      <c r="D61" s="47"/>
      <c r="E61" s="123">
        <f t="shared" si="0"/>
        <v>404.95324200483321</v>
      </c>
      <c r="G61" s="48" t="e">
        <f t="shared" si="1"/>
        <v>#NUM!</v>
      </c>
      <c r="I61" s="48" t="e">
        <f t="shared" si="2"/>
        <v>#NUM!</v>
      </c>
      <c r="K61" s="48" t="e">
        <f t="shared" si="3"/>
        <v>#NUM!</v>
      </c>
      <c r="M61" s="48" t="e">
        <f t="shared" si="4"/>
        <v>#NUM!</v>
      </c>
      <c r="O61" s="123">
        <f t="shared" si="5"/>
        <v>404.95324200483321</v>
      </c>
    </row>
    <row r="62" spans="2:15" hidden="1" x14ac:dyDescent="0.25">
      <c r="B62" s="134">
        <f t="shared" si="7"/>
        <v>42802</v>
      </c>
      <c r="C62" s="47">
        <v>37</v>
      </c>
      <c r="D62" s="47"/>
      <c r="E62" s="123">
        <f t="shared" si="0"/>
        <v>404.95324200483321</v>
      </c>
      <c r="G62" s="48" t="e">
        <f t="shared" si="1"/>
        <v>#NUM!</v>
      </c>
      <c r="I62" s="48" t="e">
        <f t="shared" si="2"/>
        <v>#NUM!</v>
      </c>
      <c r="K62" s="48" t="e">
        <f t="shared" si="3"/>
        <v>#NUM!</v>
      </c>
      <c r="M62" s="48" t="e">
        <f t="shared" si="4"/>
        <v>#NUM!</v>
      </c>
      <c r="O62" s="123">
        <f t="shared" si="5"/>
        <v>404.95324200483321</v>
      </c>
    </row>
    <row r="63" spans="2:15" hidden="1" x14ac:dyDescent="0.25">
      <c r="B63" s="134">
        <f t="shared" si="7"/>
        <v>42817</v>
      </c>
      <c r="C63" s="47">
        <v>38</v>
      </c>
      <c r="D63" s="47"/>
      <c r="E63" s="123">
        <f t="shared" si="0"/>
        <v>404.95324200483321</v>
      </c>
      <c r="G63" s="48" t="e">
        <f t="shared" si="1"/>
        <v>#NUM!</v>
      </c>
      <c r="I63" s="48" t="e">
        <f t="shared" si="2"/>
        <v>#NUM!</v>
      </c>
      <c r="K63" s="48" t="e">
        <f t="shared" si="3"/>
        <v>#NUM!</v>
      </c>
      <c r="M63" s="48" t="e">
        <f t="shared" si="4"/>
        <v>#NUM!</v>
      </c>
      <c r="O63" s="123">
        <f t="shared" si="5"/>
        <v>404.95324200483321</v>
      </c>
    </row>
    <row r="64" spans="2:15" hidden="1" x14ac:dyDescent="0.25">
      <c r="B64" s="134">
        <f t="shared" si="7"/>
        <v>42832</v>
      </c>
      <c r="C64" s="47">
        <v>39</v>
      </c>
      <c r="D64" s="47"/>
      <c r="E64" s="123">
        <f t="shared" si="0"/>
        <v>404.95324200483321</v>
      </c>
      <c r="G64" s="48" t="e">
        <f t="shared" si="1"/>
        <v>#NUM!</v>
      </c>
      <c r="I64" s="48" t="e">
        <f t="shared" si="2"/>
        <v>#NUM!</v>
      </c>
      <c r="K64" s="48" t="e">
        <f t="shared" si="3"/>
        <v>#NUM!</v>
      </c>
      <c r="M64" s="48" t="e">
        <f t="shared" si="4"/>
        <v>#NUM!</v>
      </c>
      <c r="O64" s="123">
        <f t="shared" si="5"/>
        <v>404.95324200483321</v>
      </c>
    </row>
    <row r="65" spans="2:15" hidden="1" x14ac:dyDescent="0.25">
      <c r="B65" s="134">
        <f t="shared" si="7"/>
        <v>42847</v>
      </c>
      <c r="C65" s="47">
        <v>40</v>
      </c>
      <c r="D65" s="47"/>
      <c r="E65" s="123">
        <f t="shared" si="0"/>
        <v>404.95324200483321</v>
      </c>
      <c r="G65" s="48" t="e">
        <f t="shared" si="1"/>
        <v>#NUM!</v>
      </c>
      <c r="I65" s="48" t="e">
        <f t="shared" si="2"/>
        <v>#NUM!</v>
      </c>
      <c r="K65" s="48" t="e">
        <f t="shared" si="3"/>
        <v>#NUM!</v>
      </c>
      <c r="M65" s="48" t="e">
        <f t="shared" si="4"/>
        <v>#NUM!</v>
      </c>
      <c r="O65" s="123">
        <f t="shared" si="5"/>
        <v>404.95324200483321</v>
      </c>
    </row>
    <row r="66" spans="2:15" hidden="1" x14ac:dyDescent="0.25">
      <c r="B66" s="134">
        <f t="shared" si="7"/>
        <v>42862</v>
      </c>
      <c r="C66" s="47">
        <v>41</v>
      </c>
      <c r="D66" s="47"/>
      <c r="E66" s="123">
        <f t="shared" si="0"/>
        <v>404.95324200483321</v>
      </c>
      <c r="G66" s="48" t="e">
        <f t="shared" si="1"/>
        <v>#NUM!</v>
      </c>
      <c r="I66" s="48" t="e">
        <f t="shared" si="2"/>
        <v>#NUM!</v>
      </c>
      <c r="K66" s="48" t="e">
        <f t="shared" si="3"/>
        <v>#NUM!</v>
      </c>
      <c r="M66" s="48" t="e">
        <f t="shared" si="4"/>
        <v>#NUM!</v>
      </c>
      <c r="O66" s="123">
        <f t="shared" si="5"/>
        <v>404.95324200483321</v>
      </c>
    </row>
    <row r="67" spans="2:15" hidden="1" x14ac:dyDescent="0.25">
      <c r="B67" s="134">
        <f t="shared" si="7"/>
        <v>42877</v>
      </c>
      <c r="C67" s="47">
        <v>42</v>
      </c>
      <c r="D67" s="47"/>
      <c r="E67" s="123">
        <f t="shared" si="0"/>
        <v>404.95324200483321</v>
      </c>
      <c r="G67" s="48" t="e">
        <f t="shared" si="1"/>
        <v>#NUM!</v>
      </c>
      <c r="I67" s="48" t="e">
        <f t="shared" si="2"/>
        <v>#NUM!</v>
      </c>
      <c r="K67" s="48" t="e">
        <f t="shared" si="3"/>
        <v>#NUM!</v>
      </c>
      <c r="M67" s="48" t="e">
        <f t="shared" si="4"/>
        <v>#NUM!</v>
      </c>
      <c r="O67" s="123">
        <f t="shared" si="5"/>
        <v>404.95324200483321</v>
      </c>
    </row>
    <row r="68" spans="2:15" hidden="1" x14ac:dyDescent="0.25">
      <c r="B68" s="134">
        <f t="shared" si="7"/>
        <v>42892</v>
      </c>
      <c r="C68" s="47">
        <v>43</v>
      </c>
      <c r="D68" s="47"/>
      <c r="E68" s="123">
        <f t="shared" si="0"/>
        <v>404.95324200483321</v>
      </c>
      <c r="G68" s="48" t="e">
        <f t="shared" si="1"/>
        <v>#NUM!</v>
      </c>
      <c r="I68" s="48" t="e">
        <f t="shared" si="2"/>
        <v>#NUM!</v>
      </c>
      <c r="K68" s="48" t="e">
        <f t="shared" si="3"/>
        <v>#NUM!</v>
      </c>
      <c r="M68" s="48" t="e">
        <f t="shared" si="4"/>
        <v>#NUM!</v>
      </c>
      <c r="O68" s="123">
        <f t="shared" si="5"/>
        <v>404.95324200483321</v>
      </c>
    </row>
    <row r="69" spans="2:15" hidden="1" x14ac:dyDescent="0.25">
      <c r="B69" s="134">
        <f t="shared" si="7"/>
        <v>42907</v>
      </c>
      <c r="C69" s="47">
        <v>44</v>
      </c>
      <c r="D69" s="47"/>
      <c r="E69" s="123">
        <f t="shared" si="0"/>
        <v>404.95324200483321</v>
      </c>
      <c r="G69" s="48" t="e">
        <f t="shared" si="1"/>
        <v>#NUM!</v>
      </c>
      <c r="I69" s="48" t="e">
        <f t="shared" si="2"/>
        <v>#NUM!</v>
      </c>
      <c r="K69" s="48" t="e">
        <f t="shared" si="3"/>
        <v>#NUM!</v>
      </c>
      <c r="M69" s="48" t="e">
        <f t="shared" si="4"/>
        <v>#NUM!</v>
      </c>
      <c r="O69" s="123">
        <f t="shared" si="5"/>
        <v>404.95324200483321</v>
      </c>
    </row>
    <row r="70" spans="2:15" hidden="1" x14ac:dyDescent="0.25">
      <c r="B70" s="134">
        <f t="shared" si="7"/>
        <v>42922</v>
      </c>
      <c r="C70" s="47">
        <v>45</v>
      </c>
      <c r="D70" s="47"/>
      <c r="E70" s="123">
        <f t="shared" si="0"/>
        <v>404.95324200483321</v>
      </c>
      <c r="G70" s="48" t="e">
        <f t="shared" si="1"/>
        <v>#NUM!</v>
      </c>
      <c r="I70" s="48" t="e">
        <f t="shared" si="2"/>
        <v>#NUM!</v>
      </c>
      <c r="K70" s="48" t="e">
        <f t="shared" si="3"/>
        <v>#NUM!</v>
      </c>
      <c r="M70" s="48" t="e">
        <f t="shared" si="4"/>
        <v>#NUM!</v>
      </c>
      <c r="O70" s="123">
        <f t="shared" si="5"/>
        <v>404.95324200483321</v>
      </c>
    </row>
    <row r="71" spans="2:15" hidden="1" x14ac:dyDescent="0.25">
      <c r="B71" s="134">
        <f t="shared" si="7"/>
        <v>42937</v>
      </c>
      <c r="C71" s="47">
        <v>46</v>
      </c>
      <c r="D71" s="47"/>
      <c r="E71" s="123">
        <f t="shared" si="0"/>
        <v>404.95324200483321</v>
      </c>
      <c r="G71" s="48" t="e">
        <f t="shared" si="1"/>
        <v>#NUM!</v>
      </c>
      <c r="I71" s="48" t="e">
        <f t="shared" si="2"/>
        <v>#NUM!</v>
      </c>
      <c r="K71" s="48" t="e">
        <f t="shared" si="3"/>
        <v>#NUM!</v>
      </c>
      <c r="M71" s="48" t="e">
        <f t="shared" si="4"/>
        <v>#NUM!</v>
      </c>
      <c r="O71" s="123">
        <f t="shared" si="5"/>
        <v>404.95324200483321</v>
      </c>
    </row>
    <row r="72" spans="2:15" hidden="1" x14ac:dyDescent="0.25">
      <c r="B72" s="134">
        <f t="shared" si="7"/>
        <v>42952</v>
      </c>
      <c r="C72" s="47">
        <v>47</v>
      </c>
      <c r="D72" s="47"/>
      <c r="E72" s="123">
        <f t="shared" si="0"/>
        <v>404.95324200483321</v>
      </c>
      <c r="G72" s="48" t="e">
        <f t="shared" si="1"/>
        <v>#NUM!</v>
      </c>
      <c r="I72" s="48" t="e">
        <f t="shared" si="2"/>
        <v>#NUM!</v>
      </c>
      <c r="K72" s="48" t="e">
        <f t="shared" si="3"/>
        <v>#NUM!</v>
      </c>
      <c r="M72" s="48" t="e">
        <f t="shared" si="4"/>
        <v>#NUM!</v>
      </c>
      <c r="O72" s="123">
        <f t="shared" si="5"/>
        <v>404.95324200483321</v>
      </c>
    </row>
    <row r="73" spans="2:15" hidden="1" x14ac:dyDescent="0.25">
      <c r="B73" s="134">
        <f t="shared" si="7"/>
        <v>42967</v>
      </c>
      <c r="C73" s="47">
        <v>48</v>
      </c>
      <c r="D73" s="47"/>
      <c r="E73" s="123">
        <f t="shared" si="0"/>
        <v>404.95324200483321</v>
      </c>
      <c r="G73" s="48" t="e">
        <f t="shared" si="1"/>
        <v>#NUM!</v>
      </c>
      <c r="I73" s="48" t="e">
        <f t="shared" si="2"/>
        <v>#NUM!</v>
      </c>
      <c r="K73" s="48" t="e">
        <f t="shared" si="3"/>
        <v>#NUM!</v>
      </c>
      <c r="M73" s="48" t="e">
        <f t="shared" si="4"/>
        <v>#NUM!</v>
      </c>
      <c r="O73" s="123">
        <f t="shared" si="5"/>
        <v>404.95324200483321</v>
      </c>
    </row>
    <row r="74" spans="2:15" hidden="1" x14ac:dyDescent="0.25">
      <c r="B74" s="134">
        <f t="shared" si="7"/>
        <v>42982</v>
      </c>
      <c r="C74" s="47">
        <v>49</v>
      </c>
      <c r="D74" s="47"/>
      <c r="E74" s="123">
        <f t="shared" si="0"/>
        <v>404.95324200483321</v>
      </c>
      <c r="G74" s="48" t="e">
        <f t="shared" si="1"/>
        <v>#NUM!</v>
      </c>
      <c r="I74" s="48" t="e">
        <f t="shared" si="2"/>
        <v>#NUM!</v>
      </c>
      <c r="K74" s="48" t="e">
        <f t="shared" si="3"/>
        <v>#NUM!</v>
      </c>
      <c r="M74" s="48" t="e">
        <f t="shared" si="4"/>
        <v>#NUM!</v>
      </c>
      <c r="O74" s="123">
        <f t="shared" si="5"/>
        <v>404.95324200483321</v>
      </c>
    </row>
    <row r="75" spans="2:15" hidden="1" x14ac:dyDescent="0.25">
      <c r="B75" s="134">
        <f t="shared" si="7"/>
        <v>42997</v>
      </c>
      <c r="C75" s="47">
        <v>50</v>
      </c>
      <c r="D75" s="47"/>
      <c r="E75" s="123">
        <f t="shared" si="0"/>
        <v>404.95324200483321</v>
      </c>
      <c r="G75" s="48" t="e">
        <f t="shared" si="1"/>
        <v>#NUM!</v>
      </c>
      <c r="I75" s="48" t="e">
        <f t="shared" si="2"/>
        <v>#NUM!</v>
      </c>
      <c r="K75" s="48" t="e">
        <f t="shared" si="3"/>
        <v>#NUM!</v>
      </c>
      <c r="M75" s="48" t="e">
        <f t="shared" si="4"/>
        <v>#NUM!</v>
      </c>
      <c r="O75" s="123">
        <f t="shared" si="5"/>
        <v>404.95324200483321</v>
      </c>
    </row>
    <row r="76" spans="2:15" hidden="1" x14ac:dyDescent="0.25">
      <c r="B76" s="134">
        <f t="shared" si="7"/>
        <v>43012</v>
      </c>
      <c r="C76" s="47">
        <v>51</v>
      </c>
      <c r="D76" s="47"/>
      <c r="E76" s="123">
        <f t="shared" si="0"/>
        <v>404.95324200483321</v>
      </c>
      <c r="G76" s="48" t="e">
        <f t="shared" si="1"/>
        <v>#NUM!</v>
      </c>
      <c r="I76" s="48" t="e">
        <f t="shared" si="2"/>
        <v>#NUM!</v>
      </c>
      <c r="K76" s="48" t="e">
        <f t="shared" si="3"/>
        <v>#NUM!</v>
      </c>
      <c r="M76" s="48" t="e">
        <f t="shared" si="4"/>
        <v>#NUM!</v>
      </c>
      <c r="O76" s="123">
        <f t="shared" si="5"/>
        <v>404.95324200483321</v>
      </c>
    </row>
    <row r="77" spans="2:15" hidden="1" x14ac:dyDescent="0.25">
      <c r="B77" s="134">
        <f t="shared" si="7"/>
        <v>43027</v>
      </c>
      <c r="C77" s="47">
        <v>52</v>
      </c>
      <c r="D77" s="47"/>
      <c r="E77" s="123">
        <f t="shared" si="0"/>
        <v>404.95324200483321</v>
      </c>
      <c r="G77" s="48" t="e">
        <f t="shared" si="1"/>
        <v>#NUM!</v>
      </c>
      <c r="I77" s="48" t="e">
        <f t="shared" si="2"/>
        <v>#NUM!</v>
      </c>
      <c r="K77" s="48" t="e">
        <f t="shared" si="3"/>
        <v>#NUM!</v>
      </c>
      <c r="M77" s="48" t="e">
        <f t="shared" si="4"/>
        <v>#NUM!</v>
      </c>
      <c r="O77" s="123">
        <f t="shared" si="5"/>
        <v>404.95324200483321</v>
      </c>
    </row>
    <row r="78" spans="2:15" hidden="1" x14ac:dyDescent="0.25">
      <c r="B78" s="134">
        <f t="shared" si="7"/>
        <v>43042</v>
      </c>
      <c r="C78" s="47">
        <v>53</v>
      </c>
      <c r="D78" s="47"/>
      <c r="E78" s="123">
        <f t="shared" si="0"/>
        <v>404.95324200483321</v>
      </c>
      <c r="G78" s="48" t="e">
        <f t="shared" si="1"/>
        <v>#NUM!</v>
      </c>
      <c r="I78" s="48" t="e">
        <f t="shared" si="2"/>
        <v>#NUM!</v>
      </c>
      <c r="K78" s="48" t="e">
        <f t="shared" si="3"/>
        <v>#NUM!</v>
      </c>
      <c r="M78" s="48" t="e">
        <f t="shared" si="4"/>
        <v>#NUM!</v>
      </c>
      <c r="O78" s="123">
        <f t="shared" si="5"/>
        <v>404.95324200483321</v>
      </c>
    </row>
    <row r="79" spans="2:15" hidden="1" x14ac:dyDescent="0.25">
      <c r="B79" s="134">
        <f t="shared" si="7"/>
        <v>43057</v>
      </c>
      <c r="C79" s="47">
        <v>54</v>
      </c>
      <c r="D79" s="47"/>
      <c r="E79" s="123">
        <f t="shared" si="0"/>
        <v>404.95324200483321</v>
      </c>
      <c r="G79" s="48" t="e">
        <f t="shared" si="1"/>
        <v>#NUM!</v>
      </c>
      <c r="I79" s="48" t="e">
        <f t="shared" si="2"/>
        <v>#NUM!</v>
      </c>
      <c r="K79" s="48" t="e">
        <f t="shared" si="3"/>
        <v>#NUM!</v>
      </c>
      <c r="M79" s="48" t="e">
        <f t="shared" si="4"/>
        <v>#NUM!</v>
      </c>
      <c r="O79" s="123">
        <f t="shared" si="5"/>
        <v>404.95324200483321</v>
      </c>
    </row>
    <row r="80" spans="2:15" hidden="1" x14ac:dyDescent="0.25">
      <c r="B80" s="134">
        <f t="shared" si="7"/>
        <v>43072</v>
      </c>
      <c r="C80" s="47">
        <v>55</v>
      </c>
      <c r="D80" s="47"/>
      <c r="E80" s="123">
        <f t="shared" si="0"/>
        <v>404.95324200483321</v>
      </c>
      <c r="G80" s="48" t="e">
        <f t="shared" si="1"/>
        <v>#NUM!</v>
      </c>
      <c r="I80" s="48" t="e">
        <f t="shared" si="2"/>
        <v>#NUM!</v>
      </c>
      <c r="K80" s="48" t="e">
        <f t="shared" si="3"/>
        <v>#NUM!</v>
      </c>
      <c r="M80" s="48" t="e">
        <f t="shared" si="4"/>
        <v>#NUM!</v>
      </c>
      <c r="O80" s="123">
        <f t="shared" si="5"/>
        <v>404.95324200483321</v>
      </c>
    </row>
    <row r="81" spans="2:15" hidden="1" x14ac:dyDescent="0.25">
      <c r="B81" s="134">
        <f t="shared" si="7"/>
        <v>43087</v>
      </c>
      <c r="C81" s="47">
        <v>56</v>
      </c>
      <c r="D81" s="47"/>
      <c r="E81" s="123">
        <f t="shared" si="0"/>
        <v>404.95324200483321</v>
      </c>
      <c r="G81" s="48" t="e">
        <f t="shared" si="1"/>
        <v>#NUM!</v>
      </c>
      <c r="I81" s="48" t="e">
        <f t="shared" si="2"/>
        <v>#NUM!</v>
      </c>
      <c r="K81" s="48" t="e">
        <f t="shared" si="3"/>
        <v>#NUM!</v>
      </c>
      <c r="M81" s="48" t="e">
        <f t="shared" si="4"/>
        <v>#NUM!</v>
      </c>
      <c r="O81" s="123">
        <f t="shared" si="5"/>
        <v>404.95324200483321</v>
      </c>
    </row>
    <row r="82" spans="2:15" hidden="1" x14ac:dyDescent="0.25">
      <c r="B82" s="134">
        <f t="shared" si="7"/>
        <v>43102</v>
      </c>
      <c r="C82" s="47">
        <v>57</v>
      </c>
      <c r="D82" s="47"/>
      <c r="E82" s="123">
        <f t="shared" si="0"/>
        <v>404.95324200483321</v>
      </c>
      <c r="G82" s="48" t="e">
        <f t="shared" si="1"/>
        <v>#NUM!</v>
      </c>
      <c r="I82" s="48" t="e">
        <f t="shared" si="2"/>
        <v>#NUM!</v>
      </c>
      <c r="K82" s="48" t="e">
        <f t="shared" si="3"/>
        <v>#NUM!</v>
      </c>
      <c r="M82" s="48" t="e">
        <f t="shared" si="4"/>
        <v>#NUM!</v>
      </c>
      <c r="O82" s="123">
        <f t="shared" si="5"/>
        <v>404.95324200483321</v>
      </c>
    </row>
    <row r="83" spans="2:15" hidden="1" x14ac:dyDescent="0.25">
      <c r="B83" s="134">
        <f t="shared" si="7"/>
        <v>43117</v>
      </c>
      <c r="C83" s="47">
        <v>58</v>
      </c>
      <c r="D83" s="47"/>
      <c r="E83" s="123">
        <f t="shared" si="0"/>
        <v>404.95324200483321</v>
      </c>
      <c r="G83" s="48" t="e">
        <f t="shared" si="1"/>
        <v>#NUM!</v>
      </c>
      <c r="I83" s="48" t="e">
        <f t="shared" si="2"/>
        <v>#NUM!</v>
      </c>
      <c r="K83" s="48" t="e">
        <f t="shared" si="3"/>
        <v>#NUM!</v>
      </c>
      <c r="M83" s="48" t="e">
        <f t="shared" si="4"/>
        <v>#NUM!</v>
      </c>
      <c r="O83" s="123">
        <f t="shared" si="5"/>
        <v>404.95324200483321</v>
      </c>
    </row>
    <row r="84" spans="2:15" hidden="1" x14ac:dyDescent="0.25">
      <c r="B84" s="134">
        <f t="shared" si="7"/>
        <v>43132</v>
      </c>
      <c r="C84" s="47">
        <v>59</v>
      </c>
      <c r="D84" s="47"/>
      <c r="E84" s="123">
        <f t="shared" si="0"/>
        <v>404.95324200483321</v>
      </c>
      <c r="G84" s="48" t="e">
        <f t="shared" si="1"/>
        <v>#NUM!</v>
      </c>
      <c r="I84" s="48" t="e">
        <f t="shared" si="2"/>
        <v>#NUM!</v>
      </c>
      <c r="K84" s="48" t="e">
        <f t="shared" si="3"/>
        <v>#NUM!</v>
      </c>
      <c r="M84" s="48" t="e">
        <f t="shared" si="4"/>
        <v>#NUM!</v>
      </c>
      <c r="O84" s="123">
        <f t="shared" si="5"/>
        <v>404.95324200483321</v>
      </c>
    </row>
    <row r="85" spans="2:15" hidden="1" x14ac:dyDescent="0.25">
      <c r="B85" s="134">
        <f t="shared" si="7"/>
        <v>43147</v>
      </c>
      <c r="C85" s="47">
        <v>60</v>
      </c>
      <c r="D85" s="47"/>
      <c r="E85" s="123">
        <f t="shared" si="0"/>
        <v>404.95324200483321</v>
      </c>
      <c r="G85" s="48" t="e">
        <f t="shared" si="1"/>
        <v>#NUM!</v>
      </c>
      <c r="I85" s="48" t="e">
        <f t="shared" si="2"/>
        <v>#NUM!</v>
      </c>
      <c r="K85" s="48" t="e">
        <f t="shared" si="3"/>
        <v>#NUM!</v>
      </c>
      <c r="M85" s="48" t="e">
        <f t="shared" si="4"/>
        <v>#NUM!</v>
      </c>
      <c r="O85" s="123">
        <f t="shared" si="5"/>
        <v>404.95324200483321</v>
      </c>
    </row>
    <row r="86" spans="2:15" hidden="1" x14ac:dyDescent="0.25">
      <c r="B86" s="134">
        <f t="shared" si="7"/>
        <v>43162</v>
      </c>
      <c r="C86" s="47">
        <v>61</v>
      </c>
      <c r="D86" s="47"/>
      <c r="E86" s="123">
        <f t="shared" si="0"/>
        <v>404.95324200483321</v>
      </c>
      <c r="G86" s="48" t="e">
        <f t="shared" si="1"/>
        <v>#NUM!</v>
      </c>
      <c r="I86" s="48" t="e">
        <f t="shared" si="2"/>
        <v>#NUM!</v>
      </c>
      <c r="K86" s="48" t="e">
        <f t="shared" si="3"/>
        <v>#NUM!</v>
      </c>
      <c r="M86" s="48" t="e">
        <f t="shared" si="4"/>
        <v>#NUM!</v>
      </c>
      <c r="O86" s="123">
        <f t="shared" si="5"/>
        <v>404.95324200483321</v>
      </c>
    </row>
    <row r="87" spans="2:15" hidden="1" x14ac:dyDescent="0.25">
      <c r="B87" s="134">
        <f t="shared" si="7"/>
        <v>43177</v>
      </c>
      <c r="C87" s="47">
        <v>62</v>
      </c>
      <c r="D87" s="47"/>
      <c r="E87" s="123">
        <f t="shared" si="0"/>
        <v>404.95324200483321</v>
      </c>
      <c r="G87" s="48" t="e">
        <f t="shared" si="1"/>
        <v>#NUM!</v>
      </c>
      <c r="I87" s="48" t="e">
        <f t="shared" si="2"/>
        <v>#NUM!</v>
      </c>
      <c r="K87" s="48" t="e">
        <f t="shared" si="3"/>
        <v>#NUM!</v>
      </c>
      <c r="M87" s="48" t="e">
        <f t="shared" si="4"/>
        <v>#NUM!</v>
      </c>
      <c r="O87" s="123">
        <f t="shared" si="5"/>
        <v>404.95324200483321</v>
      </c>
    </row>
    <row r="88" spans="2:15" hidden="1" x14ac:dyDescent="0.25">
      <c r="B88" s="134">
        <f t="shared" si="7"/>
        <v>43192</v>
      </c>
      <c r="C88" s="47">
        <v>63</v>
      </c>
      <c r="D88" s="47"/>
      <c r="E88" s="123">
        <f t="shared" si="0"/>
        <v>404.95324200483321</v>
      </c>
      <c r="G88" s="48" t="e">
        <f t="shared" si="1"/>
        <v>#NUM!</v>
      </c>
      <c r="I88" s="48" t="e">
        <f t="shared" si="2"/>
        <v>#NUM!</v>
      </c>
      <c r="K88" s="48" t="e">
        <f t="shared" si="3"/>
        <v>#NUM!</v>
      </c>
      <c r="M88" s="48" t="e">
        <f t="shared" si="4"/>
        <v>#NUM!</v>
      </c>
      <c r="O88" s="123">
        <f t="shared" si="5"/>
        <v>404.95324200483321</v>
      </c>
    </row>
    <row r="89" spans="2:15" hidden="1" x14ac:dyDescent="0.25">
      <c r="B89" s="134">
        <f t="shared" si="7"/>
        <v>43207</v>
      </c>
      <c r="C89" s="47">
        <v>64</v>
      </c>
      <c r="D89" s="47"/>
      <c r="E89" s="123">
        <f t="shared" si="0"/>
        <v>404.95324200483321</v>
      </c>
      <c r="G89" s="48" t="e">
        <f t="shared" si="1"/>
        <v>#NUM!</v>
      </c>
      <c r="I89" s="48" t="e">
        <f t="shared" si="2"/>
        <v>#NUM!</v>
      </c>
      <c r="K89" s="48" t="e">
        <f t="shared" si="3"/>
        <v>#NUM!</v>
      </c>
      <c r="M89" s="48" t="e">
        <f t="shared" si="4"/>
        <v>#NUM!</v>
      </c>
      <c r="O89" s="123">
        <f t="shared" si="5"/>
        <v>404.95324200483321</v>
      </c>
    </row>
    <row r="90" spans="2:15" hidden="1" x14ac:dyDescent="0.25">
      <c r="B90" s="134">
        <f t="shared" si="7"/>
        <v>43222</v>
      </c>
      <c r="C90" s="47">
        <v>65</v>
      </c>
      <c r="D90" s="47"/>
      <c r="E90" s="123">
        <f t="shared" si="0"/>
        <v>404.95324200483321</v>
      </c>
      <c r="G90" s="48" t="e">
        <f t="shared" si="1"/>
        <v>#NUM!</v>
      </c>
      <c r="I90" s="48" t="e">
        <f t="shared" si="2"/>
        <v>#NUM!</v>
      </c>
      <c r="K90" s="48" t="e">
        <f t="shared" si="3"/>
        <v>#NUM!</v>
      </c>
      <c r="M90" s="48" t="e">
        <f t="shared" si="4"/>
        <v>#NUM!</v>
      </c>
      <c r="O90" s="123">
        <f t="shared" si="5"/>
        <v>404.95324200483321</v>
      </c>
    </row>
    <row r="91" spans="2:15" hidden="1" x14ac:dyDescent="0.25">
      <c r="B91" s="134">
        <f t="shared" si="7"/>
        <v>43237</v>
      </c>
      <c r="C91" s="47">
        <v>66</v>
      </c>
      <c r="D91" s="47"/>
      <c r="E91" s="123">
        <f t="shared" ref="E91:E145" si="8">PMT($C$10/24,$C$12,-$C$13,0)</f>
        <v>404.95324200483321</v>
      </c>
      <c r="G91" s="48" t="e">
        <f t="shared" ref="G91:G145" si="9">PPMT($C$10/24,C91,$C$12,-$C$13)</f>
        <v>#NUM!</v>
      </c>
      <c r="I91" s="48" t="e">
        <f t="shared" ref="I91:I145" si="10">IPMT($C$10/24,C91,$C$12,-$C$13)</f>
        <v>#NUM!</v>
      </c>
      <c r="K91" s="48" t="e">
        <f t="shared" ref="K91:K97" si="11">+I91/1.16</f>
        <v>#NUM!</v>
      </c>
      <c r="M91" s="48" t="e">
        <f t="shared" ref="M91:M97" si="12">+K91*0.16</f>
        <v>#NUM!</v>
      </c>
      <c r="O91" s="123">
        <f t="shared" ref="O91:O145" si="13">+E91</f>
        <v>404.95324200483321</v>
      </c>
    </row>
    <row r="92" spans="2:15" hidden="1" x14ac:dyDescent="0.25">
      <c r="B92" s="134">
        <f t="shared" si="7"/>
        <v>43252</v>
      </c>
      <c r="C92" s="47">
        <v>67</v>
      </c>
      <c r="D92" s="47"/>
      <c r="E92" s="123">
        <f t="shared" si="8"/>
        <v>404.95324200483321</v>
      </c>
      <c r="G92" s="48" t="e">
        <f t="shared" si="9"/>
        <v>#NUM!</v>
      </c>
      <c r="I92" s="48" t="e">
        <f t="shared" si="10"/>
        <v>#NUM!</v>
      </c>
      <c r="K92" s="48" t="e">
        <f t="shared" si="11"/>
        <v>#NUM!</v>
      </c>
      <c r="M92" s="48" t="e">
        <f t="shared" si="12"/>
        <v>#NUM!</v>
      </c>
      <c r="O92" s="123">
        <f t="shared" si="13"/>
        <v>404.95324200483321</v>
      </c>
    </row>
    <row r="93" spans="2:15" hidden="1" x14ac:dyDescent="0.25">
      <c r="B93" s="134">
        <f t="shared" si="7"/>
        <v>43267</v>
      </c>
      <c r="C93" s="47">
        <v>68</v>
      </c>
      <c r="D93" s="47"/>
      <c r="E93" s="123">
        <f t="shared" si="8"/>
        <v>404.95324200483321</v>
      </c>
      <c r="G93" s="48" t="e">
        <f t="shared" si="9"/>
        <v>#NUM!</v>
      </c>
      <c r="I93" s="48" t="e">
        <f t="shared" si="10"/>
        <v>#NUM!</v>
      </c>
      <c r="K93" s="48" t="e">
        <f t="shared" si="11"/>
        <v>#NUM!</v>
      </c>
      <c r="M93" s="48" t="e">
        <f t="shared" si="12"/>
        <v>#NUM!</v>
      </c>
      <c r="O93" s="123">
        <f t="shared" si="13"/>
        <v>404.95324200483321</v>
      </c>
    </row>
    <row r="94" spans="2:15" hidden="1" x14ac:dyDescent="0.25">
      <c r="B94" s="134">
        <f t="shared" si="7"/>
        <v>43282</v>
      </c>
      <c r="C94" s="47">
        <v>69</v>
      </c>
      <c r="D94" s="47"/>
      <c r="E94" s="123">
        <f t="shared" si="8"/>
        <v>404.95324200483321</v>
      </c>
      <c r="G94" s="48" t="e">
        <f t="shared" si="9"/>
        <v>#NUM!</v>
      </c>
      <c r="I94" s="48" t="e">
        <f t="shared" si="10"/>
        <v>#NUM!</v>
      </c>
      <c r="K94" s="48" t="e">
        <f t="shared" si="11"/>
        <v>#NUM!</v>
      </c>
      <c r="M94" s="48" t="e">
        <f t="shared" si="12"/>
        <v>#NUM!</v>
      </c>
      <c r="O94" s="123">
        <f t="shared" si="13"/>
        <v>404.95324200483321</v>
      </c>
    </row>
    <row r="95" spans="2:15" hidden="1" x14ac:dyDescent="0.25">
      <c r="B95" s="134">
        <f t="shared" si="7"/>
        <v>43297</v>
      </c>
      <c r="C95" s="47">
        <v>70</v>
      </c>
      <c r="D95" s="47"/>
      <c r="E95" s="123">
        <f t="shared" si="8"/>
        <v>404.95324200483321</v>
      </c>
      <c r="G95" s="48" t="e">
        <f t="shared" si="9"/>
        <v>#NUM!</v>
      </c>
      <c r="I95" s="48" t="e">
        <f t="shared" si="10"/>
        <v>#NUM!</v>
      </c>
      <c r="K95" s="48" t="e">
        <f t="shared" si="11"/>
        <v>#NUM!</v>
      </c>
      <c r="M95" s="48" t="e">
        <f t="shared" si="12"/>
        <v>#NUM!</v>
      </c>
      <c r="O95" s="123">
        <f t="shared" si="13"/>
        <v>404.95324200483321</v>
      </c>
    </row>
    <row r="96" spans="2:15" hidden="1" x14ac:dyDescent="0.25">
      <c r="B96" s="134">
        <f t="shared" si="7"/>
        <v>43312</v>
      </c>
      <c r="C96" s="47">
        <v>71</v>
      </c>
      <c r="D96" s="47"/>
      <c r="E96" s="123">
        <f t="shared" si="8"/>
        <v>404.95324200483321</v>
      </c>
      <c r="G96" s="48" t="e">
        <f t="shared" si="9"/>
        <v>#NUM!</v>
      </c>
      <c r="I96" s="48" t="e">
        <f t="shared" si="10"/>
        <v>#NUM!</v>
      </c>
      <c r="K96" s="48" t="e">
        <f t="shared" si="11"/>
        <v>#NUM!</v>
      </c>
      <c r="M96" s="48" t="e">
        <f t="shared" si="12"/>
        <v>#NUM!</v>
      </c>
      <c r="O96" s="123">
        <f t="shared" si="13"/>
        <v>404.95324200483321</v>
      </c>
    </row>
    <row r="97" spans="2:15" hidden="1" x14ac:dyDescent="0.25">
      <c r="B97" s="134">
        <f t="shared" si="7"/>
        <v>43327</v>
      </c>
      <c r="C97" s="47">
        <v>72</v>
      </c>
      <c r="D97" s="47"/>
      <c r="E97" s="123">
        <f t="shared" si="8"/>
        <v>404.95324200483321</v>
      </c>
      <c r="G97" s="48" t="e">
        <f t="shared" si="9"/>
        <v>#NUM!</v>
      </c>
      <c r="I97" s="48" t="e">
        <f t="shared" si="10"/>
        <v>#NUM!</v>
      </c>
      <c r="K97" s="48" t="e">
        <f t="shared" si="11"/>
        <v>#NUM!</v>
      </c>
      <c r="M97" s="48" t="e">
        <f t="shared" si="12"/>
        <v>#NUM!</v>
      </c>
      <c r="O97" s="123">
        <f t="shared" si="13"/>
        <v>404.95324200483321</v>
      </c>
    </row>
    <row r="98" spans="2:15" hidden="1" x14ac:dyDescent="0.25">
      <c r="B98" s="134">
        <f t="shared" si="7"/>
        <v>43342</v>
      </c>
      <c r="C98" s="47">
        <v>73</v>
      </c>
      <c r="D98" s="47"/>
      <c r="E98" s="123">
        <f t="shared" si="8"/>
        <v>404.95324200483321</v>
      </c>
      <c r="G98" s="48" t="e">
        <f t="shared" si="9"/>
        <v>#NUM!</v>
      </c>
      <c r="I98" s="48" t="e">
        <f t="shared" si="10"/>
        <v>#NUM!</v>
      </c>
      <c r="O98" s="123">
        <f t="shared" si="13"/>
        <v>404.95324200483321</v>
      </c>
    </row>
    <row r="99" spans="2:15" hidden="1" x14ac:dyDescent="0.25">
      <c r="B99" s="134">
        <f t="shared" si="7"/>
        <v>43357</v>
      </c>
      <c r="C99" s="47">
        <v>74</v>
      </c>
      <c r="D99" s="47"/>
      <c r="E99" s="123">
        <f t="shared" si="8"/>
        <v>404.95324200483321</v>
      </c>
      <c r="G99" s="48" t="e">
        <f t="shared" si="9"/>
        <v>#NUM!</v>
      </c>
      <c r="I99" s="48" t="e">
        <f t="shared" si="10"/>
        <v>#NUM!</v>
      </c>
      <c r="O99" s="123">
        <f t="shared" si="13"/>
        <v>404.95324200483321</v>
      </c>
    </row>
    <row r="100" spans="2:15" hidden="1" x14ac:dyDescent="0.25">
      <c r="B100" s="134">
        <f t="shared" si="7"/>
        <v>43372</v>
      </c>
      <c r="C100" s="47">
        <v>75</v>
      </c>
      <c r="D100" s="47"/>
      <c r="E100" s="123">
        <f t="shared" si="8"/>
        <v>404.95324200483321</v>
      </c>
      <c r="G100" s="48" t="e">
        <f t="shared" si="9"/>
        <v>#NUM!</v>
      </c>
      <c r="I100" s="48" t="e">
        <f t="shared" si="10"/>
        <v>#NUM!</v>
      </c>
      <c r="O100" s="123">
        <f t="shared" si="13"/>
        <v>404.95324200483321</v>
      </c>
    </row>
    <row r="101" spans="2:15" hidden="1" x14ac:dyDescent="0.25">
      <c r="B101" s="134">
        <f t="shared" si="7"/>
        <v>43387</v>
      </c>
      <c r="C101" s="47">
        <v>76</v>
      </c>
      <c r="D101" s="47"/>
      <c r="E101" s="123">
        <f t="shared" si="8"/>
        <v>404.95324200483321</v>
      </c>
      <c r="G101" s="48" t="e">
        <f t="shared" si="9"/>
        <v>#NUM!</v>
      </c>
      <c r="I101" s="48" t="e">
        <f t="shared" si="10"/>
        <v>#NUM!</v>
      </c>
      <c r="O101" s="123">
        <f t="shared" si="13"/>
        <v>404.95324200483321</v>
      </c>
    </row>
    <row r="102" spans="2:15" hidden="1" x14ac:dyDescent="0.25">
      <c r="B102" s="134">
        <f t="shared" si="7"/>
        <v>43402</v>
      </c>
      <c r="C102" s="47">
        <v>77</v>
      </c>
      <c r="D102" s="47"/>
      <c r="E102" s="123">
        <f t="shared" si="8"/>
        <v>404.95324200483321</v>
      </c>
      <c r="G102" s="48" t="e">
        <f t="shared" si="9"/>
        <v>#NUM!</v>
      </c>
      <c r="I102" s="48" t="e">
        <f t="shared" si="10"/>
        <v>#NUM!</v>
      </c>
      <c r="O102" s="123">
        <f t="shared" si="13"/>
        <v>404.95324200483321</v>
      </c>
    </row>
    <row r="103" spans="2:15" hidden="1" x14ac:dyDescent="0.25">
      <c r="B103" s="134">
        <f t="shared" si="7"/>
        <v>43417</v>
      </c>
      <c r="C103" s="47">
        <v>78</v>
      </c>
      <c r="D103" s="47"/>
      <c r="E103" s="123">
        <f t="shared" si="8"/>
        <v>404.95324200483321</v>
      </c>
      <c r="G103" s="48" t="e">
        <f t="shared" si="9"/>
        <v>#NUM!</v>
      </c>
      <c r="I103" s="48" t="e">
        <f t="shared" si="10"/>
        <v>#NUM!</v>
      </c>
      <c r="O103" s="123">
        <f t="shared" si="13"/>
        <v>404.95324200483321</v>
      </c>
    </row>
    <row r="104" spans="2:15" hidden="1" x14ac:dyDescent="0.25">
      <c r="B104" s="134">
        <f t="shared" si="7"/>
        <v>43432</v>
      </c>
      <c r="C104" s="47">
        <v>79</v>
      </c>
      <c r="D104" s="47"/>
      <c r="E104" s="123">
        <f t="shared" si="8"/>
        <v>404.95324200483321</v>
      </c>
      <c r="G104" s="48" t="e">
        <f t="shared" si="9"/>
        <v>#NUM!</v>
      </c>
      <c r="I104" s="48" t="e">
        <f t="shared" si="10"/>
        <v>#NUM!</v>
      </c>
      <c r="O104" s="123">
        <f t="shared" si="13"/>
        <v>404.95324200483321</v>
      </c>
    </row>
    <row r="105" spans="2:15" hidden="1" x14ac:dyDescent="0.25">
      <c r="B105" s="134">
        <f t="shared" si="7"/>
        <v>43447</v>
      </c>
      <c r="C105" s="47">
        <v>80</v>
      </c>
      <c r="D105" s="47"/>
      <c r="E105" s="123">
        <f t="shared" si="8"/>
        <v>404.95324200483321</v>
      </c>
      <c r="G105" s="48" t="e">
        <f t="shared" si="9"/>
        <v>#NUM!</v>
      </c>
      <c r="I105" s="48" t="e">
        <f t="shared" si="10"/>
        <v>#NUM!</v>
      </c>
      <c r="O105" s="123">
        <f t="shared" si="13"/>
        <v>404.95324200483321</v>
      </c>
    </row>
    <row r="106" spans="2:15" hidden="1" x14ac:dyDescent="0.25">
      <c r="B106" s="134">
        <f t="shared" si="7"/>
        <v>43462</v>
      </c>
      <c r="C106" s="47">
        <v>81</v>
      </c>
      <c r="D106" s="47"/>
      <c r="E106" s="123">
        <f t="shared" si="8"/>
        <v>404.95324200483321</v>
      </c>
      <c r="G106" s="48" t="e">
        <f t="shared" si="9"/>
        <v>#NUM!</v>
      </c>
      <c r="I106" s="48" t="e">
        <f t="shared" si="10"/>
        <v>#NUM!</v>
      </c>
      <c r="O106" s="123">
        <f t="shared" si="13"/>
        <v>404.95324200483321</v>
      </c>
    </row>
    <row r="107" spans="2:15" hidden="1" x14ac:dyDescent="0.25">
      <c r="B107" s="134">
        <f t="shared" si="7"/>
        <v>43477</v>
      </c>
      <c r="C107" s="47">
        <v>82</v>
      </c>
      <c r="D107" s="47"/>
      <c r="E107" s="123">
        <f t="shared" si="8"/>
        <v>404.95324200483321</v>
      </c>
      <c r="G107" s="48" t="e">
        <f t="shared" si="9"/>
        <v>#NUM!</v>
      </c>
      <c r="I107" s="48" t="e">
        <f t="shared" si="10"/>
        <v>#NUM!</v>
      </c>
      <c r="O107" s="123">
        <f t="shared" si="13"/>
        <v>404.95324200483321</v>
      </c>
    </row>
    <row r="108" spans="2:15" hidden="1" x14ac:dyDescent="0.25">
      <c r="B108" s="134">
        <f t="shared" si="7"/>
        <v>43492</v>
      </c>
      <c r="C108" s="47">
        <v>83</v>
      </c>
      <c r="D108" s="47"/>
      <c r="E108" s="123">
        <f t="shared" si="8"/>
        <v>404.95324200483321</v>
      </c>
      <c r="G108" s="48" t="e">
        <f t="shared" si="9"/>
        <v>#NUM!</v>
      </c>
      <c r="I108" s="48" t="e">
        <f t="shared" si="10"/>
        <v>#NUM!</v>
      </c>
      <c r="O108" s="123">
        <f t="shared" si="13"/>
        <v>404.95324200483321</v>
      </c>
    </row>
    <row r="109" spans="2:15" hidden="1" x14ac:dyDescent="0.25">
      <c r="B109" s="134">
        <f t="shared" si="7"/>
        <v>43507</v>
      </c>
      <c r="C109" s="47">
        <v>84</v>
      </c>
      <c r="D109" s="47"/>
      <c r="E109" s="123">
        <f t="shared" si="8"/>
        <v>404.95324200483321</v>
      </c>
      <c r="G109" s="48" t="e">
        <f t="shared" si="9"/>
        <v>#NUM!</v>
      </c>
      <c r="I109" s="48" t="e">
        <f t="shared" si="10"/>
        <v>#NUM!</v>
      </c>
      <c r="O109" s="123">
        <f t="shared" si="13"/>
        <v>404.95324200483321</v>
      </c>
    </row>
    <row r="110" spans="2:15" hidden="1" x14ac:dyDescent="0.25">
      <c r="B110" s="134">
        <f t="shared" si="7"/>
        <v>43522</v>
      </c>
      <c r="C110" s="47">
        <v>85</v>
      </c>
      <c r="D110" s="47"/>
      <c r="E110" s="123">
        <f t="shared" si="8"/>
        <v>404.95324200483321</v>
      </c>
      <c r="G110" s="48" t="e">
        <f t="shared" si="9"/>
        <v>#NUM!</v>
      </c>
      <c r="I110" s="48" t="e">
        <f t="shared" si="10"/>
        <v>#NUM!</v>
      </c>
      <c r="O110" s="123">
        <f t="shared" si="13"/>
        <v>404.95324200483321</v>
      </c>
    </row>
    <row r="111" spans="2:15" hidden="1" x14ac:dyDescent="0.25">
      <c r="B111" s="134">
        <f t="shared" si="7"/>
        <v>43537</v>
      </c>
      <c r="C111" s="47">
        <v>86</v>
      </c>
      <c r="D111" s="47"/>
      <c r="E111" s="123">
        <f t="shared" si="8"/>
        <v>404.95324200483321</v>
      </c>
      <c r="G111" s="48" t="e">
        <f t="shared" si="9"/>
        <v>#NUM!</v>
      </c>
      <c r="I111" s="48" t="e">
        <f t="shared" si="10"/>
        <v>#NUM!</v>
      </c>
      <c r="O111" s="123">
        <f t="shared" si="13"/>
        <v>404.95324200483321</v>
      </c>
    </row>
    <row r="112" spans="2:15" hidden="1" x14ac:dyDescent="0.25">
      <c r="B112" s="134">
        <f t="shared" si="7"/>
        <v>43552</v>
      </c>
      <c r="C112" s="47">
        <v>87</v>
      </c>
      <c r="D112" s="47"/>
      <c r="E112" s="123">
        <f t="shared" si="8"/>
        <v>404.95324200483321</v>
      </c>
      <c r="G112" s="48" t="e">
        <f t="shared" si="9"/>
        <v>#NUM!</v>
      </c>
      <c r="I112" s="48" t="e">
        <f t="shared" si="10"/>
        <v>#NUM!</v>
      </c>
      <c r="O112" s="123">
        <f t="shared" si="13"/>
        <v>404.95324200483321</v>
      </c>
    </row>
    <row r="113" spans="2:15" hidden="1" x14ac:dyDescent="0.25">
      <c r="B113" s="134">
        <f t="shared" si="7"/>
        <v>43567</v>
      </c>
      <c r="C113" s="47">
        <v>88</v>
      </c>
      <c r="D113" s="47"/>
      <c r="E113" s="123">
        <f t="shared" si="8"/>
        <v>404.95324200483321</v>
      </c>
      <c r="G113" s="48" t="e">
        <f t="shared" si="9"/>
        <v>#NUM!</v>
      </c>
      <c r="I113" s="48" t="e">
        <f t="shared" si="10"/>
        <v>#NUM!</v>
      </c>
      <c r="O113" s="123">
        <f t="shared" si="13"/>
        <v>404.95324200483321</v>
      </c>
    </row>
    <row r="114" spans="2:15" hidden="1" x14ac:dyDescent="0.25">
      <c r="B114" s="134">
        <f t="shared" ref="B114:B145" si="14">+B113+15</f>
        <v>43582</v>
      </c>
      <c r="C114" s="47">
        <v>89</v>
      </c>
      <c r="D114" s="47"/>
      <c r="E114" s="123">
        <f t="shared" si="8"/>
        <v>404.95324200483321</v>
      </c>
      <c r="G114" s="48" t="e">
        <f t="shared" si="9"/>
        <v>#NUM!</v>
      </c>
      <c r="I114" s="48" t="e">
        <f t="shared" si="10"/>
        <v>#NUM!</v>
      </c>
      <c r="O114" s="123">
        <f t="shared" si="13"/>
        <v>404.95324200483321</v>
      </c>
    </row>
    <row r="115" spans="2:15" hidden="1" x14ac:dyDescent="0.25">
      <c r="B115" s="134">
        <f t="shared" si="14"/>
        <v>43597</v>
      </c>
      <c r="C115" s="47">
        <v>90</v>
      </c>
      <c r="D115" s="47"/>
      <c r="E115" s="123">
        <f t="shared" si="8"/>
        <v>404.95324200483321</v>
      </c>
      <c r="G115" s="48" t="e">
        <f t="shared" si="9"/>
        <v>#NUM!</v>
      </c>
      <c r="I115" s="48" t="e">
        <f t="shared" si="10"/>
        <v>#NUM!</v>
      </c>
      <c r="O115" s="123">
        <f t="shared" si="13"/>
        <v>404.95324200483321</v>
      </c>
    </row>
    <row r="116" spans="2:15" hidden="1" x14ac:dyDescent="0.25">
      <c r="B116" s="134">
        <f t="shared" si="14"/>
        <v>43612</v>
      </c>
      <c r="C116" s="47">
        <v>91</v>
      </c>
      <c r="D116" s="47"/>
      <c r="E116" s="123">
        <f t="shared" si="8"/>
        <v>404.95324200483321</v>
      </c>
      <c r="G116" s="48" t="e">
        <f t="shared" si="9"/>
        <v>#NUM!</v>
      </c>
      <c r="I116" s="48" t="e">
        <f t="shared" si="10"/>
        <v>#NUM!</v>
      </c>
      <c r="O116" s="123">
        <f t="shared" si="13"/>
        <v>404.95324200483321</v>
      </c>
    </row>
    <row r="117" spans="2:15" hidden="1" x14ac:dyDescent="0.25">
      <c r="B117" s="134">
        <f t="shared" si="14"/>
        <v>43627</v>
      </c>
      <c r="C117" s="47">
        <v>92</v>
      </c>
      <c r="D117" s="47"/>
      <c r="E117" s="123">
        <f t="shared" si="8"/>
        <v>404.95324200483321</v>
      </c>
      <c r="G117" s="48" t="e">
        <f t="shared" si="9"/>
        <v>#NUM!</v>
      </c>
      <c r="I117" s="48" t="e">
        <f t="shared" si="10"/>
        <v>#NUM!</v>
      </c>
      <c r="O117" s="123">
        <f t="shared" si="13"/>
        <v>404.95324200483321</v>
      </c>
    </row>
    <row r="118" spans="2:15" hidden="1" x14ac:dyDescent="0.25">
      <c r="B118" s="134">
        <f t="shared" si="14"/>
        <v>43642</v>
      </c>
      <c r="C118" s="47">
        <v>93</v>
      </c>
      <c r="D118" s="47"/>
      <c r="E118" s="123">
        <f t="shared" si="8"/>
        <v>404.95324200483321</v>
      </c>
      <c r="G118" s="48" t="e">
        <f t="shared" si="9"/>
        <v>#NUM!</v>
      </c>
      <c r="I118" s="48" t="e">
        <f t="shared" si="10"/>
        <v>#NUM!</v>
      </c>
      <c r="O118" s="123">
        <f t="shared" si="13"/>
        <v>404.95324200483321</v>
      </c>
    </row>
    <row r="119" spans="2:15" hidden="1" x14ac:dyDescent="0.25">
      <c r="B119" s="134">
        <f t="shared" si="14"/>
        <v>43657</v>
      </c>
      <c r="C119" s="47">
        <v>94</v>
      </c>
      <c r="D119" s="47"/>
      <c r="E119" s="123">
        <f t="shared" si="8"/>
        <v>404.95324200483321</v>
      </c>
      <c r="G119" s="48" t="e">
        <f t="shared" si="9"/>
        <v>#NUM!</v>
      </c>
      <c r="I119" s="48" t="e">
        <f t="shared" si="10"/>
        <v>#NUM!</v>
      </c>
      <c r="O119" s="123">
        <f t="shared" si="13"/>
        <v>404.95324200483321</v>
      </c>
    </row>
    <row r="120" spans="2:15" hidden="1" x14ac:dyDescent="0.25">
      <c r="B120" s="134">
        <f t="shared" si="14"/>
        <v>43672</v>
      </c>
      <c r="C120" s="47">
        <v>95</v>
      </c>
      <c r="D120" s="47"/>
      <c r="E120" s="123">
        <f t="shared" si="8"/>
        <v>404.95324200483321</v>
      </c>
      <c r="G120" s="48" t="e">
        <f t="shared" si="9"/>
        <v>#NUM!</v>
      </c>
      <c r="I120" s="48" t="e">
        <f t="shared" si="10"/>
        <v>#NUM!</v>
      </c>
      <c r="O120" s="123">
        <f t="shared" si="13"/>
        <v>404.95324200483321</v>
      </c>
    </row>
    <row r="121" spans="2:15" hidden="1" x14ac:dyDescent="0.25">
      <c r="B121" s="134">
        <f t="shared" si="14"/>
        <v>43687</v>
      </c>
      <c r="C121" s="47">
        <v>96</v>
      </c>
      <c r="D121" s="47"/>
      <c r="E121" s="123">
        <f t="shared" si="8"/>
        <v>404.95324200483321</v>
      </c>
      <c r="G121" s="48" t="e">
        <f t="shared" si="9"/>
        <v>#NUM!</v>
      </c>
      <c r="I121" s="48" t="e">
        <f t="shared" si="10"/>
        <v>#NUM!</v>
      </c>
      <c r="O121" s="123">
        <f t="shared" si="13"/>
        <v>404.95324200483321</v>
      </c>
    </row>
    <row r="122" spans="2:15" hidden="1" x14ac:dyDescent="0.25">
      <c r="B122" s="134">
        <f t="shared" si="14"/>
        <v>43702</v>
      </c>
      <c r="C122" s="47">
        <v>97</v>
      </c>
      <c r="D122" s="47"/>
      <c r="E122" s="123">
        <f t="shared" si="8"/>
        <v>404.95324200483321</v>
      </c>
      <c r="G122" s="48" t="e">
        <f t="shared" si="9"/>
        <v>#NUM!</v>
      </c>
      <c r="I122" s="48" t="e">
        <f t="shared" si="10"/>
        <v>#NUM!</v>
      </c>
      <c r="O122" s="123">
        <f t="shared" si="13"/>
        <v>404.95324200483321</v>
      </c>
    </row>
    <row r="123" spans="2:15" hidden="1" x14ac:dyDescent="0.25">
      <c r="B123" s="134">
        <f t="shared" si="14"/>
        <v>43717</v>
      </c>
      <c r="C123" s="47">
        <v>98</v>
      </c>
      <c r="D123" s="47"/>
      <c r="E123" s="123">
        <f t="shared" si="8"/>
        <v>404.95324200483321</v>
      </c>
      <c r="G123" s="48" t="e">
        <f t="shared" si="9"/>
        <v>#NUM!</v>
      </c>
      <c r="I123" s="48" t="e">
        <f t="shared" si="10"/>
        <v>#NUM!</v>
      </c>
      <c r="O123" s="123">
        <f t="shared" si="13"/>
        <v>404.95324200483321</v>
      </c>
    </row>
    <row r="124" spans="2:15" hidden="1" x14ac:dyDescent="0.25">
      <c r="B124" s="134">
        <f t="shared" si="14"/>
        <v>43732</v>
      </c>
      <c r="C124" s="47">
        <v>99</v>
      </c>
      <c r="D124" s="47"/>
      <c r="E124" s="123">
        <f t="shared" si="8"/>
        <v>404.95324200483321</v>
      </c>
      <c r="G124" s="48" t="e">
        <f t="shared" si="9"/>
        <v>#NUM!</v>
      </c>
      <c r="I124" s="48" t="e">
        <f t="shared" si="10"/>
        <v>#NUM!</v>
      </c>
      <c r="O124" s="123">
        <f t="shared" si="13"/>
        <v>404.95324200483321</v>
      </c>
    </row>
    <row r="125" spans="2:15" hidden="1" x14ac:dyDescent="0.25">
      <c r="B125" s="134">
        <f t="shared" si="14"/>
        <v>43747</v>
      </c>
      <c r="C125" s="47">
        <v>100</v>
      </c>
      <c r="D125" s="47"/>
      <c r="E125" s="123">
        <f t="shared" si="8"/>
        <v>404.95324200483321</v>
      </c>
      <c r="G125" s="48" t="e">
        <f t="shared" si="9"/>
        <v>#NUM!</v>
      </c>
      <c r="I125" s="48" t="e">
        <f t="shared" si="10"/>
        <v>#NUM!</v>
      </c>
      <c r="O125" s="123">
        <f t="shared" si="13"/>
        <v>404.95324200483321</v>
      </c>
    </row>
    <row r="126" spans="2:15" hidden="1" x14ac:dyDescent="0.25">
      <c r="B126" s="134">
        <f t="shared" si="14"/>
        <v>43762</v>
      </c>
      <c r="C126" s="47">
        <v>101</v>
      </c>
      <c r="D126" s="47"/>
      <c r="E126" s="123">
        <f t="shared" si="8"/>
        <v>404.95324200483321</v>
      </c>
      <c r="G126" s="48" t="e">
        <f t="shared" si="9"/>
        <v>#NUM!</v>
      </c>
      <c r="I126" s="48" t="e">
        <f t="shared" si="10"/>
        <v>#NUM!</v>
      </c>
      <c r="O126" s="123">
        <f t="shared" si="13"/>
        <v>404.95324200483321</v>
      </c>
    </row>
    <row r="127" spans="2:15" hidden="1" x14ac:dyDescent="0.25">
      <c r="B127" s="134">
        <f t="shared" si="14"/>
        <v>43777</v>
      </c>
      <c r="C127" s="47">
        <v>102</v>
      </c>
      <c r="D127" s="47"/>
      <c r="E127" s="123">
        <f t="shared" si="8"/>
        <v>404.95324200483321</v>
      </c>
      <c r="G127" s="48" t="e">
        <f t="shared" si="9"/>
        <v>#NUM!</v>
      </c>
      <c r="I127" s="48" t="e">
        <f t="shared" si="10"/>
        <v>#NUM!</v>
      </c>
      <c r="O127" s="123">
        <f t="shared" si="13"/>
        <v>404.95324200483321</v>
      </c>
    </row>
    <row r="128" spans="2:15" hidden="1" x14ac:dyDescent="0.25">
      <c r="B128" s="134">
        <f t="shared" si="14"/>
        <v>43792</v>
      </c>
      <c r="C128" s="47">
        <v>103</v>
      </c>
      <c r="D128" s="47"/>
      <c r="E128" s="123">
        <f t="shared" si="8"/>
        <v>404.95324200483321</v>
      </c>
      <c r="G128" s="48" t="e">
        <f t="shared" si="9"/>
        <v>#NUM!</v>
      </c>
      <c r="I128" s="48" t="e">
        <f t="shared" si="10"/>
        <v>#NUM!</v>
      </c>
      <c r="O128" s="123">
        <f t="shared" si="13"/>
        <v>404.95324200483321</v>
      </c>
    </row>
    <row r="129" spans="2:15" hidden="1" x14ac:dyDescent="0.25">
      <c r="B129" s="134">
        <f t="shared" si="14"/>
        <v>43807</v>
      </c>
      <c r="C129" s="47">
        <v>104</v>
      </c>
      <c r="D129" s="47"/>
      <c r="E129" s="123">
        <f t="shared" si="8"/>
        <v>404.95324200483321</v>
      </c>
      <c r="G129" s="48" t="e">
        <f t="shared" si="9"/>
        <v>#NUM!</v>
      </c>
      <c r="I129" s="48" t="e">
        <f t="shared" si="10"/>
        <v>#NUM!</v>
      </c>
      <c r="O129" s="123">
        <f t="shared" si="13"/>
        <v>404.95324200483321</v>
      </c>
    </row>
    <row r="130" spans="2:15" hidden="1" x14ac:dyDescent="0.25">
      <c r="B130" s="134">
        <f t="shared" si="14"/>
        <v>43822</v>
      </c>
      <c r="C130" s="47">
        <v>105</v>
      </c>
      <c r="D130" s="47"/>
      <c r="E130" s="123">
        <f t="shared" si="8"/>
        <v>404.95324200483321</v>
      </c>
      <c r="G130" s="48" t="e">
        <f t="shared" si="9"/>
        <v>#NUM!</v>
      </c>
      <c r="I130" s="48" t="e">
        <f t="shared" si="10"/>
        <v>#NUM!</v>
      </c>
      <c r="O130" s="123">
        <f t="shared" si="13"/>
        <v>404.95324200483321</v>
      </c>
    </row>
    <row r="131" spans="2:15" hidden="1" x14ac:dyDescent="0.25">
      <c r="B131" s="134">
        <f t="shared" si="14"/>
        <v>43837</v>
      </c>
      <c r="C131" s="47">
        <v>106</v>
      </c>
      <c r="D131" s="47"/>
      <c r="E131" s="123">
        <f t="shared" si="8"/>
        <v>404.95324200483321</v>
      </c>
      <c r="G131" s="48" t="e">
        <f t="shared" si="9"/>
        <v>#NUM!</v>
      </c>
      <c r="I131" s="48" t="e">
        <f t="shared" si="10"/>
        <v>#NUM!</v>
      </c>
      <c r="O131" s="123">
        <f t="shared" si="13"/>
        <v>404.95324200483321</v>
      </c>
    </row>
    <row r="132" spans="2:15" hidden="1" x14ac:dyDescent="0.25">
      <c r="B132" s="134">
        <f t="shared" si="14"/>
        <v>43852</v>
      </c>
      <c r="C132" s="47">
        <v>107</v>
      </c>
      <c r="D132" s="47"/>
      <c r="E132" s="123">
        <f t="shared" si="8"/>
        <v>404.95324200483321</v>
      </c>
      <c r="G132" s="48" t="e">
        <f t="shared" si="9"/>
        <v>#NUM!</v>
      </c>
      <c r="I132" s="48" t="e">
        <f t="shared" si="10"/>
        <v>#NUM!</v>
      </c>
      <c r="O132" s="123">
        <f t="shared" si="13"/>
        <v>404.95324200483321</v>
      </c>
    </row>
    <row r="133" spans="2:15" hidden="1" x14ac:dyDescent="0.25">
      <c r="B133" s="134">
        <f t="shared" si="14"/>
        <v>43867</v>
      </c>
      <c r="C133" s="47">
        <v>108</v>
      </c>
      <c r="D133" s="47"/>
      <c r="E133" s="123">
        <f t="shared" si="8"/>
        <v>404.95324200483321</v>
      </c>
      <c r="G133" s="48" t="e">
        <f t="shared" si="9"/>
        <v>#NUM!</v>
      </c>
      <c r="I133" s="48" t="e">
        <f t="shared" si="10"/>
        <v>#NUM!</v>
      </c>
      <c r="O133" s="123">
        <f t="shared" si="13"/>
        <v>404.95324200483321</v>
      </c>
    </row>
    <row r="134" spans="2:15" hidden="1" x14ac:dyDescent="0.25">
      <c r="B134" s="134">
        <f t="shared" si="14"/>
        <v>43882</v>
      </c>
      <c r="C134" s="47">
        <v>109</v>
      </c>
      <c r="D134" s="47"/>
      <c r="E134" s="123">
        <f t="shared" si="8"/>
        <v>404.95324200483321</v>
      </c>
      <c r="G134" s="48" t="e">
        <f t="shared" si="9"/>
        <v>#NUM!</v>
      </c>
      <c r="I134" s="48" t="e">
        <f t="shared" si="10"/>
        <v>#NUM!</v>
      </c>
      <c r="O134" s="123">
        <f t="shared" si="13"/>
        <v>404.95324200483321</v>
      </c>
    </row>
    <row r="135" spans="2:15" hidden="1" x14ac:dyDescent="0.25">
      <c r="B135" s="134">
        <f t="shared" si="14"/>
        <v>43897</v>
      </c>
      <c r="C135" s="47">
        <v>110</v>
      </c>
      <c r="D135" s="47"/>
      <c r="E135" s="123">
        <f t="shared" si="8"/>
        <v>404.95324200483321</v>
      </c>
      <c r="G135" s="48" t="e">
        <f t="shared" si="9"/>
        <v>#NUM!</v>
      </c>
      <c r="I135" s="48" t="e">
        <f t="shared" si="10"/>
        <v>#NUM!</v>
      </c>
      <c r="O135" s="123">
        <f t="shared" si="13"/>
        <v>404.95324200483321</v>
      </c>
    </row>
    <row r="136" spans="2:15" hidden="1" x14ac:dyDescent="0.25">
      <c r="B136" s="134">
        <f t="shared" si="14"/>
        <v>43912</v>
      </c>
      <c r="C136" s="47">
        <v>111</v>
      </c>
      <c r="D136" s="47"/>
      <c r="E136" s="123">
        <f t="shared" si="8"/>
        <v>404.95324200483321</v>
      </c>
      <c r="G136" s="48" t="e">
        <f t="shared" si="9"/>
        <v>#NUM!</v>
      </c>
      <c r="I136" s="48" t="e">
        <f t="shared" si="10"/>
        <v>#NUM!</v>
      </c>
      <c r="O136" s="123">
        <f t="shared" si="13"/>
        <v>404.95324200483321</v>
      </c>
    </row>
    <row r="137" spans="2:15" hidden="1" x14ac:dyDescent="0.25">
      <c r="B137" s="134">
        <f t="shared" si="14"/>
        <v>43927</v>
      </c>
      <c r="C137" s="47">
        <v>112</v>
      </c>
      <c r="D137" s="47"/>
      <c r="E137" s="123">
        <f t="shared" si="8"/>
        <v>404.95324200483321</v>
      </c>
      <c r="G137" s="48" t="e">
        <f t="shared" si="9"/>
        <v>#NUM!</v>
      </c>
      <c r="I137" s="48" t="e">
        <f t="shared" si="10"/>
        <v>#NUM!</v>
      </c>
      <c r="O137" s="123">
        <f t="shared" si="13"/>
        <v>404.95324200483321</v>
      </c>
    </row>
    <row r="138" spans="2:15" hidden="1" x14ac:dyDescent="0.25">
      <c r="B138" s="134">
        <f t="shared" si="14"/>
        <v>43942</v>
      </c>
      <c r="C138" s="47">
        <v>113</v>
      </c>
      <c r="D138" s="47"/>
      <c r="E138" s="123">
        <f t="shared" si="8"/>
        <v>404.95324200483321</v>
      </c>
      <c r="G138" s="48" t="e">
        <f t="shared" si="9"/>
        <v>#NUM!</v>
      </c>
      <c r="I138" s="48" t="e">
        <f t="shared" si="10"/>
        <v>#NUM!</v>
      </c>
      <c r="O138" s="123">
        <f t="shared" si="13"/>
        <v>404.95324200483321</v>
      </c>
    </row>
    <row r="139" spans="2:15" hidden="1" x14ac:dyDescent="0.25">
      <c r="B139" s="134">
        <f t="shared" si="14"/>
        <v>43957</v>
      </c>
      <c r="C139" s="47">
        <v>114</v>
      </c>
      <c r="D139" s="47"/>
      <c r="E139" s="123">
        <f t="shared" si="8"/>
        <v>404.95324200483321</v>
      </c>
      <c r="G139" s="48" t="e">
        <f t="shared" si="9"/>
        <v>#NUM!</v>
      </c>
      <c r="I139" s="48" t="e">
        <f t="shared" si="10"/>
        <v>#NUM!</v>
      </c>
      <c r="O139" s="123">
        <f t="shared" si="13"/>
        <v>404.95324200483321</v>
      </c>
    </row>
    <row r="140" spans="2:15" hidden="1" x14ac:dyDescent="0.25">
      <c r="B140" s="134">
        <f t="shared" si="14"/>
        <v>43972</v>
      </c>
      <c r="C140" s="47">
        <v>115</v>
      </c>
      <c r="D140" s="47"/>
      <c r="E140" s="123">
        <f t="shared" si="8"/>
        <v>404.95324200483321</v>
      </c>
      <c r="G140" s="48" t="e">
        <f t="shared" si="9"/>
        <v>#NUM!</v>
      </c>
      <c r="I140" s="48" t="e">
        <f t="shared" si="10"/>
        <v>#NUM!</v>
      </c>
      <c r="O140" s="123">
        <f t="shared" si="13"/>
        <v>404.95324200483321</v>
      </c>
    </row>
    <row r="141" spans="2:15" hidden="1" x14ac:dyDescent="0.25">
      <c r="B141" s="134">
        <f t="shared" si="14"/>
        <v>43987</v>
      </c>
      <c r="C141" s="47">
        <v>116</v>
      </c>
      <c r="D141" s="47"/>
      <c r="E141" s="123">
        <f t="shared" si="8"/>
        <v>404.95324200483321</v>
      </c>
      <c r="G141" s="48" t="e">
        <f t="shared" si="9"/>
        <v>#NUM!</v>
      </c>
      <c r="I141" s="48" t="e">
        <f t="shared" si="10"/>
        <v>#NUM!</v>
      </c>
      <c r="O141" s="123">
        <f t="shared" si="13"/>
        <v>404.95324200483321</v>
      </c>
    </row>
    <row r="142" spans="2:15" hidden="1" x14ac:dyDescent="0.25">
      <c r="B142" s="134">
        <f t="shared" si="14"/>
        <v>44002</v>
      </c>
      <c r="C142" s="47">
        <v>117</v>
      </c>
      <c r="D142" s="47"/>
      <c r="E142" s="123">
        <f t="shared" si="8"/>
        <v>404.95324200483321</v>
      </c>
      <c r="G142" s="48" t="e">
        <f t="shared" si="9"/>
        <v>#NUM!</v>
      </c>
      <c r="I142" s="48" t="e">
        <f t="shared" si="10"/>
        <v>#NUM!</v>
      </c>
      <c r="O142" s="123">
        <f t="shared" si="13"/>
        <v>404.95324200483321</v>
      </c>
    </row>
    <row r="143" spans="2:15" hidden="1" x14ac:dyDescent="0.25">
      <c r="B143" s="134">
        <f t="shared" si="14"/>
        <v>44017</v>
      </c>
      <c r="C143" s="47">
        <v>118</v>
      </c>
      <c r="D143" s="47"/>
      <c r="E143" s="123">
        <f t="shared" si="8"/>
        <v>404.95324200483321</v>
      </c>
      <c r="G143" s="48" t="e">
        <f t="shared" si="9"/>
        <v>#NUM!</v>
      </c>
      <c r="I143" s="48" t="e">
        <f t="shared" si="10"/>
        <v>#NUM!</v>
      </c>
      <c r="O143" s="123">
        <f t="shared" si="13"/>
        <v>404.95324200483321</v>
      </c>
    </row>
    <row r="144" spans="2:15" hidden="1" x14ac:dyDescent="0.25">
      <c r="B144" s="134">
        <f t="shared" si="14"/>
        <v>44032</v>
      </c>
      <c r="C144" s="47">
        <v>119</v>
      </c>
      <c r="D144" s="47"/>
      <c r="E144" s="123">
        <f t="shared" si="8"/>
        <v>404.95324200483321</v>
      </c>
      <c r="G144" s="48" t="e">
        <f t="shared" si="9"/>
        <v>#NUM!</v>
      </c>
      <c r="I144" s="48" t="e">
        <f t="shared" si="10"/>
        <v>#NUM!</v>
      </c>
      <c r="O144" s="123">
        <f t="shared" si="13"/>
        <v>404.95324200483321</v>
      </c>
    </row>
    <row r="145" spans="2:15" hidden="1" x14ac:dyDescent="0.25">
      <c r="B145" s="134">
        <f t="shared" si="14"/>
        <v>44047</v>
      </c>
      <c r="C145" s="47">
        <v>120</v>
      </c>
      <c r="D145" s="47"/>
      <c r="E145" s="123">
        <f t="shared" si="8"/>
        <v>404.95324200483321</v>
      </c>
      <c r="G145" s="48" t="e">
        <f t="shared" si="9"/>
        <v>#NUM!</v>
      </c>
      <c r="I145" s="48" t="e">
        <f t="shared" si="10"/>
        <v>#NUM!</v>
      </c>
      <c r="O145" s="123">
        <f t="shared" si="13"/>
        <v>404.95324200483321</v>
      </c>
    </row>
    <row r="146" spans="2:15" hidden="1" x14ac:dyDescent="0.25">
      <c r="B146" s="125"/>
      <c r="G146" s="126" t="e">
        <f>SUM(G26:G97)</f>
        <v>#NUM!</v>
      </c>
      <c r="I146" s="126" t="e">
        <f>SUM(I26:I97)</f>
        <v>#NUM!</v>
      </c>
      <c r="O146" s="126">
        <f>SUM(O26:O97)</f>
        <v>29156.633424348023</v>
      </c>
    </row>
    <row r="147" spans="2:15" hidden="1" x14ac:dyDescent="0.25">
      <c r="B147" s="125"/>
    </row>
    <row r="148" spans="2:15" x14ac:dyDescent="0.25">
      <c r="B148" s="125"/>
      <c r="C148" s="47"/>
      <c r="D148" s="47"/>
      <c r="E148" s="133">
        <f>SUM(E26:E33)</f>
        <v>3239.6259360386653</v>
      </c>
      <c r="F148" s="133"/>
      <c r="G148" s="133">
        <f t="shared" ref="G148:O148" si="15">SUM(G26:G33)</f>
        <v>2999.9999999999995</v>
      </c>
      <c r="H148" s="133"/>
      <c r="I148" s="133">
        <f t="shared" si="15"/>
        <v>239.62593603866566</v>
      </c>
      <c r="J148" s="133"/>
      <c r="K148" s="133">
        <f t="shared" si="15"/>
        <v>206.57408279195315</v>
      </c>
      <c r="L148" s="133"/>
      <c r="M148" s="133">
        <f t="shared" si="15"/>
        <v>33.051853246712504</v>
      </c>
      <c r="N148" s="133"/>
      <c r="O148" s="133">
        <f t="shared" si="15"/>
        <v>3239.6259360386653</v>
      </c>
    </row>
  </sheetData>
  <mergeCells count="16">
    <mergeCell ref="F19:G19"/>
    <mergeCell ref="F20:G20"/>
    <mergeCell ref="F21:G21"/>
    <mergeCell ref="F18:G18"/>
    <mergeCell ref="A2:P2"/>
    <mergeCell ref="B5:C5"/>
    <mergeCell ref="F6:G6"/>
    <mergeCell ref="F7:G7"/>
    <mergeCell ref="F8:G8"/>
    <mergeCell ref="F11:G11"/>
    <mergeCell ref="F12:G12"/>
    <mergeCell ref="F14:G14"/>
    <mergeCell ref="F15:G15"/>
    <mergeCell ref="F16:G16"/>
    <mergeCell ref="F17:G17"/>
    <mergeCell ref="C4:G4"/>
  </mergeCells>
  <dataValidations count="6">
    <dataValidation type="list" allowBlank="1" showInputMessage="1" showErrorMessage="1" sqref="C16">
      <formula1>CONDICIONES</formula1>
    </dataValidation>
    <dataValidation type="list" allowBlank="1" showInputMessage="1" showErrorMessage="1" sqref="C15">
      <formula1>COMISION_NOMINA</formula1>
    </dataValidation>
    <dataValidation type="list" allowBlank="1" showInputMessage="1" showErrorMessage="1" sqref="C9">
      <formula1>NOMINA</formula1>
    </dataValidation>
    <dataValidation type="list" allowBlank="1" showInputMessage="1" showErrorMessage="1" sqref="C12">
      <formula1>PLAZO_NOMINA</formula1>
    </dataValidation>
    <dataValidation type="list" allowBlank="1" showInputMessage="1" showErrorMessage="1" sqref="C8">
      <formula1>INDIRECT(C7)</formula1>
    </dataValidation>
    <dataValidation type="list" allowBlank="1" showInputMessage="1" showErrorMessage="1" sqref="C7">
      <formula1>CREDITOS</formula1>
    </dataValidation>
  </dataValidations>
  <pageMargins left="0.7" right="0.7" top="0.75" bottom="0.75" header="0.3" footer="0.3"/>
  <pageSetup scale="6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base!$B$55:$B$57</xm:f>
          </x14:formula1>
          <xm:sqref>C11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C1" workbookViewId="0">
      <selection activeCell="D14" sqref="D14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205"/>
  <sheetViews>
    <sheetView workbookViewId="0">
      <selection activeCell="C12" sqref="C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85546875" style="22" bestFit="1" customWidth="1"/>
    <col min="12" max="12" width="2.7109375" style="62" customWidth="1"/>
    <col min="13" max="13" width="19.140625" style="22" bestFit="1" customWidth="1"/>
    <col min="14" max="14" width="2.7109375" style="62" customWidth="1"/>
    <col min="15" max="15" width="16.140625" style="22" bestFit="1" customWidth="1"/>
    <col min="16" max="16" width="2.7109375" style="62" customWidth="1"/>
    <col min="17" max="17" width="16.140625" style="22" bestFit="1" customWidth="1"/>
    <col min="18" max="18" width="2.7109375" style="62" customWidth="1"/>
    <col min="19" max="19" width="16.140625" style="22" bestFit="1" customWidth="1"/>
    <col min="20" max="20" width="2.7109375" style="62" customWidth="1"/>
    <col min="21" max="21" width="16.5703125" style="22" bestFit="1" customWidth="1"/>
    <col min="22" max="22" width="2.7109375" style="62" customWidth="1"/>
    <col min="23" max="23" width="16.5703125" style="22" bestFit="1" customWidth="1"/>
    <col min="24" max="24" width="2.7109375" style="62" customWidth="1"/>
    <col min="25" max="25" width="16.5703125" style="22" bestFit="1" customWidth="1"/>
    <col min="26" max="26" width="2.7109375" style="62" customWidth="1"/>
    <col min="27" max="27" width="16.5703125" style="22" bestFit="1" customWidth="1"/>
    <col min="28" max="28" width="15.140625" style="22" hidden="1" customWidth="1"/>
    <col min="29" max="16384" width="11.42578125" style="22"/>
  </cols>
  <sheetData>
    <row r="2" spans="1:27" ht="15.75" customHeight="1" x14ac:dyDescent="0.25">
      <c r="A2" s="140" t="s">
        <v>34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</row>
    <row r="3" spans="1:27" s="57" customFormat="1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s="57" customFormat="1" ht="15.75" customHeight="1" thickBo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6.5" thickBot="1" x14ac:dyDescent="0.3">
      <c r="B5" s="144" t="s">
        <v>94</v>
      </c>
      <c r="C5" s="145"/>
      <c r="D5" s="84"/>
      <c r="E5" s="84"/>
    </row>
    <row r="6" spans="1:27" x14ac:dyDescent="0.25">
      <c r="B6" s="83"/>
      <c r="C6" s="83"/>
      <c r="D6" s="83"/>
      <c r="E6" s="83"/>
    </row>
    <row r="7" spans="1:27" x14ac:dyDescent="0.25">
      <c r="B7" s="89" t="s">
        <v>78</v>
      </c>
      <c r="C7" s="89" t="s">
        <v>73</v>
      </c>
    </row>
    <row r="8" spans="1:27" x14ac:dyDescent="0.25">
      <c r="B8" s="89" t="s">
        <v>79</v>
      </c>
      <c r="C8" s="89" t="s">
        <v>76</v>
      </c>
    </row>
    <row r="9" spans="1:27" x14ac:dyDescent="0.25">
      <c r="B9" s="89" t="s">
        <v>87</v>
      </c>
      <c r="C9" s="89" t="s">
        <v>82</v>
      </c>
    </row>
    <row r="10" spans="1:27" x14ac:dyDescent="0.25">
      <c r="B10" s="89" t="s">
        <v>89</v>
      </c>
      <c r="C10" s="89" t="s">
        <v>83</v>
      </c>
    </row>
    <row r="11" spans="1:27" x14ac:dyDescent="0.25">
      <c r="B11" s="89" t="s">
        <v>51</v>
      </c>
      <c r="C11" s="118">
        <v>0.15</v>
      </c>
      <c r="E11" s="113"/>
    </row>
    <row r="12" spans="1:27" x14ac:dyDescent="0.25">
      <c r="B12" s="89" t="s">
        <v>23</v>
      </c>
      <c r="C12" s="117">
        <v>48</v>
      </c>
      <c r="E12" s="114"/>
    </row>
    <row r="13" spans="1:27" x14ac:dyDescent="0.25">
      <c r="B13" s="89" t="s">
        <v>78</v>
      </c>
      <c r="C13" s="100">
        <f>IF(C15="SI",C16+C14,C16)+(C16*C17)</f>
        <v>1236000</v>
      </c>
      <c r="E13" s="110"/>
    </row>
    <row r="14" spans="1:27" x14ac:dyDescent="0.25">
      <c r="B14" s="89" t="s">
        <v>103</v>
      </c>
      <c r="C14" s="100">
        <f>+C20*(C12/12)</f>
        <v>0</v>
      </c>
      <c r="E14" s="110"/>
    </row>
    <row r="15" spans="1:27" x14ac:dyDescent="0.25">
      <c r="B15" s="106" t="s">
        <v>100</v>
      </c>
      <c r="C15" s="108" t="s">
        <v>97</v>
      </c>
      <c r="E15" s="113"/>
    </row>
    <row r="16" spans="1:27" x14ac:dyDescent="0.25">
      <c r="B16" s="106" t="s">
        <v>101</v>
      </c>
      <c r="C16" s="116">
        <v>1200000</v>
      </c>
      <c r="E16" s="110"/>
    </row>
    <row r="17" spans="1:28" x14ac:dyDescent="0.25">
      <c r="B17" s="106" t="s">
        <v>53</v>
      </c>
      <c r="C17" s="108">
        <v>0.03</v>
      </c>
      <c r="E17" s="113"/>
    </row>
    <row r="18" spans="1:28" x14ac:dyDescent="0.25">
      <c r="B18" s="106" t="s">
        <v>104</v>
      </c>
      <c r="C18" s="108">
        <v>0.2</v>
      </c>
      <c r="E18" s="113"/>
    </row>
    <row r="19" spans="1:28" x14ac:dyDescent="0.25">
      <c r="B19" s="106" t="s">
        <v>102</v>
      </c>
      <c r="C19" s="119">
        <f>+C18*C13</f>
        <v>247200</v>
      </c>
      <c r="E19" s="115"/>
    </row>
    <row r="20" spans="1:28" x14ac:dyDescent="0.25">
      <c r="B20" s="106" t="s">
        <v>48</v>
      </c>
      <c r="C20" s="109">
        <v>0</v>
      </c>
      <c r="E20" s="115"/>
    </row>
    <row r="21" spans="1:28" x14ac:dyDescent="0.25">
      <c r="B21" s="106" t="s">
        <v>30</v>
      </c>
      <c r="C21" s="120">
        <f>PMT($C$11/12,$F$64,-$F$57,$C$19)</f>
        <v>30609.043885891711</v>
      </c>
      <c r="E21" s="115"/>
    </row>
    <row r="22" spans="1:28" x14ac:dyDescent="0.25">
      <c r="B22" s="62"/>
      <c r="C22" s="115"/>
      <c r="E22" s="115"/>
    </row>
    <row r="24" spans="1:28" x14ac:dyDescent="0.25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</row>
    <row r="26" spans="1:28" hidden="1" x14ac:dyDescent="0.25"/>
    <row r="27" spans="1:28" hidden="1" x14ac:dyDescent="0.25"/>
    <row r="28" spans="1:28" hidden="1" x14ac:dyDescent="0.25">
      <c r="B28" s="23"/>
      <c r="C28" s="65" t="s">
        <v>90</v>
      </c>
      <c r="D28" s="65"/>
      <c r="E28" s="24" t="s">
        <v>11</v>
      </c>
      <c r="F28" s="58"/>
      <c r="G28" s="24" t="s">
        <v>12</v>
      </c>
      <c r="H28" s="58"/>
      <c r="I28" s="24" t="s">
        <v>13</v>
      </c>
      <c r="J28" s="58"/>
      <c r="K28" s="24" t="s">
        <v>14</v>
      </c>
      <c r="L28" s="58"/>
      <c r="M28" s="24" t="s">
        <v>15</v>
      </c>
      <c r="N28" s="58"/>
      <c r="O28" s="24" t="s">
        <v>16</v>
      </c>
      <c r="P28" s="58"/>
      <c r="Q28" s="24" t="s">
        <v>17</v>
      </c>
      <c r="R28" s="58"/>
      <c r="S28" s="24" t="s">
        <v>18</v>
      </c>
      <c r="T28" s="58"/>
      <c r="U28" s="24" t="s">
        <v>19</v>
      </c>
      <c r="V28" s="58"/>
      <c r="W28" s="24" t="s">
        <v>20</v>
      </c>
      <c r="X28" s="58"/>
      <c r="Y28" s="24" t="s">
        <v>27</v>
      </c>
      <c r="Z28" s="58"/>
      <c r="AA28" s="24" t="s">
        <v>28</v>
      </c>
    </row>
    <row r="29" spans="1:28" ht="16.5" hidden="1" thickBot="1" x14ac:dyDescent="0.3">
      <c r="B29" s="18" t="s">
        <v>70</v>
      </c>
      <c r="C29" s="66"/>
      <c r="D29" s="66"/>
      <c r="G29" s="25">
        <v>0</v>
      </c>
      <c r="H29" s="63"/>
      <c r="I29" s="25">
        <v>0</v>
      </c>
      <c r="J29" s="63"/>
      <c r="K29" s="25">
        <v>0</v>
      </c>
      <c r="L29" s="63"/>
      <c r="M29" s="25">
        <v>0</v>
      </c>
      <c r="N29" s="63"/>
      <c r="O29" s="25">
        <v>0</v>
      </c>
      <c r="P29" s="63"/>
      <c r="Q29" s="25">
        <v>0</v>
      </c>
      <c r="R29" s="63"/>
      <c r="S29" s="25">
        <v>0</v>
      </c>
      <c r="T29" s="63"/>
      <c r="U29" s="25">
        <v>0</v>
      </c>
      <c r="V29" s="63"/>
      <c r="W29" s="25">
        <v>0</v>
      </c>
      <c r="X29" s="63"/>
      <c r="Y29" s="25">
        <v>0</v>
      </c>
      <c r="Z29" s="63"/>
      <c r="AA29" s="25">
        <v>0</v>
      </c>
    </row>
    <row r="30" spans="1:28" s="18" customFormat="1" ht="21.75" hidden="1" thickBot="1" x14ac:dyDescent="0.3">
      <c r="B30" s="29" t="s">
        <v>71</v>
      </c>
      <c r="C30" s="102">
        <f>+C13</f>
        <v>1236000</v>
      </c>
      <c r="D30" s="67"/>
      <c r="F30" s="59"/>
      <c r="G30" s="76">
        <v>0</v>
      </c>
      <c r="H30" s="77">
        <v>0</v>
      </c>
      <c r="I30" s="76">
        <v>0</v>
      </c>
      <c r="J30" s="77">
        <v>0</v>
      </c>
      <c r="K30" s="76">
        <v>0</v>
      </c>
      <c r="L30" s="77">
        <v>0</v>
      </c>
      <c r="M30" s="76">
        <v>0</v>
      </c>
      <c r="N30" s="78">
        <v>0</v>
      </c>
      <c r="O30" s="76">
        <v>0</v>
      </c>
      <c r="P30" s="78">
        <v>0</v>
      </c>
      <c r="Q30" s="76">
        <v>0</v>
      </c>
      <c r="R30" s="77">
        <v>0</v>
      </c>
      <c r="S30" s="76">
        <v>0</v>
      </c>
      <c r="T30" s="77">
        <v>0</v>
      </c>
      <c r="U30" s="76">
        <v>0</v>
      </c>
      <c r="V30" s="77">
        <v>0</v>
      </c>
      <c r="W30" s="76">
        <v>0</v>
      </c>
      <c r="X30" s="79">
        <v>0</v>
      </c>
      <c r="Y30" s="76">
        <v>0</v>
      </c>
      <c r="Z30" s="79">
        <v>0</v>
      </c>
      <c r="AA30" s="76">
        <v>0</v>
      </c>
      <c r="AB30" s="19"/>
    </row>
    <row r="31" spans="1:28" hidden="1" x14ac:dyDescent="0.25">
      <c r="B31" s="29" t="s">
        <v>21</v>
      </c>
      <c r="C31" s="67"/>
      <c r="D31" s="67"/>
      <c r="E31" s="52">
        <f>+'CAPITAL AF'!C14</f>
        <v>17053.924371628182</v>
      </c>
      <c r="F31" s="61"/>
      <c r="G31" s="52">
        <f>+'CAPITAL AF'!C15</f>
        <v>19420.969397428966</v>
      </c>
      <c r="H31" s="52"/>
      <c r="I31" s="60">
        <f>+'CAPITAL AF'!C16</f>
        <v>19958.167462454021</v>
      </c>
      <c r="J31" s="61"/>
      <c r="K31" s="52">
        <f>+'CAPITAL AF'!C17</f>
        <v>20513.166804622499</v>
      </c>
      <c r="L31" s="61"/>
      <c r="M31" s="52">
        <f>+'CAPITAL AF'!C18</f>
        <v>21083.595197641433</v>
      </c>
      <c r="N31" s="61"/>
      <c r="O31" s="52">
        <f>+'CAPITAL AF'!C19</f>
        <v>21669.886021475078</v>
      </c>
      <c r="P31" s="61"/>
      <c r="Q31" s="21">
        <f>+'CAPITAL AF'!C20</f>
        <v>20075.131734721082</v>
      </c>
      <c r="R31" s="61"/>
      <c r="S31" s="21">
        <f>+'CAPITAL AF'!C21</f>
        <v>20603.060993342322</v>
      </c>
      <c r="T31" s="61"/>
      <c r="U31" s="21">
        <f>+'CAPITAL AF'!C22</f>
        <v>21144.873563206107</v>
      </c>
      <c r="V31" s="61"/>
      <c r="W31" s="21">
        <f>+'CAPITAL AF'!C22</f>
        <v>21144.873563206107</v>
      </c>
      <c r="X31" s="61"/>
      <c r="Y31" s="21">
        <f>+'CAPITAL AF'!C23</f>
        <v>21700.934543097763</v>
      </c>
      <c r="AA31" s="25">
        <f>+'CAPITAL AF'!C24</f>
        <v>22271.618633051254</v>
      </c>
      <c r="AB31" s="25"/>
    </row>
    <row r="32" spans="1:28" hidden="1" x14ac:dyDescent="0.25">
      <c r="B32" s="18"/>
      <c r="C32" s="66"/>
      <c r="D32" s="66"/>
      <c r="E32" s="21"/>
      <c r="F32" s="61"/>
      <c r="G32" s="21"/>
      <c r="H32" s="61"/>
      <c r="I32" s="21"/>
      <c r="J32" s="61"/>
      <c r="K32" s="21"/>
      <c r="L32" s="61"/>
      <c r="M32" s="21"/>
      <c r="N32" s="61"/>
      <c r="O32" s="21"/>
      <c r="P32" s="61"/>
      <c r="Q32" s="21"/>
      <c r="R32" s="61"/>
      <c r="S32" s="21"/>
      <c r="T32" s="61"/>
      <c r="U32" s="21"/>
      <c r="V32" s="61"/>
      <c r="W32" s="21"/>
      <c r="X32" s="61"/>
      <c r="Y32" s="21"/>
      <c r="Z32" s="61"/>
      <c r="AA32" s="21"/>
    </row>
    <row r="33" spans="2:28" hidden="1" x14ac:dyDescent="0.25">
      <c r="B33" s="18" t="s">
        <v>22</v>
      </c>
      <c r="C33" s="66"/>
      <c r="D33" s="66"/>
      <c r="E33" s="22">
        <v>1.21</v>
      </c>
      <c r="G33" s="22">
        <v>1.21</v>
      </c>
      <c r="I33" s="22">
        <v>1.21</v>
      </c>
      <c r="K33" s="22">
        <v>1.21</v>
      </c>
      <c r="M33" s="22">
        <v>1.21</v>
      </c>
      <c r="O33" s="22">
        <v>1.21</v>
      </c>
      <c r="Q33" s="22">
        <v>1.21</v>
      </c>
      <c r="S33" s="22">
        <v>1.21</v>
      </c>
      <c r="U33" s="22">
        <v>1.21</v>
      </c>
      <c r="W33" s="22">
        <v>1.21</v>
      </c>
      <c r="Y33" s="22">
        <v>1.21</v>
      </c>
      <c r="AA33" s="22">
        <v>1.21</v>
      </c>
    </row>
    <row r="34" spans="2:28" hidden="1" x14ac:dyDescent="0.25">
      <c r="B34" s="18" t="s">
        <v>23</v>
      </c>
      <c r="C34" s="66"/>
      <c r="D34" s="66"/>
      <c r="E34" s="22">
        <v>3</v>
      </c>
      <c r="G34" s="22">
        <v>3</v>
      </c>
      <c r="I34" s="22">
        <v>3</v>
      </c>
      <c r="K34" s="22">
        <v>3</v>
      </c>
      <c r="M34" s="22">
        <v>3</v>
      </c>
      <c r="O34" s="22">
        <v>3</v>
      </c>
      <c r="Q34" s="22">
        <v>3</v>
      </c>
      <c r="S34" s="22">
        <v>3</v>
      </c>
      <c r="U34" s="22">
        <v>3</v>
      </c>
      <c r="W34" s="22">
        <v>3</v>
      </c>
      <c r="Y34" s="22">
        <v>3</v>
      </c>
      <c r="AA34" s="22">
        <v>3</v>
      </c>
    </row>
    <row r="35" spans="2:28" hidden="1" x14ac:dyDescent="0.25">
      <c r="B35" s="18" t="s">
        <v>24</v>
      </c>
      <c r="C35" s="66"/>
      <c r="D35" s="66"/>
      <c r="E35" s="22">
        <v>403333.33333333331</v>
      </c>
      <c r="G35" s="22">
        <v>969344.4444444445</v>
      </c>
      <c r="I35" s="22">
        <v>1763646.7037037036</v>
      </c>
      <c r="K35" s="22">
        <v>2166980.0370370368</v>
      </c>
      <c r="M35" s="22">
        <v>1102306.4297530865</v>
      </c>
      <c r="O35" s="22">
        <v>1585352.7854320987</v>
      </c>
      <c r="Q35" s="22">
        <v>1958037.8317296298</v>
      </c>
      <c r="S35" s="22">
        <v>1873764.4755889752</v>
      </c>
      <c r="U35" s="22">
        <v>2184919.220742784</v>
      </c>
      <c r="W35" s="22">
        <v>2426744.3496514265</v>
      </c>
      <c r="Y35" s="22">
        <v>2615789.3118798849</v>
      </c>
      <c r="AA35" s="22">
        <v>2915072.6625172179</v>
      </c>
    </row>
    <row r="36" spans="2:28" hidden="1" x14ac:dyDescent="0.25">
      <c r="B36" s="18" t="s">
        <v>25</v>
      </c>
      <c r="C36" s="66"/>
      <c r="D36" s="66"/>
      <c r="E36" s="22">
        <v>1210000</v>
      </c>
      <c r="G36" s="22">
        <v>2908033.3333333335</v>
      </c>
      <c r="I36" s="22">
        <v>5290940.111111111</v>
      </c>
      <c r="K36" s="22">
        <v>6500940.1111111101</v>
      </c>
      <c r="M36" s="22">
        <v>3306919.2892592596</v>
      </c>
      <c r="O36" s="22">
        <v>4756058.3562962962</v>
      </c>
      <c r="Q36" s="22">
        <v>5874113.4951888891</v>
      </c>
      <c r="S36" s="22">
        <v>5621293.4267669255</v>
      </c>
      <c r="U36" s="22">
        <v>6554757.6622283515</v>
      </c>
      <c r="W36" s="22">
        <v>7280233.0489542801</v>
      </c>
      <c r="Y36" s="22">
        <v>7847367.9356396552</v>
      </c>
      <c r="AA36" s="22">
        <v>8745217.9875516538</v>
      </c>
    </row>
    <row r="37" spans="2:28" hidden="1" x14ac:dyDescent="0.25"/>
    <row r="38" spans="2:28" hidden="1" x14ac:dyDescent="0.25"/>
    <row r="39" spans="2:28" hidden="1" x14ac:dyDescent="0.25">
      <c r="B39" s="23"/>
      <c r="C39" s="65"/>
      <c r="D39" s="65"/>
      <c r="E39" s="24" t="s">
        <v>11</v>
      </c>
      <c r="F39" s="58"/>
      <c r="G39" s="24" t="s">
        <v>12</v>
      </c>
      <c r="H39" s="58"/>
      <c r="I39" s="24" t="s">
        <v>13</v>
      </c>
      <c r="J39" s="58"/>
      <c r="K39" s="24" t="s">
        <v>14</v>
      </c>
      <c r="L39" s="58"/>
      <c r="M39" s="24" t="s">
        <v>15</v>
      </c>
      <c r="N39" s="58"/>
      <c r="O39" s="24" t="s">
        <v>16</v>
      </c>
      <c r="P39" s="58"/>
      <c r="Q39" s="24" t="s">
        <v>17</v>
      </c>
      <c r="R39" s="58"/>
      <c r="S39" s="24" t="s">
        <v>18</v>
      </c>
      <c r="T39" s="58"/>
      <c r="U39" s="24" t="s">
        <v>19</v>
      </c>
      <c r="V39" s="58"/>
      <c r="W39" s="24" t="s">
        <v>20</v>
      </c>
      <c r="X39" s="58"/>
      <c r="Y39" s="24" t="s">
        <v>27</v>
      </c>
      <c r="Z39" s="58"/>
      <c r="AA39" s="24" t="s">
        <v>28</v>
      </c>
    </row>
    <row r="40" spans="2:28" hidden="1" x14ac:dyDescent="0.25">
      <c r="B40" s="141" t="s">
        <v>29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3"/>
    </row>
    <row r="41" spans="2:28" hidden="1" x14ac:dyDescent="0.25">
      <c r="B41" s="26"/>
      <c r="C41" s="68"/>
      <c r="D41" s="68"/>
      <c r="E41" s="20"/>
      <c r="G41" s="20"/>
      <c r="I41" s="20"/>
      <c r="K41" s="20"/>
      <c r="M41" s="20"/>
      <c r="O41" s="20"/>
      <c r="Q41" s="20"/>
      <c r="S41" s="20"/>
      <c r="U41" s="20"/>
      <c r="W41" s="20"/>
      <c r="Y41" s="20"/>
      <c r="AA41" s="20"/>
    </row>
    <row r="42" spans="2:28" hidden="1" x14ac:dyDescent="0.25">
      <c r="B42" s="27" t="s">
        <v>67</v>
      </c>
      <c r="C42" s="69">
        <v>0</v>
      </c>
      <c r="D42" s="69"/>
      <c r="E42" s="21">
        <f>+'INTERESES AF'!C12</f>
        <v>13904.999999999998</v>
      </c>
      <c r="G42" s="25">
        <f>+'INTERESES AF'!C13</f>
        <v>13910.311851075721</v>
      </c>
      <c r="H42" s="61"/>
      <c r="I42" s="21">
        <f>+'INTERESES AF'!C14</f>
        <v>13915.652952279528</v>
      </c>
      <c r="J42" s="61"/>
      <c r="K42" s="21">
        <f>+'INTERESES AF'!C15</f>
        <v>13921.055739084564</v>
      </c>
      <c r="L42" s="61"/>
      <c r="M42" s="21">
        <f>+'INTERESES AF'!C16</f>
        <v>13926.520791354387</v>
      </c>
      <c r="N42" s="61"/>
      <c r="O42" s="21">
        <f>+'INTERESES AF'!C17</f>
        <v>13932.048740952616</v>
      </c>
      <c r="P42" s="61"/>
      <c r="Q42" s="21">
        <f>+'INTERESES AF'!C18</f>
        <v>13912.920051338033</v>
      </c>
      <c r="R42" s="61"/>
      <c r="S42" s="21">
        <f>+'INTERESES AF'!C19</f>
        <v>13893.206015463353</v>
      </c>
      <c r="T42" s="61"/>
      <c r="U42" s="21">
        <f>+'INTERESES AF'!C20</f>
        <v>13872.890211255924</v>
      </c>
      <c r="V42" s="61"/>
      <c r="W42" s="21">
        <f>+'INTERESES AF'!C21</f>
        <v>13851.955771920464</v>
      </c>
      <c r="X42" s="61"/>
      <c r="Y42" s="21">
        <f>+'INTERESES AF'!C22</f>
        <v>13830.385374083107</v>
      </c>
      <c r="Z42" s="61"/>
      <c r="AA42" s="21">
        <f>+'INTERESES AF'!C23</f>
        <v>13808.161225621687</v>
      </c>
      <c r="AB42" s="21" t="e">
        <f>+#REF!</f>
        <v>#REF!</v>
      </c>
    </row>
    <row r="43" spans="2:28" ht="16.5" hidden="1" thickBot="1" x14ac:dyDescent="0.3">
      <c r="B43" s="27" t="s">
        <v>68</v>
      </c>
      <c r="C43" s="69">
        <v>0</v>
      </c>
      <c r="D43" s="69"/>
      <c r="E43" s="56">
        <v>0</v>
      </c>
      <c r="F43" s="61"/>
      <c r="G43" s="56">
        <v>0</v>
      </c>
      <c r="H43" s="61"/>
      <c r="I43" s="56">
        <v>0</v>
      </c>
      <c r="J43" s="61"/>
      <c r="K43" s="56">
        <v>0</v>
      </c>
      <c r="L43" s="61"/>
      <c r="M43" s="56">
        <v>0</v>
      </c>
      <c r="N43" s="61"/>
      <c r="O43" s="56">
        <v>0</v>
      </c>
      <c r="P43" s="61"/>
      <c r="Q43" s="56">
        <v>0</v>
      </c>
      <c r="R43" s="61"/>
      <c r="S43" s="56">
        <v>0</v>
      </c>
      <c r="T43" s="61"/>
      <c r="U43" s="56">
        <v>0</v>
      </c>
      <c r="V43" s="61"/>
      <c r="W43" s="56">
        <v>0</v>
      </c>
      <c r="X43" s="61"/>
      <c r="Y43" s="56">
        <v>0</v>
      </c>
      <c r="Z43" s="61"/>
      <c r="AA43" s="56">
        <v>0</v>
      </c>
    </row>
    <row r="44" spans="2:28" hidden="1" x14ac:dyDescent="0.25">
      <c r="B44" s="27"/>
      <c r="C44" s="69"/>
      <c r="D44" s="69"/>
      <c r="E44" s="21"/>
      <c r="F44" s="61"/>
      <c r="G44" s="21"/>
      <c r="H44" s="61"/>
      <c r="I44" s="21"/>
      <c r="J44" s="61"/>
      <c r="K44" s="21"/>
      <c r="L44" s="61"/>
      <c r="M44" s="21"/>
      <c r="N44" s="61"/>
      <c r="O44" s="21"/>
      <c r="P44" s="61"/>
      <c r="Q44" s="21"/>
      <c r="R44" s="61"/>
      <c r="S44" s="21"/>
      <c r="T44" s="61"/>
      <c r="U44" s="21"/>
      <c r="V44" s="61"/>
      <c r="W44" s="21"/>
      <c r="X44" s="61"/>
      <c r="Y44" s="21"/>
      <c r="Z44" s="61"/>
      <c r="AA44" s="21"/>
    </row>
    <row r="45" spans="2:28" ht="16.5" hidden="1" thickBot="1" x14ac:dyDescent="0.3">
      <c r="B45" s="64" t="s">
        <v>69</v>
      </c>
      <c r="C45" s="70"/>
      <c r="D45" s="70"/>
      <c r="E45" s="72">
        <f>SUM(E42:E43)</f>
        <v>13904.999999999998</v>
      </c>
      <c r="F45" s="61"/>
      <c r="G45" s="72">
        <f>SUM(G42:G43)</f>
        <v>13910.311851075721</v>
      </c>
      <c r="H45" s="61"/>
      <c r="I45" s="72">
        <f>SUM(I42:I43)</f>
        <v>13915.652952279528</v>
      </c>
      <c r="J45" s="61"/>
      <c r="K45" s="72">
        <f>SUM(K42:K43)</f>
        <v>13921.055739084564</v>
      </c>
      <c r="L45" s="61"/>
      <c r="M45" s="72">
        <f>SUM(M42:M43)</f>
        <v>13926.520791354387</v>
      </c>
      <c r="N45" s="61"/>
      <c r="O45" s="72">
        <f>SUM(O42:O43)</f>
        <v>13932.048740952616</v>
      </c>
      <c r="P45" s="61"/>
      <c r="Q45" s="72">
        <f>SUM(Q42:Q43)</f>
        <v>13912.920051338033</v>
      </c>
      <c r="R45" s="61"/>
      <c r="S45" s="72">
        <f>SUM(S42:S43)</f>
        <v>13893.206015463353</v>
      </c>
      <c r="T45" s="61"/>
      <c r="U45" s="72">
        <f>SUM(U42:U43)</f>
        <v>13872.890211255924</v>
      </c>
      <c r="V45" s="61"/>
      <c r="W45" s="72">
        <f>SUM(W42:W43)</f>
        <v>13851.955771920464</v>
      </c>
      <c r="X45" s="61"/>
      <c r="Y45" s="72">
        <f>SUM(Y42:Y43)</f>
        <v>13830.385374083107</v>
      </c>
      <c r="Z45" s="61"/>
      <c r="AA45" s="72">
        <f>SUM(AA42:AA43)</f>
        <v>13808.161225621687</v>
      </c>
    </row>
    <row r="46" spans="2:28" ht="16.5" hidden="1" thickTop="1" x14ac:dyDescent="0.25">
      <c r="B46" s="27"/>
      <c r="C46" s="69"/>
      <c r="D46" s="69"/>
      <c r="E46" s="21"/>
      <c r="F46" s="61"/>
      <c r="G46" s="21"/>
      <c r="H46" s="61"/>
      <c r="I46" s="21"/>
      <c r="J46" s="61"/>
      <c r="K46" s="21"/>
      <c r="L46" s="61"/>
      <c r="M46" s="21"/>
      <c r="N46" s="61"/>
      <c r="O46" s="21"/>
      <c r="P46" s="61"/>
      <c r="Q46" s="21"/>
      <c r="R46" s="61"/>
    </row>
    <row r="47" spans="2:28" hidden="1" x14ac:dyDescent="0.25">
      <c r="B47" s="27"/>
      <c r="C47" s="69"/>
      <c r="D47" s="69"/>
      <c r="E47" s="21"/>
      <c r="F47" s="61"/>
      <c r="G47" s="21"/>
      <c r="H47" s="61"/>
      <c r="I47" s="21"/>
      <c r="J47" s="61"/>
      <c r="K47" s="21"/>
      <c r="L47" s="61"/>
      <c r="M47" s="21"/>
      <c r="N47" s="61"/>
      <c r="O47" s="21"/>
      <c r="P47" s="61"/>
      <c r="Q47" s="21"/>
      <c r="R47" s="61"/>
    </row>
    <row r="48" spans="2:28" x14ac:dyDescent="0.25">
      <c r="B48" s="27"/>
      <c r="C48" s="69"/>
      <c r="D48" s="69"/>
      <c r="E48" s="21"/>
      <c r="F48" s="61"/>
      <c r="G48" s="21"/>
      <c r="H48" s="61"/>
      <c r="I48" s="21"/>
      <c r="J48" s="61"/>
      <c r="K48" s="21"/>
      <c r="L48" s="61"/>
      <c r="M48" s="21"/>
      <c r="N48" s="61"/>
      <c r="O48" s="21"/>
      <c r="P48" s="61"/>
      <c r="Q48" s="21"/>
      <c r="R48" s="61"/>
    </row>
    <row r="49" spans="2:27" hidden="1" x14ac:dyDescent="0.25">
      <c r="B49" s="22">
        <v>2.5999999999999999E-3</v>
      </c>
    </row>
    <row r="50" spans="2:27" x14ac:dyDescent="0.25">
      <c r="B50" s="28"/>
      <c r="C50" s="71"/>
      <c r="D50" s="71"/>
      <c r="E50" s="21"/>
      <c r="F50" s="61"/>
      <c r="G50" s="21"/>
      <c r="H50" s="61"/>
      <c r="I50" s="21"/>
      <c r="J50" s="61"/>
      <c r="K50" s="21"/>
      <c r="L50" s="61"/>
      <c r="M50" s="21"/>
      <c r="N50" s="61"/>
      <c r="O50" s="21"/>
      <c r="P50" s="61"/>
      <c r="Q50" s="21"/>
      <c r="R50" s="61"/>
      <c r="S50" s="21"/>
      <c r="T50" s="61"/>
      <c r="U50" s="21"/>
      <c r="V50" s="61"/>
      <c r="W50" s="21"/>
      <c r="X50" s="61"/>
      <c r="Y50" s="21"/>
      <c r="Z50" s="61"/>
      <c r="AA50" s="21"/>
    </row>
    <row r="51" spans="2:27" hidden="1" x14ac:dyDescent="0.25"/>
    <row r="52" spans="2:27" hidden="1" x14ac:dyDescent="0.25"/>
    <row r="53" spans="2:27" hidden="1" x14ac:dyDescent="0.25"/>
    <row r="54" spans="2:27" hidden="1" x14ac:dyDescent="0.25">
      <c r="B54" s="17"/>
      <c r="C54" s="17"/>
      <c r="D54" s="17"/>
      <c r="E54" s="85" t="s">
        <v>36</v>
      </c>
      <c r="F54" s="86"/>
      <c r="G54" s="17"/>
      <c r="H54" s="17"/>
      <c r="I54" s="73"/>
      <c r="J54" s="17"/>
      <c r="K54" s="17"/>
      <c r="L54" s="17"/>
      <c r="M54" s="17"/>
      <c r="N54" s="22"/>
      <c r="P54" s="22"/>
      <c r="R54" s="22"/>
      <c r="T54" s="22"/>
      <c r="V54" s="22"/>
      <c r="X54" s="22"/>
      <c r="Z54" s="22"/>
    </row>
    <row r="55" spans="2:27" hidden="1" x14ac:dyDescent="0.25">
      <c r="B55" s="17"/>
      <c r="C55" s="17"/>
      <c r="D55" s="17"/>
      <c r="E55" s="17"/>
      <c r="F55" s="17"/>
      <c r="G55" s="17"/>
      <c r="H55" s="17"/>
      <c r="I55" s="73"/>
      <c r="J55" s="17"/>
      <c r="K55" s="17"/>
      <c r="L55" s="17"/>
      <c r="M55" s="17"/>
      <c r="N55" s="22"/>
      <c r="P55" s="22"/>
      <c r="R55" s="22"/>
      <c r="T55" s="22"/>
      <c r="V55" s="22"/>
      <c r="X55" s="22"/>
      <c r="Z55" s="22"/>
    </row>
    <row r="56" spans="2:27" ht="16.5" hidden="1" thickBot="1" x14ac:dyDescent="0.3">
      <c r="B56" s="17"/>
      <c r="C56" s="17"/>
      <c r="D56" s="17"/>
      <c r="E56" s="17"/>
      <c r="F56" s="17"/>
      <c r="G56" s="17"/>
      <c r="H56" s="17"/>
      <c r="I56" s="73"/>
      <c r="J56" s="17"/>
      <c r="K56" s="17"/>
      <c r="L56" s="17"/>
      <c r="M56" s="17"/>
      <c r="N56" s="22"/>
      <c r="P56" s="22"/>
      <c r="R56" s="22"/>
      <c r="T56" s="22"/>
      <c r="V56" s="22"/>
      <c r="X56" s="22"/>
      <c r="Z56" s="22"/>
    </row>
    <row r="57" spans="2:27" hidden="1" x14ac:dyDescent="0.25">
      <c r="B57" s="146" t="s">
        <v>35</v>
      </c>
      <c r="C57" s="147"/>
      <c r="D57" s="87"/>
      <c r="E57" s="33" t="s">
        <v>38</v>
      </c>
      <c r="F57" s="148">
        <f>+C60-F59-F60</f>
        <v>1236000</v>
      </c>
      <c r="G57" s="148"/>
      <c r="H57" s="17"/>
      <c r="I57" s="73"/>
      <c r="J57" s="17"/>
      <c r="K57" s="17"/>
      <c r="L57" s="17"/>
      <c r="M57" s="17"/>
      <c r="N57" s="22"/>
      <c r="P57" s="22"/>
      <c r="R57" s="22"/>
      <c r="T57" s="22"/>
      <c r="V57" s="22"/>
      <c r="X57" s="22"/>
      <c r="Z57" s="22"/>
    </row>
    <row r="58" spans="2:27" hidden="1" x14ac:dyDescent="0.25">
      <c r="B58" s="30" t="s">
        <v>78</v>
      </c>
      <c r="C58" s="31" t="str">
        <f>+C7</f>
        <v>ARRENDAMIENTO</v>
      </c>
      <c r="D58" s="91"/>
      <c r="E58" s="34"/>
      <c r="F58" s="149"/>
      <c r="G58" s="149"/>
      <c r="H58" s="17"/>
      <c r="I58" s="73"/>
      <c r="J58" s="17"/>
      <c r="K58" s="17"/>
      <c r="L58" s="17"/>
      <c r="M58" s="17"/>
      <c r="N58" s="22"/>
      <c r="P58" s="22"/>
      <c r="R58" s="22"/>
      <c r="T58" s="22"/>
      <c r="V58" s="22"/>
      <c r="X58" s="22"/>
      <c r="Z58" s="22"/>
    </row>
    <row r="59" spans="2:27" hidden="1" x14ac:dyDescent="0.25">
      <c r="B59" s="30" t="s">
        <v>79</v>
      </c>
      <c r="C59" s="31" t="str">
        <f>+C8</f>
        <v>FINANCIERO</v>
      </c>
      <c r="D59" s="92"/>
      <c r="E59" s="34" t="s">
        <v>39</v>
      </c>
      <c r="F59" s="137">
        <f>+C60*C61</f>
        <v>0</v>
      </c>
      <c r="G59" s="137"/>
      <c r="H59" s="17"/>
      <c r="I59" s="73"/>
      <c r="J59" s="17"/>
      <c r="K59" s="17"/>
      <c r="L59" s="17"/>
      <c r="M59" s="17"/>
      <c r="N59" s="22"/>
      <c r="P59" s="22"/>
      <c r="R59" s="22"/>
      <c r="T59" s="22"/>
      <c r="V59" s="22"/>
      <c r="X59" s="22"/>
      <c r="Z59" s="22"/>
    </row>
    <row r="60" spans="2:27" hidden="1" x14ac:dyDescent="0.25">
      <c r="B60" s="32" t="s">
        <v>37</v>
      </c>
      <c r="C60" s="50">
        <f>+C13</f>
        <v>1236000</v>
      </c>
      <c r="D60" s="91"/>
      <c r="E60" s="34" t="s">
        <v>41</v>
      </c>
      <c r="F60" s="137">
        <f>+C64*C60</f>
        <v>0</v>
      </c>
      <c r="G60" s="137"/>
      <c r="H60" s="17"/>
      <c r="I60" s="73"/>
      <c r="J60" s="17"/>
      <c r="K60" s="17"/>
      <c r="L60" s="17"/>
      <c r="M60" s="17"/>
      <c r="N60" s="22"/>
      <c r="P60" s="22"/>
      <c r="R60" s="22"/>
      <c r="T60" s="22"/>
      <c r="V60" s="22"/>
      <c r="X60" s="22"/>
      <c r="Z60" s="22"/>
    </row>
    <row r="61" spans="2:27" hidden="1" x14ac:dyDescent="0.25">
      <c r="B61" s="32" t="s">
        <v>40</v>
      </c>
      <c r="C61" s="35">
        <v>0</v>
      </c>
      <c r="D61" s="93"/>
      <c r="E61" s="37" t="s">
        <v>43</v>
      </c>
      <c r="F61" s="137">
        <f>SUM(F59:F60)</f>
        <v>0</v>
      </c>
      <c r="G61" s="137"/>
      <c r="H61" s="17"/>
      <c r="I61" s="73"/>
      <c r="J61" s="17"/>
      <c r="K61" s="17"/>
      <c r="L61" s="17"/>
      <c r="M61" s="17"/>
      <c r="N61" s="22"/>
      <c r="P61" s="22"/>
      <c r="R61" s="22"/>
      <c r="T61" s="22"/>
      <c r="V61" s="22"/>
      <c r="X61" s="22"/>
      <c r="Z61" s="22"/>
    </row>
    <row r="62" spans="2:27" hidden="1" x14ac:dyDescent="0.25">
      <c r="B62" s="32" t="s">
        <v>42</v>
      </c>
      <c r="C62" s="36">
        <v>0.2</v>
      </c>
      <c r="D62" s="94"/>
      <c r="E62" s="34"/>
      <c r="F62" s="137"/>
      <c r="G62" s="137"/>
      <c r="H62" s="17"/>
      <c r="I62" s="73"/>
      <c r="J62" s="17"/>
      <c r="K62" s="17"/>
      <c r="L62" s="17"/>
      <c r="M62" s="17"/>
      <c r="N62" s="22"/>
      <c r="P62" s="22"/>
      <c r="R62" s="22"/>
      <c r="T62" s="22"/>
      <c r="V62" s="22"/>
      <c r="X62" s="22"/>
      <c r="Z62" s="22"/>
    </row>
    <row r="63" spans="2:27" hidden="1" x14ac:dyDescent="0.25">
      <c r="B63" s="32" t="s">
        <v>2</v>
      </c>
      <c r="C63" s="36">
        <v>0.16</v>
      </c>
      <c r="D63" s="95"/>
      <c r="E63" s="34" t="s">
        <v>45</v>
      </c>
      <c r="F63" s="137">
        <f>PMT($F$66/12,$F$64,-$F$57,-$F$32,0)</f>
        <v>34398.804857364645</v>
      </c>
      <c r="G63" s="137"/>
      <c r="H63" s="17"/>
      <c r="I63" s="73"/>
      <c r="J63" s="17"/>
      <c r="K63" s="17"/>
      <c r="L63" s="17"/>
      <c r="M63" s="17"/>
      <c r="N63" s="22"/>
      <c r="P63" s="22"/>
      <c r="R63" s="22"/>
      <c r="T63" s="22"/>
      <c r="V63" s="22"/>
      <c r="X63" s="22"/>
      <c r="Z63" s="22"/>
    </row>
    <row r="64" spans="2:27" hidden="1" x14ac:dyDescent="0.25">
      <c r="B64" s="32" t="s">
        <v>44</v>
      </c>
      <c r="C64" s="36">
        <v>0</v>
      </c>
      <c r="D64" s="95"/>
      <c r="E64" s="40" t="s">
        <v>47</v>
      </c>
      <c r="F64" s="139">
        <f>+C12</f>
        <v>48</v>
      </c>
      <c r="G64" s="139"/>
      <c r="H64" s="17"/>
      <c r="I64" s="73"/>
      <c r="J64" s="17"/>
      <c r="K64" s="17"/>
      <c r="L64" s="17"/>
      <c r="M64" s="17"/>
      <c r="N64" s="22"/>
      <c r="P64" s="22"/>
      <c r="R64" s="22"/>
      <c r="T64" s="22"/>
      <c r="V64" s="22"/>
      <c r="X64" s="22"/>
      <c r="Z64" s="22"/>
    </row>
    <row r="65" spans="2:26" hidden="1" x14ac:dyDescent="0.25">
      <c r="B65" s="32" t="s">
        <v>46</v>
      </c>
      <c r="C65" s="39">
        <v>3</v>
      </c>
      <c r="D65" s="95"/>
      <c r="E65" s="34" t="s">
        <v>49</v>
      </c>
      <c r="F65" s="137" t="s">
        <v>50</v>
      </c>
      <c r="G65" s="137"/>
      <c r="H65" s="17"/>
      <c r="I65" s="73"/>
      <c r="J65" s="17"/>
      <c r="K65" s="17"/>
      <c r="L65" s="17"/>
      <c r="M65" s="17"/>
      <c r="N65" s="22"/>
      <c r="P65" s="22"/>
      <c r="R65" s="22"/>
      <c r="T65" s="22"/>
      <c r="V65" s="22"/>
      <c r="X65" s="22"/>
      <c r="Z65" s="22"/>
    </row>
    <row r="66" spans="2:26" hidden="1" x14ac:dyDescent="0.25">
      <c r="B66" s="32" t="s">
        <v>48</v>
      </c>
      <c r="C66" s="105">
        <f>+C14</f>
        <v>0</v>
      </c>
      <c r="D66" s="96"/>
      <c r="E66" s="42" t="s">
        <v>51</v>
      </c>
      <c r="F66" s="138">
        <f>+C11</f>
        <v>0.15</v>
      </c>
      <c r="G66" s="138"/>
      <c r="H66" s="17"/>
      <c r="I66" s="73"/>
      <c r="J66" s="17"/>
      <c r="K66" s="17"/>
      <c r="L66" s="17"/>
      <c r="M66" s="17"/>
      <c r="N66" s="22"/>
      <c r="P66" s="22"/>
      <c r="R66" s="22"/>
      <c r="T66" s="22"/>
      <c r="V66" s="22"/>
      <c r="X66" s="22"/>
      <c r="Z66" s="22"/>
    </row>
    <row r="67" spans="2:26" hidden="1" x14ac:dyDescent="0.25">
      <c r="C67" s="22"/>
      <c r="D67" s="97"/>
      <c r="E67" s="34" t="s">
        <v>52</v>
      </c>
      <c r="F67" s="138">
        <f>+F66/12</f>
        <v>1.2499999999999999E-2</v>
      </c>
      <c r="G67" s="138"/>
      <c r="H67" s="41"/>
      <c r="I67" s="74"/>
      <c r="J67" s="17"/>
      <c r="K67" s="17"/>
      <c r="L67" s="17"/>
      <c r="M67" s="17"/>
      <c r="N67" s="22"/>
      <c r="P67" s="22"/>
      <c r="R67" s="22"/>
      <c r="T67" s="22"/>
      <c r="V67" s="22"/>
      <c r="X67" s="22"/>
      <c r="Z67" s="22"/>
    </row>
    <row r="68" spans="2:26" hidden="1" x14ac:dyDescent="0.25">
      <c r="B68" s="17"/>
      <c r="C68" s="17"/>
      <c r="D68" s="17"/>
      <c r="E68" s="34" t="s">
        <v>53</v>
      </c>
      <c r="F68" s="137">
        <f>+C64*F57</f>
        <v>0</v>
      </c>
      <c r="G68" s="137"/>
      <c r="H68" s="17"/>
      <c r="I68" s="73"/>
      <c r="J68" s="17"/>
      <c r="K68" s="17"/>
      <c r="L68" s="17"/>
      <c r="M68" s="17"/>
      <c r="N68" s="22"/>
      <c r="P68" s="22"/>
      <c r="R68" s="22"/>
      <c r="T68" s="22"/>
      <c r="V68" s="22"/>
      <c r="X68" s="22"/>
      <c r="Z68" s="22"/>
    </row>
    <row r="69" spans="2:26" hidden="1" x14ac:dyDescent="0.25">
      <c r="B69" s="17"/>
      <c r="C69" s="17"/>
      <c r="D69" s="17"/>
      <c r="E69" s="42" t="s">
        <v>54</v>
      </c>
      <c r="F69" s="137">
        <v>0</v>
      </c>
      <c r="G69" s="137"/>
      <c r="H69" s="17"/>
      <c r="I69" s="73"/>
      <c r="J69" s="17"/>
      <c r="K69" s="17"/>
      <c r="L69" s="17"/>
      <c r="M69" s="17"/>
      <c r="N69" s="22"/>
      <c r="P69" s="22"/>
      <c r="R69" s="22"/>
      <c r="T69" s="22"/>
      <c r="V69" s="22"/>
      <c r="X69" s="22"/>
      <c r="Z69" s="22"/>
    </row>
    <row r="70" spans="2:26" hidden="1" x14ac:dyDescent="0.25">
      <c r="B70" s="17"/>
      <c r="C70" s="17"/>
      <c r="D70" s="17"/>
      <c r="E70" s="34"/>
      <c r="F70" s="137"/>
      <c r="G70" s="137"/>
      <c r="H70" s="17"/>
      <c r="I70" s="73"/>
      <c r="J70" s="17"/>
      <c r="K70" s="17"/>
      <c r="L70" s="17"/>
      <c r="M70" s="17"/>
      <c r="N70" s="22"/>
      <c r="P70" s="22"/>
      <c r="R70" s="22"/>
      <c r="T70" s="22"/>
      <c r="V70" s="22"/>
      <c r="X70" s="22"/>
      <c r="Z70" s="22"/>
    </row>
    <row r="71" spans="2:26" hidden="1" x14ac:dyDescent="0.25">
      <c r="B71" s="17"/>
      <c r="C71" s="43"/>
      <c r="D71" s="43"/>
      <c r="E71" s="34" t="s">
        <v>55</v>
      </c>
      <c r="F71" s="137" t="s">
        <v>56</v>
      </c>
      <c r="G71" s="137"/>
      <c r="H71" s="17"/>
      <c r="I71" s="73"/>
      <c r="J71" s="17"/>
      <c r="K71" s="17"/>
      <c r="L71" s="17"/>
      <c r="M71" s="17"/>
      <c r="N71" s="22"/>
      <c r="P71" s="22"/>
      <c r="R71" s="22"/>
      <c r="T71" s="22"/>
      <c r="V71" s="22"/>
      <c r="X71" s="22"/>
      <c r="Z71" s="22"/>
    </row>
    <row r="72" spans="2:26" hidden="1" x14ac:dyDescent="0.25">
      <c r="B72" s="17"/>
      <c r="C72" s="43"/>
      <c r="D72" s="43"/>
      <c r="E72" s="34" t="s">
        <v>57</v>
      </c>
      <c r="F72" s="137"/>
      <c r="G72" s="137"/>
      <c r="H72" s="17"/>
      <c r="I72" s="73"/>
      <c r="J72" s="17"/>
      <c r="K72" s="17"/>
      <c r="L72" s="17"/>
      <c r="M72" s="17"/>
      <c r="N72" s="22"/>
      <c r="P72" s="22"/>
      <c r="R72" s="22"/>
      <c r="T72" s="22"/>
      <c r="V72" s="22"/>
      <c r="X72" s="22"/>
      <c r="Z72" s="22"/>
    </row>
    <row r="73" spans="2:26" hidden="1" x14ac:dyDescent="0.25">
      <c r="B73" s="17"/>
      <c r="C73" s="17"/>
      <c r="D73" s="17"/>
      <c r="E73" s="42" t="s">
        <v>58</v>
      </c>
      <c r="F73" s="137">
        <f>+C66</f>
        <v>0</v>
      </c>
      <c r="G73" s="137"/>
      <c r="H73" s="17"/>
      <c r="I73" s="73"/>
      <c r="J73" s="17"/>
      <c r="K73" s="17"/>
      <c r="L73" s="17"/>
      <c r="M73" s="17"/>
      <c r="N73" s="22"/>
      <c r="P73" s="22"/>
      <c r="R73" s="22"/>
      <c r="T73" s="22"/>
      <c r="V73" s="22"/>
      <c r="X73" s="22"/>
      <c r="Z73" s="22"/>
    </row>
    <row r="74" spans="2:26" hidden="1" x14ac:dyDescent="0.25">
      <c r="B74" s="17"/>
      <c r="C74" s="17"/>
      <c r="D74" s="17"/>
      <c r="E74" s="44" t="s">
        <v>59</v>
      </c>
      <c r="F74" s="137">
        <f>+K84</f>
        <v>0</v>
      </c>
      <c r="G74" s="137"/>
      <c r="H74" s="17"/>
      <c r="I74" s="73"/>
      <c r="J74" s="17"/>
      <c r="K74" s="17"/>
      <c r="L74" s="17"/>
      <c r="M74" s="17"/>
      <c r="N74" s="22"/>
      <c r="P74" s="22"/>
      <c r="R74" s="22"/>
      <c r="T74" s="22"/>
      <c r="V74" s="22"/>
      <c r="X74" s="22"/>
      <c r="Z74" s="22"/>
    </row>
    <row r="75" spans="2:26" hidden="1" x14ac:dyDescent="0.25">
      <c r="B75" s="17"/>
      <c r="C75" s="17"/>
      <c r="D75" s="17"/>
      <c r="E75" s="17"/>
      <c r="H75" s="17"/>
      <c r="I75" s="73"/>
      <c r="J75" s="17"/>
      <c r="K75" s="17"/>
      <c r="L75" s="17"/>
      <c r="M75" s="17"/>
      <c r="N75" s="22"/>
      <c r="P75" s="22"/>
      <c r="R75" s="22"/>
      <c r="T75" s="22"/>
      <c r="V75" s="22"/>
      <c r="X75" s="22"/>
      <c r="Z75" s="22"/>
    </row>
    <row r="76" spans="2:26" hidden="1" x14ac:dyDescent="0.25">
      <c r="B76" s="17"/>
      <c r="C76" s="17"/>
      <c r="D76" s="17"/>
      <c r="E76" s="17"/>
      <c r="H76" s="17"/>
      <c r="I76" s="73"/>
      <c r="J76" s="17"/>
      <c r="K76" s="17"/>
      <c r="L76" s="17"/>
      <c r="M76" s="17"/>
      <c r="N76" s="22"/>
      <c r="P76" s="22"/>
      <c r="R76" s="22"/>
      <c r="T76" s="22"/>
      <c r="V76" s="22"/>
      <c r="X76" s="22"/>
      <c r="Z76" s="22"/>
    </row>
    <row r="77" spans="2:26" x14ac:dyDescent="0.25">
      <c r="B77" s="17"/>
      <c r="C77" s="17"/>
      <c r="D77" s="17"/>
      <c r="E77" s="17"/>
      <c r="F77" s="17"/>
      <c r="G77" s="17"/>
      <c r="H77" s="17"/>
      <c r="I77" s="73"/>
      <c r="J77" s="17"/>
      <c r="K77" s="17"/>
      <c r="L77" s="17"/>
      <c r="M77" s="17"/>
      <c r="N77" s="22"/>
      <c r="P77" s="22"/>
      <c r="R77" s="22"/>
      <c r="T77" s="22"/>
      <c r="V77" s="22"/>
      <c r="X77" s="22"/>
      <c r="Z77" s="22"/>
    </row>
    <row r="78" spans="2:26" x14ac:dyDescent="0.25">
      <c r="B78" s="17"/>
      <c r="C78" s="17"/>
      <c r="D78" s="17"/>
      <c r="E78" s="17"/>
      <c r="F78" s="17"/>
      <c r="G78" s="17"/>
      <c r="H78" s="17"/>
      <c r="I78" s="73"/>
      <c r="J78" s="17"/>
      <c r="K78" s="17"/>
      <c r="L78" s="17"/>
      <c r="M78" s="17"/>
      <c r="N78" s="22"/>
      <c r="P78" s="22"/>
      <c r="R78" s="22"/>
      <c r="T78" s="22"/>
      <c r="V78" s="22"/>
      <c r="X78" s="22"/>
      <c r="Z78" s="22"/>
    </row>
    <row r="79" spans="2:26" x14ac:dyDescent="0.25">
      <c r="B79" s="17"/>
      <c r="C79" s="17"/>
      <c r="D79" s="17"/>
      <c r="E79" s="17"/>
      <c r="F79" s="17"/>
      <c r="G79" s="17"/>
      <c r="H79" s="17"/>
      <c r="I79" s="73"/>
      <c r="J79" s="17"/>
      <c r="K79" s="17"/>
      <c r="L79" s="17"/>
      <c r="M79" s="17"/>
      <c r="N79" s="22"/>
      <c r="P79" s="22"/>
      <c r="R79" s="22"/>
      <c r="T79" s="22"/>
      <c r="V79" s="22"/>
      <c r="X79" s="22"/>
      <c r="Z79" s="22"/>
    </row>
    <row r="80" spans="2:26" x14ac:dyDescent="0.25">
      <c r="B80" s="17"/>
      <c r="C80" s="17"/>
      <c r="D80" s="17"/>
      <c r="E80" s="17"/>
      <c r="F80" s="17"/>
      <c r="G80" s="17" t="s">
        <v>105</v>
      </c>
      <c r="H80" s="17"/>
      <c r="I80" s="73" t="s">
        <v>32</v>
      </c>
      <c r="J80" s="17"/>
      <c r="K80" s="17"/>
      <c r="L80" s="17"/>
      <c r="M80" s="17"/>
      <c r="N80" s="22"/>
      <c r="P80" s="22"/>
      <c r="R80" s="22"/>
      <c r="T80" s="22"/>
      <c r="V80" s="22"/>
      <c r="X80" s="22"/>
      <c r="Z80" s="22"/>
    </row>
    <row r="81" spans="2:26" x14ac:dyDescent="0.25">
      <c r="B81" s="17"/>
      <c r="C81" s="17"/>
      <c r="D81" s="17"/>
      <c r="E81" s="17"/>
      <c r="F81" s="17"/>
      <c r="G81" s="17"/>
      <c r="H81" s="17"/>
      <c r="I81" s="73"/>
      <c r="J81" s="17"/>
      <c r="K81" s="17"/>
      <c r="L81" s="17"/>
      <c r="M81" s="17"/>
      <c r="N81" s="22"/>
      <c r="P81" s="22"/>
      <c r="R81" s="22"/>
      <c r="T81" s="22"/>
      <c r="V81" s="22"/>
      <c r="X81" s="22"/>
      <c r="Z81" s="22"/>
    </row>
    <row r="82" spans="2:26" ht="30" x14ac:dyDescent="0.25">
      <c r="B82" s="45" t="s">
        <v>60</v>
      </c>
      <c r="C82" s="45" t="s">
        <v>61</v>
      </c>
      <c r="D82" s="45"/>
      <c r="E82" s="45" t="s">
        <v>30</v>
      </c>
      <c r="G82" s="45" t="s">
        <v>21</v>
      </c>
      <c r="I82" s="45" t="s">
        <v>32</v>
      </c>
      <c r="K82" s="46" t="s">
        <v>63</v>
      </c>
      <c r="M82" s="45" t="s">
        <v>64</v>
      </c>
      <c r="N82" s="22"/>
      <c r="O82" s="46" t="s">
        <v>62</v>
      </c>
      <c r="P82" s="22"/>
      <c r="R82" s="22"/>
      <c r="T82" s="22"/>
      <c r="V82" s="22"/>
      <c r="X82" s="22"/>
      <c r="Z82" s="22"/>
    </row>
    <row r="83" spans="2:26" x14ac:dyDescent="0.25">
      <c r="B83" s="47"/>
      <c r="C83" s="47">
        <v>0</v>
      </c>
      <c r="D83" s="47"/>
      <c r="E83" s="48">
        <v>0</v>
      </c>
      <c r="G83" s="47"/>
      <c r="I83" s="47"/>
      <c r="K83" s="47">
        <v>0</v>
      </c>
      <c r="M83" s="47"/>
      <c r="N83" s="22"/>
      <c r="O83" s="75">
        <f>+C13</f>
        <v>1236000</v>
      </c>
      <c r="P83" s="22"/>
      <c r="R83" s="22"/>
      <c r="T83" s="22"/>
      <c r="V83" s="22"/>
      <c r="X83" s="22"/>
      <c r="Z83" s="22"/>
    </row>
    <row r="84" spans="2:26" x14ac:dyDescent="0.25">
      <c r="B84" s="47"/>
      <c r="C84" s="47">
        <v>1</v>
      </c>
      <c r="D84" s="47"/>
      <c r="E84" s="48">
        <f>PMT($C$11/12,$F$64,-$F$57,$C$19)</f>
        <v>30609.043885891711</v>
      </c>
      <c r="G84" s="48">
        <f>PPMT($F$66/12,C84,$F$64,-$F$57,$C$19)</f>
        <v>15159.043885891715</v>
      </c>
      <c r="I84" s="48">
        <f>IPMT($F$66/12,C84,$F$64,-$F$57,$C$19)</f>
        <v>15449.999999999998</v>
      </c>
      <c r="K84" s="48">
        <f>PMT($F$66/9,$F$64,-$F$73,,1)</f>
        <v>0</v>
      </c>
      <c r="M84" s="48">
        <f t="shared" ref="M84:M115" si="0">+E84+K84</f>
        <v>30609.043885891711</v>
      </c>
      <c r="N84" s="22"/>
      <c r="O84" s="48">
        <f>+O83-G84</f>
        <v>1220840.9561141082</v>
      </c>
      <c r="P84" s="22"/>
      <c r="R84" s="22"/>
      <c r="T84" s="22"/>
      <c r="V84" s="22"/>
      <c r="X84" s="22"/>
      <c r="Z84" s="22"/>
    </row>
    <row r="85" spans="2:26" x14ac:dyDescent="0.25">
      <c r="B85" s="47"/>
      <c r="C85" s="47">
        <v>2</v>
      </c>
      <c r="D85" s="47"/>
      <c r="E85" s="48">
        <f t="shared" ref="E85:E148" si="1">PMT($C$11/12,$F$64,-$F$57,$C$19)</f>
        <v>30609.043885891711</v>
      </c>
      <c r="G85" s="48">
        <f t="shared" ref="G85:G148" si="2">PPMT($F$66/12,C85,$F$64,-$F$57,$C$19)</f>
        <v>15348.531934465362</v>
      </c>
      <c r="I85" s="48">
        <f t="shared" ref="I85:I148" si="3">IPMT($F$66/12,C85,$F$64,-$F$57,$C$19)</f>
        <v>15260.511951426352</v>
      </c>
      <c r="K85" s="48">
        <f t="shared" ref="K85:K131" si="4">PMT($F$66/9,$F$64,-$F$73,,1)</f>
        <v>0</v>
      </c>
      <c r="M85" s="48">
        <f t="shared" si="0"/>
        <v>30609.043885891711</v>
      </c>
      <c r="N85" s="22"/>
      <c r="O85" s="48">
        <f t="shared" ref="O85:O131" si="5">+O84-G85</f>
        <v>1205492.4241796429</v>
      </c>
      <c r="P85" s="22"/>
      <c r="R85" s="22"/>
      <c r="T85" s="22"/>
      <c r="V85" s="22"/>
      <c r="X85" s="22"/>
      <c r="Z85" s="22"/>
    </row>
    <row r="86" spans="2:26" x14ac:dyDescent="0.25">
      <c r="B86" s="47"/>
      <c r="C86" s="47">
        <v>3</v>
      </c>
      <c r="D86" s="47"/>
      <c r="E86" s="48">
        <f t="shared" si="1"/>
        <v>30609.043885891711</v>
      </c>
      <c r="G86" s="48">
        <f t="shared" si="2"/>
        <v>15540.388583646178</v>
      </c>
      <c r="I86" s="48">
        <f t="shared" si="3"/>
        <v>15068.655302245532</v>
      </c>
      <c r="K86" s="48">
        <f t="shared" si="4"/>
        <v>0</v>
      </c>
      <c r="M86" s="48">
        <f t="shared" si="0"/>
        <v>30609.043885891711</v>
      </c>
      <c r="N86" s="22"/>
      <c r="O86" s="48">
        <f t="shared" si="5"/>
        <v>1189952.0355959968</v>
      </c>
      <c r="P86" s="22"/>
      <c r="R86" s="22"/>
      <c r="T86" s="22"/>
      <c r="V86" s="22"/>
      <c r="X86" s="22"/>
      <c r="Z86" s="22"/>
    </row>
    <row r="87" spans="2:26" x14ac:dyDescent="0.25">
      <c r="B87" s="47"/>
      <c r="C87" s="47">
        <v>4</v>
      </c>
      <c r="D87" s="47"/>
      <c r="E87" s="48">
        <f t="shared" si="1"/>
        <v>30609.043885891711</v>
      </c>
      <c r="G87" s="48">
        <f t="shared" si="2"/>
        <v>15734.643440941758</v>
      </c>
      <c r="I87" s="48">
        <f t="shared" si="3"/>
        <v>14874.400444949959</v>
      </c>
      <c r="K87" s="48">
        <f t="shared" si="4"/>
        <v>0</v>
      </c>
      <c r="M87" s="48">
        <f t="shared" si="0"/>
        <v>30609.043885891711</v>
      </c>
      <c r="N87" s="22"/>
      <c r="O87" s="48">
        <f t="shared" si="5"/>
        <v>1174217.392155055</v>
      </c>
      <c r="P87" s="22"/>
      <c r="R87" s="22"/>
      <c r="T87" s="22"/>
      <c r="V87" s="22"/>
      <c r="X87" s="22"/>
      <c r="Z87" s="22"/>
    </row>
    <row r="88" spans="2:26" x14ac:dyDescent="0.25">
      <c r="B88" s="47"/>
      <c r="C88" s="47">
        <v>5</v>
      </c>
      <c r="D88" s="47"/>
      <c r="E88" s="48">
        <f t="shared" si="1"/>
        <v>30609.043885891711</v>
      </c>
      <c r="G88" s="48">
        <f t="shared" si="2"/>
        <v>15931.326483953528</v>
      </c>
      <c r="I88" s="48">
        <f t="shared" si="3"/>
        <v>14677.717401938186</v>
      </c>
      <c r="K88" s="48">
        <f t="shared" si="4"/>
        <v>0</v>
      </c>
      <c r="M88" s="48">
        <f t="shared" si="0"/>
        <v>30609.043885891711</v>
      </c>
      <c r="N88" s="22"/>
      <c r="O88" s="48">
        <f t="shared" si="5"/>
        <v>1158286.0656711014</v>
      </c>
      <c r="P88" s="22"/>
      <c r="R88" s="22"/>
      <c r="T88" s="22"/>
      <c r="V88" s="22"/>
      <c r="X88" s="22"/>
      <c r="Z88" s="22"/>
    </row>
    <row r="89" spans="2:26" x14ac:dyDescent="0.25">
      <c r="B89" s="47"/>
      <c r="C89" s="47">
        <v>6</v>
      </c>
      <c r="D89" s="47"/>
      <c r="E89" s="48">
        <f t="shared" si="1"/>
        <v>30609.043885891711</v>
      </c>
      <c r="G89" s="48">
        <f t="shared" si="2"/>
        <v>16130.46806500295</v>
      </c>
      <c r="I89" s="48">
        <f t="shared" si="3"/>
        <v>14478.575820888764</v>
      </c>
      <c r="K89" s="48">
        <f t="shared" si="4"/>
        <v>0</v>
      </c>
      <c r="M89" s="48">
        <f t="shared" si="0"/>
        <v>30609.043885891711</v>
      </c>
      <c r="N89" s="22"/>
      <c r="O89" s="48">
        <f t="shared" si="5"/>
        <v>1142155.5976060985</v>
      </c>
      <c r="P89" s="22"/>
      <c r="R89" s="22"/>
      <c r="T89" s="22"/>
      <c r="V89" s="22"/>
      <c r="X89" s="22"/>
      <c r="Z89" s="22"/>
    </row>
    <row r="90" spans="2:26" x14ac:dyDescent="0.25">
      <c r="B90" s="47"/>
      <c r="C90" s="47">
        <v>7</v>
      </c>
      <c r="D90" s="47"/>
      <c r="E90" s="48">
        <f t="shared" si="1"/>
        <v>30609.043885891711</v>
      </c>
      <c r="G90" s="48">
        <f t="shared" si="2"/>
        <v>16332.098915815483</v>
      </c>
      <c r="I90" s="48">
        <f t="shared" si="3"/>
        <v>14276.944970076227</v>
      </c>
      <c r="K90" s="48">
        <f t="shared" si="4"/>
        <v>0</v>
      </c>
      <c r="M90" s="48">
        <f t="shared" si="0"/>
        <v>30609.043885891711</v>
      </c>
      <c r="N90" s="22"/>
      <c r="O90" s="48">
        <f t="shared" si="5"/>
        <v>1125823.4986902829</v>
      </c>
      <c r="P90" s="22"/>
      <c r="R90" s="22"/>
      <c r="T90" s="22"/>
      <c r="V90" s="22"/>
      <c r="X90" s="22"/>
      <c r="Z90" s="22"/>
    </row>
    <row r="91" spans="2:26" x14ac:dyDescent="0.25">
      <c r="B91" s="47"/>
      <c r="C91" s="47">
        <v>8</v>
      </c>
      <c r="D91" s="47"/>
      <c r="E91" s="48">
        <f t="shared" si="1"/>
        <v>30609.043885891711</v>
      </c>
      <c r="G91" s="48">
        <f t="shared" si="2"/>
        <v>16536.250152263179</v>
      </c>
      <c r="I91" s="48">
        <f t="shared" si="3"/>
        <v>14072.793733628536</v>
      </c>
      <c r="K91" s="48">
        <f t="shared" si="4"/>
        <v>0</v>
      </c>
      <c r="M91" s="48">
        <f t="shared" si="0"/>
        <v>30609.043885891711</v>
      </c>
      <c r="N91" s="22"/>
      <c r="O91" s="48">
        <f t="shared" si="5"/>
        <v>1109287.2485380198</v>
      </c>
      <c r="P91" s="22"/>
      <c r="R91" s="22"/>
      <c r="T91" s="22"/>
      <c r="V91" s="22"/>
      <c r="X91" s="22"/>
      <c r="Z91" s="22"/>
    </row>
    <row r="92" spans="2:26" x14ac:dyDescent="0.25">
      <c r="B92" s="47"/>
      <c r="C92" s="47">
        <v>9</v>
      </c>
      <c r="D92" s="47"/>
      <c r="E92" s="48">
        <f t="shared" si="1"/>
        <v>30609.043885891711</v>
      </c>
      <c r="G92" s="48">
        <f t="shared" si="2"/>
        <v>16742.953279166468</v>
      </c>
      <c r="I92" s="48">
        <f t="shared" si="3"/>
        <v>13866.090606725244</v>
      </c>
      <c r="K92" s="48">
        <f t="shared" si="4"/>
        <v>0</v>
      </c>
      <c r="M92" s="48">
        <f t="shared" si="0"/>
        <v>30609.043885891711</v>
      </c>
      <c r="N92" s="22"/>
      <c r="O92" s="48">
        <f t="shared" si="5"/>
        <v>1092544.2952588534</v>
      </c>
      <c r="P92" s="22"/>
      <c r="R92" s="22"/>
      <c r="T92" s="22"/>
      <c r="V92" s="22"/>
      <c r="X92" s="22"/>
      <c r="Z92" s="22"/>
    </row>
    <row r="93" spans="2:26" x14ac:dyDescent="0.25">
      <c r="B93" s="47"/>
      <c r="C93" s="47">
        <v>10</v>
      </c>
      <c r="D93" s="47"/>
      <c r="E93" s="48">
        <f t="shared" si="1"/>
        <v>30609.043885891711</v>
      </c>
      <c r="G93" s="48">
        <f t="shared" si="2"/>
        <v>16952.240195156046</v>
      </c>
      <c r="I93" s="48">
        <f t="shared" si="3"/>
        <v>13656.803690735664</v>
      </c>
      <c r="K93" s="48">
        <f t="shared" si="4"/>
        <v>0</v>
      </c>
      <c r="M93" s="48">
        <f t="shared" si="0"/>
        <v>30609.043885891711</v>
      </c>
      <c r="N93" s="22"/>
      <c r="O93" s="48">
        <f t="shared" si="5"/>
        <v>1075592.0550636973</v>
      </c>
      <c r="P93" s="22"/>
      <c r="R93" s="22"/>
      <c r="T93" s="22"/>
      <c r="V93" s="22"/>
      <c r="X93" s="22"/>
      <c r="Z93" s="22"/>
    </row>
    <row r="94" spans="2:26" x14ac:dyDescent="0.25">
      <c r="B94" s="47"/>
      <c r="C94" s="47">
        <v>11</v>
      </c>
      <c r="D94" s="47"/>
      <c r="E94" s="48">
        <f t="shared" si="1"/>
        <v>30609.043885891711</v>
      </c>
      <c r="G94" s="48">
        <f t="shared" si="2"/>
        <v>17164.143197595498</v>
      </c>
      <c r="I94" s="48">
        <f t="shared" si="3"/>
        <v>13444.900688296211</v>
      </c>
      <c r="K94" s="48">
        <f t="shared" si="4"/>
        <v>0</v>
      </c>
      <c r="M94" s="48">
        <f t="shared" si="0"/>
        <v>30609.043885891711</v>
      </c>
      <c r="N94" s="22"/>
      <c r="O94" s="48">
        <f t="shared" si="5"/>
        <v>1058427.9118661017</v>
      </c>
      <c r="P94" s="22"/>
      <c r="R94" s="22"/>
      <c r="T94" s="22"/>
      <c r="V94" s="22"/>
      <c r="X94" s="22"/>
      <c r="Z94" s="22"/>
    </row>
    <row r="95" spans="2:26" x14ac:dyDescent="0.25">
      <c r="B95" s="47"/>
      <c r="C95" s="47">
        <v>12</v>
      </c>
      <c r="D95" s="47"/>
      <c r="E95" s="48">
        <f t="shared" si="1"/>
        <v>30609.043885891711</v>
      </c>
      <c r="G95" s="48">
        <f t="shared" si="2"/>
        <v>17378.694987565443</v>
      </c>
      <c r="I95" s="48">
        <f t="shared" si="3"/>
        <v>13230.348898326271</v>
      </c>
      <c r="K95" s="48">
        <f t="shared" si="4"/>
        <v>0</v>
      </c>
      <c r="M95" s="48">
        <f t="shared" si="0"/>
        <v>30609.043885891711</v>
      </c>
      <c r="N95" s="22"/>
      <c r="O95" s="48">
        <f t="shared" si="5"/>
        <v>1041049.2168785363</v>
      </c>
      <c r="P95" s="22"/>
      <c r="R95" s="22"/>
      <c r="T95" s="22"/>
      <c r="V95" s="22"/>
      <c r="X95" s="22"/>
      <c r="Z95" s="22"/>
    </row>
    <row r="96" spans="2:26" x14ac:dyDescent="0.25">
      <c r="B96" s="47"/>
      <c r="C96" s="47">
        <v>13</v>
      </c>
      <c r="D96" s="47"/>
      <c r="E96" s="48">
        <f t="shared" si="1"/>
        <v>30609.043885891711</v>
      </c>
      <c r="G96" s="48">
        <f t="shared" si="2"/>
        <v>17595.92867491001</v>
      </c>
      <c r="I96" s="48">
        <f t="shared" si="3"/>
        <v>13013.115210981703</v>
      </c>
      <c r="K96" s="48">
        <f t="shared" si="4"/>
        <v>0</v>
      </c>
      <c r="M96" s="48">
        <f t="shared" si="0"/>
        <v>30609.043885891711</v>
      </c>
      <c r="N96" s="22"/>
      <c r="O96" s="48">
        <f t="shared" si="5"/>
        <v>1023453.2882036263</v>
      </c>
      <c r="P96" s="22"/>
      <c r="R96" s="22"/>
      <c r="T96" s="22"/>
      <c r="V96" s="22"/>
      <c r="X96" s="22"/>
      <c r="Z96" s="22"/>
    </row>
    <row r="97" spans="2:26" x14ac:dyDescent="0.25">
      <c r="B97" s="47"/>
      <c r="C97" s="47">
        <v>14</v>
      </c>
      <c r="D97" s="47"/>
      <c r="E97" s="48">
        <f t="shared" si="1"/>
        <v>30609.043885891711</v>
      </c>
      <c r="G97" s="48">
        <f t="shared" si="2"/>
        <v>17815.877783346386</v>
      </c>
      <c r="I97" s="48">
        <f t="shared" si="3"/>
        <v>12793.166102545327</v>
      </c>
      <c r="K97" s="48">
        <f t="shared" si="4"/>
        <v>0</v>
      </c>
      <c r="M97" s="48">
        <f t="shared" si="0"/>
        <v>30609.043885891711</v>
      </c>
      <c r="N97" s="22"/>
      <c r="O97" s="48">
        <f t="shared" si="5"/>
        <v>1005637.4104202799</v>
      </c>
      <c r="P97" s="22"/>
      <c r="R97" s="22"/>
      <c r="T97" s="22"/>
      <c r="V97" s="22"/>
      <c r="X97" s="22"/>
      <c r="Z97" s="22"/>
    </row>
    <row r="98" spans="2:26" x14ac:dyDescent="0.25">
      <c r="B98" s="47"/>
      <c r="C98" s="47">
        <v>15</v>
      </c>
      <c r="D98" s="47"/>
      <c r="E98" s="48">
        <f t="shared" si="1"/>
        <v>30609.043885891711</v>
      </c>
      <c r="G98" s="48">
        <f t="shared" si="2"/>
        <v>18038.576255638214</v>
      </c>
      <c r="I98" s="48">
        <f t="shared" si="3"/>
        <v>12570.467630253499</v>
      </c>
      <c r="K98" s="48">
        <f t="shared" si="4"/>
        <v>0</v>
      </c>
      <c r="M98" s="48">
        <f t="shared" si="0"/>
        <v>30609.043885891711</v>
      </c>
      <c r="N98" s="22"/>
      <c r="O98" s="48">
        <f t="shared" si="5"/>
        <v>987598.83416464168</v>
      </c>
      <c r="P98" s="22"/>
      <c r="R98" s="22"/>
      <c r="T98" s="22"/>
      <c r="V98" s="22"/>
      <c r="X98" s="22"/>
      <c r="Z98" s="22"/>
    </row>
    <row r="99" spans="2:26" x14ac:dyDescent="0.25">
      <c r="B99" s="47"/>
      <c r="C99" s="47">
        <v>16</v>
      </c>
      <c r="D99" s="47"/>
      <c r="E99" s="48">
        <f t="shared" si="1"/>
        <v>30609.043885891711</v>
      </c>
      <c r="G99" s="48">
        <f t="shared" si="2"/>
        <v>18264.058458833693</v>
      </c>
      <c r="I99" s="48">
        <f t="shared" si="3"/>
        <v>12344.98542705802</v>
      </c>
      <c r="K99" s="48">
        <f t="shared" si="4"/>
        <v>0</v>
      </c>
      <c r="M99" s="48">
        <f t="shared" si="0"/>
        <v>30609.043885891711</v>
      </c>
      <c r="N99" s="22"/>
      <c r="O99" s="48">
        <f t="shared" si="5"/>
        <v>969334.77570580796</v>
      </c>
      <c r="P99" s="22"/>
      <c r="R99" s="22"/>
      <c r="T99" s="22"/>
      <c r="V99" s="22"/>
      <c r="X99" s="22"/>
      <c r="Z99" s="22"/>
    </row>
    <row r="100" spans="2:26" x14ac:dyDescent="0.25">
      <c r="B100" s="47"/>
      <c r="C100" s="47">
        <v>17</v>
      </c>
      <c r="D100" s="47"/>
      <c r="E100" s="48">
        <f t="shared" si="1"/>
        <v>30609.043885891711</v>
      </c>
      <c r="G100" s="48">
        <f t="shared" si="2"/>
        <v>18492.359189569113</v>
      </c>
      <c r="I100" s="48">
        <f t="shared" si="3"/>
        <v>12116.6846963226</v>
      </c>
      <c r="K100" s="48">
        <f t="shared" si="4"/>
        <v>0</v>
      </c>
      <c r="M100" s="48">
        <f t="shared" si="0"/>
        <v>30609.043885891711</v>
      </c>
      <c r="N100" s="22"/>
      <c r="O100" s="48">
        <f t="shared" si="5"/>
        <v>950842.41651623882</v>
      </c>
      <c r="P100" s="22"/>
      <c r="R100" s="22"/>
      <c r="T100" s="22"/>
      <c r="V100" s="22"/>
      <c r="X100" s="22"/>
      <c r="Z100" s="22"/>
    </row>
    <row r="101" spans="2:26" x14ac:dyDescent="0.25">
      <c r="B101" s="47"/>
      <c r="C101" s="47">
        <v>18</v>
      </c>
      <c r="D101" s="47"/>
      <c r="E101" s="48">
        <f t="shared" si="1"/>
        <v>30609.043885891711</v>
      </c>
      <c r="G101" s="48">
        <f t="shared" si="2"/>
        <v>18723.513679438729</v>
      </c>
      <c r="I101" s="48">
        <f t="shared" si="3"/>
        <v>11885.530206452988</v>
      </c>
      <c r="K101" s="48">
        <f t="shared" si="4"/>
        <v>0</v>
      </c>
      <c r="M101" s="48">
        <f t="shared" si="0"/>
        <v>30609.043885891711</v>
      </c>
      <c r="N101" s="22"/>
      <c r="O101" s="48">
        <f t="shared" si="5"/>
        <v>932118.90283680009</v>
      </c>
      <c r="P101" s="22"/>
      <c r="R101" s="22"/>
      <c r="T101" s="22"/>
      <c r="V101" s="22"/>
      <c r="X101" s="22"/>
      <c r="Z101" s="22"/>
    </row>
    <row r="102" spans="2:26" x14ac:dyDescent="0.25">
      <c r="B102" s="47"/>
      <c r="C102" s="47">
        <v>19</v>
      </c>
      <c r="D102" s="47"/>
      <c r="E102" s="48">
        <f t="shared" si="1"/>
        <v>30609.043885891711</v>
      </c>
      <c r="G102" s="48">
        <f t="shared" si="2"/>
        <v>18957.557600431712</v>
      </c>
      <c r="I102" s="48">
        <f t="shared" si="3"/>
        <v>11651.486285460003</v>
      </c>
      <c r="K102" s="48">
        <f t="shared" si="4"/>
        <v>0</v>
      </c>
      <c r="M102" s="48">
        <f t="shared" si="0"/>
        <v>30609.043885891711</v>
      </c>
      <c r="N102" s="22"/>
      <c r="O102" s="48">
        <f t="shared" si="5"/>
        <v>913161.34523636836</v>
      </c>
      <c r="P102" s="22"/>
      <c r="R102" s="22"/>
      <c r="T102" s="22"/>
      <c r="V102" s="22"/>
      <c r="X102" s="22"/>
      <c r="Z102" s="22"/>
    </row>
    <row r="103" spans="2:26" x14ac:dyDescent="0.25">
      <c r="B103" s="47"/>
      <c r="C103" s="47">
        <v>20</v>
      </c>
      <c r="D103" s="47"/>
      <c r="E103" s="48">
        <f t="shared" si="1"/>
        <v>30609.043885891711</v>
      </c>
      <c r="G103" s="48">
        <f t="shared" si="2"/>
        <v>19194.527070437107</v>
      </c>
      <c r="I103" s="48">
        <f t="shared" si="3"/>
        <v>11414.516815454605</v>
      </c>
      <c r="K103" s="48">
        <f t="shared" si="4"/>
        <v>0</v>
      </c>
      <c r="M103" s="48">
        <f t="shared" si="0"/>
        <v>30609.043885891711</v>
      </c>
      <c r="N103" s="22"/>
      <c r="O103" s="48">
        <f t="shared" si="5"/>
        <v>893966.81816593127</v>
      </c>
      <c r="P103" s="22"/>
      <c r="R103" s="22"/>
      <c r="T103" s="22"/>
      <c r="V103" s="22"/>
      <c r="X103" s="22"/>
      <c r="Z103" s="22"/>
    </row>
    <row r="104" spans="2:26" x14ac:dyDescent="0.25">
      <c r="B104" s="47"/>
      <c r="C104" s="47">
        <v>21</v>
      </c>
      <c r="D104" s="47"/>
      <c r="E104" s="48">
        <f t="shared" si="1"/>
        <v>30609.043885891711</v>
      </c>
      <c r="G104" s="48">
        <f t="shared" si="2"/>
        <v>19434.458658817573</v>
      </c>
      <c r="I104" s="48">
        <f t="shared" si="3"/>
        <v>11174.585227074142</v>
      </c>
      <c r="K104" s="48">
        <f t="shared" si="4"/>
        <v>0</v>
      </c>
      <c r="M104" s="48">
        <f t="shared" si="0"/>
        <v>30609.043885891711</v>
      </c>
      <c r="N104" s="22"/>
      <c r="O104" s="48">
        <f t="shared" si="5"/>
        <v>874532.3595071137</v>
      </c>
      <c r="P104" s="22"/>
      <c r="R104" s="22"/>
      <c r="T104" s="22"/>
      <c r="V104" s="22"/>
      <c r="X104" s="22"/>
      <c r="Z104" s="22"/>
    </row>
    <row r="105" spans="2:26" x14ac:dyDescent="0.25">
      <c r="B105" s="47"/>
      <c r="C105" s="47">
        <v>22</v>
      </c>
      <c r="D105" s="47"/>
      <c r="E105" s="48">
        <f t="shared" si="1"/>
        <v>30609.043885891711</v>
      </c>
      <c r="G105" s="48">
        <f t="shared" si="2"/>
        <v>19677.389392052792</v>
      </c>
      <c r="I105" s="48">
        <f t="shared" si="3"/>
        <v>10931.654493838922</v>
      </c>
      <c r="K105" s="48">
        <f t="shared" si="4"/>
        <v>0</v>
      </c>
      <c r="M105" s="48">
        <f t="shared" si="0"/>
        <v>30609.043885891711</v>
      </c>
      <c r="N105" s="22"/>
      <c r="O105" s="48">
        <f t="shared" si="5"/>
        <v>854854.97011506092</v>
      </c>
      <c r="P105" s="22"/>
      <c r="R105" s="22"/>
      <c r="T105" s="22"/>
      <c r="V105" s="22"/>
      <c r="X105" s="22"/>
      <c r="Z105" s="22"/>
    </row>
    <row r="106" spans="2:26" x14ac:dyDescent="0.25">
      <c r="B106" s="47"/>
      <c r="C106" s="47">
        <v>23</v>
      </c>
      <c r="D106" s="47"/>
      <c r="E106" s="48">
        <f t="shared" si="1"/>
        <v>30609.043885891711</v>
      </c>
      <c r="G106" s="48">
        <f t="shared" si="2"/>
        <v>19923.356759453451</v>
      </c>
      <c r="I106" s="48">
        <f t="shared" si="3"/>
        <v>10685.687126438263</v>
      </c>
      <c r="K106" s="48">
        <f t="shared" si="4"/>
        <v>0</v>
      </c>
      <c r="M106" s="48">
        <f t="shared" si="0"/>
        <v>30609.043885891711</v>
      </c>
      <c r="N106" s="22"/>
      <c r="O106" s="48">
        <f t="shared" si="5"/>
        <v>834931.61335560749</v>
      </c>
      <c r="P106" s="22"/>
      <c r="R106" s="22"/>
      <c r="T106" s="22"/>
      <c r="V106" s="22"/>
      <c r="X106" s="22"/>
      <c r="Z106" s="22"/>
    </row>
    <row r="107" spans="2:26" x14ac:dyDescent="0.25">
      <c r="B107" s="47"/>
      <c r="C107" s="47">
        <v>24</v>
      </c>
      <c r="D107" s="47"/>
      <c r="E107" s="48">
        <f t="shared" si="1"/>
        <v>30609.043885891711</v>
      </c>
      <c r="G107" s="48">
        <f t="shared" si="2"/>
        <v>20172.398718946617</v>
      </c>
      <c r="I107" s="48">
        <f t="shared" si="3"/>
        <v>10436.645166945096</v>
      </c>
      <c r="K107" s="48">
        <f t="shared" si="4"/>
        <v>0</v>
      </c>
      <c r="M107" s="48">
        <f t="shared" si="0"/>
        <v>30609.043885891711</v>
      </c>
      <c r="N107" s="22"/>
      <c r="O107" s="48">
        <f t="shared" si="5"/>
        <v>814759.21463666088</v>
      </c>
      <c r="P107" s="22"/>
      <c r="R107" s="22"/>
      <c r="T107" s="22"/>
      <c r="V107" s="22"/>
      <c r="X107" s="22"/>
      <c r="Z107" s="22"/>
    </row>
    <row r="108" spans="2:26" x14ac:dyDescent="0.25">
      <c r="B108" s="47"/>
      <c r="C108" s="47">
        <v>25</v>
      </c>
      <c r="D108" s="47"/>
      <c r="E108" s="48">
        <f t="shared" si="1"/>
        <v>30609.043885891711</v>
      </c>
      <c r="G108" s="48">
        <f t="shared" si="2"/>
        <v>20424.553702933452</v>
      </c>
      <c r="I108" s="48">
        <f t="shared" si="3"/>
        <v>10184.490182958261</v>
      </c>
      <c r="K108" s="48">
        <f t="shared" si="4"/>
        <v>0</v>
      </c>
      <c r="M108" s="48">
        <f t="shared" si="0"/>
        <v>30609.043885891711</v>
      </c>
      <c r="N108" s="22"/>
      <c r="O108" s="48">
        <f t="shared" si="5"/>
        <v>794334.6609337274</v>
      </c>
      <c r="P108" s="22"/>
      <c r="R108" s="22"/>
      <c r="T108" s="22"/>
      <c r="V108" s="22"/>
      <c r="X108" s="22"/>
      <c r="Z108" s="22"/>
    </row>
    <row r="109" spans="2:26" x14ac:dyDescent="0.25">
      <c r="B109" s="47"/>
      <c r="C109" s="47">
        <v>26</v>
      </c>
      <c r="D109" s="47"/>
      <c r="E109" s="48">
        <f t="shared" si="1"/>
        <v>30609.043885891711</v>
      </c>
      <c r="G109" s="48">
        <f t="shared" si="2"/>
        <v>20679.86062422012</v>
      </c>
      <c r="I109" s="48">
        <f t="shared" si="3"/>
        <v>9929.1832616715928</v>
      </c>
      <c r="K109" s="48">
        <f t="shared" si="4"/>
        <v>0</v>
      </c>
      <c r="M109" s="48">
        <f t="shared" si="0"/>
        <v>30609.043885891711</v>
      </c>
      <c r="N109" s="22"/>
      <c r="O109" s="48">
        <f t="shared" si="5"/>
        <v>773654.80030950729</v>
      </c>
      <c r="P109" s="22"/>
      <c r="R109" s="22"/>
      <c r="T109" s="22"/>
      <c r="V109" s="22"/>
      <c r="X109" s="22"/>
      <c r="Z109" s="22"/>
    </row>
    <row r="110" spans="2:26" x14ac:dyDescent="0.25">
      <c r="B110" s="47"/>
      <c r="C110" s="47">
        <v>27</v>
      </c>
      <c r="D110" s="47"/>
      <c r="E110" s="48">
        <f t="shared" si="1"/>
        <v>30609.043885891711</v>
      </c>
      <c r="G110" s="48">
        <f t="shared" si="2"/>
        <v>20938.358882022876</v>
      </c>
      <c r="I110" s="48">
        <f t="shared" si="3"/>
        <v>9670.6850038688426</v>
      </c>
      <c r="K110" s="48">
        <f t="shared" si="4"/>
        <v>0</v>
      </c>
      <c r="M110" s="48">
        <f t="shared" si="0"/>
        <v>30609.043885891711</v>
      </c>
      <c r="N110" s="22"/>
      <c r="O110" s="48">
        <f t="shared" si="5"/>
        <v>752716.44142748439</v>
      </c>
      <c r="P110" s="22"/>
      <c r="R110" s="22"/>
      <c r="T110" s="22"/>
      <c r="V110" s="22"/>
      <c r="X110" s="22"/>
      <c r="Z110" s="22"/>
    </row>
    <row r="111" spans="2:26" x14ac:dyDescent="0.25">
      <c r="B111" s="47"/>
      <c r="C111" s="47">
        <v>28</v>
      </c>
      <c r="D111" s="47"/>
      <c r="E111" s="48">
        <f t="shared" si="1"/>
        <v>30609.043885891711</v>
      </c>
      <c r="G111" s="48">
        <f t="shared" si="2"/>
        <v>21200.088368048157</v>
      </c>
      <c r="I111" s="48">
        <f t="shared" si="3"/>
        <v>9408.9555178435548</v>
      </c>
      <c r="K111" s="48">
        <f t="shared" si="4"/>
        <v>0</v>
      </c>
      <c r="M111" s="48">
        <f t="shared" si="0"/>
        <v>30609.043885891711</v>
      </c>
      <c r="N111" s="22"/>
      <c r="O111" s="48">
        <f t="shared" si="5"/>
        <v>731516.35305943619</v>
      </c>
      <c r="P111" s="22"/>
      <c r="R111" s="22"/>
      <c r="T111" s="22"/>
      <c r="V111" s="22"/>
      <c r="X111" s="22"/>
      <c r="Z111" s="22"/>
    </row>
    <row r="112" spans="2:26" x14ac:dyDescent="0.25">
      <c r="B112" s="47"/>
      <c r="C112" s="47">
        <v>29</v>
      </c>
      <c r="D112" s="47"/>
      <c r="E112" s="48">
        <f t="shared" si="1"/>
        <v>30609.043885891711</v>
      </c>
      <c r="G112" s="48">
        <f t="shared" si="2"/>
        <v>21465.08947264876</v>
      </c>
      <c r="I112" s="48">
        <f t="shared" si="3"/>
        <v>9143.9544132429546</v>
      </c>
      <c r="K112" s="48">
        <f t="shared" si="4"/>
        <v>0</v>
      </c>
      <c r="M112" s="48">
        <f t="shared" si="0"/>
        <v>30609.043885891711</v>
      </c>
      <c r="N112" s="22"/>
      <c r="O112" s="48">
        <f t="shared" si="5"/>
        <v>710051.26358678739</v>
      </c>
      <c r="P112" s="22"/>
      <c r="R112" s="22"/>
      <c r="T112" s="22"/>
      <c r="V112" s="22"/>
      <c r="X112" s="22"/>
      <c r="Z112" s="22"/>
    </row>
    <row r="113" spans="2:26" x14ac:dyDescent="0.25">
      <c r="B113" s="47"/>
      <c r="C113" s="47">
        <v>30</v>
      </c>
      <c r="D113" s="47"/>
      <c r="E113" s="48">
        <f t="shared" si="1"/>
        <v>30609.043885891711</v>
      </c>
      <c r="G113" s="48">
        <f t="shared" si="2"/>
        <v>21733.403091056869</v>
      </c>
      <c r="I113" s="48">
        <f t="shared" si="3"/>
        <v>8875.6407948348442</v>
      </c>
      <c r="K113" s="48">
        <f t="shared" si="4"/>
        <v>0</v>
      </c>
      <c r="M113" s="48">
        <f t="shared" si="0"/>
        <v>30609.043885891711</v>
      </c>
      <c r="N113" s="22"/>
      <c r="O113" s="48">
        <f t="shared" si="5"/>
        <v>688317.86049573054</v>
      </c>
      <c r="P113" s="22"/>
      <c r="R113" s="22"/>
      <c r="T113" s="22"/>
      <c r="V113" s="22"/>
      <c r="X113" s="22"/>
      <c r="Z113" s="22"/>
    </row>
    <row r="114" spans="2:26" x14ac:dyDescent="0.25">
      <c r="B114" s="47"/>
      <c r="C114" s="47">
        <v>31</v>
      </c>
      <c r="D114" s="47"/>
      <c r="E114" s="48">
        <f t="shared" si="1"/>
        <v>30609.043885891711</v>
      </c>
      <c r="G114" s="48">
        <f t="shared" si="2"/>
        <v>22005.070629695078</v>
      </c>
      <c r="I114" s="48">
        <f t="shared" si="3"/>
        <v>8603.9732561966339</v>
      </c>
      <c r="K114" s="48">
        <f t="shared" si="4"/>
        <v>0</v>
      </c>
      <c r="M114" s="48">
        <f t="shared" si="0"/>
        <v>30609.043885891711</v>
      </c>
      <c r="N114" s="22"/>
      <c r="O114" s="48">
        <f t="shared" si="5"/>
        <v>666312.78986603545</v>
      </c>
      <c r="P114" s="22"/>
      <c r="R114" s="22"/>
      <c r="T114" s="22"/>
      <c r="V114" s="22"/>
      <c r="X114" s="22"/>
      <c r="Z114" s="22"/>
    </row>
    <row r="115" spans="2:26" x14ac:dyDescent="0.25">
      <c r="B115" s="47"/>
      <c r="C115" s="47">
        <v>32</v>
      </c>
      <c r="D115" s="47"/>
      <c r="E115" s="48">
        <f t="shared" si="1"/>
        <v>30609.043885891711</v>
      </c>
      <c r="G115" s="48">
        <f t="shared" si="2"/>
        <v>22280.134012566265</v>
      </c>
      <c r="I115" s="48">
        <f t="shared" si="3"/>
        <v>8328.909873325445</v>
      </c>
      <c r="K115" s="48">
        <f t="shared" si="4"/>
        <v>0</v>
      </c>
      <c r="M115" s="48">
        <f t="shared" si="0"/>
        <v>30609.043885891711</v>
      </c>
      <c r="N115" s="22"/>
      <c r="O115" s="48">
        <f t="shared" si="5"/>
        <v>644032.65585346916</v>
      </c>
      <c r="P115" s="22"/>
      <c r="R115" s="22"/>
      <c r="T115" s="22"/>
      <c r="V115" s="22"/>
      <c r="X115" s="22"/>
      <c r="Z115" s="22"/>
    </row>
    <row r="116" spans="2:26" x14ac:dyDescent="0.25">
      <c r="B116" s="47"/>
      <c r="C116" s="47">
        <v>33</v>
      </c>
      <c r="D116" s="47"/>
      <c r="E116" s="48">
        <f t="shared" si="1"/>
        <v>30609.043885891711</v>
      </c>
      <c r="G116" s="48">
        <f t="shared" si="2"/>
        <v>22558.635687723345</v>
      </c>
      <c r="I116" s="48">
        <f t="shared" si="3"/>
        <v>8050.4081981683667</v>
      </c>
      <c r="K116" s="48">
        <f t="shared" si="4"/>
        <v>0</v>
      </c>
      <c r="M116" s="48">
        <f t="shared" ref="M116:M147" si="6">+E116+K116</f>
        <v>30609.043885891711</v>
      </c>
      <c r="N116" s="22"/>
      <c r="O116" s="48">
        <f t="shared" si="5"/>
        <v>621474.02016574587</v>
      </c>
      <c r="P116" s="22"/>
      <c r="R116" s="22"/>
      <c r="T116" s="22"/>
      <c r="V116" s="22"/>
      <c r="X116" s="22"/>
      <c r="Z116" s="22"/>
    </row>
    <row r="117" spans="2:26" x14ac:dyDescent="0.25">
      <c r="B117" s="47"/>
      <c r="C117" s="47">
        <v>34</v>
      </c>
      <c r="D117" s="47"/>
      <c r="E117" s="48">
        <f t="shared" si="1"/>
        <v>30609.043885891711</v>
      </c>
      <c r="G117" s="48">
        <f t="shared" si="2"/>
        <v>22840.618633819886</v>
      </c>
      <c r="I117" s="48">
        <f t="shared" si="3"/>
        <v>7768.4252520718255</v>
      </c>
      <c r="K117" s="48">
        <f t="shared" si="4"/>
        <v>0</v>
      </c>
      <c r="M117" s="48">
        <f t="shared" si="6"/>
        <v>30609.043885891711</v>
      </c>
      <c r="N117" s="22"/>
      <c r="O117" s="48">
        <f t="shared" si="5"/>
        <v>598633.40153192601</v>
      </c>
      <c r="P117" s="22"/>
      <c r="R117" s="22"/>
      <c r="T117" s="22"/>
      <c r="V117" s="22"/>
      <c r="X117" s="22"/>
      <c r="Z117" s="22"/>
    </row>
    <row r="118" spans="2:26" x14ac:dyDescent="0.25">
      <c r="B118" s="47"/>
      <c r="C118" s="47">
        <v>35</v>
      </c>
      <c r="D118" s="47"/>
      <c r="E118" s="48">
        <f t="shared" si="1"/>
        <v>30609.043885891711</v>
      </c>
      <c r="G118" s="48">
        <f t="shared" si="2"/>
        <v>23126.126366742636</v>
      </c>
      <c r="I118" s="48">
        <f t="shared" si="3"/>
        <v>7482.9175191490776</v>
      </c>
      <c r="K118" s="48">
        <f t="shared" si="4"/>
        <v>0</v>
      </c>
      <c r="M118" s="48">
        <f t="shared" si="6"/>
        <v>30609.043885891711</v>
      </c>
      <c r="N118" s="22"/>
      <c r="O118" s="48">
        <f t="shared" si="5"/>
        <v>575507.27516518335</v>
      </c>
      <c r="P118" s="22"/>
      <c r="R118" s="22"/>
      <c r="T118" s="22"/>
      <c r="V118" s="22"/>
      <c r="X118" s="22"/>
      <c r="Z118" s="22"/>
    </row>
    <row r="119" spans="2:26" x14ac:dyDescent="0.25">
      <c r="B119" s="47"/>
      <c r="C119" s="47">
        <v>36</v>
      </c>
      <c r="D119" s="47"/>
      <c r="E119" s="48">
        <f t="shared" si="1"/>
        <v>30609.043885891711</v>
      </c>
      <c r="G119" s="48">
        <f t="shared" si="2"/>
        <v>23415.202946326917</v>
      </c>
      <c r="I119" s="48">
        <f t="shared" si="3"/>
        <v>7193.8409395647941</v>
      </c>
      <c r="K119" s="48">
        <f t="shared" si="4"/>
        <v>0</v>
      </c>
      <c r="M119" s="48">
        <f t="shared" si="6"/>
        <v>30609.043885891711</v>
      </c>
      <c r="N119" s="22"/>
      <c r="O119" s="48">
        <f t="shared" si="5"/>
        <v>552092.07221885643</v>
      </c>
      <c r="P119" s="22"/>
      <c r="R119" s="22"/>
      <c r="T119" s="22"/>
      <c r="V119" s="22"/>
      <c r="X119" s="22"/>
      <c r="Z119" s="22"/>
    </row>
    <row r="120" spans="2:26" x14ac:dyDescent="0.25">
      <c r="B120" s="47"/>
      <c r="C120" s="47">
        <v>37</v>
      </c>
      <c r="D120" s="47"/>
      <c r="E120" s="48">
        <f t="shared" si="1"/>
        <v>30609.043885891711</v>
      </c>
      <c r="G120" s="48">
        <f t="shared" si="2"/>
        <v>23707.892983156005</v>
      </c>
      <c r="I120" s="48">
        <f t="shared" si="3"/>
        <v>6901.1509027357088</v>
      </c>
      <c r="K120" s="48">
        <f>PMT($F$66/9,$F$64,-$F$73,,1)</f>
        <v>0</v>
      </c>
      <c r="M120" s="48">
        <f t="shared" si="6"/>
        <v>30609.043885891711</v>
      </c>
      <c r="N120" s="22"/>
      <c r="O120" s="48">
        <f t="shared" si="5"/>
        <v>528384.1792357004</v>
      </c>
      <c r="P120" s="22"/>
      <c r="R120" s="22"/>
      <c r="T120" s="22"/>
      <c r="V120" s="22"/>
      <c r="X120" s="22"/>
      <c r="Z120" s="22"/>
    </row>
    <row r="121" spans="2:26" x14ac:dyDescent="0.25">
      <c r="B121" s="47"/>
      <c r="C121" s="47">
        <v>38</v>
      </c>
      <c r="D121" s="47"/>
      <c r="E121" s="48">
        <f t="shared" si="1"/>
        <v>30609.043885891711</v>
      </c>
      <c r="G121" s="48">
        <f t="shared" si="2"/>
        <v>24004.241645445454</v>
      </c>
      <c r="I121" s="48">
        <f t="shared" si="3"/>
        <v>6604.8022404462572</v>
      </c>
      <c r="K121" s="48">
        <f t="shared" si="4"/>
        <v>0</v>
      </c>
      <c r="M121" s="48">
        <f t="shared" si="6"/>
        <v>30609.043885891711</v>
      </c>
      <c r="N121" s="22"/>
      <c r="O121" s="48">
        <f t="shared" si="5"/>
        <v>504379.93759025494</v>
      </c>
      <c r="P121" s="22"/>
      <c r="R121" s="22"/>
      <c r="T121" s="22"/>
      <c r="V121" s="22"/>
      <c r="X121" s="22"/>
      <c r="Z121" s="22"/>
    </row>
    <row r="122" spans="2:26" x14ac:dyDescent="0.25">
      <c r="B122" s="47"/>
      <c r="C122" s="47">
        <v>39</v>
      </c>
      <c r="D122" s="47"/>
      <c r="E122" s="48">
        <f t="shared" si="1"/>
        <v>30609.043885891711</v>
      </c>
      <c r="G122" s="48">
        <f t="shared" si="2"/>
        <v>24304.294666013524</v>
      </c>
      <c r="I122" s="48">
        <f t="shared" si="3"/>
        <v>6304.7492198781893</v>
      </c>
      <c r="K122" s="48">
        <f t="shared" si="4"/>
        <v>0</v>
      </c>
      <c r="M122" s="48">
        <f t="shared" si="6"/>
        <v>30609.043885891711</v>
      </c>
      <c r="N122" s="22"/>
      <c r="O122" s="48">
        <f t="shared" si="5"/>
        <v>480075.64292424143</v>
      </c>
      <c r="P122" s="22"/>
      <c r="R122" s="22"/>
      <c r="T122" s="22"/>
      <c r="V122" s="22"/>
      <c r="X122" s="22"/>
      <c r="Z122" s="22"/>
    </row>
    <row r="123" spans="2:26" x14ac:dyDescent="0.25">
      <c r="B123" s="47"/>
      <c r="C123" s="47">
        <v>40</v>
      </c>
      <c r="D123" s="47"/>
      <c r="E123" s="48">
        <f t="shared" si="1"/>
        <v>30609.043885891711</v>
      </c>
      <c r="G123" s="48">
        <f t="shared" si="2"/>
        <v>24608.098349338692</v>
      </c>
      <c r="I123" s="48">
        <f t="shared" si="3"/>
        <v>6000.9455365530202</v>
      </c>
      <c r="K123" s="48">
        <f t="shared" si="4"/>
        <v>0</v>
      </c>
      <c r="M123" s="48">
        <f t="shared" si="6"/>
        <v>30609.043885891711</v>
      </c>
      <c r="N123" s="22"/>
      <c r="O123" s="48">
        <f t="shared" si="5"/>
        <v>455467.54457490274</v>
      </c>
      <c r="P123" s="22"/>
      <c r="R123" s="22"/>
      <c r="T123" s="22"/>
      <c r="V123" s="22"/>
      <c r="X123" s="22"/>
      <c r="Z123" s="22"/>
    </row>
    <row r="124" spans="2:26" x14ac:dyDescent="0.25">
      <c r="B124" s="47"/>
      <c r="C124" s="47">
        <v>41</v>
      </c>
      <c r="D124" s="47"/>
      <c r="E124" s="48">
        <f t="shared" si="1"/>
        <v>30609.043885891711</v>
      </c>
      <c r="G124" s="48">
        <f t="shared" si="2"/>
        <v>24915.699578705429</v>
      </c>
      <c r="I124" s="48">
        <f t="shared" si="3"/>
        <v>5693.3443071862866</v>
      </c>
      <c r="K124" s="48">
        <f t="shared" si="4"/>
        <v>0</v>
      </c>
      <c r="M124" s="48">
        <f t="shared" si="6"/>
        <v>30609.043885891711</v>
      </c>
      <c r="N124" s="22"/>
      <c r="O124" s="48">
        <f t="shared" si="5"/>
        <v>430551.84499619732</v>
      </c>
      <c r="P124" s="22"/>
      <c r="R124" s="22"/>
      <c r="T124" s="22"/>
      <c r="V124" s="22"/>
      <c r="X124" s="22"/>
      <c r="Z124" s="22"/>
    </row>
    <row r="125" spans="2:26" x14ac:dyDescent="0.25">
      <c r="B125" s="47"/>
      <c r="C125" s="47">
        <v>42</v>
      </c>
      <c r="D125" s="47"/>
      <c r="E125" s="48">
        <f t="shared" si="1"/>
        <v>30609.043885891711</v>
      </c>
      <c r="G125" s="48">
        <f t="shared" si="2"/>
        <v>25227.145823439245</v>
      </c>
      <c r="I125" s="48">
        <f t="shared" si="3"/>
        <v>5381.8980624524702</v>
      </c>
      <c r="K125" s="48">
        <f t="shared" si="4"/>
        <v>0</v>
      </c>
      <c r="M125" s="48">
        <f t="shared" si="6"/>
        <v>30609.043885891711</v>
      </c>
      <c r="N125" s="22"/>
      <c r="O125" s="48">
        <f t="shared" si="5"/>
        <v>405324.69917275809</v>
      </c>
      <c r="P125" s="22"/>
      <c r="R125" s="22"/>
      <c r="T125" s="22"/>
      <c r="V125" s="22"/>
      <c r="X125" s="22"/>
      <c r="Z125" s="22"/>
    </row>
    <row r="126" spans="2:26" x14ac:dyDescent="0.25">
      <c r="B126" s="47"/>
      <c r="C126" s="47">
        <v>43</v>
      </c>
      <c r="D126" s="47"/>
      <c r="E126" s="48">
        <f t="shared" si="1"/>
        <v>30609.043885891711</v>
      </c>
      <c r="G126" s="48">
        <f t="shared" si="2"/>
        <v>25542.485146232237</v>
      </c>
      <c r="I126" s="48">
        <f t="shared" si="3"/>
        <v>5066.5587396594792</v>
      </c>
      <c r="K126" s="48">
        <f t="shared" si="4"/>
        <v>0</v>
      </c>
      <c r="M126" s="48">
        <f t="shared" si="6"/>
        <v>30609.043885891711</v>
      </c>
      <c r="N126" s="22"/>
      <c r="O126" s="48">
        <f t="shared" si="5"/>
        <v>379782.21402652585</v>
      </c>
      <c r="P126" s="22"/>
      <c r="R126" s="22"/>
      <c r="T126" s="22"/>
      <c r="V126" s="22"/>
      <c r="X126" s="22"/>
      <c r="Z126" s="22"/>
    </row>
    <row r="127" spans="2:26" x14ac:dyDescent="0.25">
      <c r="B127" s="47"/>
      <c r="C127" s="47">
        <v>44</v>
      </c>
      <c r="D127" s="47"/>
      <c r="E127" s="48">
        <f t="shared" si="1"/>
        <v>30609.043885891711</v>
      </c>
      <c r="G127" s="48">
        <f t="shared" si="2"/>
        <v>25861.766210560134</v>
      </c>
      <c r="I127" s="48">
        <f t="shared" si="3"/>
        <v>4747.2776753315757</v>
      </c>
      <c r="K127" s="48">
        <f t="shared" si="4"/>
        <v>0</v>
      </c>
      <c r="M127" s="48">
        <f t="shared" si="6"/>
        <v>30609.043885891711</v>
      </c>
      <c r="N127" s="22"/>
      <c r="O127" s="48">
        <f t="shared" si="5"/>
        <v>353920.44781596574</v>
      </c>
      <c r="P127" s="22"/>
      <c r="R127" s="22"/>
      <c r="T127" s="22"/>
      <c r="V127" s="22"/>
      <c r="X127" s="22"/>
      <c r="Z127" s="22"/>
    </row>
    <row r="128" spans="2:26" x14ac:dyDescent="0.25">
      <c r="B128" s="47"/>
      <c r="C128" s="47">
        <v>45</v>
      </c>
      <c r="D128" s="47"/>
      <c r="E128" s="48">
        <f t="shared" si="1"/>
        <v>30609.043885891711</v>
      </c>
      <c r="G128" s="48">
        <f t="shared" si="2"/>
        <v>26185.038288192136</v>
      </c>
      <c r="I128" s="48">
        <f t="shared" si="3"/>
        <v>4424.0055976995745</v>
      </c>
      <c r="K128" s="48">
        <f t="shared" si="4"/>
        <v>0</v>
      </c>
      <c r="M128" s="48">
        <f t="shared" si="6"/>
        <v>30609.043885891711</v>
      </c>
      <c r="N128" s="22"/>
      <c r="O128" s="48">
        <f t="shared" si="5"/>
        <v>327735.40952777362</v>
      </c>
      <c r="P128" s="22"/>
      <c r="R128" s="22"/>
      <c r="T128" s="22"/>
      <c r="V128" s="22"/>
      <c r="X128" s="22"/>
      <c r="Z128" s="22"/>
    </row>
    <row r="129" spans="2:26" x14ac:dyDescent="0.25">
      <c r="B129" s="47"/>
      <c r="C129" s="47">
        <v>46</v>
      </c>
      <c r="D129" s="47"/>
      <c r="E129" s="48">
        <f t="shared" si="1"/>
        <v>30609.043885891711</v>
      </c>
      <c r="G129" s="48">
        <f t="shared" si="2"/>
        <v>26512.35126679454</v>
      </c>
      <c r="I129" s="48">
        <f t="shared" si="3"/>
        <v>4096.6926190971726</v>
      </c>
      <c r="K129" s="48">
        <f t="shared" si="4"/>
        <v>0</v>
      </c>
      <c r="M129" s="48">
        <f t="shared" si="6"/>
        <v>30609.043885891711</v>
      </c>
      <c r="N129" s="22"/>
      <c r="O129" s="48">
        <f t="shared" si="5"/>
        <v>301223.05826097907</v>
      </c>
      <c r="P129" s="22"/>
      <c r="R129" s="22"/>
      <c r="T129" s="22"/>
      <c r="V129" s="22"/>
      <c r="X129" s="22"/>
      <c r="Z129" s="22"/>
    </row>
    <row r="130" spans="2:26" x14ac:dyDescent="0.25">
      <c r="B130" s="47"/>
      <c r="C130" s="47">
        <v>47</v>
      </c>
      <c r="D130" s="47"/>
      <c r="E130" s="48">
        <f t="shared" si="1"/>
        <v>30609.043885891711</v>
      </c>
      <c r="G130" s="48">
        <f t="shared" si="2"/>
        <v>26843.755657629474</v>
      </c>
      <c r="I130" s="48">
        <f t="shared" si="3"/>
        <v>3765.2882282622409</v>
      </c>
      <c r="K130" s="48">
        <f t="shared" si="4"/>
        <v>0</v>
      </c>
      <c r="M130" s="48">
        <f t="shared" si="6"/>
        <v>30609.043885891711</v>
      </c>
      <c r="N130" s="22"/>
      <c r="O130" s="48">
        <f t="shared" si="5"/>
        <v>274379.30260334961</v>
      </c>
      <c r="P130" s="22"/>
      <c r="R130" s="22"/>
      <c r="T130" s="22"/>
      <c r="V130" s="22"/>
      <c r="X130" s="22"/>
      <c r="Z130" s="22"/>
    </row>
    <row r="131" spans="2:26" x14ac:dyDescent="0.25">
      <c r="B131" s="47"/>
      <c r="C131" s="47">
        <v>48</v>
      </c>
      <c r="D131" s="47"/>
      <c r="E131" s="48">
        <f t="shared" si="1"/>
        <v>30609.043885891711</v>
      </c>
      <c r="G131" s="48">
        <f t="shared" si="2"/>
        <v>27179.302603349843</v>
      </c>
      <c r="I131" s="48">
        <f t="shared" si="3"/>
        <v>3429.7412825418728</v>
      </c>
      <c r="K131" s="48">
        <f t="shared" si="4"/>
        <v>0</v>
      </c>
      <c r="M131" s="48">
        <f t="shared" si="6"/>
        <v>30609.043885891711</v>
      </c>
      <c r="N131" s="22"/>
      <c r="O131" s="48">
        <f t="shared" si="5"/>
        <v>247199.99999999977</v>
      </c>
      <c r="P131" s="22"/>
      <c r="R131" s="22"/>
      <c r="T131" s="22"/>
      <c r="V131" s="22"/>
      <c r="X131" s="22"/>
      <c r="Z131" s="22"/>
    </row>
    <row r="132" spans="2:26" x14ac:dyDescent="0.25">
      <c r="B132" s="47"/>
      <c r="C132" s="47">
        <v>49</v>
      </c>
      <c r="D132" s="47"/>
      <c r="E132" s="48">
        <f t="shared" si="1"/>
        <v>30609.043885891711</v>
      </c>
      <c r="G132" s="48" t="e">
        <f t="shared" si="2"/>
        <v>#NUM!</v>
      </c>
      <c r="I132" s="48" t="e">
        <f t="shared" si="3"/>
        <v>#NUM!</v>
      </c>
      <c r="K132" s="47"/>
      <c r="M132" s="48">
        <f t="shared" si="6"/>
        <v>30609.043885891711</v>
      </c>
      <c r="N132" s="22"/>
      <c r="O132" s="48"/>
      <c r="P132" s="22"/>
      <c r="R132" s="22"/>
      <c r="T132" s="22"/>
      <c r="V132" s="22"/>
      <c r="X132" s="22"/>
      <c r="Z132" s="22"/>
    </row>
    <row r="133" spans="2:26" x14ac:dyDescent="0.25">
      <c r="B133" s="47"/>
      <c r="C133" s="47">
        <v>50</v>
      </c>
      <c r="D133" s="47"/>
      <c r="E133" s="48">
        <f t="shared" si="1"/>
        <v>30609.043885891711</v>
      </c>
      <c r="G133" s="48" t="e">
        <f t="shared" si="2"/>
        <v>#NUM!</v>
      </c>
      <c r="I133" s="48" t="e">
        <f t="shared" si="3"/>
        <v>#NUM!</v>
      </c>
      <c r="K133" s="47"/>
      <c r="M133" s="48">
        <f t="shared" si="6"/>
        <v>30609.043885891711</v>
      </c>
      <c r="N133" s="22"/>
      <c r="O133" s="48"/>
      <c r="P133" s="22"/>
      <c r="R133" s="22"/>
      <c r="T133" s="22"/>
      <c r="V133" s="22"/>
      <c r="X133" s="22"/>
      <c r="Z133" s="22"/>
    </row>
    <row r="134" spans="2:26" x14ac:dyDescent="0.25">
      <c r="B134" s="47"/>
      <c r="C134" s="47">
        <v>51</v>
      </c>
      <c r="D134" s="47"/>
      <c r="E134" s="48">
        <f t="shared" si="1"/>
        <v>30609.043885891711</v>
      </c>
      <c r="G134" s="48" t="e">
        <f t="shared" si="2"/>
        <v>#NUM!</v>
      </c>
      <c r="I134" s="48" t="e">
        <f t="shared" si="3"/>
        <v>#NUM!</v>
      </c>
      <c r="K134" s="47"/>
      <c r="M134" s="48">
        <f t="shared" si="6"/>
        <v>30609.043885891711</v>
      </c>
      <c r="N134" s="22"/>
      <c r="O134" s="48"/>
      <c r="P134" s="22"/>
      <c r="R134" s="22"/>
      <c r="T134" s="22"/>
      <c r="V134" s="22"/>
      <c r="X134" s="22"/>
      <c r="Z134" s="22"/>
    </row>
    <row r="135" spans="2:26" x14ac:dyDescent="0.25">
      <c r="B135" s="47"/>
      <c r="C135" s="47">
        <v>52</v>
      </c>
      <c r="D135" s="47"/>
      <c r="E135" s="48">
        <f t="shared" si="1"/>
        <v>30609.043885891711</v>
      </c>
      <c r="G135" s="48" t="e">
        <f t="shared" si="2"/>
        <v>#NUM!</v>
      </c>
      <c r="I135" s="48" t="e">
        <f t="shared" si="3"/>
        <v>#NUM!</v>
      </c>
      <c r="K135" s="47"/>
      <c r="M135" s="48">
        <f t="shared" si="6"/>
        <v>30609.043885891711</v>
      </c>
      <c r="N135" s="22"/>
      <c r="O135" s="48"/>
      <c r="P135" s="22"/>
      <c r="R135" s="22"/>
      <c r="T135" s="22"/>
      <c r="V135" s="22"/>
      <c r="X135" s="22"/>
      <c r="Z135" s="22"/>
    </row>
    <row r="136" spans="2:26" x14ac:dyDescent="0.25">
      <c r="B136" s="47"/>
      <c r="C136" s="47">
        <v>53</v>
      </c>
      <c r="D136" s="47"/>
      <c r="E136" s="48">
        <f t="shared" si="1"/>
        <v>30609.043885891711</v>
      </c>
      <c r="G136" s="48" t="e">
        <f t="shared" si="2"/>
        <v>#NUM!</v>
      </c>
      <c r="I136" s="48" t="e">
        <f t="shared" si="3"/>
        <v>#NUM!</v>
      </c>
      <c r="K136" s="47"/>
      <c r="M136" s="48">
        <f t="shared" si="6"/>
        <v>30609.043885891711</v>
      </c>
      <c r="N136" s="22"/>
      <c r="O136" s="48"/>
      <c r="P136" s="22"/>
      <c r="R136" s="22"/>
      <c r="T136" s="22"/>
      <c r="V136" s="22"/>
      <c r="X136" s="22"/>
      <c r="Z136" s="22"/>
    </row>
    <row r="137" spans="2:26" x14ac:dyDescent="0.25">
      <c r="B137" s="47"/>
      <c r="C137" s="47">
        <v>54</v>
      </c>
      <c r="D137" s="47"/>
      <c r="E137" s="48">
        <f t="shared" si="1"/>
        <v>30609.043885891711</v>
      </c>
      <c r="G137" s="48" t="e">
        <f t="shared" si="2"/>
        <v>#NUM!</v>
      </c>
      <c r="I137" s="48" t="e">
        <f t="shared" si="3"/>
        <v>#NUM!</v>
      </c>
      <c r="K137" s="47"/>
      <c r="M137" s="48">
        <f t="shared" si="6"/>
        <v>30609.043885891711</v>
      </c>
      <c r="N137" s="22"/>
      <c r="O137" s="48"/>
      <c r="P137" s="22"/>
      <c r="R137" s="22"/>
      <c r="T137" s="22"/>
      <c r="V137" s="22"/>
      <c r="X137" s="22"/>
      <c r="Z137" s="22"/>
    </row>
    <row r="138" spans="2:26" x14ac:dyDescent="0.25">
      <c r="B138" s="47"/>
      <c r="C138" s="47">
        <v>55</v>
      </c>
      <c r="D138" s="47"/>
      <c r="E138" s="48">
        <f t="shared" si="1"/>
        <v>30609.043885891711</v>
      </c>
      <c r="G138" s="48" t="e">
        <f t="shared" si="2"/>
        <v>#NUM!</v>
      </c>
      <c r="I138" s="48" t="e">
        <f t="shared" si="3"/>
        <v>#NUM!</v>
      </c>
      <c r="K138" s="47"/>
      <c r="M138" s="48">
        <f t="shared" si="6"/>
        <v>30609.043885891711</v>
      </c>
      <c r="N138" s="22"/>
      <c r="O138" s="48"/>
      <c r="P138" s="22"/>
      <c r="R138" s="22"/>
      <c r="T138" s="22"/>
      <c r="V138" s="22"/>
      <c r="X138" s="22"/>
      <c r="Z138" s="22"/>
    </row>
    <row r="139" spans="2:26" x14ac:dyDescent="0.25">
      <c r="B139" s="47"/>
      <c r="C139" s="47">
        <v>56</v>
      </c>
      <c r="D139" s="47"/>
      <c r="E139" s="48">
        <f t="shared" si="1"/>
        <v>30609.043885891711</v>
      </c>
      <c r="G139" s="48" t="e">
        <f t="shared" si="2"/>
        <v>#NUM!</v>
      </c>
      <c r="I139" s="48" t="e">
        <f t="shared" si="3"/>
        <v>#NUM!</v>
      </c>
      <c r="K139" s="47"/>
      <c r="M139" s="48">
        <f t="shared" si="6"/>
        <v>30609.043885891711</v>
      </c>
      <c r="N139" s="22"/>
      <c r="O139" s="48"/>
      <c r="P139" s="22"/>
      <c r="R139" s="22"/>
      <c r="T139" s="22"/>
      <c r="V139" s="22"/>
      <c r="X139" s="22"/>
      <c r="Z139" s="22"/>
    </row>
    <row r="140" spans="2:26" x14ac:dyDescent="0.25">
      <c r="B140" s="47"/>
      <c r="C140" s="47">
        <v>57</v>
      </c>
      <c r="D140" s="47"/>
      <c r="E140" s="48">
        <f t="shared" si="1"/>
        <v>30609.043885891711</v>
      </c>
      <c r="G140" s="48" t="e">
        <f t="shared" si="2"/>
        <v>#NUM!</v>
      </c>
      <c r="I140" s="48" t="e">
        <f t="shared" si="3"/>
        <v>#NUM!</v>
      </c>
      <c r="K140" s="47"/>
      <c r="M140" s="48">
        <f t="shared" si="6"/>
        <v>30609.043885891711</v>
      </c>
      <c r="N140" s="22"/>
      <c r="O140" s="48"/>
      <c r="P140" s="22"/>
      <c r="R140" s="22"/>
      <c r="T140" s="22"/>
      <c r="V140" s="22"/>
      <c r="X140" s="22"/>
      <c r="Z140" s="22"/>
    </row>
    <row r="141" spans="2:26" x14ac:dyDescent="0.25">
      <c r="B141" s="47"/>
      <c r="C141" s="47">
        <v>58</v>
      </c>
      <c r="D141" s="47"/>
      <c r="E141" s="48">
        <f t="shared" si="1"/>
        <v>30609.043885891711</v>
      </c>
      <c r="G141" s="48" t="e">
        <f t="shared" si="2"/>
        <v>#NUM!</v>
      </c>
      <c r="I141" s="48" t="e">
        <f t="shared" si="3"/>
        <v>#NUM!</v>
      </c>
      <c r="K141" s="47"/>
      <c r="M141" s="48">
        <f t="shared" si="6"/>
        <v>30609.043885891711</v>
      </c>
      <c r="N141" s="22"/>
      <c r="O141" s="48"/>
      <c r="P141" s="22"/>
      <c r="R141" s="22"/>
      <c r="T141" s="22"/>
      <c r="V141" s="22"/>
      <c r="X141" s="22"/>
      <c r="Z141" s="22"/>
    </row>
    <row r="142" spans="2:26" x14ac:dyDescent="0.25">
      <c r="B142" s="47"/>
      <c r="C142" s="47">
        <v>59</v>
      </c>
      <c r="D142" s="47"/>
      <c r="E142" s="48">
        <f t="shared" si="1"/>
        <v>30609.043885891711</v>
      </c>
      <c r="G142" s="48" t="e">
        <f t="shared" si="2"/>
        <v>#NUM!</v>
      </c>
      <c r="I142" s="48" t="e">
        <f t="shared" si="3"/>
        <v>#NUM!</v>
      </c>
      <c r="K142" s="47"/>
      <c r="M142" s="48">
        <f t="shared" si="6"/>
        <v>30609.043885891711</v>
      </c>
      <c r="N142" s="22"/>
      <c r="O142" s="48"/>
      <c r="P142" s="22"/>
      <c r="R142" s="22"/>
      <c r="T142" s="22"/>
      <c r="V142" s="22"/>
      <c r="X142" s="22"/>
      <c r="Z142" s="22"/>
    </row>
    <row r="143" spans="2:26" x14ac:dyDescent="0.25">
      <c r="B143" s="47"/>
      <c r="C143" s="47">
        <v>60</v>
      </c>
      <c r="D143" s="47"/>
      <c r="E143" s="48">
        <f t="shared" si="1"/>
        <v>30609.043885891711</v>
      </c>
      <c r="G143" s="48" t="e">
        <f t="shared" si="2"/>
        <v>#NUM!</v>
      </c>
      <c r="I143" s="48" t="e">
        <f t="shared" si="3"/>
        <v>#NUM!</v>
      </c>
      <c r="K143" s="47"/>
      <c r="M143" s="48">
        <f t="shared" si="6"/>
        <v>30609.043885891711</v>
      </c>
      <c r="N143" s="22"/>
      <c r="O143" s="48"/>
      <c r="P143" s="22"/>
      <c r="R143" s="22"/>
      <c r="T143" s="22"/>
      <c r="V143" s="22"/>
      <c r="X143" s="22"/>
      <c r="Z143" s="22"/>
    </row>
    <row r="144" spans="2:26" x14ac:dyDescent="0.25">
      <c r="B144" s="47"/>
      <c r="C144" s="47">
        <v>61</v>
      </c>
      <c r="D144" s="47"/>
      <c r="E144" s="48">
        <f t="shared" si="1"/>
        <v>30609.043885891711</v>
      </c>
      <c r="G144" s="48" t="e">
        <f t="shared" si="2"/>
        <v>#NUM!</v>
      </c>
      <c r="I144" s="48" t="e">
        <f t="shared" si="3"/>
        <v>#NUM!</v>
      </c>
      <c r="K144" s="47"/>
      <c r="M144" s="48">
        <f t="shared" si="6"/>
        <v>30609.043885891711</v>
      </c>
      <c r="N144" s="22"/>
      <c r="O144" s="48"/>
      <c r="P144" s="22"/>
      <c r="R144" s="22"/>
      <c r="T144" s="22"/>
      <c r="V144" s="22"/>
      <c r="X144" s="22"/>
      <c r="Z144" s="22"/>
    </row>
    <row r="145" spans="2:26" x14ac:dyDescent="0.25">
      <c r="B145" s="47"/>
      <c r="C145" s="47">
        <v>62</v>
      </c>
      <c r="D145" s="47"/>
      <c r="E145" s="48">
        <f t="shared" si="1"/>
        <v>30609.043885891711</v>
      </c>
      <c r="G145" s="48" t="e">
        <f t="shared" si="2"/>
        <v>#NUM!</v>
      </c>
      <c r="I145" s="48" t="e">
        <f t="shared" si="3"/>
        <v>#NUM!</v>
      </c>
      <c r="K145" s="47"/>
      <c r="M145" s="48">
        <f t="shared" si="6"/>
        <v>30609.043885891711</v>
      </c>
      <c r="N145" s="22"/>
      <c r="O145" s="48"/>
      <c r="P145" s="22"/>
      <c r="R145" s="22"/>
      <c r="T145" s="22"/>
      <c r="V145" s="22"/>
      <c r="X145" s="22"/>
      <c r="Z145" s="22"/>
    </row>
    <row r="146" spans="2:26" x14ac:dyDescent="0.25">
      <c r="B146" s="47"/>
      <c r="C146" s="47">
        <v>63</v>
      </c>
      <c r="D146" s="47"/>
      <c r="E146" s="48">
        <f t="shared" si="1"/>
        <v>30609.043885891711</v>
      </c>
      <c r="G146" s="48" t="e">
        <f t="shared" si="2"/>
        <v>#NUM!</v>
      </c>
      <c r="I146" s="48" t="e">
        <f t="shared" si="3"/>
        <v>#NUM!</v>
      </c>
      <c r="K146" s="47"/>
      <c r="M146" s="48">
        <f t="shared" si="6"/>
        <v>30609.043885891711</v>
      </c>
      <c r="N146" s="22"/>
      <c r="O146" s="48"/>
      <c r="P146" s="22"/>
      <c r="R146" s="22"/>
      <c r="T146" s="22"/>
      <c r="V146" s="22"/>
      <c r="X146" s="22"/>
      <c r="Z146" s="22"/>
    </row>
    <row r="147" spans="2:26" x14ac:dyDescent="0.25">
      <c r="B147" s="47"/>
      <c r="C147" s="47">
        <v>64</v>
      </c>
      <c r="D147" s="47"/>
      <c r="E147" s="48">
        <f t="shared" si="1"/>
        <v>30609.043885891711</v>
      </c>
      <c r="G147" s="48" t="e">
        <f t="shared" si="2"/>
        <v>#NUM!</v>
      </c>
      <c r="I147" s="48" t="e">
        <f t="shared" si="3"/>
        <v>#NUM!</v>
      </c>
      <c r="K147" s="47"/>
      <c r="M147" s="48">
        <f t="shared" si="6"/>
        <v>30609.043885891711</v>
      </c>
      <c r="N147" s="22"/>
      <c r="O147" s="48"/>
      <c r="P147" s="22"/>
      <c r="R147" s="22"/>
      <c r="T147" s="22"/>
      <c r="V147" s="22"/>
      <c r="X147" s="22"/>
      <c r="Z147" s="22"/>
    </row>
    <row r="148" spans="2:26" x14ac:dyDescent="0.25">
      <c r="B148" s="47"/>
      <c r="C148" s="47">
        <v>65</v>
      </c>
      <c r="D148" s="47"/>
      <c r="E148" s="48">
        <f t="shared" si="1"/>
        <v>30609.043885891711</v>
      </c>
      <c r="G148" s="48" t="e">
        <f t="shared" si="2"/>
        <v>#NUM!</v>
      </c>
      <c r="I148" s="48" t="e">
        <f t="shared" si="3"/>
        <v>#NUM!</v>
      </c>
      <c r="K148" s="47"/>
      <c r="M148" s="48">
        <f t="shared" ref="M148:M179" si="7">+E148+K148</f>
        <v>30609.043885891711</v>
      </c>
      <c r="N148" s="22"/>
      <c r="O148" s="48"/>
      <c r="P148" s="22"/>
      <c r="R148" s="22"/>
      <c r="T148" s="22"/>
      <c r="V148" s="22"/>
      <c r="X148" s="22"/>
      <c r="Z148" s="22"/>
    </row>
    <row r="149" spans="2:26" x14ac:dyDescent="0.25">
      <c r="B149" s="47"/>
      <c r="C149" s="47">
        <v>66</v>
      </c>
      <c r="D149" s="47"/>
      <c r="E149" s="48">
        <f t="shared" ref="E149:E203" si="8">PMT($C$11/12,$F$64,-$F$57,$C$19)</f>
        <v>30609.043885891711</v>
      </c>
      <c r="G149" s="48" t="e">
        <f t="shared" ref="G149:G203" si="9">PPMT($F$66/12,C149,$F$64,-$F$57,$C$19)</f>
        <v>#NUM!</v>
      </c>
      <c r="I149" s="48" t="e">
        <f t="shared" ref="I149:I203" si="10">IPMT($F$66/12,C149,$F$64,-$F$57,$C$19)</f>
        <v>#NUM!</v>
      </c>
      <c r="K149" s="47"/>
      <c r="M149" s="48">
        <f t="shared" si="7"/>
        <v>30609.043885891711</v>
      </c>
      <c r="N149" s="22"/>
      <c r="O149" s="48"/>
      <c r="P149" s="22"/>
      <c r="R149" s="22"/>
      <c r="T149" s="22"/>
      <c r="V149" s="22"/>
      <c r="X149" s="22"/>
      <c r="Z149" s="22"/>
    </row>
    <row r="150" spans="2:26" x14ac:dyDescent="0.25">
      <c r="B150" s="47"/>
      <c r="C150" s="47">
        <v>67</v>
      </c>
      <c r="D150" s="47"/>
      <c r="E150" s="48">
        <f t="shared" si="8"/>
        <v>30609.043885891711</v>
      </c>
      <c r="G150" s="48" t="e">
        <f t="shared" si="9"/>
        <v>#NUM!</v>
      </c>
      <c r="I150" s="48" t="e">
        <f t="shared" si="10"/>
        <v>#NUM!</v>
      </c>
      <c r="K150" s="47"/>
      <c r="M150" s="48">
        <f t="shared" si="7"/>
        <v>30609.043885891711</v>
      </c>
      <c r="N150" s="22"/>
      <c r="O150" s="48"/>
      <c r="P150" s="22"/>
      <c r="R150" s="22"/>
      <c r="T150" s="22"/>
      <c r="V150" s="22"/>
      <c r="X150" s="22"/>
      <c r="Z150" s="22"/>
    </row>
    <row r="151" spans="2:26" x14ac:dyDescent="0.25">
      <c r="B151" s="47"/>
      <c r="C151" s="47">
        <v>68</v>
      </c>
      <c r="D151" s="47"/>
      <c r="E151" s="48">
        <f t="shared" si="8"/>
        <v>30609.043885891711</v>
      </c>
      <c r="G151" s="48" t="e">
        <f t="shared" si="9"/>
        <v>#NUM!</v>
      </c>
      <c r="I151" s="48" t="e">
        <f t="shared" si="10"/>
        <v>#NUM!</v>
      </c>
      <c r="K151" s="47"/>
      <c r="M151" s="48">
        <f t="shared" si="7"/>
        <v>30609.043885891711</v>
      </c>
      <c r="N151" s="22"/>
      <c r="O151" s="48"/>
      <c r="P151" s="22"/>
      <c r="R151" s="22"/>
      <c r="T151" s="22"/>
      <c r="V151" s="22"/>
      <c r="X151" s="22"/>
      <c r="Z151" s="22"/>
    </row>
    <row r="152" spans="2:26" x14ac:dyDescent="0.25">
      <c r="B152" s="47"/>
      <c r="C152" s="47">
        <v>69</v>
      </c>
      <c r="D152" s="47"/>
      <c r="E152" s="48">
        <f t="shared" si="8"/>
        <v>30609.043885891711</v>
      </c>
      <c r="G152" s="48" t="e">
        <f t="shared" si="9"/>
        <v>#NUM!</v>
      </c>
      <c r="I152" s="48" t="e">
        <f t="shared" si="10"/>
        <v>#NUM!</v>
      </c>
      <c r="K152" s="47"/>
      <c r="M152" s="48">
        <f t="shared" si="7"/>
        <v>30609.043885891711</v>
      </c>
      <c r="N152" s="22"/>
      <c r="O152" s="48"/>
      <c r="P152" s="22"/>
      <c r="R152" s="22"/>
      <c r="T152" s="22"/>
      <c r="V152" s="22"/>
      <c r="X152" s="22"/>
      <c r="Z152" s="22"/>
    </row>
    <row r="153" spans="2:26" x14ac:dyDescent="0.25">
      <c r="B153" s="47"/>
      <c r="C153" s="47">
        <v>70</v>
      </c>
      <c r="D153" s="47"/>
      <c r="E153" s="48">
        <f t="shared" si="8"/>
        <v>30609.043885891711</v>
      </c>
      <c r="G153" s="48" t="e">
        <f t="shared" si="9"/>
        <v>#NUM!</v>
      </c>
      <c r="I153" s="48" t="e">
        <f t="shared" si="10"/>
        <v>#NUM!</v>
      </c>
      <c r="K153" s="47"/>
      <c r="M153" s="48">
        <f t="shared" si="7"/>
        <v>30609.043885891711</v>
      </c>
      <c r="N153" s="22"/>
      <c r="O153" s="48"/>
      <c r="P153" s="22"/>
      <c r="R153" s="22"/>
      <c r="T153" s="22"/>
      <c r="V153" s="22"/>
      <c r="X153" s="22"/>
      <c r="Z153" s="22"/>
    </row>
    <row r="154" spans="2:26" x14ac:dyDescent="0.25">
      <c r="B154" s="47"/>
      <c r="C154" s="47">
        <v>71</v>
      </c>
      <c r="D154" s="47"/>
      <c r="E154" s="48">
        <f t="shared" si="8"/>
        <v>30609.043885891711</v>
      </c>
      <c r="G154" s="48" t="e">
        <f t="shared" si="9"/>
        <v>#NUM!</v>
      </c>
      <c r="I154" s="48" t="e">
        <f t="shared" si="10"/>
        <v>#NUM!</v>
      </c>
      <c r="K154" s="47"/>
      <c r="M154" s="48">
        <f t="shared" si="7"/>
        <v>30609.043885891711</v>
      </c>
      <c r="N154" s="22"/>
      <c r="O154" s="48"/>
      <c r="P154" s="22"/>
      <c r="R154" s="22"/>
      <c r="T154" s="22"/>
      <c r="V154" s="22"/>
      <c r="X154" s="22"/>
      <c r="Z154" s="22"/>
    </row>
    <row r="155" spans="2:26" x14ac:dyDescent="0.25">
      <c r="B155" s="47"/>
      <c r="C155" s="47">
        <v>72</v>
      </c>
      <c r="D155" s="47"/>
      <c r="E155" s="48">
        <f t="shared" si="8"/>
        <v>30609.043885891711</v>
      </c>
      <c r="G155" s="48" t="e">
        <f t="shared" si="9"/>
        <v>#NUM!</v>
      </c>
      <c r="I155" s="48" t="e">
        <f t="shared" si="10"/>
        <v>#NUM!</v>
      </c>
      <c r="K155" s="47"/>
      <c r="M155" s="48">
        <f t="shared" si="7"/>
        <v>30609.043885891711</v>
      </c>
      <c r="N155" s="22"/>
      <c r="O155" s="48"/>
      <c r="P155" s="22"/>
      <c r="R155" s="22"/>
      <c r="T155" s="22"/>
      <c r="V155" s="22"/>
      <c r="X155" s="22"/>
      <c r="Z155" s="22"/>
    </row>
    <row r="156" spans="2:26" x14ac:dyDescent="0.25">
      <c r="B156" s="47"/>
      <c r="C156" s="47">
        <v>73</v>
      </c>
      <c r="D156" s="47"/>
      <c r="E156" s="48">
        <f t="shared" si="8"/>
        <v>30609.043885891711</v>
      </c>
      <c r="G156" s="48" t="e">
        <f t="shared" si="9"/>
        <v>#NUM!</v>
      </c>
      <c r="I156" s="48" t="e">
        <f t="shared" si="10"/>
        <v>#NUM!</v>
      </c>
      <c r="K156" s="47"/>
      <c r="M156" s="48">
        <f t="shared" si="7"/>
        <v>30609.043885891711</v>
      </c>
      <c r="N156" s="22"/>
      <c r="O156" s="48"/>
      <c r="P156" s="22"/>
      <c r="R156" s="22"/>
      <c r="T156" s="22"/>
      <c r="V156" s="22"/>
      <c r="X156" s="22"/>
      <c r="Z156" s="22"/>
    </row>
    <row r="157" spans="2:26" x14ac:dyDescent="0.25">
      <c r="B157" s="47"/>
      <c r="C157" s="47">
        <v>74</v>
      </c>
      <c r="D157" s="47"/>
      <c r="E157" s="48">
        <f t="shared" si="8"/>
        <v>30609.043885891711</v>
      </c>
      <c r="G157" s="48" t="e">
        <f t="shared" si="9"/>
        <v>#NUM!</v>
      </c>
      <c r="I157" s="48" t="e">
        <f t="shared" si="10"/>
        <v>#NUM!</v>
      </c>
      <c r="K157" s="47"/>
      <c r="M157" s="48">
        <f t="shared" si="7"/>
        <v>30609.043885891711</v>
      </c>
      <c r="N157" s="22"/>
      <c r="O157" s="48"/>
      <c r="P157" s="22"/>
      <c r="R157" s="22"/>
      <c r="T157" s="22"/>
      <c r="V157" s="22"/>
      <c r="X157" s="22"/>
      <c r="Z157" s="22"/>
    </row>
    <row r="158" spans="2:26" x14ac:dyDescent="0.25">
      <c r="B158" s="47"/>
      <c r="C158" s="47">
        <v>75</v>
      </c>
      <c r="D158" s="47"/>
      <c r="E158" s="48">
        <f t="shared" si="8"/>
        <v>30609.043885891711</v>
      </c>
      <c r="G158" s="48" t="e">
        <f t="shared" si="9"/>
        <v>#NUM!</v>
      </c>
      <c r="I158" s="48" t="e">
        <f t="shared" si="10"/>
        <v>#NUM!</v>
      </c>
      <c r="K158" s="47"/>
      <c r="M158" s="48">
        <f t="shared" si="7"/>
        <v>30609.043885891711</v>
      </c>
      <c r="N158" s="22"/>
      <c r="O158" s="48"/>
      <c r="P158" s="22"/>
      <c r="R158" s="22"/>
      <c r="T158" s="22"/>
      <c r="V158" s="22"/>
      <c r="X158" s="22"/>
      <c r="Z158" s="22"/>
    </row>
    <row r="159" spans="2:26" x14ac:dyDescent="0.25">
      <c r="B159" s="47"/>
      <c r="C159" s="47">
        <v>76</v>
      </c>
      <c r="D159" s="47"/>
      <c r="E159" s="48">
        <f t="shared" si="8"/>
        <v>30609.043885891711</v>
      </c>
      <c r="G159" s="48" t="e">
        <f t="shared" si="9"/>
        <v>#NUM!</v>
      </c>
      <c r="I159" s="48" t="e">
        <f t="shared" si="10"/>
        <v>#NUM!</v>
      </c>
      <c r="K159" s="47"/>
      <c r="M159" s="48">
        <f t="shared" si="7"/>
        <v>30609.043885891711</v>
      </c>
      <c r="N159" s="22"/>
      <c r="O159" s="48"/>
      <c r="P159" s="22"/>
      <c r="R159" s="22"/>
      <c r="T159" s="22"/>
      <c r="V159" s="22"/>
      <c r="X159" s="22"/>
      <c r="Z159" s="22"/>
    </row>
    <row r="160" spans="2:26" x14ac:dyDescent="0.25">
      <c r="B160" s="47"/>
      <c r="C160" s="47">
        <v>77</v>
      </c>
      <c r="D160" s="47"/>
      <c r="E160" s="48">
        <f t="shared" si="8"/>
        <v>30609.043885891711</v>
      </c>
      <c r="G160" s="48" t="e">
        <f t="shared" si="9"/>
        <v>#NUM!</v>
      </c>
      <c r="I160" s="48" t="e">
        <f t="shared" si="10"/>
        <v>#NUM!</v>
      </c>
      <c r="K160" s="47"/>
      <c r="M160" s="48">
        <f t="shared" si="7"/>
        <v>30609.043885891711</v>
      </c>
      <c r="N160" s="22"/>
      <c r="O160" s="48"/>
      <c r="P160" s="22"/>
      <c r="R160" s="22"/>
      <c r="T160" s="22"/>
      <c r="V160" s="22"/>
      <c r="X160" s="22"/>
      <c r="Z160" s="22"/>
    </row>
    <row r="161" spans="2:26" x14ac:dyDescent="0.25">
      <c r="B161" s="47"/>
      <c r="C161" s="47">
        <v>78</v>
      </c>
      <c r="D161" s="47"/>
      <c r="E161" s="48">
        <f t="shared" si="8"/>
        <v>30609.043885891711</v>
      </c>
      <c r="G161" s="48" t="e">
        <f t="shared" si="9"/>
        <v>#NUM!</v>
      </c>
      <c r="I161" s="48" t="e">
        <f t="shared" si="10"/>
        <v>#NUM!</v>
      </c>
      <c r="K161" s="47"/>
      <c r="M161" s="48">
        <f t="shared" si="7"/>
        <v>30609.043885891711</v>
      </c>
      <c r="N161" s="22"/>
      <c r="O161" s="48"/>
      <c r="P161" s="22"/>
      <c r="R161" s="22"/>
      <c r="T161" s="22"/>
      <c r="V161" s="22"/>
      <c r="X161" s="22"/>
      <c r="Z161" s="22"/>
    </row>
    <row r="162" spans="2:26" x14ac:dyDescent="0.25">
      <c r="B162" s="47"/>
      <c r="C162" s="47">
        <v>79</v>
      </c>
      <c r="D162" s="47"/>
      <c r="E162" s="48">
        <f t="shared" si="8"/>
        <v>30609.043885891711</v>
      </c>
      <c r="G162" s="48" t="e">
        <f t="shared" si="9"/>
        <v>#NUM!</v>
      </c>
      <c r="I162" s="48" t="e">
        <f t="shared" si="10"/>
        <v>#NUM!</v>
      </c>
      <c r="K162" s="47"/>
      <c r="M162" s="48">
        <f t="shared" si="7"/>
        <v>30609.043885891711</v>
      </c>
      <c r="N162" s="22"/>
      <c r="O162" s="48"/>
      <c r="P162" s="22"/>
      <c r="R162" s="22"/>
      <c r="T162" s="22"/>
      <c r="V162" s="22"/>
      <c r="X162" s="22"/>
      <c r="Z162" s="22"/>
    </row>
    <row r="163" spans="2:26" x14ac:dyDescent="0.25">
      <c r="B163" s="47"/>
      <c r="C163" s="47">
        <v>80</v>
      </c>
      <c r="D163" s="47"/>
      <c r="E163" s="48">
        <f t="shared" si="8"/>
        <v>30609.043885891711</v>
      </c>
      <c r="G163" s="48" t="e">
        <f t="shared" si="9"/>
        <v>#NUM!</v>
      </c>
      <c r="I163" s="48" t="e">
        <f t="shared" si="10"/>
        <v>#NUM!</v>
      </c>
      <c r="K163" s="47"/>
      <c r="M163" s="48">
        <f t="shared" si="7"/>
        <v>30609.043885891711</v>
      </c>
      <c r="N163" s="22"/>
      <c r="O163" s="48"/>
      <c r="P163" s="22"/>
      <c r="R163" s="22"/>
      <c r="T163" s="22"/>
      <c r="V163" s="22"/>
      <c r="X163" s="22"/>
      <c r="Z163" s="22"/>
    </row>
    <row r="164" spans="2:26" x14ac:dyDescent="0.25">
      <c r="B164" s="47"/>
      <c r="C164" s="47">
        <v>81</v>
      </c>
      <c r="D164" s="47"/>
      <c r="E164" s="48">
        <f t="shared" si="8"/>
        <v>30609.043885891711</v>
      </c>
      <c r="G164" s="48" t="e">
        <f t="shared" si="9"/>
        <v>#NUM!</v>
      </c>
      <c r="I164" s="48" t="e">
        <f t="shared" si="10"/>
        <v>#NUM!</v>
      </c>
      <c r="K164" s="47"/>
      <c r="M164" s="48">
        <f t="shared" si="7"/>
        <v>30609.043885891711</v>
      </c>
      <c r="N164" s="22"/>
      <c r="O164" s="48"/>
      <c r="P164" s="22"/>
      <c r="R164" s="22"/>
      <c r="T164" s="22"/>
      <c r="V164" s="22"/>
      <c r="X164" s="22"/>
      <c r="Z164" s="22"/>
    </row>
    <row r="165" spans="2:26" x14ac:dyDescent="0.25">
      <c r="B165" s="47"/>
      <c r="C165" s="47">
        <v>82</v>
      </c>
      <c r="D165" s="47"/>
      <c r="E165" s="48">
        <f t="shared" si="8"/>
        <v>30609.043885891711</v>
      </c>
      <c r="G165" s="48" t="e">
        <f t="shared" si="9"/>
        <v>#NUM!</v>
      </c>
      <c r="I165" s="48" t="e">
        <f t="shared" si="10"/>
        <v>#NUM!</v>
      </c>
      <c r="K165" s="47"/>
      <c r="M165" s="48">
        <f t="shared" si="7"/>
        <v>30609.043885891711</v>
      </c>
      <c r="N165" s="22"/>
      <c r="O165" s="48"/>
      <c r="P165" s="22"/>
      <c r="R165" s="22"/>
      <c r="T165" s="22"/>
      <c r="V165" s="22"/>
      <c r="X165" s="22"/>
      <c r="Z165" s="22"/>
    </row>
    <row r="166" spans="2:26" x14ac:dyDescent="0.25">
      <c r="B166" s="47"/>
      <c r="C166" s="47">
        <v>83</v>
      </c>
      <c r="D166" s="47"/>
      <c r="E166" s="48">
        <f t="shared" si="8"/>
        <v>30609.043885891711</v>
      </c>
      <c r="G166" s="48" t="e">
        <f t="shared" si="9"/>
        <v>#NUM!</v>
      </c>
      <c r="I166" s="48" t="e">
        <f t="shared" si="10"/>
        <v>#NUM!</v>
      </c>
      <c r="K166" s="47"/>
      <c r="M166" s="48">
        <f t="shared" si="7"/>
        <v>30609.043885891711</v>
      </c>
      <c r="N166" s="22"/>
      <c r="O166" s="48"/>
      <c r="P166" s="22"/>
      <c r="R166" s="22"/>
      <c r="T166" s="22"/>
      <c r="V166" s="22"/>
      <c r="X166" s="22"/>
      <c r="Z166" s="22"/>
    </row>
    <row r="167" spans="2:26" x14ac:dyDescent="0.25">
      <c r="B167" s="47"/>
      <c r="C167" s="47">
        <v>84</v>
      </c>
      <c r="D167" s="47"/>
      <c r="E167" s="48">
        <f t="shared" si="8"/>
        <v>30609.043885891711</v>
      </c>
      <c r="G167" s="48" t="e">
        <f t="shared" si="9"/>
        <v>#NUM!</v>
      </c>
      <c r="I167" s="48" t="e">
        <f t="shared" si="10"/>
        <v>#NUM!</v>
      </c>
      <c r="K167" s="47"/>
      <c r="M167" s="48">
        <f t="shared" si="7"/>
        <v>30609.043885891711</v>
      </c>
      <c r="N167" s="22"/>
      <c r="O167" s="48"/>
      <c r="P167" s="22"/>
      <c r="R167" s="22"/>
      <c r="T167" s="22"/>
      <c r="V167" s="22"/>
      <c r="X167" s="22"/>
      <c r="Z167" s="22"/>
    </row>
    <row r="168" spans="2:26" x14ac:dyDescent="0.25">
      <c r="B168" s="47"/>
      <c r="C168" s="47">
        <v>85</v>
      </c>
      <c r="D168" s="47"/>
      <c r="E168" s="48">
        <f t="shared" si="8"/>
        <v>30609.043885891711</v>
      </c>
      <c r="G168" s="48" t="e">
        <f t="shared" si="9"/>
        <v>#NUM!</v>
      </c>
      <c r="I168" s="48" t="e">
        <f t="shared" si="10"/>
        <v>#NUM!</v>
      </c>
      <c r="K168" s="47"/>
      <c r="M168" s="48">
        <f t="shared" si="7"/>
        <v>30609.043885891711</v>
      </c>
      <c r="N168" s="22"/>
      <c r="O168" s="48"/>
      <c r="P168" s="22"/>
      <c r="R168" s="22"/>
      <c r="T168" s="22"/>
      <c r="V168" s="22"/>
      <c r="X168" s="22"/>
      <c r="Z168" s="22"/>
    </row>
    <row r="169" spans="2:26" x14ac:dyDescent="0.25">
      <c r="B169" s="47"/>
      <c r="C169" s="47">
        <v>86</v>
      </c>
      <c r="D169" s="47"/>
      <c r="E169" s="48">
        <f t="shared" si="8"/>
        <v>30609.043885891711</v>
      </c>
      <c r="G169" s="48" t="e">
        <f t="shared" si="9"/>
        <v>#NUM!</v>
      </c>
      <c r="I169" s="48" t="e">
        <f t="shared" si="10"/>
        <v>#NUM!</v>
      </c>
      <c r="K169" s="47"/>
      <c r="M169" s="48">
        <f t="shared" si="7"/>
        <v>30609.043885891711</v>
      </c>
      <c r="N169" s="22"/>
      <c r="O169" s="48"/>
      <c r="P169" s="22"/>
      <c r="R169" s="22"/>
      <c r="T169" s="22"/>
      <c r="V169" s="22"/>
      <c r="X169" s="22"/>
      <c r="Z169" s="22"/>
    </row>
    <row r="170" spans="2:26" x14ac:dyDescent="0.25">
      <c r="B170" s="47"/>
      <c r="C170" s="47">
        <v>87</v>
      </c>
      <c r="D170" s="47"/>
      <c r="E170" s="48">
        <f t="shared" si="8"/>
        <v>30609.043885891711</v>
      </c>
      <c r="G170" s="48" t="e">
        <f t="shared" si="9"/>
        <v>#NUM!</v>
      </c>
      <c r="I170" s="48" t="e">
        <f t="shared" si="10"/>
        <v>#NUM!</v>
      </c>
      <c r="K170" s="47"/>
      <c r="M170" s="48">
        <f t="shared" si="7"/>
        <v>30609.043885891711</v>
      </c>
      <c r="N170" s="22"/>
      <c r="O170" s="48"/>
      <c r="P170" s="22"/>
      <c r="R170" s="22"/>
      <c r="T170" s="22"/>
      <c r="V170" s="22"/>
      <c r="X170" s="22"/>
      <c r="Z170" s="22"/>
    </row>
    <row r="171" spans="2:26" x14ac:dyDescent="0.25">
      <c r="B171" s="47"/>
      <c r="C171" s="47">
        <v>88</v>
      </c>
      <c r="D171" s="47"/>
      <c r="E171" s="48">
        <f t="shared" si="8"/>
        <v>30609.043885891711</v>
      </c>
      <c r="G171" s="48" t="e">
        <f t="shared" si="9"/>
        <v>#NUM!</v>
      </c>
      <c r="I171" s="48" t="e">
        <f t="shared" si="10"/>
        <v>#NUM!</v>
      </c>
      <c r="K171" s="47"/>
      <c r="M171" s="48">
        <f t="shared" si="7"/>
        <v>30609.043885891711</v>
      </c>
      <c r="N171" s="22"/>
      <c r="O171" s="48"/>
      <c r="P171" s="22"/>
      <c r="R171" s="22"/>
      <c r="T171" s="22"/>
      <c r="V171" s="22"/>
      <c r="X171" s="22"/>
      <c r="Z171" s="22"/>
    </row>
    <row r="172" spans="2:26" x14ac:dyDescent="0.25">
      <c r="B172" s="47"/>
      <c r="C172" s="47">
        <v>89</v>
      </c>
      <c r="D172" s="47"/>
      <c r="E172" s="48">
        <f t="shared" si="8"/>
        <v>30609.043885891711</v>
      </c>
      <c r="G172" s="48" t="e">
        <f t="shared" si="9"/>
        <v>#NUM!</v>
      </c>
      <c r="I172" s="48" t="e">
        <f t="shared" si="10"/>
        <v>#NUM!</v>
      </c>
      <c r="K172" s="47"/>
      <c r="M172" s="48">
        <f t="shared" si="7"/>
        <v>30609.043885891711</v>
      </c>
      <c r="N172" s="22"/>
      <c r="O172" s="48"/>
      <c r="P172" s="22"/>
      <c r="R172" s="22"/>
      <c r="T172" s="22"/>
      <c r="V172" s="22"/>
      <c r="X172" s="22"/>
      <c r="Z172" s="22"/>
    </row>
    <row r="173" spans="2:26" x14ac:dyDescent="0.25">
      <c r="B173" s="47"/>
      <c r="C173" s="47">
        <v>90</v>
      </c>
      <c r="D173" s="47"/>
      <c r="E173" s="48">
        <f t="shared" si="8"/>
        <v>30609.043885891711</v>
      </c>
      <c r="G173" s="48" t="e">
        <f t="shared" si="9"/>
        <v>#NUM!</v>
      </c>
      <c r="I173" s="48" t="e">
        <f t="shared" si="10"/>
        <v>#NUM!</v>
      </c>
      <c r="K173" s="47"/>
      <c r="M173" s="48">
        <f t="shared" si="7"/>
        <v>30609.043885891711</v>
      </c>
      <c r="N173" s="22"/>
      <c r="O173" s="48"/>
      <c r="P173" s="22"/>
      <c r="R173" s="22"/>
      <c r="T173" s="22"/>
      <c r="V173" s="22"/>
      <c r="X173" s="22"/>
      <c r="Z173" s="22"/>
    </row>
    <row r="174" spans="2:26" x14ac:dyDescent="0.25">
      <c r="B174" s="47"/>
      <c r="C174" s="47">
        <v>91</v>
      </c>
      <c r="D174" s="47"/>
      <c r="E174" s="48">
        <f t="shared" si="8"/>
        <v>30609.043885891711</v>
      </c>
      <c r="G174" s="48" t="e">
        <f t="shared" si="9"/>
        <v>#NUM!</v>
      </c>
      <c r="I174" s="48" t="e">
        <f t="shared" si="10"/>
        <v>#NUM!</v>
      </c>
      <c r="K174" s="47"/>
      <c r="M174" s="48">
        <f t="shared" si="7"/>
        <v>30609.043885891711</v>
      </c>
      <c r="N174" s="22"/>
      <c r="O174" s="48"/>
      <c r="P174" s="22"/>
      <c r="R174" s="22"/>
      <c r="T174" s="22"/>
      <c r="V174" s="22"/>
      <c r="X174" s="22"/>
      <c r="Z174" s="22"/>
    </row>
    <row r="175" spans="2:26" x14ac:dyDescent="0.25">
      <c r="B175" s="47"/>
      <c r="C175" s="47">
        <v>92</v>
      </c>
      <c r="D175" s="47"/>
      <c r="E175" s="48">
        <f t="shared" si="8"/>
        <v>30609.043885891711</v>
      </c>
      <c r="G175" s="48" t="e">
        <f t="shared" si="9"/>
        <v>#NUM!</v>
      </c>
      <c r="I175" s="48" t="e">
        <f t="shared" si="10"/>
        <v>#NUM!</v>
      </c>
      <c r="K175" s="47"/>
      <c r="M175" s="48">
        <f t="shared" si="7"/>
        <v>30609.043885891711</v>
      </c>
      <c r="N175" s="22"/>
      <c r="O175" s="48"/>
      <c r="P175" s="22"/>
      <c r="R175" s="22"/>
      <c r="T175" s="22"/>
      <c r="V175" s="22"/>
      <c r="X175" s="22"/>
      <c r="Z175" s="22"/>
    </row>
    <row r="176" spans="2:26" x14ac:dyDescent="0.25">
      <c r="B176" s="47"/>
      <c r="C176" s="47">
        <v>93</v>
      </c>
      <c r="D176" s="47"/>
      <c r="E176" s="48">
        <f t="shared" si="8"/>
        <v>30609.043885891711</v>
      </c>
      <c r="G176" s="48" t="e">
        <f t="shared" si="9"/>
        <v>#NUM!</v>
      </c>
      <c r="I176" s="48" t="e">
        <f t="shared" si="10"/>
        <v>#NUM!</v>
      </c>
      <c r="K176" s="47"/>
      <c r="M176" s="48">
        <f t="shared" si="7"/>
        <v>30609.043885891711</v>
      </c>
      <c r="N176" s="22"/>
      <c r="O176" s="48"/>
      <c r="P176" s="22"/>
      <c r="R176" s="22"/>
      <c r="T176" s="22"/>
      <c r="V176" s="22"/>
      <c r="X176" s="22"/>
      <c r="Z176" s="22"/>
    </row>
    <row r="177" spans="2:26" x14ac:dyDescent="0.25">
      <c r="B177" s="47"/>
      <c r="C177" s="47">
        <v>94</v>
      </c>
      <c r="D177" s="47"/>
      <c r="E177" s="48">
        <f t="shared" si="8"/>
        <v>30609.043885891711</v>
      </c>
      <c r="G177" s="48" t="e">
        <f t="shared" si="9"/>
        <v>#NUM!</v>
      </c>
      <c r="I177" s="48" t="e">
        <f t="shared" si="10"/>
        <v>#NUM!</v>
      </c>
      <c r="K177" s="47"/>
      <c r="M177" s="48">
        <f t="shared" si="7"/>
        <v>30609.043885891711</v>
      </c>
      <c r="N177" s="22"/>
      <c r="O177" s="48"/>
      <c r="P177" s="22"/>
      <c r="R177" s="22"/>
      <c r="T177" s="22"/>
      <c r="V177" s="22"/>
      <c r="X177" s="22"/>
      <c r="Z177" s="22"/>
    </row>
    <row r="178" spans="2:26" x14ac:dyDescent="0.25">
      <c r="B178" s="47"/>
      <c r="C178" s="47">
        <v>95</v>
      </c>
      <c r="D178" s="47"/>
      <c r="E178" s="48">
        <f t="shared" si="8"/>
        <v>30609.043885891711</v>
      </c>
      <c r="G178" s="48" t="e">
        <f t="shared" si="9"/>
        <v>#NUM!</v>
      </c>
      <c r="I178" s="48" t="e">
        <f t="shared" si="10"/>
        <v>#NUM!</v>
      </c>
      <c r="K178" s="47"/>
      <c r="M178" s="48">
        <f t="shared" si="7"/>
        <v>30609.043885891711</v>
      </c>
      <c r="N178" s="22"/>
      <c r="O178" s="48"/>
      <c r="P178" s="22"/>
      <c r="R178" s="22"/>
      <c r="T178" s="22"/>
      <c r="V178" s="22"/>
      <c r="X178" s="22"/>
      <c r="Z178" s="22"/>
    </row>
    <row r="179" spans="2:26" x14ac:dyDescent="0.25">
      <c r="B179" s="47"/>
      <c r="C179" s="47">
        <v>96</v>
      </c>
      <c r="D179" s="47"/>
      <c r="E179" s="48">
        <f t="shared" si="8"/>
        <v>30609.043885891711</v>
      </c>
      <c r="G179" s="48" t="e">
        <f t="shared" si="9"/>
        <v>#NUM!</v>
      </c>
      <c r="I179" s="48" t="e">
        <f t="shared" si="10"/>
        <v>#NUM!</v>
      </c>
      <c r="K179" s="47"/>
      <c r="M179" s="48">
        <f t="shared" si="7"/>
        <v>30609.043885891711</v>
      </c>
      <c r="N179" s="22"/>
      <c r="O179" s="48"/>
      <c r="P179" s="22"/>
      <c r="R179" s="22"/>
      <c r="T179" s="22"/>
      <c r="V179" s="22"/>
      <c r="X179" s="22"/>
      <c r="Z179" s="22"/>
    </row>
    <row r="180" spans="2:26" x14ac:dyDescent="0.25">
      <c r="B180" s="47"/>
      <c r="C180" s="47">
        <v>97</v>
      </c>
      <c r="D180" s="47"/>
      <c r="E180" s="48">
        <f t="shared" si="8"/>
        <v>30609.043885891711</v>
      </c>
      <c r="G180" s="48" t="e">
        <f t="shared" si="9"/>
        <v>#NUM!</v>
      </c>
      <c r="I180" s="48" t="e">
        <f t="shared" si="10"/>
        <v>#NUM!</v>
      </c>
      <c r="K180" s="47"/>
      <c r="M180" s="48">
        <f t="shared" ref="M180:M203" si="11">+E180+K180</f>
        <v>30609.043885891711</v>
      </c>
      <c r="N180" s="22"/>
      <c r="O180" s="48"/>
      <c r="P180" s="22"/>
      <c r="R180" s="22"/>
      <c r="T180" s="22"/>
      <c r="V180" s="22"/>
      <c r="X180" s="22"/>
      <c r="Z180" s="22"/>
    </row>
    <row r="181" spans="2:26" x14ac:dyDescent="0.25">
      <c r="B181" s="47"/>
      <c r="C181" s="47">
        <v>98</v>
      </c>
      <c r="D181" s="47"/>
      <c r="E181" s="48">
        <f t="shared" si="8"/>
        <v>30609.043885891711</v>
      </c>
      <c r="G181" s="48" t="e">
        <f t="shared" si="9"/>
        <v>#NUM!</v>
      </c>
      <c r="I181" s="48" t="e">
        <f t="shared" si="10"/>
        <v>#NUM!</v>
      </c>
      <c r="K181" s="47"/>
      <c r="M181" s="48">
        <f t="shared" si="11"/>
        <v>30609.043885891711</v>
      </c>
      <c r="N181" s="22"/>
      <c r="O181" s="48"/>
      <c r="P181" s="22"/>
      <c r="R181" s="22"/>
      <c r="T181" s="22"/>
      <c r="V181" s="22"/>
      <c r="X181" s="22"/>
      <c r="Z181" s="22"/>
    </row>
    <row r="182" spans="2:26" x14ac:dyDescent="0.25">
      <c r="B182" s="47"/>
      <c r="C182" s="47">
        <v>99</v>
      </c>
      <c r="D182" s="47"/>
      <c r="E182" s="48">
        <f t="shared" si="8"/>
        <v>30609.043885891711</v>
      </c>
      <c r="G182" s="48" t="e">
        <f t="shared" si="9"/>
        <v>#NUM!</v>
      </c>
      <c r="I182" s="48" t="e">
        <f t="shared" si="10"/>
        <v>#NUM!</v>
      </c>
      <c r="K182" s="47"/>
      <c r="M182" s="48">
        <f t="shared" si="11"/>
        <v>30609.043885891711</v>
      </c>
      <c r="N182" s="22"/>
      <c r="O182" s="48"/>
      <c r="P182" s="22"/>
      <c r="R182" s="22"/>
      <c r="T182" s="22"/>
      <c r="V182" s="22"/>
      <c r="X182" s="22"/>
      <c r="Z182" s="22"/>
    </row>
    <row r="183" spans="2:26" x14ac:dyDescent="0.25">
      <c r="B183" s="47"/>
      <c r="C183" s="47">
        <v>100</v>
      </c>
      <c r="D183" s="47"/>
      <c r="E183" s="48">
        <f t="shared" si="8"/>
        <v>30609.043885891711</v>
      </c>
      <c r="G183" s="48" t="e">
        <f t="shared" si="9"/>
        <v>#NUM!</v>
      </c>
      <c r="I183" s="48" t="e">
        <f t="shared" si="10"/>
        <v>#NUM!</v>
      </c>
      <c r="K183" s="47"/>
      <c r="M183" s="48">
        <f t="shared" si="11"/>
        <v>30609.043885891711</v>
      </c>
      <c r="N183" s="22"/>
      <c r="O183" s="48"/>
      <c r="P183" s="22"/>
      <c r="R183" s="22"/>
      <c r="T183" s="22"/>
      <c r="V183" s="22"/>
      <c r="X183" s="22"/>
      <c r="Z183" s="22"/>
    </row>
    <row r="184" spans="2:26" x14ac:dyDescent="0.25">
      <c r="B184" s="47"/>
      <c r="C184" s="47">
        <v>101</v>
      </c>
      <c r="D184" s="47"/>
      <c r="E184" s="48">
        <f t="shared" si="8"/>
        <v>30609.043885891711</v>
      </c>
      <c r="G184" s="48" t="e">
        <f t="shared" si="9"/>
        <v>#NUM!</v>
      </c>
      <c r="I184" s="48" t="e">
        <f t="shared" si="10"/>
        <v>#NUM!</v>
      </c>
      <c r="K184" s="47"/>
      <c r="M184" s="48">
        <f t="shared" si="11"/>
        <v>30609.043885891711</v>
      </c>
      <c r="N184" s="22"/>
      <c r="O184" s="48"/>
      <c r="P184" s="22"/>
      <c r="R184" s="22"/>
      <c r="T184" s="22"/>
      <c r="V184" s="22"/>
      <c r="X184" s="22"/>
      <c r="Z184" s="22"/>
    </row>
    <row r="185" spans="2:26" x14ac:dyDescent="0.25">
      <c r="B185" s="47"/>
      <c r="C185" s="47">
        <v>102</v>
      </c>
      <c r="D185" s="47"/>
      <c r="E185" s="48">
        <f t="shared" si="8"/>
        <v>30609.043885891711</v>
      </c>
      <c r="G185" s="48" t="e">
        <f t="shared" si="9"/>
        <v>#NUM!</v>
      </c>
      <c r="I185" s="48" t="e">
        <f t="shared" si="10"/>
        <v>#NUM!</v>
      </c>
      <c r="K185" s="47"/>
      <c r="M185" s="48">
        <f t="shared" si="11"/>
        <v>30609.043885891711</v>
      </c>
      <c r="N185" s="22"/>
      <c r="O185" s="48"/>
      <c r="P185" s="22"/>
      <c r="R185" s="22"/>
      <c r="T185" s="22"/>
      <c r="V185" s="22"/>
      <c r="X185" s="22"/>
      <c r="Z185" s="22"/>
    </row>
    <row r="186" spans="2:26" x14ac:dyDescent="0.25">
      <c r="B186" s="47"/>
      <c r="C186" s="47">
        <v>103</v>
      </c>
      <c r="D186" s="47"/>
      <c r="E186" s="48">
        <f t="shared" si="8"/>
        <v>30609.043885891711</v>
      </c>
      <c r="G186" s="48" t="e">
        <f t="shared" si="9"/>
        <v>#NUM!</v>
      </c>
      <c r="I186" s="48" t="e">
        <f t="shared" si="10"/>
        <v>#NUM!</v>
      </c>
      <c r="K186" s="47"/>
      <c r="M186" s="48">
        <f t="shared" si="11"/>
        <v>30609.043885891711</v>
      </c>
      <c r="N186" s="22"/>
      <c r="O186" s="48"/>
      <c r="P186" s="22"/>
      <c r="R186" s="22"/>
      <c r="T186" s="22"/>
      <c r="V186" s="22"/>
      <c r="X186" s="22"/>
      <c r="Z186" s="22"/>
    </row>
    <row r="187" spans="2:26" x14ac:dyDescent="0.25">
      <c r="B187" s="47"/>
      <c r="C187" s="47">
        <v>104</v>
      </c>
      <c r="D187" s="47"/>
      <c r="E187" s="48">
        <f t="shared" si="8"/>
        <v>30609.043885891711</v>
      </c>
      <c r="G187" s="48" t="e">
        <f t="shared" si="9"/>
        <v>#NUM!</v>
      </c>
      <c r="I187" s="48" t="e">
        <f t="shared" si="10"/>
        <v>#NUM!</v>
      </c>
      <c r="K187" s="47"/>
      <c r="M187" s="48">
        <f t="shared" si="11"/>
        <v>30609.043885891711</v>
      </c>
      <c r="N187" s="22"/>
      <c r="O187" s="48"/>
      <c r="P187" s="22"/>
      <c r="R187" s="22"/>
      <c r="T187" s="22"/>
      <c r="V187" s="22"/>
      <c r="X187" s="22"/>
      <c r="Z187" s="22"/>
    </row>
    <row r="188" spans="2:26" x14ac:dyDescent="0.25">
      <c r="B188" s="47"/>
      <c r="C188" s="47">
        <v>105</v>
      </c>
      <c r="D188" s="47"/>
      <c r="E188" s="48">
        <f t="shared" si="8"/>
        <v>30609.043885891711</v>
      </c>
      <c r="G188" s="48" t="e">
        <f t="shared" si="9"/>
        <v>#NUM!</v>
      </c>
      <c r="I188" s="48" t="e">
        <f t="shared" si="10"/>
        <v>#NUM!</v>
      </c>
      <c r="K188" s="47"/>
      <c r="M188" s="48">
        <f t="shared" si="11"/>
        <v>30609.043885891711</v>
      </c>
      <c r="N188" s="22"/>
      <c r="O188" s="48"/>
      <c r="P188" s="22"/>
      <c r="R188" s="22"/>
      <c r="T188" s="22"/>
      <c r="V188" s="22"/>
      <c r="X188" s="22"/>
      <c r="Z188" s="22"/>
    </row>
    <row r="189" spans="2:26" x14ac:dyDescent="0.25">
      <c r="B189" s="47"/>
      <c r="C189" s="47">
        <v>106</v>
      </c>
      <c r="D189" s="47"/>
      <c r="E189" s="48">
        <f t="shared" si="8"/>
        <v>30609.043885891711</v>
      </c>
      <c r="G189" s="48" t="e">
        <f t="shared" si="9"/>
        <v>#NUM!</v>
      </c>
      <c r="I189" s="48" t="e">
        <f t="shared" si="10"/>
        <v>#NUM!</v>
      </c>
      <c r="K189" s="47"/>
      <c r="M189" s="48">
        <f t="shared" si="11"/>
        <v>30609.043885891711</v>
      </c>
      <c r="N189" s="22"/>
      <c r="O189" s="48"/>
      <c r="P189" s="22"/>
      <c r="R189" s="22"/>
      <c r="T189" s="22"/>
      <c r="V189" s="22"/>
      <c r="X189" s="22"/>
      <c r="Z189" s="22"/>
    </row>
    <row r="190" spans="2:26" x14ac:dyDescent="0.25">
      <c r="B190" s="47"/>
      <c r="C190" s="47">
        <v>107</v>
      </c>
      <c r="D190" s="47"/>
      <c r="E190" s="48">
        <f t="shared" si="8"/>
        <v>30609.043885891711</v>
      </c>
      <c r="G190" s="48" t="e">
        <f t="shared" si="9"/>
        <v>#NUM!</v>
      </c>
      <c r="I190" s="48" t="e">
        <f t="shared" si="10"/>
        <v>#NUM!</v>
      </c>
      <c r="K190" s="47"/>
      <c r="M190" s="48">
        <f t="shared" si="11"/>
        <v>30609.043885891711</v>
      </c>
      <c r="N190" s="22"/>
      <c r="O190" s="48"/>
      <c r="P190" s="22"/>
      <c r="R190" s="22"/>
      <c r="T190" s="22"/>
      <c r="V190" s="22"/>
      <c r="X190" s="22"/>
      <c r="Z190" s="22"/>
    </row>
    <row r="191" spans="2:26" x14ac:dyDescent="0.25">
      <c r="B191" s="47"/>
      <c r="C191" s="47">
        <v>108</v>
      </c>
      <c r="D191" s="47"/>
      <c r="E191" s="48">
        <f t="shared" si="8"/>
        <v>30609.043885891711</v>
      </c>
      <c r="G191" s="48" t="e">
        <f t="shared" si="9"/>
        <v>#NUM!</v>
      </c>
      <c r="I191" s="48" t="e">
        <f t="shared" si="10"/>
        <v>#NUM!</v>
      </c>
      <c r="K191" s="47"/>
      <c r="M191" s="48">
        <f t="shared" si="11"/>
        <v>30609.043885891711</v>
      </c>
      <c r="N191" s="22"/>
      <c r="O191" s="48"/>
      <c r="P191" s="22"/>
      <c r="R191" s="22"/>
      <c r="T191" s="22"/>
      <c r="V191" s="22"/>
      <c r="X191" s="22"/>
      <c r="Z191" s="22"/>
    </row>
    <row r="192" spans="2:26" x14ac:dyDescent="0.25">
      <c r="B192" s="47"/>
      <c r="C192" s="47">
        <v>109</v>
      </c>
      <c r="D192" s="47"/>
      <c r="E192" s="48">
        <f t="shared" si="8"/>
        <v>30609.043885891711</v>
      </c>
      <c r="G192" s="48" t="e">
        <f t="shared" si="9"/>
        <v>#NUM!</v>
      </c>
      <c r="I192" s="48" t="e">
        <f t="shared" si="10"/>
        <v>#NUM!</v>
      </c>
      <c r="K192" s="47"/>
      <c r="M192" s="48">
        <f t="shared" si="11"/>
        <v>30609.043885891711</v>
      </c>
      <c r="N192" s="22"/>
      <c r="O192" s="48"/>
      <c r="P192" s="22"/>
      <c r="R192" s="22"/>
      <c r="T192" s="22"/>
      <c r="V192" s="22"/>
      <c r="X192" s="22"/>
      <c r="Z192" s="22"/>
    </row>
    <row r="193" spans="2:26" x14ac:dyDescent="0.25">
      <c r="B193" s="47"/>
      <c r="C193" s="47">
        <v>110</v>
      </c>
      <c r="D193" s="47"/>
      <c r="E193" s="48">
        <f t="shared" si="8"/>
        <v>30609.043885891711</v>
      </c>
      <c r="G193" s="48" t="e">
        <f t="shared" si="9"/>
        <v>#NUM!</v>
      </c>
      <c r="I193" s="48" t="e">
        <f t="shared" si="10"/>
        <v>#NUM!</v>
      </c>
      <c r="K193" s="47"/>
      <c r="M193" s="48">
        <f t="shared" si="11"/>
        <v>30609.043885891711</v>
      </c>
      <c r="N193" s="22"/>
      <c r="O193" s="48"/>
      <c r="P193" s="22"/>
      <c r="R193" s="22"/>
      <c r="T193" s="22"/>
      <c r="V193" s="22"/>
      <c r="X193" s="22"/>
      <c r="Z193" s="22"/>
    </row>
    <row r="194" spans="2:26" x14ac:dyDescent="0.25">
      <c r="B194" s="47"/>
      <c r="C194" s="47">
        <v>111</v>
      </c>
      <c r="D194" s="47"/>
      <c r="E194" s="48">
        <f t="shared" si="8"/>
        <v>30609.043885891711</v>
      </c>
      <c r="G194" s="48" t="e">
        <f t="shared" si="9"/>
        <v>#NUM!</v>
      </c>
      <c r="I194" s="48" t="e">
        <f t="shared" si="10"/>
        <v>#NUM!</v>
      </c>
      <c r="K194" s="47"/>
      <c r="M194" s="48">
        <f t="shared" si="11"/>
        <v>30609.043885891711</v>
      </c>
      <c r="N194" s="22"/>
      <c r="O194" s="48"/>
      <c r="P194" s="22"/>
      <c r="R194" s="22"/>
      <c r="T194" s="22"/>
      <c r="V194" s="22"/>
      <c r="X194" s="22"/>
      <c r="Z194" s="22"/>
    </row>
    <row r="195" spans="2:26" x14ac:dyDescent="0.25">
      <c r="B195" s="47"/>
      <c r="C195" s="47">
        <v>112</v>
      </c>
      <c r="D195" s="47"/>
      <c r="E195" s="48">
        <f t="shared" si="8"/>
        <v>30609.043885891711</v>
      </c>
      <c r="G195" s="48" t="e">
        <f t="shared" si="9"/>
        <v>#NUM!</v>
      </c>
      <c r="I195" s="48" t="e">
        <f t="shared" si="10"/>
        <v>#NUM!</v>
      </c>
      <c r="K195" s="47"/>
      <c r="M195" s="48">
        <f t="shared" si="11"/>
        <v>30609.043885891711</v>
      </c>
      <c r="N195" s="22"/>
      <c r="O195" s="48"/>
      <c r="P195" s="22"/>
      <c r="R195" s="22"/>
      <c r="T195" s="22"/>
      <c r="V195" s="22"/>
      <c r="X195" s="22"/>
      <c r="Z195" s="22"/>
    </row>
    <row r="196" spans="2:26" x14ac:dyDescent="0.25">
      <c r="B196" s="47"/>
      <c r="C196" s="47">
        <v>113</v>
      </c>
      <c r="D196" s="47"/>
      <c r="E196" s="48">
        <f t="shared" si="8"/>
        <v>30609.043885891711</v>
      </c>
      <c r="G196" s="48" t="e">
        <f t="shared" si="9"/>
        <v>#NUM!</v>
      </c>
      <c r="I196" s="48" t="e">
        <f t="shared" si="10"/>
        <v>#NUM!</v>
      </c>
      <c r="K196" s="47"/>
      <c r="M196" s="48">
        <f t="shared" si="11"/>
        <v>30609.043885891711</v>
      </c>
      <c r="N196" s="22"/>
      <c r="O196" s="48"/>
      <c r="P196" s="22"/>
      <c r="R196" s="22"/>
      <c r="T196" s="22"/>
      <c r="V196" s="22"/>
      <c r="X196" s="22"/>
      <c r="Z196" s="22"/>
    </row>
    <row r="197" spans="2:26" x14ac:dyDescent="0.25">
      <c r="B197" s="47"/>
      <c r="C197" s="47">
        <v>114</v>
      </c>
      <c r="D197" s="47"/>
      <c r="E197" s="48">
        <f t="shared" si="8"/>
        <v>30609.043885891711</v>
      </c>
      <c r="G197" s="48" t="e">
        <f t="shared" si="9"/>
        <v>#NUM!</v>
      </c>
      <c r="I197" s="48" t="e">
        <f t="shared" si="10"/>
        <v>#NUM!</v>
      </c>
      <c r="K197" s="47"/>
      <c r="M197" s="48">
        <f t="shared" si="11"/>
        <v>30609.043885891711</v>
      </c>
      <c r="N197" s="22"/>
      <c r="O197" s="48"/>
      <c r="P197" s="22"/>
      <c r="R197" s="22"/>
      <c r="T197" s="22"/>
      <c r="V197" s="22"/>
      <c r="X197" s="22"/>
      <c r="Z197" s="22"/>
    </row>
    <row r="198" spans="2:26" x14ac:dyDescent="0.25">
      <c r="B198" s="47"/>
      <c r="C198" s="47">
        <v>115</v>
      </c>
      <c r="D198" s="47"/>
      <c r="E198" s="48">
        <f t="shared" si="8"/>
        <v>30609.043885891711</v>
      </c>
      <c r="G198" s="48" t="e">
        <f t="shared" si="9"/>
        <v>#NUM!</v>
      </c>
      <c r="I198" s="48" t="e">
        <f t="shared" si="10"/>
        <v>#NUM!</v>
      </c>
      <c r="K198" s="47"/>
      <c r="M198" s="48">
        <f t="shared" si="11"/>
        <v>30609.043885891711</v>
      </c>
      <c r="N198" s="22"/>
      <c r="O198" s="48"/>
      <c r="P198" s="22"/>
      <c r="R198" s="22"/>
      <c r="T198" s="22"/>
      <c r="V198" s="22"/>
      <c r="X198" s="22"/>
      <c r="Z198" s="22"/>
    </row>
    <row r="199" spans="2:26" x14ac:dyDescent="0.25">
      <c r="B199" s="47"/>
      <c r="C199" s="47">
        <v>116</v>
      </c>
      <c r="D199" s="47"/>
      <c r="E199" s="48">
        <f t="shared" si="8"/>
        <v>30609.043885891711</v>
      </c>
      <c r="G199" s="48" t="e">
        <f t="shared" si="9"/>
        <v>#NUM!</v>
      </c>
      <c r="I199" s="48" t="e">
        <f t="shared" si="10"/>
        <v>#NUM!</v>
      </c>
      <c r="K199" s="47"/>
      <c r="M199" s="48">
        <f t="shared" si="11"/>
        <v>30609.043885891711</v>
      </c>
      <c r="N199" s="22"/>
      <c r="O199" s="48"/>
      <c r="P199" s="22"/>
      <c r="R199" s="22"/>
      <c r="T199" s="22"/>
      <c r="V199" s="22"/>
      <c r="X199" s="22"/>
      <c r="Z199" s="22"/>
    </row>
    <row r="200" spans="2:26" x14ac:dyDescent="0.25">
      <c r="B200" s="47"/>
      <c r="C200" s="47">
        <v>117</v>
      </c>
      <c r="D200" s="47"/>
      <c r="E200" s="48">
        <f t="shared" si="8"/>
        <v>30609.043885891711</v>
      </c>
      <c r="G200" s="48" t="e">
        <f t="shared" si="9"/>
        <v>#NUM!</v>
      </c>
      <c r="I200" s="48" t="e">
        <f t="shared" si="10"/>
        <v>#NUM!</v>
      </c>
      <c r="K200" s="47"/>
      <c r="M200" s="48">
        <f t="shared" si="11"/>
        <v>30609.043885891711</v>
      </c>
      <c r="N200" s="22"/>
      <c r="O200" s="48"/>
      <c r="P200" s="22"/>
      <c r="R200" s="22"/>
      <c r="T200" s="22"/>
      <c r="V200" s="22"/>
      <c r="X200" s="22"/>
      <c r="Z200" s="22"/>
    </row>
    <row r="201" spans="2:26" x14ac:dyDescent="0.25">
      <c r="B201" s="47"/>
      <c r="C201" s="47">
        <v>118</v>
      </c>
      <c r="D201" s="47"/>
      <c r="E201" s="48">
        <f t="shared" si="8"/>
        <v>30609.043885891711</v>
      </c>
      <c r="G201" s="48" t="e">
        <f t="shared" si="9"/>
        <v>#NUM!</v>
      </c>
      <c r="I201" s="48" t="e">
        <f t="shared" si="10"/>
        <v>#NUM!</v>
      </c>
      <c r="K201" s="47"/>
      <c r="M201" s="48">
        <f t="shared" si="11"/>
        <v>30609.043885891711</v>
      </c>
      <c r="N201" s="22"/>
      <c r="O201" s="48"/>
      <c r="P201" s="22"/>
      <c r="R201" s="22"/>
      <c r="T201" s="22"/>
      <c r="V201" s="22"/>
      <c r="X201" s="22"/>
      <c r="Z201" s="22"/>
    </row>
    <row r="202" spans="2:26" x14ac:dyDescent="0.25">
      <c r="B202" s="47"/>
      <c r="C202" s="47">
        <v>119</v>
      </c>
      <c r="D202" s="47"/>
      <c r="E202" s="48">
        <f t="shared" si="8"/>
        <v>30609.043885891711</v>
      </c>
      <c r="G202" s="48" t="e">
        <f t="shared" si="9"/>
        <v>#NUM!</v>
      </c>
      <c r="I202" s="48" t="e">
        <f t="shared" si="10"/>
        <v>#NUM!</v>
      </c>
      <c r="K202" s="47"/>
      <c r="M202" s="48">
        <f t="shared" si="11"/>
        <v>30609.043885891711</v>
      </c>
      <c r="N202" s="22"/>
      <c r="O202" s="48"/>
      <c r="P202" s="22"/>
      <c r="R202" s="22"/>
      <c r="T202" s="22"/>
      <c r="V202" s="22"/>
      <c r="X202" s="22"/>
      <c r="Z202" s="22"/>
    </row>
    <row r="203" spans="2:26" x14ac:dyDescent="0.25">
      <c r="B203" s="47"/>
      <c r="C203" s="47">
        <v>120</v>
      </c>
      <c r="D203" s="47"/>
      <c r="E203" s="48">
        <f t="shared" si="8"/>
        <v>30609.043885891711</v>
      </c>
      <c r="G203" s="48" t="e">
        <f t="shared" si="9"/>
        <v>#NUM!</v>
      </c>
      <c r="I203" s="48" t="e">
        <f t="shared" si="10"/>
        <v>#NUM!</v>
      </c>
      <c r="K203" s="47"/>
      <c r="M203" s="48">
        <f t="shared" si="11"/>
        <v>30609.043885891711</v>
      </c>
      <c r="N203" s="22"/>
      <c r="O203" s="48"/>
      <c r="P203" s="22"/>
      <c r="R203" s="22"/>
      <c r="T203" s="22"/>
      <c r="V203" s="22"/>
      <c r="X203" s="22"/>
      <c r="Z203" s="22"/>
    </row>
    <row r="204" spans="2:26" x14ac:dyDescent="0.25">
      <c r="B204" s="17"/>
      <c r="C204" s="17"/>
      <c r="D204" s="17"/>
      <c r="E204" s="17"/>
      <c r="F204" s="38"/>
      <c r="G204" s="38"/>
      <c r="H204" s="17"/>
      <c r="I204" s="73"/>
      <c r="J204" s="17"/>
      <c r="K204" s="17"/>
      <c r="L204" s="17"/>
      <c r="M204" s="17"/>
      <c r="N204" s="22"/>
      <c r="P204" s="22"/>
      <c r="R204" s="22"/>
      <c r="T204" s="22"/>
      <c r="V204" s="22"/>
      <c r="X204" s="22"/>
      <c r="Z204" s="22"/>
    </row>
    <row r="205" spans="2:26" x14ac:dyDescent="0.25">
      <c r="B205" s="17"/>
      <c r="C205" s="17"/>
      <c r="D205" s="17"/>
      <c r="E205" s="17"/>
      <c r="F205" s="17"/>
      <c r="G205" s="17"/>
      <c r="H205" s="49"/>
      <c r="I205" s="73"/>
      <c r="J205" s="17"/>
      <c r="K205" s="17"/>
      <c r="L205" s="17"/>
      <c r="M205" s="17"/>
      <c r="N205" s="22"/>
      <c r="P205" s="22"/>
      <c r="R205" s="22"/>
      <c r="T205" s="22"/>
      <c r="V205" s="22"/>
      <c r="X205" s="22"/>
      <c r="Z205" s="22"/>
    </row>
  </sheetData>
  <mergeCells count="23">
    <mergeCell ref="A2:AA2"/>
    <mergeCell ref="B40:AB40"/>
    <mergeCell ref="A24:AA24"/>
    <mergeCell ref="B5:C5"/>
    <mergeCell ref="F61:G61"/>
    <mergeCell ref="B57:C57"/>
    <mergeCell ref="F57:G57"/>
    <mergeCell ref="F58:G58"/>
    <mergeCell ref="F73:G73"/>
    <mergeCell ref="F74:G74"/>
    <mergeCell ref="F59:G59"/>
    <mergeCell ref="F60:G60"/>
    <mergeCell ref="F70:G70"/>
    <mergeCell ref="F71:G71"/>
    <mergeCell ref="F72:G72"/>
    <mergeCell ref="F66:G66"/>
    <mergeCell ref="F67:G67"/>
    <mergeCell ref="F68:G68"/>
    <mergeCell ref="F69:G69"/>
    <mergeCell ref="F62:G62"/>
    <mergeCell ref="F63:G63"/>
    <mergeCell ref="F64:G64"/>
    <mergeCell ref="F65:G65"/>
  </mergeCells>
  <dataValidations count="9"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TASAS</formula1>
    </dataValidation>
    <dataValidation type="list" allowBlank="1" showInputMessage="1" showErrorMessage="1" sqref="D58">
      <formula1>ACTIVO</formula1>
    </dataValidation>
    <dataValidation type="list" allowBlank="1" showInputMessage="1" showErrorMessage="1" sqref="C8:C9">
      <formula1>INDIRECT(C7)</formula1>
    </dataValidation>
    <dataValidation type="list" allowBlank="1" showInputMessage="1" showErrorMessage="1" sqref="C10">
      <formula1>AUTOS</formula1>
    </dataValidation>
    <dataValidation type="list" allowBlank="1" showInputMessage="1" showErrorMessage="1" sqref="C12">
      <formula1>PLAZOS</formula1>
    </dataValidation>
    <dataValidation type="list" allowBlank="1" showInputMessage="1" showErrorMessage="1" sqref="C15">
      <formula1>CONDICIONES</formula1>
    </dataValidation>
    <dataValidation type="list" allowBlank="1" showInputMessage="1" showErrorMessage="1" sqref="C17">
      <formula1>COMISION_NOMINA</formula1>
    </dataValidation>
    <dataValidation type="list" allowBlank="1" showInputMessage="1" showErrorMessage="1" sqref="C18">
      <formula1>VR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D12" sqref="D12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abSelected="1" topLeftCell="A31" workbookViewId="0">
      <selection activeCell="C50" sqref="C50:C54"/>
    </sheetView>
  </sheetViews>
  <sheetFormatPr baseColWidth="10" defaultRowHeight="15" x14ac:dyDescent="0.25"/>
  <cols>
    <col min="2" max="2" width="16.85546875" bestFit="1" customWidth="1"/>
    <col min="3" max="3" width="19.5703125" bestFit="1" customWidth="1"/>
    <col min="4" max="4" width="33.42578125" bestFit="1" customWidth="1"/>
    <col min="5" max="5" width="22.140625" bestFit="1" customWidth="1"/>
    <col min="6" max="6" width="17.140625" bestFit="1" customWidth="1"/>
    <col min="7" max="7" width="19.5703125" bestFit="1" customWidth="1"/>
    <col min="8" max="8" width="13.140625" bestFit="1" customWidth="1"/>
    <col min="9" max="9" width="15.5703125" bestFit="1" customWidth="1"/>
    <col min="10" max="10" width="17.7109375" bestFit="1" customWidth="1"/>
    <col min="11" max="11" width="13.140625" bestFit="1" customWidth="1"/>
  </cols>
  <sheetData>
    <row r="2" spans="2:8" x14ac:dyDescent="0.25">
      <c r="B2" s="80" t="s">
        <v>77</v>
      </c>
    </row>
    <row r="3" spans="2:8" x14ac:dyDescent="0.25">
      <c r="B3" s="80" t="s">
        <v>72</v>
      </c>
    </row>
    <row r="4" spans="2:8" x14ac:dyDescent="0.25">
      <c r="B4" s="80"/>
    </row>
    <row r="5" spans="2:8" x14ac:dyDescent="0.25">
      <c r="B5" s="80"/>
    </row>
    <row r="7" spans="2:8" x14ac:dyDescent="0.25">
      <c r="B7" s="80" t="s">
        <v>72</v>
      </c>
      <c r="C7" s="80"/>
      <c r="D7" s="80"/>
    </row>
    <row r="8" spans="2:8" x14ac:dyDescent="0.25">
      <c r="B8" t="s">
        <v>74</v>
      </c>
    </row>
    <row r="14" spans="2:8" x14ac:dyDescent="0.25">
      <c r="B14" s="80"/>
      <c r="C14" s="80"/>
      <c r="D14" s="80"/>
      <c r="E14" s="80" t="s">
        <v>74</v>
      </c>
      <c r="F14" s="80"/>
      <c r="G14" s="80"/>
      <c r="H14" s="80"/>
    </row>
    <row r="15" spans="2:8" x14ac:dyDescent="0.25">
      <c r="E15" t="s">
        <v>88</v>
      </c>
    </row>
    <row r="21" spans="2:6" x14ac:dyDescent="0.25">
      <c r="B21" s="99"/>
    </row>
    <row r="22" spans="2:6" x14ac:dyDescent="0.25">
      <c r="B22" s="99"/>
    </row>
    <row r="23" spans="2:6" x14ac:dyDescent="0.25">
      <c r="B23" s="99"/>
      <c r="F23" s="80"/>
    </row>
    <row r="24" spans="2:6" x14ac:dyDescent="0.25">
      <c r="B24" s="99"/>
      <c r="F24" s="80"/>
    </row>
    <row r="25" spans="2:6" x14ac:dyDescent="0.25">
      <c r="B25" s="99"/>
      <c r="F25" s="80"/>
    </row>
    <row r="26" spans="2:6" x14ac:dyDescent="0.25">
      <c r="B26" s="99"/>
      <c r="F26" s="80"/>
    </row>
    <row r="27" spans="2:6" x14ac:dyDescent="0.25">
      <c r="B27" s="99"/>
      <c r="F27" s="80"/>
    </row>
    <row r="28" spans="2:6" x14ac:dyDescent="0.25">
      <c r="B28" s="99"/>
      <c r="F28" s="80"/>
    </row>
    <row r="29" spans="2:6" x14ac:dyDescent="0.25">
      <c r="B29" s="99"/>
      <c r="F29" s="80"/>
    </row>
    <row r="30" spans="2:6" x14ac:dyDescent="0.25">
      <c r="F30" s="80"/>
    </row>
    <row r="31" spans="2:6" x14ac:dyDescent="0.25">
      <c r="F31" s="80"/>
    </row>
    <row r="32" spans="2:6" x14ac:dyDescent="0.25">
      <c r="F32" s="80"/>
    </row>
    <row r="34" spans="1:9" x14ac:dyDescent="0.25">
      <c r="B34" s="80" t="s">
        <v>74</v>
      </c>
      <c r="D34" s="80" t="s">
        <v>75</v>
      </c>
      <c r="E34" s="80" t="s">
        <v>81</v>
      </c>
      <c r="F34" s="80" t="s">
        <v>80</v>
      </c>
      <c r="G34" s="80" t="s">
        <v>84</v>
      </c>
      <c r="H34" s="80" t="s">
        <v>85</v>
      </c>
      <c r="I34" s="80" t="s">
        <v>86</v>
      </c>
    </row>
    <row r="35" spans="1:9" x14ac:dyDescent="0.25">
      <c r="A35" s="80" t="s">
        <v>106</v>
      </c>
      <c r="B35" s="81">
        <v>8</v>
      </c>
      <c r="C35" t="s">
        <v>117</v>
      </c>
      <c r="D35" s="81">
        <v>3</v>
      </c>
      <c r="E35" s="81">
        <v>6</v>
      </c>
      <c r="F35" s="81">
        <v>12</v>
      </c>
      <c r="G35" s="81">
        <v>12</v>
      </c>
      <c r="H35" s="81">
        <v>12</v>
      </c>
      <c r="I35" s="81">
        <v>12</v>
      </c>
    </row>
    <row r="36" spans="1:9" x14ac:dyDescent="0.25">
      <c r="B36" s="81">
        <v>12</v>
      </c>
      <c r="C36" t="s">
        <v>107</v>
      </c>
      <c r="D36" s="81">
        <v>6</v>
      </c>
      <c r="E36" s="81">
        <v>12</v>
      </c>
      <c r="F36" s="81">
        <v>18</v>
      </c>
      <c r="G36" s="81">
        <v>18</v>
      </c>
      <c r="H36" s="81">
        <v>18</v>
      </c>
      <c r="I36" s="81">
        <v>18</v>
      </c>
    </row>
    <row r="37" spans="1:9" x14ac:dyDescent="0.25">
      <c r="B37" s="81">
        <v>24</v>
      </c>
      <c r="C37" t="s">
        <v>108</v>
      </c>
      <c r="D37" s="81">
        <v>18</v>
      </c>
      <c r="E37" s="81">
        <v>18</v>
      </c>
      <c r="F37" s="81">
        <v>24</v>
      </c>
      <c r="G37" s="81">
        <v>24</v>
      </c>
      <c r="H37" s="81">
        <v>24</v>
      </c>
      <c r="I37" s="81">
        <v>24</v>
      </c>
    </row>
    <row r="38" spans="1:9" x14ac:dyDescent="0.25">
      <c r="B38" s="81">
        <v>36</v>
      </c>
      <c r="C38" t="s">
        <v>109</v>
      </c>
      <c r="F38" s="81">
        <v>36</v>
      </c>
      <c r="G38" s="81">
        <v>36</v>
      </c>
    </row>
    <row r="39" spans="1:9" x14ac:dyDescent="0.25">
      <c r="B39" s="81">
        <v>48</v>
      </c>
      <c r="C39" t="s">
        <v>118</v>
      </c>
      <c r="F39" s="81"/>
      <c r="G39" s="81"/>
    </row>
    <row r="40" spans="1:9" x14ac:dyDescent="0.25">
      <c r="A40" s="80"/>
      <c r="B40" s="81">
        <v>72</v>
      </c>
      <c r="C40" t="s">
        <v>114</v>
      </c>
      <c r="E40" s="81"/>
      <c r="F40" s="81"/>
    </row>
    <row r="41" spans="1:9" x14ac:dyDescent="0.25">
      <c r="B41" s="81"/>
      <c r="E41" s="81"/>
      <c r="F41" s="81"/>
    </row>
    <row r="42" spans="1:9" x14ac:dyDescent="0.25">
      <c r="B42" s="81"/>
      <c r="E42" s="81"/>
      <c r="F42" s="81"/>
    </row>
    <row r="43" spans="1:9" x14ac:dyDescent="0.25">
      <c r="B43" s="81"/>
      <c r="E43" s="81"/>
      <c r="F43" s="81"/>
    </row>
    <row r="44" spans="1:9" x14ac:dyDescent="0.25">
      <c r="B44" s="81"/>
      <c r="E44" s="81"/>
      <c r="F44" s="81"/>
    </row>
    <row r="45" spans="1:9" x14ac:dyDescent="0.25">
      <c r="B45" s="81"/>
      <c r="E45" s="81"/>
      <c r="F45" s="81"/>
    </row>
    <row r="46" spans="1:9" x14ac:dyDescent="0.25">
      <c r="E46" s="81"/>
      <c r="F46" s="81"/>
    </row>
    <row r="47" spans="1:9" x14ac:dyDescent="0.25">
      <c r="E47" s="81"/>
      <c r="F47" s="81"/>
    </row>
    <row r="48" spans="1:9" x14ac:dyDescent="0.25">
      <c r="E48" s="81"/>
      <c r="F48" s="81"/>
    </row>
    <row r="49" spans="2:9" x14ac:dyDescent="0.25">
      <c r="B49" s="4" t="s">
        <v>51</v>
      </c>
      <c r="C49" s="4"/>
      <c r="E49" s="4" t="s">
        <v>91</v>
      </c>
      <c r="I49" s="81"/>
    </row>
    <row r="50" spans="2:9" ht="15" customHeight="1" x14ac:dyDescent="0.25">
      <c r="B50" s="128">
        <v>0.08</v>
      </c>
      <c r="C50" s="161" t="s">
        <v>119</v>
      </c>
      <c r="D50" s="162"/>
      <c r="E50" s="82">
        <v>0.01</v>
      </c>
      <c r="I50" s="98"/>
    </row>
    <row r="51" spans="2:9" x14ac:dyDescent="0.25">
      <c r="B51" s="128">
        <v>7.4999999999999997E-2</v>
      </c>
      <c r="C51" s="161"/>
      <c r="D51" s="162"/>
      <c r="E51" s="82">
        <v>0.02</v>
      </c>
      <c r="I51" s="98"/>
    </row>
    <row r="52" spans="2:9" x14ac:dyDescent="0.25">
      <c r="B52" s="128">
        <v>7.0000000000000007E-2</v>
      </c>
      <c r="C52" s="161"/>
      <c r="D52" s="162"/>
      <c r="E52" s="82">
        <v>0.03</v>
      </c>
      <c r="I52" s="98"/>
    </row>
    <row r="53" spans="2:9" x14ac:dyDescent="0.25">
      <c r="B53" s="128">
        <v>6.5000000000000002E-2</v>
      </c>
      <c r="C53" s="161"/>
      <c r="D53" s="162"/>
      <c r="E53" s="82"/>
      <c r="I53" s="98"/>
    </row>
    <row r="54" spans="2:9" x14ac:dyDescent="0.25">
      <c r="B54" s="128">
        <v>0.06</v>
      </c>
      <c r="C54" s="161"/>
      <c r="D54" s="162"/>
      <c r="E54" s="82"/>
      <c r="I54" s="98"/>
    </row>
    <row r="55" spans="2:9" x14ac:dyDescent="0.25">
      <c r="B55" s="128">
        <v>5.8000000000000003E-2</v>
      </c>
      <c r="C55" s="98"/>
      <c r="E55" s="82"/>
      <c r="I55" s="98"/>
    </row>
    <row r="56" spans="2:9" x14ac:dyDescent="0.25">
      <c r="B56" s="129">
        <v>3.4799999999999998E-2</v>
      </c>
      <c r="C56" s="98"/>
      <c r="E56" s="82"/>
    </row>
    <row r="57" spans="2:9" x14ac:dyDescent="0.25">
      <c r="B57" s="130">
        <v>3.0159999999999999E-2</v>
      </c>
      <c r="C57" s="98"/>
    </row>
    <row r="58" spans="2:9" x14ac:dyDescent="0.25">
      <c r="B58" s="82"/>
      <c r="C58" s="98"/>
    </row>
    <row r="59" spans="2:9" x14ac:dyDescent="0.25">
      <c r="B59" s="82"/>
      <c r="C59" s="98"/>
    </row>
    <row r="60" spans="2:9" x14ac:dyDescent="0.25">
      <c r="B60" s="82"/>
      <c r="C60" s="98"/>
    </row>
    <row r="61" spans="2:9" x14ac:dyDescent="0.25">
      <c r="B61" s="82"/>
      <c r="C61" s="98"/>
    </row>
    <row r="62" spans="2:9" x14ac:dyDescent="0.25">
      <c r="B62" s="82"/>
      <c r="C62" s="98"/>
    </row>
    <row r="63" spans="2:9" x14ac:dyDescent="0.25">
      <c r="B63" s="80" t="s">
        <v>96</v>
      </c>
      <c r="C63" s="98"/>
    </row>
    <row r="64" spans="2:9" x14ac:dyDescent="0.25">
      <c r="B64" t="s">
        <v>98</v>
      </c>
      <c r="C64" s="98"/>
      <c r="D64" s="111"/>
    </row>
    <row r="65" spans="2:4" x14ac:dyDescent="0.25">
      <c r="B65" t="s">
        <v>97</v>
      </c>
      <c r="C65" s="98"/>
      <c r="D65" s="111"/>
    </row>
    <row r="66" spans="2:4" x14ac:dyDescent="0.25">
      <c r="C66" s="98"/>
      <c r="D66" s="111"/>
    </row>
    <row r="67" spans="2:4" x14ac:dyDescent="0.25">
      <c r="C67" s="98"/>
    </row>
    <row r="68" spans="2:4" x14ac:dyDescent="0.25">
      <c r="C68" s="98"/>
    </row>
    <row r="69" spans="2:4" x14ac:dyDescent="0.25">
      <c r="C69" s="98"/>
    </row>
  </sheetData>
  <mergeCells count="1">
    <mergeCell ref="C50:C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>
        <f>+'arrendamiento financiero nuevos'!C13</f>
        <v>1236000</v>
      </c>
      <c r="E5" s="3">
        <f>+C14</f>
        <v>17053.924371628182</v>
      </c>
      <c r="F5" s="3">
        <f>+C15</f>
        <v>19420.969397428966</v>
      </c>
      <c r="G5" s="3">
        <f>+C16</f>
        <v>19958.167462454021</v>
      </c>
      <c r="H5" s="3">
        <f>+C17</f>
        <v>20513.166804622499</v>
      </c>
      <c r="I5" s="13">
        <f>+C18</f>
        <v>21083.595197641433</v>
      </c>
      <c r="J5" s="3">
        <f>+C19</f>
        <v>21669.886021475078</v>
      </c>
      <c r="K5" s="3">
        <f>+C20</f>
        <v>20075.131734721082</v>
      </c>
      <c r="L5" s="3">
        <f>+C21</f>
        <v>20603.060993342322</v>
      </c>
      <c r="M5" s="3">
        <f>+C22</f>
        <v>21144.873563206107</v>
      </c>
      <c r="N5" s="3">
        <f>+C23</f>
        <v>21700.934543097763</v>
      </c>
      <c r="O5" s="3">
        <f>+C24</f>
        <v>22271.618633051254</v>
      </c>
    </row>
    <row r="6" spans="2:27" x14ac:dyDescent="0.25">
      <c r="B6" s="1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1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12" t="s">
        <v>24</v>
      </c>
      <c r="C8" s="1"/>
      <c r="D8" s="51">
        <f t="shared" ref="D8:O8" si="0">+PMT(D6/12,D7,-D5,0)</f>
        <v>34398.804857364645</v>
      </c>
      <c r="E8" s="51">
        <f t="shared" si="0"/>
        <v>474.62347614230811</v>
      </c>
      <c r="F8" s="51">
        <f t="shared" si="0"/>
        <v>540.50011039078436</v>
      </c>
      <c r="G8" s="51">
        <f t="shared" si="0"/>
        <v>555.45073450773486</v>
      </c>
      <c r="H8" s="51">
        <f t="shared" si="0"/>
        <v>570.89678148768564</v>
      </c>
      <c r="I8" s="51">
        <f t="shared" si="0"/>
        <v>586.77223049784618</v>
      </c>
      <c r="J8" s="51">
        <f t="shared" si="0"/>
        <v>603.08914282690546</v>
      </c>
      <c r="K8" s="51">
        <f t="shared" si="0"/>
        <v>558.70593772537109</v>
      </c>
      <c r="L8" s="51">
        <f t="shared" si="0"/>
        <v>573.39860402456623</v>
      </c>
      <c r="M8" s="51">
        <f t="shared" si="0"/>
        <v>588.47765326405784</v>
      </c>
      <c r="N8" s="51">
        <f t="shared" si="0"/>
        <v>603.95324641623256</v>
      </c>
      <c r="O8" s="51">
        <f t="shared" si="0"/>
        <v>619.83581166341128</v>
      </c>
    </row>
    <row r="9" spans="2:27" x14ac:dyDescent="0.25">
      <c r="B9" s="12" t="s">
        <v>33</v>
      </c>
      <c r="C9" s="1"/>
      <c r="D9" s="3">
        <f>+D8*3</f>
        <v>103196.41457209393</v>
      </c>
      <c r="E9" s="3">
        <f>+E8*3</f>
        <v>1423.8704284269243</v>
      </c>
      <c r="F9" s="3">
        <f>+F8*3</f>
        <v>1621.5003311723531</v>
      </c>
      <c r="G9" s="3">
        <f t="shared" ref="G9:M9" si="1">+G8*3</f>
        <v>1666.3522035232045</v>
      </c>
      <c r="H9" s="3">
        <f t="shared" si="1"/>
        <v>1712.690344463057</v>
      </c>
      <c r="I9" s="3">
        <f t="shared" si="1"/>
        <v>1760.3166914935387</v>
      </c>
      <c r="J9" s="3">
        <f t="shared" si="1"/>
        <v>1809.2674284807163</v>
      </c>
      <c r="K9" s="3">
        <f t="shared" si="1"/>
        <v>1676.1178131761133</v>
      </c>
      <c r="L9" s="3">
        <f t="shared" si="1"/>
        <v>1720.1958120736986</v>
      </c>
      <c r="M9" s="3">
        <f t="shared" si="1"/>
        <v>1765.4329597921735</v>
      </c>
      <c r="N9" s="3">
        <f t="shared" ref="N9" si="2">+N8*3</f>
        <v>1811.8597392486977</v>
      </c>
      <c r="O9" s="3">
        <f t="shared" ref="O9" si="3">+O8*3</f>
        <v>1859.5074349902338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>
        <f>+D14*C11</f>
        <v>17053.924371628182</v>
      </c>
      <c r="D14" s="51">
        <f>PPMT($D$6/12,B14,$D$7,-$D$5)</f>
        <v>18948.804857364645</v>
      </c>
      <c r="E14" s="3"/>
      <c r="F14" s="3"/>
      <c r="G14" s="3"/>
    </row>
    <row r="15" spans="2:27" x14ac:dyDescent="0.25">
      <c r="B15" s="2">
        <v>2</v>
      </c>
      <c r="C15" s="54">
        <f>+D15+E15*$C$11</f>
        <v>19420.969397428966</v>
      </c>
      <c r="D15" s="51">
        <f>PPMT($D$6/12,B15,$D$7,-$D$5)</f>
        <v>19185.664918081704</v>
      </c>
      <c r="E15" s="51">
        <f>+PPMT($E$6/12,B14,$E$7,-$E$5)</f>
        <v>261.44942149695584</v>
      </c>
      <c r="F15" s="3"/>
      <c r="G15" s="3"/>
    </row>
    <row r="16" spans="2:27" x14ac:dyDescent="0.25">
      <c r="B16" s="2">
        <v>3</v>
      </c>
      <c r="C16" s="54">
        <f>+D16+E16+F16*$C$11</f>
        <v>19958.167462454021</v>
      </c>
      <c r="D16" s="51">
        <f>PPMT($D$6/12,B16,$D$7,-$D$5)</f>
        <v>19425.485729557724</v>
      </c>
      <c r="E16" s="51">
        <f t="shared" ref="E16:E25" si="4">+PPMT($E$6/12,B15,$E$7,-$E$5)</f>
        <v>264.71753926566777</v>
      </c>
      <c r="F16" s="51">
        <f>+PPMT($F$6/12,B14,$F$7,-$F$5)</f>
        <v>297.73799292292239</v>
      </c>
      <c r="G16" s="51"/>
    </row>
    <row r="17" spans="2:15" x14ac:dyDescent="0.25">
      <c r="B17" s="2">
        <v>4</v>
      </c>
      <c r="C17" s="54">
        <f>+D17+E17+F17+G17*$C$11</f>
        <v>20513.166804622499</v>
      </c>
      <c r="D17" s="51">
        <f>PPMT($D$6/12,B17,$D$7,-$D$5)</f>
        <v>19668.304301177195</v>
      </c>
      <c r="E17" s="51">
        <f t="shared" si="4"/>
        <v>268.02650850648865</v>
      </c>
      <c r="F17" s="51">
        <f t="shared" ref="F17:F25" si="5">+PPMT($F$6/12,B15,$F$7,-$F$5)</f>
        <v>301.45971783445896</v>
      </c>
      <c r="G17" s="51">
        <f>+PPMT($G$6/12,B14,$F$7,-$G$5)</f>
        <v>305.97364122705966</v>
      </c>
    </row>
    <row r="18" spans="2:15" x14ac:dyDescent="0.25">
      <c r="B18" s="2">
        <v>5</v>
      </c>
      <c r="C18" s="54">
        <f>+D18+E18+F18+G18+H18*$C$11</f>
        <v>21083.595197641433</v>
      </c>
      <c r="D18" s="51">
        <f t="shared" ref="D18:D25" si="6">PPMT($D$6/12,B18,$D$7,-$D$5)</f>
        <v>19914.158104941911</v>
      </c>
      <c r="E18" s="51">
        <f t="shared" si="4"/>
        <v>271.37683986281974</v>
      </c>
      <c r="F18" s="51">
        <f t="shared" si="5"/>
        <v>305.22796430738964</v>
      </c>
      <c r="G18" s="51">
        <f t="shared" ref="G18:G25" si="7">+PPMT($G$6/12,B15,$F$7,-$G$5)</f>
        <v>309.79831174239791</v>
      </c>
      <c r="H18" s="51">
        <f>+PPMT($H$6/12,B14,$H$7,-$H$5)</f>
        <v>314.48219642990449</v>
      </c>
    </row>
    <row r="19" spans="2:15" x14ac:dyDescent="0.25">
      <c r="B19" s="2">
        <v>6</v>
      </c>
      <c r="C19" s="54">
        <f>+D19+E19+F19+G19+H19+I19*$C$11</f>
        <v>21669.886021475078</v>
      </c>
      <c r="D19" s="51">
        <f t="shared" si="6"/>
        <v>20163.085081253688</v>
      </c>
      <c r="E19" s="51">
        <f t="shared" si="4"/>
        <v>274.76905036110497</v>
      </c>
      <c r="F19" s="51">
        <f t="shared" si="5"/>
        <v>309.04331386123204</v>
      </c>
      <c r="G19" s="51">
        <f t="shared" si="7"/>
        <v>313.67079063917788</v>
      </c>
      <c r="H19" s="51">
        <f t="shared" ref="H19:H25" si="8">+PPMT($H$6/12,B15,$H$7,-$H$5)</f>
        <v>318.41322388527828</v>
      </c>
      <c r="I19" s="51">
        <f>+PPMT($I$6/12,B14,$I$7,-$I$5)</f>
        <v>323.22729052732836</v>
      </c>
    </row>
    <row r="20" spans="2:15" x14ac:dyDescent="0.25">
      <c r="B20" s="2">
        <v>7</v>
      </c>
      <c r="C20" s="55">
        <f>SUM(D20:J20)*C11</f>
        <v>20075.131734721082</v>
      </c>
      <c r="D20" s="51">
        <f t="shared" si="6"/>
        <v>20415.123644769355</v>
      </c>
      <c r="E20" s="51">
        <f t="shared" si="4"/>
        <v>278.20366349061879</v>
      </c>
      <c r="F20" s="51">
        <f t="shared" si="5"/>
        <v>312.90635528449741</v>
      </c>
      <c r="G20" s="51">
        <f t="shared" si="7"/>
        <v>317.59167552216763</v>
      </c>
      <c r="H20" s="51">
        <f t="shared" si="8"/>
        <v>322.39338918384425</v>
      </c>
      <c r="I20" s="51">
        <f t="shared" ref="I20:I25" si="9">+PPMT($I$6/12,B15,$I$7,-$I$5)</f>
        <v>327.26763165891998</v>
      </c>
      <c r="J20" s="51">
        <f>+PPMT($J$6/12,B14,$J$7,-$J$5)</f>
        <v>332.215567558467</v>
      </c>
    </row>
    <row r="21" spans="2:15" x14ac:dyDescent="0.25">
      <c r="B21" s="2">
        <v>8</v>
      </c>
      <c r="C21" s="55">
        <f>SUM(D21:K21)*C11</f>
        <v>20603.060993342322</v>
      </c>
      <c r="D21" s="51">
        <f t="shared" si="6"/>
        <v>20670.312690328974</v>
      </c>
      <c r="E21" s="51">
        <f t="shared" si="4"/>
        <v>281.68120928425151</v>
      </c>
      <c r="F21" s="51">
        <f t="shared" si="5"/>
        <v>316.81768472555365</v>
      </c>
      <c r="G21" s="51">
        <f t="shared" si="7"/>
        <v>321.56157146619466</v>
      </c>
      <c r="H21" s="51">
        <f t="shared" si="8"/>
        <v>326.42330654864236</v>
      </c>
      <c r="I21" s="51">
        <f t="shared" si="9"/>
        <v>331.35847705465648</v>
      </c>
      <c r="J21" s="51">
        <f t="shared" ref="J21:J25" si="10">+PPMT($J$6/12,B15,$J$7,-$J$5)</f>
        <v>336.36826215294786</v>
      </c>
      <c r="K21" s="51">
        <f>+PPMT($K$6/12,B14,$K$7,-$K$5)</f>
        <v>307.76679104135758</v>
      </c>
    </row>
    <row r="22" spans="2:15" x14ac:dyDescent="0.25">
      <c r="B22" s="2">
        <v>9</v>
      </c>
      <c r="C22" s="55">
        <f>SUM(D22:L22)*C11</f>
        <v>21144.873563206107</v>
      </c>
      <c r="D22" s="51">
        <f t="shared" si="6"/>
        <v>20928.691598958088</v>
      </c>
      <c r="E22" s="51">
        <f t="shared" si="4"/>
        <v>285.20222440030466</v>
      </c>
      <c r="F22" s="51">
        <f t="shared" si="5"/>
        <v>320.77790578462304</v>
      </c>
      <c r="G22" s="51">
        <f t="shared" si="7"/>
        <v>325.58109110952216</v>
      </c>
      <c r="H22" s="51">
        <f t="shared" si="8"/>
        <v>330.50359788050037</v>
      </c>
      <c r="I22" s="51">
        <f t="shared" si="9"/>
        <v>335.50045801783972</v>
      </c>
      <c r="J22" s="51">
        <f t="shared" si="10"/>
        <v>340.57286542985969</v>
      </c>
      <c r="K22" s="51">
        <f t="shared" ref="K22:K25" si="11">+PPMT($K$6/12,B15,$K$7,-$K$5)</f>
        <v>311.61387592937456</v>
      </c>
      <c r="L22" s="51">
        <f>PPMT($L$6/12,B14,$L$7,-$L$5)</f>
        <v>315.86034160778723</v>
      </c>
    </row>
    <row r="23" spans="2:15" x14ac:dyDescent="0.25">
      <c r="B23" s="2">
        <v>10</v>
      </c>
      <c r="C23" s="55">
        <f>SUM(D23:M23)*C11</f>
        <v>21700.934543097763</v>
      </c>
      <c r="D23" s="51">
        <f t="shared" si="6"/>
        <v>21190.300243945061</v>
      </c>
      <c r="E23" s="51">
        <f t="shared" si="4"/>
        <v>288.76725220530852</v>
      </c>
      <c r="F23" s="51">
        <f t="shared" si="5"/>
        <v>324.78762960693086</v>
      </c>
      <c r="G23" s="51">
        <f t="shared" si="7"/>
        <v>329.65085474839111</v>
      </c>
      <c r="H23" s="51">
        <f t="shared" si="8"/>
        <v>334.63489285400669</v>
      </c>
      <c r="I23" s="51">
        <f t="shared" si="9"/>
        <v>339.69421374306262</v>
      </c>
      <c r="J23" s="51">
        <f t="shared" si="10"/>
        <v>344.83002624773292</v>
      </c>
      <c r="K23" s="51">
        <f t="shared" si="11"/>
        <v>315.50904937849174</v>
      </c>
      <c r="L23" s="51">
        <f t="shared" ref="L23:L25" si="12">PPMT($L$6/12,B15,$L$7,-$L$5)</f>
        <v>319.80859587788456</v>
      </c>
      <c r="M23" s="51">
        <f>PPMT($M$6/12,B14,$M$7,-$M$5)</f>
        <v>324.16673372398151</v>
      </c>
    </row>
    <row r="24" spans="2:15" x14ac:dyDescent="0.25">
      <c r="B24" s="2">
        <v>11</v>
      </c>
      <c r="C24" s="55">
        <f>SUM(D24:N24)*C11</f>
        <v>22271.618633051254</v>
      </c>
      <c r="D24" s="51">
        <f t="shared" si="6"/>
        <v>21455.178996994375</v>
      </c>
      <c r="E24" s="51">
        <f t="shared" si="4"/>
        <v>292.37684285787486</v>
      </c>
      <c r="F24" s="51">
        <f t="shared" si="5"/>
        <v>328.8474749770175</v>
      </c>
      <c r="G24" s="51">
        <f t="shared" si="7"/>
        <v>333.77149043274608</v>
      </c>
      <c r="H24" s="51">
        <f t="shared" si="8"/>
        <v>338.81782901468165</v>
      </c>
      <c r="I24" s="51">
        <f t="shared" si="9"/>
        <v>343.94039141485098</v>
      </c>
      <c r="J24" s="51">
        <f t="shared" si="10"/>
        <v>349.14040157582957</v>
      </c>
      <c r="K24" s="51">
        <f t="shared" si="11"/>
        <v>319.4529124957229</v>
      </c>
      <c r="L24" s="51">
        <f t="shared" si="12"/>
        <v>323.80620332635812</v>
      </c>
      <c r="M24" s="51">
        <f t="shared" ref="M24:M25" si="13">PPMT($M$6/12,B15,$M$7,-$M$5)</f>
        <v>328.21881789553134</v>
      </c>
      <c r="N24" s="51">
        <f>PPMT($N$6/12,B14,$N$7,-$N$5)</f>
        <v>332.69156462751062</v>
      </c>
    </row>
    <row r="25" spans="2:15" x14ac:dyDescent="0.25">
      <c r="B25" s="2">
        <v>12</v>
      </c>
      <c r="C25" s="55">
        <f>SUM(D25:O25)*C11</f>
        <v>22857.310386839636</v>
      </c>
      <c r="D25" s="51">
        <f t="shared" si="6"/>
        <v>21723.368734456802</v>
      </c>
      <c r="E25" s="51">
        <f t="shared" si="4"/>
        <v>296.03155339359824</v>
      </c>
      <c r="F25" s="51">
        <f t="shared" si="5"/>
        <v>332.95806841423018</v>
      </c>
      <c r="G25" s="51">
        <f t="shared" si="7"/>
        <v>337.94363406315534</v>
      </c>
      <c r="H25" s="51">
        <f t="shared" si="8"/>
        <v>343.05305187736525</v>
      </c>
      <c r="I25" s="51">
        <f t="shared" si="9"/>
        <v>348.23964630753653</v>
      </c>
      <c r="J25" s="51">
        <f t="shared" si="10"/>
        <v>353.50465659552748</v>
      </c>
      <c r="K25" s="51">
        <f t="shared" si="11"/>
        <v>323.44607390191942</v>
      </c>
      <c r="L25" s="51">
        <f t="shared" si="12"/>
        <v>327.85378086793759</v>
      </c>
      <c r="M25" s="51">
        <f t="shared" si="13"/>
        <v>332.32155311922543</v>
      </c>
      <c r="N25" s="51">
        <f>PPMT($N$6/12,B15,$N$7,-$N$5)</f>
        <v>336.85020918535452</v>
      </c>
      <c r="O25" s="51">
        <f>PPMT($O$6/12,B14,$O$7,-$O$5)</f>
        <v>341.44057875027062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F28" sqref="F28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>
        <f>+'arrendamiento financiero nuevos'!C13</f>
        <v>1236000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>
        <f>+D12*$C$9</f>
        <v>13904.999999999998</v>
      </c>
      <c r="D12" s="51">
        <f>+IPMT($D$6/12,B12,$D$7,-$D$5)</f>
        <v>15449.999999999998</v>
      </c>
      <c r="E12" s="3"/>
      <c r="F12" s="3"/>
      <c r="G12" s="3"/>
    </row>
    <row r="13" spans="2:27" x14ac:dyDescent="0.25">
      <c r="B13" s="2">
        <v>2</v>
      </c>
      <c r="C13" s="55">
        <f>SUM(D13:E13)*C9</f>
        <v>13910.311851075721</v>
      </c>
      <c r="D13" s="51">
        <f t="shared" ref="D13:D23" si="0">+IPMT($D$6/12,B13,$D$7,-$D$5)</f>
        <v>15213.139939282939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>
        <f>SUM(D14:F14)*C9</f>
        <v>13915.652952279528</v>
      </c>
      <c r="D14" s="51">
        <f t="shared" si="0"/>
        <v>14973.319127806919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>
        <f>SUM(D15:G15)*C9</f>
        <v>13921.055739084564</v>
      </c>
      <c r="D15" s="51">
        <f t="shared" si="0"/>
        <v>14730.500556187448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>
        <f>SUM(D16:H16)*C9</f>
        <v>13926.520791354387</v>
      </c>
      <c r="D16" s="51">
        <f t="shared" si="0"/>
        <v>14484.64675242273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>
        <f>SUM(D17:I17)*C9</f>
        <v>13932.048740952616</v>
      </c>
      <c r="D17" s="51">
        <f t="shared" si="0"/>
        <v>14235.719776110958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>
        <f>SUM(D18:J18)*C9</f>
        <v>13912.920051338033</v>
      </c>
      <c r="D18" s="51">
        <f>+IPMT($D$6/12,B18,$D$7,-$D$5)</f>
        <v>13983.681212595284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>
        <f>SUM(D19:K19)*C9</f>
        <v>13893.206015463353</v>
      </c>
      <c r="D19" s="51">
        <f t="shared" si="0"/>
        <v>13728.492167035669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>
        <f>SUM(D20:L20)*C9</f>
        <v>13872.890211255924</v>
      </c>
      <c r="D20" s="51">
        <f t="shared" si="0"/>
        <v>13470.113258406556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>
        <f>SUM(D21:M21)*C9</f>
        <v>13851.955771920464</v>
      </c>
      <c r="D21" s="51">
        <f t="shared" si="0"/>
        <v>13208.50461341958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>
        <f>SUM(D22:N22)*C9</f>
        <v>13830.385374083107</v>
      </c>
      <c r="D22" s="51">
        <f t="shared" si="0"/>
        <v>12943.625860370268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>
        <f>SUM(D23:O23)*C9</f>
        <v>13808.161225621687</v>
      </c>
      <c r="D23" s="51">
        <f t="shared" si="0"/>
        <v>12675.436122907839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 t="e">
        <f>+#REF!</f>
        <v>#REF!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D7" sqref="D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32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41" t="s">
        <v>21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20</vt:i4>
      </vt:variant>
    </vt:vector>
  </HeadingPairs>
  <TitlesOfParts>
    <vt:vector size="43" baseType="lpstr">
      <vt:lpstr>publicidad</vt:lpstr>
      <vt:lpstr>arrendamiento financiero nuevos</vt:lpstr>
      <vt:lpstr>CAPITAL AF</vt:lpstr>
      <vt:lpstr>INTERESES AF</vt:lpstr>
      <vt:lpstr>CAPITAL DOKOTA</vt:lpstr>
      <vt:lpstr>INTERES DAKOTA</vt:lpstr>
      <vt:lpstr>CAPITAL MAZDA</vt:lpstr>
      <vt:lpstr>INTERES MAZDA</vt:lpstr>
      <vt:lpstr>CAPITAL SPARK</vt:lpstr>
      <vt:lpstr>INTERES SPARK</vt:lpstr>
      <vt:lpstr>CAPITAL LANCER</vt:lpstr>
      <vt:lpstr>INTERES LANCER</vt:lpstr>
      <vt:lpstr>interes z4</vt:lpstr>
      <vt:lpstr>CAPITALTAA</vt:lpstr>
      <vt:lpstr>INTERESTAA</vt:lpstr>
      <vt:lpstr>nomina capital</vt:lpstr>
      <vt:lpstr>nomina interes</vt:lpstr>
      <vt:lpstr>BASE QUINCENAL</vt:lpstr>
      <vt:lpstr>capital arrendamiento</vt:lpstr>
      <vt:lpstr>interes arrendamiento</vt:lpstr>
      <vt:lpstr>capital arrendamiento 1</vt:lpstr>
      <vt:lpstr>interes arrenadmiento 1</vt:lpstr>
      <vt:lpstr>base</vt:lpstr>
      <vt:lpstr>ACTIVOFIJO</vt:lpstr>
      <vt:lpstr>ARRENDAMIENTO</vt:lpstr>
      <vt:lpstr>AUTOS</vt:lpstr>
      <vt:lpstr>CAPITALDETRABAJO</vt:lpstr>
      <vt:lpstr>COMISION_NOMINA</vt:lpstr>
      <vt:lpstr>CONDICIONES</vt:lpstr>
      <vt:lpstr>CONSUMO</vt:lpstr>
      <vt:lpstr>CREDITOS</vt:lpstr>
      <vt:lpstr>FINANCIERO</vt:lpstr>
      <vt:lpstr>LEASEBACK</vt:lpstr>
      <vt:lpstr>NOMINA</vt:lpstr>
      <vt:lpstr>PERSONAL</vt:lpstr>
      <vt:lpstr>PLAZO_NOMINA</vt:lpstr>
      <vt:lpstr>PLAZOS</vt:lpstr>
      <vt:lpstr>PURO</vt:lpstr>
      <vt:lpstr>PYMES</vt:lpstr>
      <vt:lpstr>TASA</vt:lpstr>
      <vt:lpstr>TASA_ARRENDAMIENTO_PURO</vt:lpstr>
      <vt:lpstr>TASAS</vt:lpstr>
      <vt:lpstr>VR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GI2</cp:lastModifiedBy>
  <cp:lastPrinted>2015-09-04T15:58:34Z</cp:lastPrinted>
  <dcterms:created xsi:type="dcterms:W3CDTF">2011-09-03T16:09:29Z</dcterms:created>
  <dcterms:modified xsi:type="dcterms:W3CDTF">2015-12-16T15:15:29Z</dcterms:modified>
</cp:coreProperties>
</file>