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80" yWindow="2820" windowWidth="21600" windowHeight="11240" tabRatio="580" firstSheet="4" activeTab="7" autoFilterDateGrouping="1"/>
  </bookViews>
  <sheets>
    <sheet xmlns:r="http://schemas.openxmlformats.org/officeDocument/2006/relationships" name="IKARIA TECHO" sheetId="1" state="visible" r:id="rId1"/>
    <sheet xmlns:r="http://schemas.openxmlformats.org/officeDocument/2006/relationships" name="GRAFICO " sheetId="2" state="visible" r:id="rId2"/>
    <sheet xmlns:r="http://schemas.openxmlformats.org/officeDocument/2006/relationships" name="DESGLOSE" sheetId="3" state="visible" r:id="rId3"/>
    <sheet xmlns:r="http://schemas.openxmlformats.org/officeDocument/2006/relationships" name="BASE DATOS PRECIOS " sheetId="4" state="visible" r:id="rId4"/>
    <sheet xmlns:r="http://schemas.openxmlformats.org/officeDocument/2006/relationships" name="BASE DATOS EQUIPOS Y SUBCONTRAT" sheetId="5" state="visible" r:id="rId5"/>
    <sheet xmlns:r="http://schemas.openxmlformats.org/officeDocument/2006/relationships" name="BASE DATOS MANO DE OBRA" sheetId="6" state="visible" r:id="rId6"/>
    <sheet xmlns:r="http://schemas.openxmlformats.org/officeDocument/2006/relationships" name="INSUMOS MAT " sheetId="7" state="visible" r:id="rId7"/>
    <sheet xmlns:r="http://schemas.openxmlformats.org/officeDocument/2006/relationships" name="CALCULO CANTIDADES " sheetId="8" state="visible" r:id="rId8"/>
    <sheet xmlns:r="http://schemas.openxmlformats.org/officeDocument/2006/relationships" name="TABLA DE AVANCE " sheetId="9" state="visible" r:id="rId9"/>
    <sheet xmlns:r="http://schemas.openxmlformats.org/officeDocument/2006/relationships" name="Costo personal" sheetId="10" state="visible" r:id="rId10"/>
    <sheet xmlns:r="http://schemas.openxmlformats.org/officeDocument/2006/relationships" name="HORAS MANO DE OBRA" sheetId="11" state="visible" r:id="rId11"/>
    <sheet xmlns:r="http://schemas.openxmlformats.org/officeDocument/2006/relationships" name="ANALISIS" sheetId="12" state="visible" r:id="rId12"/>
    <sheet xmlns:r="http://schemas.openxmlformats.org/officeDocument/2006/relationships" name="Gastos generales" sheetId="13" state="hidden" r:id="rId13"/>
    <sheet xmlns:r="http://schemas.openxmlformats.org/officeDocument/2006/relationships" name="Unitarios" sheetId="14" state="hidden" r:id="rId14"/>
    <sheet xmlns:r="http://schemas.openxmlformats.org/officeDocument/2006/relationships" name="Electromecanico" sheetId="15" state="hidden" r:id="rId15"/>
    <sheet xmlns:r="http://schemas.openxmlformats.org/officeDocument/2006/relationships" name="Ventaneria" sheetId="16" state="hidden" r:id="rId16"/>
    <sheet xmlns:r="http://schemas.openxmlformats.org/officeDocument/2006/relationships" name="Puertas" sheetId="17" state="hidden" r:id="rId17"/>
    <sheet xmlns:r="http://schemas.openxmlformats.org/officeDocument/2006/relationships" name="Enchapes" sheetId="18" state="hidden" r:id="rId18"/>
    <sheet xmlns:r="http://schemas.openxmlformats.org/officeDocument/2006/relationships" name="Hojalateria" sheetId="19" state="hidden" r:id="rId19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_Fill" hidden="1">[1]Materiales!#REF!</definedName>
    <definedName name="_Key1" hidden="1">[1]Materiales!#REF!</definedName>
    <definedName name="_Order1" hidden="1">255</definedName>
    <definedName name="_Sort" hidden="1">[1]Materiales!#REF!</definedName>
    <definedName name="area">#REF!</definedName>
    <definedName name="block15" hidden="1">#REF!</definedName>
    <definedName name="ds">'IKARIA TECHO'!$Q$6</definedName>
    <definedName name="ETR">'CALCULO CANTIDADES '!$P$6</definedName>
    <definedName name="jj" hidden="1">[1]Materiales!#REF!</definedName>
    <definedName name="KH">'BASE DATOS EQUIPOS Y SUBCONTRAT'!$P$6</definedName>
    <definedName name="plazo">#REF!</definedName>
    <definedName name="tc">#REF!</definedName>
    <definedName name="vigas2" hidden="1">#REF!</definedName>
    <definedName name="area" localSheetId="0">'IKARIA TECHO'!$E$8</definedName>
    <definedName name="tc" localSheetId="0">'IKARIA TECHO'!$Q$6</definedName>
    <definedName name="_xlnm._FilterDatabase" localSheetId="0" hidden="1">'IKARIA TECHO'!$A$9:$O$919</definedName>
    <definedName name="_xlnm.Print_Area" localSheetId="0">'IKARIA TECHO'!$D$3:$O$917</definedName>
    <definedName name="_xlnm._FilterDatabase" localSheetId="3" hidden="1">'BASE DATOS PRECIOS '!$B$1:$K$1738</definedName>
    <definedName name="_xlnm._FilterDatabase" localSheetId="4" hidden="1">'BASE DATOS EQUIPOS Y SUBCONTRAT'!$A$1:$J$552</definedName>
    <definedName name="_Fill" localSheetId="6" hidden="1">[1]Materiales!#REF!</definedName>
    <definedName name="_Key1" localSheetId="6" hidden="1">[1]Materiales!#REF!</definedName>
    <definedName name="_Fill" localSheetId="9" hidden="1">[1]Materiales!#REF!</definedName>
    <definedName name="_Key1" localSheetId="9" hidden="1">[1]Materiales!#REF!</definedName>
    <definedName name="_Sort" localSheetId="9" hidden="1">[1]Materiales!#REF!</definedName>
    <definedName name="area" localSheetId="9">[2]Presupuesto!$C$8</definedName>
    <definedName name="block15" localSheetId="9" hidden="1">#REF!</definedName>
    <definedName name="vigas2" localSheetId="9" hidden="1">#REF!</definedName>
    <definedName name="_xlnm.Print_Area" localSheetId="9">'Costo personal'!$A$1:$N$35</definedName>
    <definedName name="_xlnm._FilterDatabase" localSheetId="10" hidden="1">'HORAS MANO DE OBRA'!$A$1:$D$484</definedName>
    <definedName name="_xlnm._FilterDatabase" localSheetId="11" hidden="1">'ANALISIS'!$D$1:$H$285</definedName>
    <definedName name="_Fill" localSheetId="12" hidden="1">[1]Materiales!#REF!</definedName>
    <definedName name="_Key1" localSheetId="12" hidden="1">[1]Materiales!#REF!</definedName>
    <definedName name="_Sort" localSheetId="12" hidden="1">[1]Materiales!#REF!</definedName>
    <definedName name="block15" localSheetId="12" hidden="1">#REF!</definedName>
    <definedName name="jj" localSheetId="12" hidden="1">[1]Materiales!#REF!</definedName>
    <definedName name="plazo" localSheetId="12">'Gastos generales'!$F$6</definedName>
    <definedName name="tc" localSheetId="12">'Gastos generales'!$C$5</definedName>
    <definedName name="vigas2" localSheetId="12" hidden="1">#REF!</definedName>
  </definedNames>
  <calcPr calcId="191028" fullCalcOnLoad="1"/>
</workbook>
</file>

<file path=xl/styles.xml><?xml version="1.0" encoding="utf-8"?>
<styleSheet xmlns="http://schemas.openxmlformats.org/spreadsheetml/2006/main">
  <numFmts count="19">
    <numFmt numFmtId="164" formatCode="[$-F800]dddd\,\ mmmm\ dd\,\ yyyy"/>
    <numFmt numFmtId="165" formatCode="#,##0.00000"/>
    <numFmt numFmtId="166" formatCode="#,##0.000"/>
    <numFmt numFmtId="167" formatCode="#,##0.0000"/>
    <numFmt numFmtId="168" formatCode="_-[$₡-140A]* #,##0.00_ ;_-[$₡-140A]* \-#,##0.00\ ;_-[$₡-140A]* &quot;-&quot;??_ ;_-@_ "/>
    <numFmt numFmtId="169" formatCode="_([$$-409]* #,##0.00_);_([$$-409]* \(#,##0.00\);_([$$-409]* &quot;-&quot;??_);_(@_)"/>
    <numFmt numFmtId="170" formatCode="[$₡-140A]#,##0.00"/>
    <numFmt numFmtId="171" formatCode="[$$-409]#,##0.00"/>
    <numFmt numFmtId="172" formatCode="#,##0.0000000"/>
    <numFmt numFmtId="173" formatCode="_(&quot;$&quot;* #,##0.00_);_(&quot;$&quot;* \(#,##0.00\);_(&quot;$&quot;* &quot;-&quot;??_);_(@_)"/>
    <numFmt numFmtId="174" formatCode="_-[$₡-140A]* #,##0.00_-;\-[$₡-140A]* #,##0.00_-;_-[$₡-140A]* &quot;-&quot;??_-;_-@_-"/>
    <numFmt numFmtId="175" formatCode="_([$₡-140A]* #,##0.00_);_([$₡-140A]* \(#,##0.00\);_([$₡-140A]* &quot;-&quot;??_);_(@_)"/>
    <numFmt numFmtId="176" formatCode="&quot;₡&quot;#,##0.00"/>
    <numFmt numFmtId="177" formatCode="0.0"/>
    <numFmt numFmtId="178" formatCode="_(* #,##0_);_(* \(#,##0\);_(* &quot;-&quot;??_);_(@_)"/>
    <numFmt numFmtId="179" formatCode="[$$-540A]#,##0.00"/>
    <numFmt numFmtId="180" formatCode="_-[$$-409]* #,##0.00_ ;_-[$$-409]* \-#,##0.00\ ;_-[$$-409]* &quot;-&quot;??_ ;_-@_ "/>
    <numFmt numFmtId="181" formatCode="_-&quot;₡&quot;* #,##0.00_-;\-&quot;₡&quot;* #,##0.00_-;_-&quot;₡&quot;* &quot;-&quot;??_-;_-@_-"/>
    <numFmt numFmtId="182" formatCode="_-* #,##0.00\ &quot;€&quot;_-;\-* #,##0.00\ &quot;€&quot;_-;_-* &quot;-&quot;??\ &quot;€&quot;_-;_-@_-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color theme="1"/>
      <sz val="12"/>
    </font>
    <font>
      <name val="Arial Narrow"/>
      <family val="2"/>
      <sz val="8"/>
    </font>
    <font>
      <name val="Arial Narrow"/>
      <family val="2"/>
      <b val="1"/>
      <sz val="12"/>
    </font>
    <font>
      <name val="Arial Narrow"/>
      <family val="2"/>
      <b val="1"/>
      <sz val="8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1"/>
      <sz val="12"/>
    </font>
    <font>
      <name val="Arial"/>
      <family val="2"/>
      <sz val="12"/>
    </font>
    <font>
      <name val="Arial"/>
      <family val="2"/>
      <b val="1"/>
      <sz val="12"/>
    </font>
    <font>
      <name val="Tahoma"/>
      <family val="2"/>
      <color theme="1"/>
      <sz val="10"/>
    </font>
    <font>
      <name val="Calibri"/>
      <family val="2"/>
      <b val="1"/>
      <color theme="6" tint="-0.249977111117893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rgb="FFFF0000"/>
      <sz val="11"/>
    </font>
    <font>
      <name val="Arial"/>
      <family val="2"/>
      <b val="1"/>
      <color theme="6" tint="-0.249977111117893"/>
      <sz val="12"/>
    </font>
    <font>
      <name val="Calibri"/>
      <family val="2"/>
      <color theme="10"/>
      <sz val="11"/>
      <u val="single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sz val="8"/>
      <scheme val="minor"/>
    </font>
    <font>
      <name val="Calibri"/>
      <family val="2"/>
      <color theme="1"/>
      <sz val="26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sz val="11"/>
    </font>
    <font>
      <name val="Calibri"/>
      <family val="2"/>
      <color rgb="FF0070C0"/>
      <sz val="11"/>
    </font>
    <font>
      <name val="Calibri"/>
      <family val="2"/>
      <b val="1"/>
      <sz val="11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color rgb="FFFF0000"/>
      <sz val="11"/>
    </font>
  </fonts>
  <fills count="4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599C0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7">
    <xf numFmtId="0" fontId="1" fillId="0" borderId="0"/>
    <xf numFmtId="44" fontId="1" fillId="0" borderId="0"/>
    <xf numFmtId="0" fontId="2" fillId="0" borderId="0"/>
    <xf numFmtId="9" fontId="1" fillId="0" borderId="0"/>
    <xf numFmtId="0" fontId="2" fillId="0" borderId="0"/>
    <xf numFmtId="9" fontId="2" fillId="0" borderId="0"/>
    <xf numFmtId="0" fontId="11" fillId="0" borderId="0"/>
    <xf numFmtId="181" fontId="11" fillId="0" borderId="0"/>
    <xf numFmtId="9" fontId="11" fillId="0" borderId="0"/>
    <xf numFmtId="9" fontId="2" fillId="0" borderId="0"/>
    <xf numFmtId="44" fontId="2" fillId="0" borderId="0"/>
    <xf numFmtId="43" fontId="2" fillId="0" borderId="0"/>
    <xf numFmtId="182" fontId="1" fillId="0" borderId="0"/>
    <xf numFmtId="0" fontId="19" fillId="0" borderId="0" applyAlignment="1" applyProtection="1">
      <alignment vertical="top"/>
      <protection locked="0" hidden="0"/>
    </xf>
    <xf numFmtId="43" fontId="1" fillId="0" borderId="0"/>
    <xf numFmtId="181" fontId="1" fillId="0" borderId="0"/>
    <xf numFmtId="181" fontId="1" fillId="0" borderId="0"/>
  </cellStyleXfs>
  <cellXfs count="820">
    <xf numFmtId="0" fontId="0" fillId="0" borderId="0" pivotButton="0" quotePrefix="0" xfId="0"/>
    <xf numFmtId="4" fontId="4" fillId="9" borderId="0" pivotButton="0" quotePrefix="0" xfId="4"/>
    <xf numFmtId="4" fontId="5" fillId="9" borderId="0" pivotButton="0" quotePrefix="0" xfId="4"/>
    <xf numFmtId="164" fontId="6" fillId="9" borderId="0" applyAlignment="1" pivotButton="0" quotePrefix="0" xfId="4">
      <alignment horizontal="left"/>
    </xf>
    <xf numFmtId="4" fontId="6" fillId="9" borderId="0" applyAlignment="1" pivotButton="0" quotePrefix="0" xfId="4">
      <alignment horizontal="right"/>
    </xf>
    <xf numFmtId="4" fontId="6" fillId="9" borderId="0" pivotButton="0" quotePrefix="0" xfId="4"/>
    <xf numFmtId="4" fontId="4" fillId="9" borderId="0" applyAlignment="1" pivotButton="0" quotePrefix="0" xfId="4">
      <alignment horizontal="center"/>
    </xf>
    <xf numFmtId="4" fontId="6" fillId="9" borderId="0" applyAlignment="1" pivotButton="0" quotePrefix="0" xfId="4">
      <alignment horizontal="center"/>
    </xf>
    <xf numFmtId="3" fontId="4" fillId="9" borderId="0" applyAlignment="1" pivotButton="0" quotePrefix="0" xfId="4">
      <alignment horizontal="center"/>
    </xf>
    <xf numFmtId="4" fontId="5" fillId="9" borderId="0" applyAlignment="1" pivotButton="0" quotePrefix="0" xfId="4">
      <alignment horizontal="left"/>
    </xf>
    <xf numFmtId="4" fontId="7" fillId="9" borderId="1" pivotButton="0" quotePrefix="0" xfId="4"/>
    <xf numFmtId="4" fontId="7" fillId="9" borderId="2" applyAlignment="1" pivotButton="0" quotePrefix="0" xfId="4">
      <alignment horizontal="center"/>
    </xf>
    <xf numFmtId="4" fontId="7" fillId="9" borderId="3" pivotButton="0" quotePrefix="0" xfId="4"/>
    <xf numFmtId="4" fontId="7" fillId="9" borderId="1" applyAlignment="1" pivotButton="0" quotePrefix="0" xfId="4">
      <alignment horizontal="center"/>
    </xf>
    <xf numFmtId="4" fontId="7" fillId="9" borderId="3" applyAlignment="1" pivotButton="0" quotePrefix="0" xfId="4">
      <alignment horizontal="center"/>
    </xf>
    <xf numFmtId="4" fontId="7" fillId="9" borderId="4" applyAlignment="1" pivotButton="0" quotePrefix="0" xfId="4">
      <alignment horizontal="center"/>
    </xf>
    <xf numFmtId="4" fontId="7" fillId="9" borderId="0" applyAlignment="1" pivotButton="0" quotePrefix="0" xfId="4">
      <alignment horizontal="right"/>
    </xf>
    <xf numFmtId="4" fontId="7" fillId="9" borderId="5" applyAlignment="1" pivotButton="0" quotePrefix="0" xfId="4">
      <alignment horizontal="center"/>
    </xf>
    <xf numFmtId="4" fontId="7" fillId="9" borderId="6" applyAlignment="1" pivotButton="0" quotePrefix="0" xfId="4">
      <alignment horizontal="center"/>
    </xf>
    <xf numFmtId="4" fontId="7" fillId="9" borderId="7" applyAlignment="1" pivotButton="0" quotePrefix="0" xfId="4">
      <alignment horizontal="center"/>
    </xf>
    <xf numFmtId="4" fontId="7" fillId="9" borderId="8" applyAlignment="1" pivotButton="0" quotePrefix="0" xfId="4">
      <alignment horizontal="center"/>
    </xf>
    <xf numFmtId="4" fontId="7" fillId="9" borderId="0" applyAlignment="1" pivotButton="0" quotePrefix="0" xfId="4">
      <alignment horizontal="center"/>
    </xf>
    <xf numFmtId="4" fontId="7" fillId="9" borderId="0" applyAlignment="1" pivotButton="0" quotePrefix="0" xfId="4">
      <alignment horizontal="left"/>
    </xf>
    <xf numFmtId="4" fontId="8" fillId="9" borderId="0" pivotButton="0" quotePrefix="0" xfId="4"/>
    <xf numFmtId="4" fontId="8" fillId="9" borderId="0" applyAlignment="1" pivotButton="0" quotePrefix="0" xfId="4">
      <alignment horizontal="center"/>
    </xf>
    <xf numFmtId="4" fontId="7" fillId="9" borderId="0" pivotButton="0" quotePrefix="0" xfId="4"/>
    <xf numFmtId="4" fontId="8" fillId="9" borderId="9" applyAlignment="1" pivotButton="0" quotePrefix="0" xfId="4">
      <alignment horizontal="left"/>
    </xf>
    <xf numFmtId="4" fontId="8" fillId="9" borderId="9" pivotButton="0" quotePrefix="0" xfId="4"/>
    <xf numFmtId="4" fontId="8" fillId="9" borderId="9" applyAlignment="1" pivotButton="0" quotePrefix="0" xfId="4">
      <alignment horizontal="center"/>
    </xf>
    <xf numFmtId="4" fontId="7" fillId="10" borderId="9" applyAlignment="1" pivotButton="0" quotePrefix="0" xfId="4">
      <alignment horizontal="right"/>
    </xf>
    <xf numFmtId="4" fontId="8" fillId="9" borderId="0" applyAlignment="1" pivotButton="0" quotePrefix="0" xfId="4">
      <alignment horizontal="left"/>
    </xf>
    <xf numFmtId="4" fontId="7" fillId="0" borderId="0" applyAlignment="1" pivotButton="0" quotePrefix="0" xfId="4">
      <alignment horizontal="right"/>
    </xf>
    <xf numFmtId="4" fontId="4" fillId="9" borderId="0" pivotButton="0" quotePrefix="0" xfId="5"/>
    <xf numFmtId="4" fontId="6" fillId="10" borderId="9" applyAlignment="1" pivotButton="0" quotePrefix="0" xfId="4">
      <alignment horizontal="right"/>
    </xf>
    <xf numFmtId="3" fontId="8" fillId="9" borderId="9" pivotButton="0" quotePrefix="0" xfId="4"/>
    <xf numFmtId="4" fontId="8" fillId="3" borderId="9" applyAlignment="1" pivotButton="0" quotePrefix="0" xfId="4">
      <alignment horizontal="left"/>
    </xf>
    <xf numFmtId="4" fontId="8" fillId="9" borderId="9" applyAlignment="1" pivotButton="0" quotePrefix="0" xfId="4">
      <alignment horizontal="left" wrapText="1"/>
    </xf>
    <xf numFmtId="165" fontId="4" fillId="9" borderId="0" pivotButton="0" quotePrefix="0" xfId="4"/>
    <xf numFmtId="166" fontId="8" fillId="9" borderId="9" pivotButton="0" quotePrefix="0" xfId="4"/>
    <xf numFmtId="167" fontId="8" fillId="9" borderId="9" pivotButton="0" quotePrefix="0" xfId="4"/>
    <xf numFmtId="4" fontId="8" fillId="9" borderId="0" pivotButton="0" quotePrefix="0" xfId="5"/>
    <xf numFmtId="10" fontId="7" fillId="9" borderId="0" pivotButton="0" quotePrefix="0" xfId="5"/>
    <xf numFmtId="4" fontId="8" fillId="9" borderId="0" applyAlignment="1" pivotButton="0" quotePrefix="0" xfId="5">
      <alignment horizontal="center"/>
    </xf>
    <xf numFmtId="4" fontId="7" fillId="9" borderId="0" pivotButton="0" quotePrefix="0" xfId="5"/>
    <xf numFmtId="4" fontId="8" fillId="9" borderId="0" applyAlignment="1" pivotButton="0" quotePrefix="0" xfId="5">
      <alignment horizontal="center"/>
    </xf>
    <xf numFmtId="4" fontId="8" fillId="9" borderId="0" pivotButton="0" quotePrefix="0" xfId="5"/>
    <xf numFmtId="10" fontId="7" fillId="9" borderId="0" applyAlignment="1" pivotButton="0" quotePrefix="0" xfId="4">
      <alignment horizontal="right"/>
    </xf>
    <xf numFmtId="168" fontId="7" fillId="9" borderId="0" pivotButton="0" quotePrefix="0" xfId="4"/>
    <xf numFmtId="169" fontId="7" fillId="9" borderId="0" pivotButton="0" quotePrefix="0" xfId="4"/>
    <xf numFmtId="170" fontId="6" fillId="10" borderId="9" applyAlignment="1" pivotButton="0" quotePrefix="0" xfId="4">
      <alignment horizontal="right"/>
    </xf>
    <xf numFmtId="171" fontId="6" fillId="10" borderId="9" applyAlignment="1" pivotButton="0" quotePrefix="0" xfId="4">
      <alignment horizontal="right"/>
    </xf>
    <xf numFmtId="172" fontId="4" fillId="9" borderId="0" pivotButton="0" quotePrefix="0" xfId="4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173" fontId="3" fillId="0" borderId="0" pivotButton="0" quotePrefix="0" xfId="0"/>
    <xf numFmtId="174" fontId="3" fillId="0" borderId="0" pivotButton="0" quotePrefix="0" xfId="0"/>
    <xf numFmtId="0" fontId="9" fillId="0" borderId="0" pivotButton="0" quotePrefix="0" xfId="0"/>
    <xf numFmtId="0" fontId="9" fillId="13" borderId="0" pivotButton="0" quotePrefix="0" xfId="0"/>
    <xf numFmtId="0" fontId="9" fillId="13" borderId="8" pivotButton="0" quotePrefix="0" xfId="0"/>
    <xf numFmtId="0" fontId="9" fillId="13" borderId="8" applyAlignment="1" pivotButton="0" quotePrefix="0" xfId="0">
      <alignment horizontal="center"/>
    </xf>
    <xf numFmtId="174" fontId="9" fillId="13" borderId="8" pivotButton="0" quotePrefix="0" xfId="0"/>
    <xf numFmtId="174" fontId="9" fillId="13" borderId="7" pivotButton="0" quotePrefix="0" xfId="1"/>
    <xf numFmtId="174" fontId="9" fillId="13" borderId="8" pivotButton="0" quotePrefix="0" xfId="1"/>
    <xf numFmtId="0" fontId="0" fillId="8" borderId="0" pivotButton="0" quotePrefix="0" xfId="0"/>
    <xf numFmtId="0" fontId="0" fillId="8" borderId="8" pivotButton="0" quotePrefix="0" xfId="0"/>
    <xf numFmtId="0" fontId="0" fillId="8" borderId="8" applyAlignment="1" pivotButton="0" quotePrefix="0" xfId="0">
      <alignment horizontal="center"/>
    </xf>
    <xf numFmtId="174" fontId="0" fillId="8" borderId="8" pivotButton="0" quotePrefix="0" xfId="0"/>
    <xf numFmtId="174" fontId="0" fillId="8" borderId="7" pivotButton="0" quotePrefix="0" xfId="1"/>
    <xf numFmtId="174" fontId="0" fillId="8" borderId="8" pivotButton="0" quotePrefix="0" xfId="1"/>
    <xf numFmtId="174" fontId="0" fillId="0" borderId="10" pivotButton="0" quotePrefix="0" xfId="1"/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74" fontId="0" fillId="0" borderId="4" pivotButton="0" quotePrefix="0" xfId="0"/>
    <xf numFmtId="174" fontId="0" fillId="0" borderId="4" pivotButton="0" quotePrefix="0" xfId="1"/>
    <xf numFmtId="0" fontId="9" fillId="14" borderId="12" pivotButton="0" quotePrefix="0" xfId="0"/>
    <xf numFmtId="0" fontId="9" fillId="14" borderId="13" pivotButton="0" quotePrefix="0" xfId="0"/>
    <xf numFmtId="0" fontId="9" fillId="14" borderId="13" applyAlignment="1" pivotButton="0" quotePrefix="0" xfId="0">
      <alignment horizontal="center"/>
    </xf>
    <xf numFmtId="174" fontId="9" fillId="14" borderId="14" pivotButton="0" quotePrefix="0" xfId="0"/>
    <xf numFmtId="174" fontId="9" fillId="14" borderId="14" pivotButton="0" quotePrefix="0" xfId="1"/>
    <xf numFmtId="174" fontId="0" fillId="0" borderId="15" pivotButton="0" quotePrefix="0" xfId="0"/>
    <xf numFmtId="174" fontId="0" fillId="0" borderId="15" pivotButton="0" quotePrefix="0" xfId="1"/>
    <xf numFmtId="0" fontId="0" fillId="13" borderId="12" pivotButton="0" quotePrefix="0" xfId="0"/>
    <xf numFmtId="0" fontId="0" fillId="13" borderId="13" pivotButton="0" quotePrefix="0" xfId="0"/>
    <xf numFmtId="0" fontId="0" fillId="13" borderId="13" applyAlignment="1" pivotButton="0" quotePrefix="0" xfId="0">
      <alignment horizontal="center"/>
    </xf>
    <xf numFmtId="174" fontId="0" fillId="13" borderId="14" pivotButton="0" quotePrefix="0" xfId="0"/>
    <xf numFmtId="174" fontId="0" fillId="13" borderId="14" pivotButton="0" quotePrefix="0" xfId="1"/>
    <xf numFmtId="174" fontId="0" fillId="0" borderId="8" pivotButton="0" quotePrefix="0" xfId="0"/>
    <xf numFmtId="174" fontId="0" fillId="0" borderId="8" pivotButton="0" quotePrefix="0" xfId="1"/>
    <xf numFmtId="0" fontId="0" fillId="0" borderId="8" pivotButton="0" quotePrefix="0" xfId="0"/>
    <xf numFmtId="0" fontId="0" fillId="0" borderId="8" applyAlignment="1" pivotButton="0" quotePrefix="0" xfId="0">
      <alignment horizontal="center"/>
    </xf>
    <xf numFmtId="174" fontId="0" fillId="0" borderId="10" pivotButton="0" quotePrefix="0" xfId="0"/>
    <xf numFmtId="174" fontId="0" fillId="0" borderId="0" pivotButton="0" quotePrefix="0" xfId="0"/>
    <xf numFmtId="174" fontId="9" fillId="14" borderId="13" pivotButton="0" quotePrefix="0" xfId="0"/>
    <xf numFmtId="0" fontId="9" fillId="13" borderId="12" pivotButton="0" quotePrefix="0" xfId="0"/>
    <xf numFmtId="0" fontId="9" fillId="13" borderId="13" pivotButton="0" quotePrefix="0" xfId="0"/>
    <xf numFmtId="0" fontId="9" fillId="13" borderId="13" applyAlignment="1" pivotButton="0" quotePrefix="0" xfId="0">
      <alignment horizontal="center"/>
    </xf>
    <xf numFmtId="174" fontId="9" fillId="13" borderId="13" pivotButton="0" quotePrefix="0" xfId="0"/>
    <xf numFmtId="174" fontId="9" fillId="13" borderId="14" pivotButton="0" quotePrefix="0" xfId="1"/>
    <xf numFmtId="174" fontId="9" fillId="13" borderId="14" pivotButton="0" quotePrefix="0" xfId="0"/>
    <xf numFmtId="174" fontId="0" fillId="13" borderId="13" pivotButton="0" quotePrefix="0" xfId="0"/>
    <xf numFmtId="0" fontId="0" fillId="0" borderId="8" applyAlignment="1" pivotButton="0" quotePrefix="0" xfId="0">
      <alignment horizontal="center" vertical="center"/>
    </xf>
    <xf numFmtId="0" fontId="0" fillId="13" borderId="0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/>
    </xf>
    <xf numFmtId="174" fontId="9" fillId="0" borderId="0" pivotButton="0" quotePrefix="0" xfId="0"/>
    <xf numFmtId="0" fontId="12" fillId="0" borderId="0" pivotButton="0" quotePrefix="0" xfId="6"/>
    <xf numFmtId="0" fontId="11" fillId="0" borderId="0" pivotButton="0" quotePrefix="0" xfId="6"/>
    <xf numFmtId="174" fontId="12" fillId="0" borderId="0" pivotButton="0" quotePrefix="0" xfId="7"/>
    <xf numFmtId="174" fontId="12" fillId="0" borderId="0" pivotButton="0" quotePrefix="0" xfId="6"/>
    <xf numFmtId="9" fontId="12" fillId="0" borderId="0" pivotButton="0" quotePrefix="0" xfId="8"/>
    <xf numFmtId="14" fontId="12" fillId="0" borderId="0" pivotButton="0" quotePrefix="0" xfId="6"/>
    <xf numFmtId="0" fontId="14" fillId="8" borderId="0" pivotButton="0" quotePrefix="0" xfId="0"/>
    <xf numFmtId="0" fontId="16" fillId="8" borderId="10" pivotButton="0" quotePrefix="0" xfId="0"/>
    <xf numFmtId="0" fontId="16" fillId="8" borderId="16" pivotButton="0" quotePrefix="0" xfId="0"/>
    <xf numFmtId="0" fontId="16" fillId="8" borderId="11" pivotButton="0" quotePrefix="0" xfId="0"/>
    <xf numFmtId="175" fontId="0" fillId="8" borderId="0" pivotButton="0" quotePrefix="0" xfId="0"/>
    <xf numFmtId="0" fontId="15" fillId="8" borderId="0" applyAlignment="1" pivotButton="0" quotePrefix="0" xfId="0">
      <alignment horizontal="center" vertical="center" wrapText="1"/>
    </xf>
    <xf numFmtId="0" fontId="15" fillId="0" borderId="0" pivotButton="0" quotePrefix="0" xfId="0"/>
    <xf numFmtId="9" fontId="0" fillId="8" borderId="0" pivotButton="0" quotePrefix="0" xfId="0"/>
    <xf numFmtId="0" fontId="18" fillId="8" borderId="0" applyAlignment="1" pivotButton="0" quotePrefix="0" xfId="0">
      <alignment horizontal="left"/>
    </xf>
    <xf numFmtId="0" fontId="18" fillId="8" borderId="0" applyAlignment="1" pivotButton="0" quotePrefix="0" xfId="13">
      <alignment horizontal="left" vertical="center"/>
    </xf>
    <xf numFmtId="0" fontId="22" fillId="0" borderId="0" pivotButton="0" quotePrefix="0" xfId="0"/>
    <xf numFmtId="0" fontId="23" fillId="0" borderId="0" pivotButton="0" quotePrefix="0" xfId="0"/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6" borderId="0" pivotButton="0" quotePrefix="0" xfId="0"/>
    <xf numFmtId="0" fontId="0" fillId="4" borderId="0" pivotButton="0" quotePrefix="0" xfId="0"/>
    <xf numFmtId="0" fontId="0" fillId="12" borderId="0" pivotButton="0" quotePrefix="0" xfId="0"/>
    <xf numFmtId="176" fontId="0" fillId="0" borderId="17" pivotButton="0" quotePrefix="0" xfId="0"/>
    <xf numFmtId="0" fontId="0" fillId="0" borderId="17" pivotButton="0" quotePrefix="0" xfId="0"/>
    <xf numFmtId="9" fontId="0" fillId="0" borderId="17" applyAlignment="1" pivotButton="0" quotePrefix="0" xfId="3">
      <alignment horizontal="center"/>
    </xf>
    <xf numFmtId="0" fontId="0" fillId="23" borderId="0" pivotButton="0" quotePrefix="0" xfId="0"/>
    <xf numFmtId="0" fontId="0" fillId="28" borderId="17" pivotButton="0" quotePrefix="0" xfId="0"/>
    <xf numFmtId="0" fontId="0" fillId="28" borderId="17" applyAlignment="1" pivotButton="0" quotePrefix="0" xfId="0">
      <alignment horizontal="center"/>
    </xf>
    <xf numFmtId="0" fontId="0" fillId="29" borderId="17" pivotButton="0" quotePrefix="0" xfId="0"/>
    <xf numFmtId="0" fontId="0" fillId="29" borderId="17" applyAlignment="1" pivotButton="0" quotePrefix="0" xfId="0">
      <alignment horizontal="center"/>
    </xf>
    <xf numFmtId="0" fontId="0" fillId="28" borderId="17" applyAlignment="1" pivotButton="0" quotePrefix="0" xfId="0">
      <alignment wrapText="1"/>
    </xf>
    <xf numFmtId="0" fontId="0" fillId="28" borderId="17" applyAlignment="1" pivotButton="0" quotePrefix="0" xfId="0">
      <alignment horizontal="center" vertical="center"/>
    </xf>
    <xf numFmtId="2" fontId="0" fillId="29" borderId="17" applyAlignment="1" pivotButton="0" quotePrefix="0" xfId="0">
      <alignment horizontal="center"/>
    </xf>
    <xf numFmtId="0" fontId="0" fillId="30" borderId="17" pivotButton="0" quotePrefix="0" xfId="0"/>
    <xf numFmtId="2" fontId="0" fillId="30" borderId="17" applyAlignment="1" pivotButton="0" quotePrefix="0" xfId="0">
      <alignment horizontal="center"/>
    </xf>
    <xf numFmtId="0" fontId="0" fillId="16" borderId="17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 wrapText="1"/>
    </xf>
    <xf numFmtId="0" fontId="0" fillId="0" borderId="17" applyAlignment="1" pivotButton="0" quotePrefix="0" xfId="0">
      <alignment vertical="center"/>
    </xf>
    <xf numFmtId="176" fontId="0" fillId="0" borderId="17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176" fontId="0" fillId="0" borderId="17" applyAlignment="1" pivotButton="0" quotePrefix="0" xfId="0">
      <alignment horizontal="right" vertical="center" wrapText="1"/>
    </xf>
    <xf numFmtId="176" fontId="0" fillId="0" borderId="11" applyAlignment="1" pivotButton="0" quotePrefix="0" xfId="0">
      <alignment horizontal="right" vertical="center" wrapText="1"/>
    </xf>
    <xf numFmtId="0" fontId="0" fillId="0" borderId="11" pivotButton="0" quotePrefix="0" xfId="0"/>
    <xf numFmtId="14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 wrapText="1"/>
    </xf>
    <xf numFmtId="176" fontId="0" fillId="0" borderId="4" applyAlignment="1" pivotButton="0" quotePrefix="0" xfId="0">
      <alignment horizontal="right" vertical="center" wrapText="1"/>
    </xf>
    <xf numFmtId="176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76" fontId="0" fillId="0" borderId="17" applyAlignment="1" pivotButton="0" quotePrefix="0" xfId="0">
      <alignment vertical="center"/>
    </xf>
    <xf numFmtId="176" fontId="0" fillId="0" borderId="4" applyAlignment="1" pivotButton="0" quotePrefix="0" xfId="0">
      <alignment vertical="center"/>
    </xf>
    <xf numFmtId="176" fontId="0" fillId="0" borderId="10" applyAlignment="1" pivotButton="0" quotePrefix="0" xfId="0">
      <alignment horizontal="center" vertical="center"/>
    </xf>
    <xf numFmtId="176" fontId="0" fillId="0" borderId="10" applyAlignment="1" pivotButton="0" quotePrefix="0" xfId="0">
      <alignment horizontal="right" vertical="center"/>
    </xf>
    <xf numFmtId="176" fontId="9" fillId="0" borderId="10" applyAlignment="1" pivotButton="0" quotePrefix="0" xfId="0">
      <alignment vertical="center"/>
    </xf>
    <xf numFmtId="176" fontId="0" fillId="0" borderId="17" applyAlignment="1" pivotButton="0" quotePrefix="0" xfId="0">
      <alignment horizontal="right" vertical="center"/>
    </xf>
    <xf numFmtId="14" fontId="0" fillId="0" borderId="17" applyAlignment="1" pivotButton="0" quotePrefix="0" xfId="0">
      <alignment vertical="center"/>
    </xf>
    <xf numFmtId="176" fontId="0" fillId="16" borderId="10" applyAlignment="1" pivotButton="0" quotePrefix="0" xfId="0">
      <alignment horizontal="right" vertical="center"/>
    </xf>
    <xf numFmtId="0" fontId="0" fillId="8" borderId="17" applyAlignment="1" pivotButton="0" quotePrefix="0" xfId="0">
      <alignment horizontal="center" vertical="center"/>
    </xf>
    <xf numFmtId="176" fontId="0" fillId="19" borderId="10" applyAlignment="1" pivotButton="0" quotePrefix="0" xfId="0">
      <alignment horizontal="right" vertical="center"/>
    </xf>
    <xf numFmtId="176" fontId="0" fillId="0" borderId="11" applyAlignment="1" pivotButton="0" quotePrefix="0" xfId="0">
      <alignment vertical="center"/>
    </xf>
    <xf numFmtId="176" fontId="0" fillId="19" borderId="11" applyAlignment="1" pivotButton="0" quotePrefix="0" xfId="0">
      <alignment vertical="center"/>
    </xf>
    <xf numFmtId="176" fontId="0" fillId="16" borderId="11" applyAlignment="1" pivotButton="0" quotePrefix="0" xfId="0">
      <alignment vertical="center"/>
    </xf>
    <xf numFmtId="176" fontId="0" fillId="0" borderId="10" applyAlignment="1" pivotButton="0" quotePrefix="0" xfId="0">
      <alignment vertical="center"/>
    </xf>
    <xf numFmtId="176" fontId="0" fillId="19" borderId="10" applyAlignment="1" pivotButton="0" quotePrefix="0" xfId="0">
      <alignment vertical="center"/>
    </xf>
    <xf numFmtId="176" fontId="0" fillId="16" borderId="10" applyAlignment="1" pivotButton="0" quotePrefix="0" xfId="0">
      <alignment vertical="center"/>
    </xf>
    <xf numFmtId="176" fontId="0" fillId="0" borderId="0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 wrapText="1"/>
    </xf>
    <xf numFmtId="176" fontId="9" fillId="0" borderId="17" applyAlignment="1" pivotButton="0" quotePrefix="0" xfId="0">
      <alignment horizontal="center" vertical="center"/>
    </xf>
    <xf numFmtId="176" fontId="0" fillId="0" borderId="4" applyAlignment="1" pivotButton="0" quotePrefix="0" xfId="0">
      <alignment horizontal="right" vertical="center"/>
    </xf>
    <xf numFmtId="14" fontId="0" fillId="0" borderId="4" applyAlignment="1" pivotButton="0" quotePrefix="0" xfId="0">
      <alignment vertical="center"/>
    </xf>
    <xf numFmtId="0" fontId="0" fillId="0" borderId="8" applyAlignment="1" pivotButton="0" quotePrefix="0" xfId="0">
      <alignment vertical="center" wrapText="1"/>
    </xf>
    <xf numFmtId="176" fontId="0" fillId="0" borderId="8" applyAlignment="1" pivotButton="0" quotePrefix="0" xfId="0">
      <alignment horizontal="center" vertical="center"/>
    </xf>
    <xf numFmtId="176" fontId="0" fillId="0" borderId="8" applyAlignment="1" pivotButton="0" quotePrefix="0" xfId="0">
      <alignment vertical="center"/>
    </xf>
    <xf numFmtId="176" fontId="0" fillId="0" borderId="8" applyAlignment="1" pivotButton="0" quotePrefix="0" xfId="0">
      <alignment horizontal="right" vertical="center"/>
    </xf>
    <xf numFmtId="176" fontId="0" fillId="0" borderId="8" applyAlignment="1" pivotButton="0" quotePrefix="0" xfId="0">
      <alignment horizontal="right" vertical="center" wrapText="1"/>
    </xf>
    <xf numFmtId="0" fontId="0" fillId="27" borderId="1" pivotButton="0" quotePrefix="0" xfId="0"/>
    <xf numFmtId="0" fontId="0" fillId="27" borderId="2" applyAlignment="1" pivotButton="0" quotePrefix="0" xfId="0">
      <alignment vertical="center"/>
    </xf>
    <xf numFmtId="176" fontId="0" fillId="27" borderId="2" applyAlignment="1" pivotButton="0" quotePrefix="0" xfId="0">
      <alignment horizontal="center" vertical="center"/>
    </xf>
    <xf numFmtId="0" fontId="0" fillId="27" borderId="2" pivotButton="0" quotePrefix="0" xfId="0"/>
    <xf numFmtId="0" fontId="0" fillId="27" borderId="3" applyAlignment="1" pivotButton="0" quotePrefix="0" xfId="0">
      <alignment horizontal="center" vertical="center"/>
    </xf>
    <xf numFmtId="0" fontId="0" fillId="27" borderId="5" pivotButton="0" quotePrefix="0" xfId="0"/>
    <xf numFmtId="0" fontId="0" fillId="27" borderId="6" applyAlignment="1" pivotButton="0" quotePrefix="0" xfId="0">
      <alignment vertical="center"/>
    </xf>
    <xf numFmtId="176" fontId="0" fillId="27" borderId="6" applyAlignment="1" pivotButton="0" quotePrefix="0" xfId="0">
      <alignment horizontal="center" vertical="center"/>
    </xf>
    <xf numFmtId="0" fontId="0" fillId="27" borderId="6" pivotButton="0" quotePrefix="0" xfId="0"/>
    <xf numFmtId="0" fontId="0" fillId="27" borderId="7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176" fontId="0" fillId="12" borderId="10" applyAlignment="1" pivotButton="0" quotePrefix="0" xfId="0">
      <alignment horizontal="right" vertical="center"/>
    </xf>
    <xf numFmtId="0" fontId="0" fillId="17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4" borderId="17" applyAlignment="1" pivotButton="0" quotePrefix="0" xfId="0">
      <alignment horizontal="center"/>
    </xf>
    <xf numFmtId="0" fontId="0" fillId="4" borderId="17" applyAlignment="1" pivotButton="0" quotePrefix="0" xfId="0">
      <alignment horizontal="center" vertical="center"/>
    </xf>
    <xf numFmtId="0" fontId="0" fillId="17" borderId="17" applyAlignment="1" pivotButton="0" quotePrefix="0" xfId="0">
      <alignment horizontal="center" vertical="center"/>
    </xf>
    <xf numFmtId="0" fontId="0" fillId="5" borderId="17" applyAlignment="1" pivotButton="0" quotePrefix="0" xfId="0">
      <alignment horizontal="center" vertical="center"/>
    </xf>
    <xf numFmtId="0" fontId="0" fillId="30" borderId="17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177" fontId="0" fillId="32" borderId="17" applyAlignment="1" pivotButton="0" quotePrefix="0" xfId="0">
      <alignment horizontal="center"/>
    </xf>
    <xf numFmtId="0" fontId="0" fillId="23" borderId="17" pivotButton="0" quotePrefix="0" xfId="0"/>
    <xf numFmtId="0" fontId="0" fillId="24" borderId="0" pivotButton="0" quotePrefix="0" xfId="0"/>
    <xf numFmtId="2" fontId="0" fillId="24" borderId="0" pivotButton="0" quotePrefix="0" xfId="0"/>
    <xf numFmtId="0" fontId="27" fillId="12" borderId="17" pivotButton="0" quotePrefix="0" xfId="0"/>
    <xf numFmtId="0" fontId="0" fillId="24" borderId="17" pivotButton="0" quotePrefix="0" xfId="0"/>
    <xf numFmtId="0" fontId="0" fillId="24" borderId="17" applyAlignment="1" pivotButton="0" quotePrefix="0" xfId="0">
      <alignment horizontal="center"/>
    </xf>
    <xf numFmtId="2" fontId="0" fillId="24" borderId="17" applyAlignment="1" pivotButton="0" quotePrefix="0" xfId="0">
      <alignment horizontal="center"/>
    </xf>
    <xf numFmtId="177" fontId="0" fillId="30" borderId="17" applyAlignment="1" pivotButton="0" quotePrefix="0" xfId="0">
      <alignment horizontal="center"/>
    </xf>
    <xf numFmtId="0" fontId="0" fillId="12" borderId="17" pivotButton="0" quotePrefix="0" xfId="0"/>
    <xf numFmtId="0" fontId="0" fillId="33" borderId="17" applyAlignment="1" pivotButton="0" quotePrefix="0" xfId="0">
      <alignment horizontal="center"/>
    </xf>
    <xf numFmtId="0" fontId="0" fillId="34" borderId="17" pivotButton="0" quotePrefix="0" xfId="0"/>
    <xf numFmtId="0" fontId="0" fillId="34" borderId="17" applyAlignment="1" pivotButton="0" quotePrefix="0" xfId="0">
      <alignment horizontal="center"/>
    </xf>
    <xf numFmtId="176" fontId="0" fillId="34" borderId="17" applyAlignment="1" pivotButton="0" quotePrefix="0" xfId="0">
      <alignment horizontal="center"/>
    </xf>
    <xf numFmtId="176" fontId="0" fillId="34" borderId="17" pivotButton="0" quotePrefix="0" xfId="0"/>
    <xf numFmtId="176" fontId="0" fillId="0" borderId="0" pivotButton="0" quotePrefix="0" xfId="0"/>
    <xf numFmtId="176" fontId="0" fillId="26" borderId="17" pivotButton="0" quotePrefix="0" xfId="0"/>
    <xf numFmtId="176" fontId="0" fillId="26" borderId="17" applyAlignment="1" pivotButton="0" quotePrefix="0" xfId="0">
      <alignment horizontal="center"/>
    </xf>
    <xf numFmtId="176" fontId="0" fillId="29" borderId="17" pivotButton="0" quotePrefix="0" xfId="0"/>
    <xf numFmtId="2" fontId="0" fillId="28" borderId="17" applyAlignment="1" pivotButton="0" quotePrefix="0" xfId="0">
      <alignment horizontal="center" vertical="center"/>
    </xf>
    <xf numFmtId="177" fontId="0" fillId="28" borderId="17" applyAlignment="1" pivotButton="0" quotePrefix="0" xfId="0">
      <alignment horizontal="center" vertical="center"/>
    </xf>
    <xf numFmtId="0" fontId="28" fillId="28" borderId="17" applyAlignment="1" pivotButton="0" quotePrefix="0" xfId="0">
      <alignment horizontal="center" vertical="center"/>
    </xf>
    <xf numFmtId="0" fontId="28" fillId="0" borderId="0" pivotButton="0" quotePrefix="0" xfId="0"/>
    <xf numFmtId="2" fontId="28" fillId="30" borderId="17" applyAlignment="1" pivotButton="0" quotePrefix="0" xfId="0">
      <alignment horizontal="center"/>
    </xf>
    <xf numFmtId="0" fontId="29" fillId="28" borderId="17" applyAlignment="1" pivotButton="0" quotePrefix="0" xfId="0">
      <alignment wrapText="1"/>
    </xf>
    <xf numFmtId="0" fontId="29" fillId="28" borderId="17" applyAlignment="1" pivotButton="0" quotePrefix="0" xfId="0">
      <alignment horizontal="center" vertical="center"/>
    </xf>
    <xf numFmtId="2" fontId="29" fillId="28" borderId="17" applyAlignment="1" pivotButton="0" quotePrefix="0" xfId="0">
      <alignment horizontal="center" vertical="center"/>
    </xf>
    <xf numFmtId="0" fontId="29" fillId="30" borderId="17" applyAlignment="1" pivotButton="0" quotePrefix="0" xfId="0">
      <alignment horizontal="center"/>
    </xf>
    <xf numFmtId="0" fontId="0" fillId="23" borderId="17" applyAlignment="1" pivotButton="0" quotePrefix="0" xfId="0">
      <alignment vertical="center" wrapText="1"/>
    </xf>
    <xf numFmtId="176" fontId="0" fillId="23" borderId="17" applyAlignment="1" pivotButton="0" quotePrefix="0" xfId="0">
      <alignment vertical="center"/>
    </xf>
    <xf numFmtId="176" fontId="0" fillId="23" borderId="17" applyAlignment="1" pivotButton="0" quotePrefix="0" xfId="0">
      <alignment horizontal="center" vertical="center"/>
    </xf>
    <xf numFmtId="176" fontId="0" fillId="23" borderId="17" applyAlignment="1" pivotButton="0" quotePrefix="0" xfId="0">
      <alignment horizontal="right" vertical="center" wrapText="1"/>
    </xf>
    <xf numFmtId="176" fontId="0" fillId="23" borderId="11" applyAlignment="1" pivotButton="0" quotePrefix="0" xfId="0">
      <alignment horizontal="right" vertical="center" wrapText="1"/>
    </xf>
    <xf numFmtId="0" fontId="0" fillId="23" borderId="11" pivotButton="0" quotePrefix="0" xfId="0"/>
    <xf numFmtId="14" fontId="0" fillId="23" borderId="11" applyAlignment="1" pivotButton="0" quotePrefix="0" xfId="0">
      <alignment vertical="center"/>
    </xf>
    <xf numFmtId="176" fontId="9" fillId="23" borderId="17" applyAlignment="1" pivotButton="0" quotePrefix="0" xfId="0">
      <alignment vertical="center"/>
    </xf>
    <xf numFmtId="176" fontId="9" fillId="0" borderId="17" applyAlignment="1" pivotButton="0" quotePrefix="0" xfId="0">
      <alignment vertical="center"/>
    </xf>
    <xf numFmtId="176" fontId="0" fillId="0" borderId="11" pivotButton="0" quotePrefix="0" xfId="0"/>
    <xf numFmtId="0" fontId="0" fillId="26" borderId="0" applyAlignment="1" pivotButton="0" quotePrefix="0" xfId="0">
      <alignment horizontal="center"/>
    </xf>
    <xf numFmtId="0" fontId="0" fillId="26" borderId="17" applyAlignment="1" pivotButton="0" quotePrefix="0" xfId="0">
      <alignment horizontal="center"/>
    </xf>
    <xf numFmtId="0" fontId="0" fillId="5" borderId="17" pivotButton="0" quotePrefix="0" xfId="0"/>
    <xf numFmtId="0" fontId="28" fillId="0" borderId="0" applyAlignment="1" pivotButton="0" quotePrefix="0" xfId="0">
      <alignment horizontal="center"/>
    </xf>
    <xf numFmtId="0" fontId="28" fillId="30" borderId="17" applyAlignment="1" pivotButton="0" quotePrefix="0" xfId="0">
      <alignment horizontal="center"/>
    </xf>
    <xf numFmtId="2" fontId="28" fillId="0" borderId="0" applyAlignment="1" pivotButton="0" quotePrefix="0" xfId="0">
      <alignment horizontal="center"/>
    </xf>
    <xf numFmtId="2" fontId="29" fillId="30" borderId="17" applyAlignment="1" pivotButton="0" quotePrefix="0" xfId="0">
      <alignment horizontal="center"/>
    </xf>
    <xf numFmtId="0" fontId="29" fillId="28" borderId="17" applyAlignment="1" pivotButton="0" quotePrefix="0" xfId="0">
      <alignment horizontal="center" wrapText="1"/>
    </xf>
    <xf numFmtId="0" fontId="29" fillId="0" borderId="0" applyAlignment="1" pivotButton="0" quotePrefix="0" xfId="0">
      <alignment horizontal="center"/>
    </xf>
    <xf numFmtId="2" fontId="29" fillId="0" borderId="0" applyAlignment="1" pivotButton="0" quotePrefix="0" xfId="0">
      <alignment horizontal="center"/>
    </xf>
    <xf numFmtId="0" fontId="29" fillId="5" borderId="0" applyAlignment="1" pivotButton="0" quotePrefix="0" xfId="0">
      <alignment horizontal="center"/>
    </xf>
    <xf numFmtId="2" fontId="29" fillId="5" borderId="0" applyAlignment="1" pivotButton="0" quotePrefix="0" xfId="0">
      <alignment horizontal="center"/>
    </xf>
    <xf numFmtId="2" fontId="0" fillId="12" borderId="0" pivotButton="0" quotePrefix="0" xfId="0"/>
    <xf numFmtId="0" fontId="28" fillId="28" borderId="17" applyAlignment="1" pivotButton="0" quotePrefix="0" xfId="0">
      <alignment horizontal="center" wrapText="1"/>
    </xf>
    <xf numFmtId="2" fontId="29" fillId="29" borderId="17" applyAlignment="1" pivotButton="0" quotePrefix="0" xfId="0">
      <alignment horizontal="center"/>
    </xf>
    <xf numFmtId="0" fontId="29" fillId="24" borderId="0" pivotButton="0" quotePrefix="0" xfId="0"/>
    <xf numFmtId="2" fontId="29" fillId="5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 wrapText="1"/>
    </xf>
    <xf numFmtId="0" fontId="0" fillId="12" borderId="17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18" borderId="0" pivotButton="0" quotePrefix="0" xfId="0"/>
    <xf numFmtId="0" fontId="0" fillId="25" borderId="17" pivotButton="0" quotePrefix="0" xfId="0"/>
    <xf numFmtId="2" fontId="0" fillId="25" borderId="17" applyAlignment="1" pivotButton="0" quotePrefix="0" xfId="0">
      <alignment horizontal="center" vertical="center"/>
    </xf>
    <xf numFmtId="2" fontId="0" fillId="20" borderId="17" applyAlignment="1" pivotButton="0" quotePrefix="0" xfId="0">
      <alignment horizontal="center"/>
    </xf>
    <xf numFmtId="0" fontId="0" fillId="20" borderId="17" applyAlignment="1" pivotButton="0" quotePrefix="0" xfId="0">
      <alignment horizontal="center"/>
    </xf>
    <xf numFmtId="0" fontId="0" fillId="5" borderId="17" applyAlignment="1" pivotButton="0" quotePrefix="0" xfId="0">
      <alignment vertical="center" wrapText="1"/>
    </xf>
    <xf numFmtId="176" fontId="0" fillId="5" borderId="17" applyAlignment="1" pivotButton="0" quotePrefix="0" xfId="0">
      <alignment vertical="center"/>
    </xf>
    <xf numFmtId="0" fontId="22" fillId="0" borderId="0" applyAlignment="1" pivotButton="0" quotePrefix="0" xfId="0">
      <alignment horizontal="center"/>
    </xf>
    <xf numFmtId="173" fontId="22" fillId="0" borderId="0" pivotButton="0" quotePrefix="0" xfId="1"/>
    <xf numFmtId="0" fontId="30" fillId="0" borderId="0" pivotButton="0" quotePrefix="0" xfId="0"/>
    <xf numFmtId="0" fontId="23" fillId="0" borderId="0" applyAlignment="1" pivotButton="0" quotePrefix="0" xfId="0">
      <alignment horizontal="center"/>
    </xf>
    <xf numFmtId="0" fontId="22" fillId="8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22" fillId="8" borderId="0" pivotButton="0" quotePrefix="0" xfId="0"/>
    <xf numFmtId="0" fontId="22" fillId="27" borderId="0" pivotButton="0" quotePrefix="0" xfId="0"/>
    <xf numFmtId="173" fontId="30" fillId="0" borderId="0" pivotButton="0" quotePrefix="0" xfId="0"/>
    <xf numFmtId="10" fontId="31" fillId="0" borderId="0" pivotButton="0" quotePrefix="0" xfId="3"/>
    <xf numFmtId="49" fontId="22" fillId="27" borderId="0" applyAlignment="1" pivotButton="0" quotePrefix="0" xfId="0">
      <alignment horizontal="center"/>
    </xf>
    <xf numFmtId="174" fontId="30" fillId="0" borderId="0" pivotButton="0" quotePrefix="0" xfId="0"/>
    <xf numFmtId="0" fontId="22" fillId="0" borderId="17" applyAlignment="1" pivotButton="0" quotePrefix="0" xfId="0">
      <alignment horizontal="center" vertical="center" wrapText="1"/>
    </xf>
    <xf numFmtId="0" fontId="32" fillId="0" borderId="17" applyAlignment="1" pivotButton="0" quotePrefix="0" xfId="0">
      <alignment horizontal="center" vertical="center" wrapText="1"/>
    </xf>
    <xf numFmtId="178" fontId="32" fillId="0" borderId="17" applyAlignment="1" pivotButton="0" quotePrefix="0" xfId="0">
      <alignment vertical="center"/>
    </xf>
    <xf numFmtId="2" fontId="32" fillId="0" borderId="17" applyAlignment="1" pivotButton="0" quotePrefix="0" xfId="0">
      <alignment horizontal="center"/>
    </xf>
    <xf numFmtId="174" fontId="32" fillId="0" borderId="17" applyAlignment="1" pivotButton="0" quotePrefix="0" xfId="0">
      <alignment horizontal="center" vertical="center"/>
    </xf>
    <xf numFmtId="174" fontId="32" fillId="0" borderId="17" applyAlignment="1" pivotButton="0" quotePrefix="0" xfId="0">
      <alignment horizontal="right" vertical="center"/>
    </xf>
    <xf numFmtId="178" fontId="32" fillId="0" borderId="17" applyAlignment="1" pivotButton="0" quotePrefix="0" xfId="0">
      <alignment horizontal="center" vertical="center"/>
    </xf>
    <xf numFmtId="179" fontId="32" fillId="0" borderId="17" applyAlignment="1" pivotButton="0" quotePrefix="0" xfId="1">
      <alignment horizontal="right" vertical="center"/>
    </xf>
    <xf numFmtId="0" fontId="23" fillId="21" borderId="17" applyAlignment="1" pivotButton="0" quotePrefix="0" xfId="0">
      <alignment horizontal="center"/>
    </xf>
    <xf numFmtId="0" fontId="23" fillId="21" borderId="17" pivotButton="0" quotePrefix="0" xfId="0"/>
    <xf numFmtId="2" fontId="22" fillId="21" borderId="17" applyAlignment="1" pivotButton="0" quotePrefix="0" xfId="0">
      <alignment horizontal="center"/>
    </xf>
    <xf numFmtId="0" fontId="22" fillId="21" borderId="17" applyAlignment="1" pivotButton="0" quotePrefix="0" xfId="0">
      <alignment horizontal="center"/>
    </xf>
    <xf numFmtId="174" fontId="22" fillId="21" borderId="17" applyAlignment="1" pivotButton="0" quotePrefix="0" xfId="0">
      <alignment horizontal="right"/>
    </xf>
    <xf numFmtId="179" fontId="22" fillId="21" borderId="17" applyAlignment="1" pivotButton="0" quotePrefix="0" xfId="0">
      <alignment horizontal="right"/>
    </xf>
    <xf numFmtId="174" fontId="30" fillId="0" borderId="0" pivotButton="0" quotePrefix="0" xfId="1"/>
    <xf numFmtId="173" fontId="30" fillId="0" borderId="0" pivotButton="0" quotePrefix="0" xfId="1"/>
    <xf numFmtId="178" fontId="22" fillId="0" borderId="17" applyAlignment="1" pivotButton="0" quotePrefix="0" xfId="0">
      <alignment vertical="center"/>
    </xf>
    <xf numFmtId="2" fontId="22" fillId="0" borderId="17" applyAlignment="1" pivotButton="0" quotePrefix="0" xfId="0">
      <alignment horizontal="center"/>
    </xf>
    <xf numFmtId="178" fontId="22" fillId="0" borderId="17" applyAlignment="1" pivotButton="0" quotePrefix="0" xfId="0">
      <alignment horizontal="center" vertical="center"/>
    </xf>
    <xf numFmtId="174" fontId="22" fillId="0" borderId="17" applyAlignment="1" pivotButton="0" quotePrefix="0" xfId="0">
      <alignment horizontal="right" vertical="center"/>
    </xf>
    <xf numFmtId="179" fontId="22" fillId="0" borderId="17" applyAlignment="1" pivotButton="0" quotePrefix="0" xfId="1">
      <alignment horizontal="right" vertical="center"/>
    </xf>
    <xf numFmtId="0" fontId="22" fillId="0" borderId="17" applyAlignment="1" pivotButton="0" quotePrefix="0" xfId="0">
      <alignment horizontal="center"/>
    </xf>
    <xf numFmtId="0" fontId="32" fillId="0" borderId="17" applyAlignment="1" pivotButton="0" quotePrefix="0" xfId="0">
      <alignment horizontal="center"/>
    </xf>
    <xf numFmtId="0" fontId="23" fillId="2" borderId="17" applyAlignment="1" pivotButton="0" quotePrefix="0" xfId="0">
      <alignment horizontal="center"/>
    </xf>
    <xf numFmtId="0" fontId="23" fillId="2" borderId="17" pivotButton="0" quotePrefix="0" xfId="0"/>
    <xf numFmtId="2" fontId="22" fillId="2" borderId="17" applyAlignment="1" pivotButton="0" quotePrefix="0" xfId="0">
      <alignment horizontal="center"/>
    </xf>
    <xf numFmtId="0" fontId="22" fillId="2" borderId="17" applyAlignment="1" pivotButton="0" quotePrefix="0" xfId="0">
      <alignment horizontal="center"/>
    </xf>
    <xf numFmtId="174" fontId="22" fillId="2" borderId="17" applyAlignment="1" pivotButton="0" quotePrefix="0" xfId="0">
      <alignment horizontal="right"/>
    </xf>
    <xf numFmtId="179" fontId="22" fillId="2" borderId="17" applyAlignment="1" pivotButton="0" quotePrefix="0" xfId="0">
      <alignment horizontal="right"/>
    </xf>
    <xf numFmtId="178" fontId="32" fillId="12" borderId="17" applyAlignment="1" pivotButton="0" quotePrefix="0" xfId="0">
      <alignment vertical="center"/>
    </xf>
    <xf numFmtId="0" fontId="32" fillId="8" borderId="17" applyAlignment="1" pivotButton="0" quotePrefix="0" xfId="0">
      <alignment horizontal="center"/>
    </xf>
    <xf numFmtId="178" fontId="32" fillId="8" borderId="17" applyAlignment="1" pivotButton="0" quotePrefix="0" xfId="0">
      <alignment vertical="center"/>
    </xf>
    <xf numFmtId="2" fontId="32" fillId="8" borderId="17" applyAlignment="1" pivotButton="0" quotePrefix="0" xfId="0">
      <alignment horizontal="center"/>
    </xf>
    <xf numFmtId="178" fontId="32" fillId="8" borderId="17" applyAlignment="1" pivotButton="0" quotePrefix="0" xfId="0">
      <alignment horizontal="center" vertical="center"/>
    </xf>
    <xf numFmtId="174" fontId="32" fillId="8" borderId="17" applyAlignment="1" pivotButton="0" quotePrefix="0" xfId="0">
      <alignment horizontal="right" vertical="center"/>
    </xf>
    <xf numFmtId="179" fontId="32" fillId="8" borderId="17" applyAlignment="1" pivotButton="0" quotePrefix="0" xfId="1">
      <alignment horizontal="right" vertical="center"/>
    </xf>
    <xf numFmtId="0" fontId="22" fillId="12" borderId="17" applyAlignment="1" pivotButton="0" quotePrefix="0" xfId="0">
      <alignment horizontal="center"/>
    </xf>
    <xf numFmtId="178" fontId="22" fillId="8" borderId="17" applyAlignment="1" pivotButton="0" quotePrefix="0" xfId="0">
      <alignment vertical="center"/>
    </xf>
    <xf numFmtId="2" fontId="22" fillId="8" borderId="17" applyAlignment="1" pivotButton="0" quotePrefix="0" xfId="0">
      <alignment horizontal="center"/>
    </xf>
    <xf numFmtId="178" fontId="22" fillId="8" borderId="17" applyAlignment="1" pivotButton="0" quotePrefix="0" xfId="0">
      <alignment horizontal="center" vertical="center"/>
    </xf>
    <xf numFmtId="174" fontId="22" fillId="8" borderId="17" applyAlignment="1" pivotButton="0" quotePrefix="0" xfId="0">
      <alignment horizontal="right" vertical="center"/>
    </xf>
    <xf numFmtId="179" fontId="22" fillId="8" borderId="17" applyAlignment="1" pivotButton="0" quotePrefix="0" xfId="1">
      <alignment horizontal="right" vertical="center"/>
    </xf>
    <xf numFmtId="10" fontId="30" fillId="0" borderId="0" pivotButton="0" quotePrefix="0" xfId="3"/>
    <xf numFmtId="174" fontId="30" fillId="0" borderId="0" applyAlignment="1" pivotButton="0" quotePrefix="0" xfId="0">
      <alignment horizontal="center"/>
    </xf>
    <xf numFmtId="43" fontId="30" fillId="0" borderId="0" pivotButton="0" quotePrefix="0" xfId="0"/>
    <xf numFmtId="0" fontId="23" fillId="0" borderId="17" applyAlignment="1" pivotButton="0" quotePrefix="0" xfId="0">
      <alignment horizontal="center"/>
    </xf>
    <xf numFmtId="174" fontId="22" fillId="0" borderId="0" pivotButton="0" quotePrefix="0" xfId="0"/>
    <xf numFmtId="180" fontId="22" fillId="0" borderId="0" pivotButton="0" quotePrefix="0" xfId="0"/>
    <xf numFmtId="9" fontId="22" fillId="0" borderId="0" pivotButton="0" quotePrefix="0" xfId="3"/>
    <xf numFmtId="9" fontId="22" fillId="0" borderId="0" pivotButton="0" quotePrefix="0" xfId="0"/>
    <xf numFmtId="9" fontId="30" fillId="0" borderId="0" pivotButton="0" quotePrefix="0" xfId="0"/>
    <xf numFmtId="0" fontId="23" fillId="0" borderId="0" applyAlignment="1" pivotButton="0" quotePrefix="0" xfId="0">
      <alignment horizontal="right"/>
    </xf>
    <xf numFmtId="174" fontId="23" fillId="0" borderId="0" applyAlignment="1" pivotButton="0" quotePrefix="0" xfId="0">
      <alignment horizontal="center"/>
    </xf>
    <xf numFmtId="174" fontId="23" fillId="0" borderId="0" pivotButton="0" quotePrefix="0" xfId="0"/>
    <xf numFmtId="43" fontId="22" fillId="0" borderId="0" pivotButton="0" quotePrefix="0" xfId="0"/>
    <xf numFmtId="2" fontId="0" fillId="0" borderId="17" applyAlignment="1" pivotButton="0" quotePrefix="0" xfId="0">
      <alignment horizontal="center" vertical="center"/>
    </xf>
    <xf numFmtId="0" fontId="0" fillId="35" borderId="0" pivotButton="0" quotePrefix="0" xfId="0"/>
    <xf numFmtId="0" fontId="29" fillId="29" borderId="17" pivotButton="0" quotePrefix="0" xfId="0"/>
    <xf numFmtId="0" fontId="29" fillId="29" borderId="17" applyAlignment="1" pivotButton="0" quotePrefix="0" xfId="0">
      <alignment horizontal="center"/>
    </xf>
    <xf numFmtId="2" fontId="0" fillId="12" borderId="0" applyAlignment="1" pivotButton="0" quotePrefix="0" xfId="0">
      <alignment horizontal="center"/>
    </xf>
    <xf numFmtId="0" fontId="9" fillId="12" borderId="0" applyAlignment="1" pivotButton="0" quotePrefix="0" xfId="0">
      <alignment horizontal="center"/>
    </xf>
    <xf numFmtId="0" fontId="0" fillId="36" borderId="0" pivotButton="0" quotePrefix="0" xfId="0"/>
    <xf numFmtId="0" fontId="0" fillId="22" borderId="0" pivotButton="0" quotePrefix="0" xfId="0"/>
    <xf numFmtId="0" fontId="0" fillId="37" borderId="17" pivotButton="0" quotePrefix="0" xfId="0"/>
    <xf numFmtId="2" fontId="0" fillId="37" borderId="17" applyAlignment="1" pivotButton="0" quotePrefix="0" xfId="0">
      <alignment horizontal="center"/>
    </xf>
    <xf numFmtId="0" fontId="0" fillId="32" borderId="17" pivotButton="0" quotePrefix="0" xfId="0"/>
    <xf numFmtId="2" fontId="0" fillId="32" borderId="17" applyAlignment="1" pivotButton="0" quotePrefix="0" xfId="0">
      <alignment horizontal="center"/>
    </xf>
    <xf numFmtId="0" fontId="35" fillId="4" borderId="17" applyAlignment="1" pivotButton="0" quotePrefix="0" xfId="0">
      <alignment horizontal="center"/>
    </xf>
    <xf numFmtId="0" fontId="0" fillId="38" borderId="17" applyAlignment="1" pivotButton="0" quotePrefix="0" xfId="0">
      <alignment horizontal="center"/>
    </xf>
    <xf numFmtId="0" fontId="0" fillId="12" borderId="17" applyAlignment="1" pivotButton="0" quotePrefix="0" xfId="0">
      <alignment horizontal="center"/>
    </xf>
    <xf numFmtId="0" fontId="0" fillId="36" borderId="17" applyAlignment="1" pivotButton="0" quotePrefix="0" xfId="0">
      <alignment horizontal="center"/>
    </xf>
    <xf numFmtId="0" fontId="0" fillId="39" borderId="17" applyAlignment="1" pivotButton="0" quotePrefix="0" xfId="0">
      <alignment horizontal="center"/>
    </xf>
    <xf numFmtId="0" fontId="0" fillId="40" borderId="17" applyAlignment="1" pivotButton="0" quotePrefix="0" xfId="0">
      <alignment horizontal="center"/>
    </xf>
    <xf numFmtId="0" fontId="0" fillId="6" borderId="17" applyAlignment="1" pivotButton="0" quotePrefix="0" xfId="0">
      <alignment horizontal="center"/>
    </xf>
    <xf numFmtId="0" fontId="23" fillId="7" borderId="17" applyAlignment="1" pivotButton="0" quotePrefix="0" xfId="0">
      <alignment horizontal="center"/>
    </xf>
    <xf numFmtId="0" fontId="23" fillId="0" borderId="17" pivotButton="0" quotePrefix="0" xfId="0"/>
    <xf numFmtId="0" fontId="30" fillId="20" borderId="17" applyAlignment="1" pivotButton="0" quotePrefix="0" xfId="0">
      <alignment horizontal="center"/>
    </xf>
    <xf numFmtId="14" fontId="23" fillId="0" borderId="17" applyAlignment="1" pivotButton="0" quotePrefix="0" xfId="0">
      <alignment horizontal="left"/>
    </xf>
    <xf numFmtId="0" fontId="30" fillId="26" borderId="17" pivotButton="0" quotePrefix="0" xfId="0"/>
    <xf numFmtId="14" fontId="30" fillId="20" borderId="17" applyAlignment="1" pivotButton="0" quotePrefix="0" xfId="0">
      <alignment horizontal="center"/>
    </xf>
    <xf numFmtId="0" fontId="23" fillId="7" borderId="17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 wrapText="1"/>
    </xf>
    <xf numFmtId="0" fontId="23" fillId="25" borderId="17" applyAlignment="1" pivotButton="0" quotePrefix="0" xfId="0">
      <alignment horizontal="center"/>
    </xf>
    <xf numFmtId="0" fontId="23" fillId="25" borderId="17" pivotButton="0" quotePrefix="0" xfId="0"/>
    <xf numFmtId="2" fontId="22" fillId="25" borderId="17" applyAlignment="1" pivotButton="0" quotePrefix="0" xfId="0">
      <alignment horizontal="center"/>
    </xf>
    <xf numFmtId="0" fontId="22" fillId="25" borderId="17" applyAlignment="1" pivotButton="0" quotePrefix="0" xfId="0">
      <alignment horizontal="center"/>
    </xf>
    <xf numFmtId="176" fontId="22" fillId="25" borderId="17" applyAlignment="1" pivotButton="0" quotePrefix="0" xfId="0">
      <alignment horizontal="right"/>
    </xf>
    <xf numFmtId="179" fontId="22" fillId="31" borderId="17" applyAlignment="1" pivotButton="0" quotePrefix="0" xfId="0">
      <alignment horizontal="right"/>
    </xf>
    <xf numFmtId="0" fontId="23" fillId="24" borderId="17" applyAlignment="1" pivotButton="0" quotePrefix="0" xfId="0">
      <alignment horizontal="center"/>
    </xf>
    <xf numFmtId="0" fontId="23" fillId="24" borderId="17" pivotButton="0" quotePrefix="0" xfId="0"/>
    <xf numFmtId="2" fontId="22" fillId="24" borderId="17" applyAlignment="1" pivotButton="0" quotePrefix="0" xfId="0">
      <alignment horizontal="center"/>
    </xf>
    <xf numFmtId="0" fontId="22" fillId="24" borderId="17" applyAlignment="1" pivotButton="0" quotePrefix="0" xfId="0">
      <alignment horizontal="center"/>
    </xf>
    <xf numFmtId="176" fontId="22" fillId="24" borderId="17" applyAlignment="1" pivotButton="0" quotePrefix="0" xfId="0">
      <alignment horizontal="right"/>
    </xf>
    <xf numFmtId="179" fontId="22" fillId="24" borderId="17" applyAlignment="1" pivotButton="0" quotePrefix="0" xfId="0">
      <alignment horizontal="right"/>
    </xf>
    <xf numFmtId="176" fontId="22" fillId="2" borderId="17" applyAlignment="1" pivotButton="0" quotePrefix="0" xfId="0">
      <alignment horizontal="right"/>
    </xf>
    <xf numFmtId="174" fontId="22" fillId="0" borderId="17" applyAlignment="1" pivotButton="0" quotePrefix="0" xfId="0">
      <alignment horizontal="center" vertical="center"/>
    </xf>
    <xf numFmtId="0" fontId="32" fillId="20" borderId="17" applyAlignment="1" pivotButton="0" quotePrefix="0" xfId="0">
      <alignment horizontal="center"/>
    </xf>
    <xf numFmtId="178" fontId="32" fillId="20" borderId="17" applyAlignment="1" pivotButton="0" quotePrefix="0" xfId="0">
      <alignment vertical="center"/>
    </xf>
    <xf numFmtId="2" fontId="22" fillId="20" borderId="17" applyAlignment="1" pivotButton="0" quotePrefix="0" xfId="0">
      <alignment horizontal="center"/>
    </xf>
    <xf numFmtId="178" fontId="22" fillId="20" borderId="17" applyAlignment="1" pivotButton="0" quotePrefix="0" xfId="0">
      <alignment horizontal="center" vertical="center"/>
    </xf>
    <xf numFmtId="174" fontId="22" fillId="20" borderId="17" applyAlignment="1" pivotButton="0" quotePrefix="0" xfId="0">
      <alignment horizontal="right" vertical="center"/>
    </xf>
    <xf numFmtId="179" fontId="22" fillId="20" borderId="17" applyAlignment="1" pivotButton="0" quotePrefix="0" xfId="1">
      <alignment horizontal="right" vertical="center"/>
    </xf>
    <xf numFmtId="0" fontId="32" fillId="16" borderId="17" applyAlignment="1" pivotButton="0" quotePrefix="0" xfId="0">
      <alignment horizontal="center"/>
    </xf>
    <xf numFmtId="178" fontId="32" fillId="16" borderId="17" applyAlignment="1" pivotButton="0" quotePrefix="0" xfId="0">
      <alignment vertical="center"/>
    </xf>
    <xf numFmtId="2" fontId="32" fillId="16" borderId="17" applyAlignment="1" pivotButton="0" quotePrefix="0" xfId="0">
      <alignment horizontal="center"/>
    </xf>
    <xf numFmtId="178" fontId="32" fillId="16" borderId="17" applyAlignment="1" pivotButton="0" quotePrefix="0" xfId="0">
      <alignment horizontal="center" vertical="center"/>
    </xf>
    <xf numFmtId="174" fontId="32" fillId="16" borderId="17" applyAlignment="1" pivotButton="0" quotePrefix="0" xfId="0">
      <alignment horizontal="right" vertical="center"/>
    </xf>
    <xf numFmtId="179" fontId="32" fillId="16" borderId="17" applyAlignment="1" pivotButton="0" quotePrefix="0" xfId="1">
      <alignment horizontal="right" vertical="center"/>
    </xf>
    <xf numFmtId="2" fontId="32" fillId="20" borderId="17" applyAlignment="1" pivotButton="0" quotePrefix="0" xfId="0">
      <alignment horizontal="center"/>
    </xf>
    <xf numFmtId="178" fontId="32" fillId="20" borderId="17" applyAlignment="1" pivotButton="0" quotePrefix="0" xfId="0">
      <alignment horizontal="center" vertical="center"/>
    </xf>
    <xf numFmtId="174" fontId="32" fillId="20" borderId="17" applyAlignment="1" pivotButton="0" quotePrefix="0" xfId="0">
      <alignment horizontal="right" vertical="center"/>
    </xf>
    <xf numFmtId="179" fontId="32" fillId="20" borderId="17" applyAlignment="1" pivotButton="0" quotePrefix="0" xfId="1">
      <alignment horizontal="right" vertical="center"/>
    </xf>
    <xf numFmtId="0" fontId="32" fillId="12" borderId="17" applyAlignment="1" pivotButton="0" quotePrefix="0" xfId="0">
      <alignment horizontal="center"/>
    </xf>
    <xf numFmtId="2" fontId="22" fillId="12" borderId="17" applyAlignment="1" pivotButton="0" quotePrefix="0" xfId="0">
      <alignment horizontal="center"/>
    </xf>
    <xf numFmtId="178" fontId="22" fillId="12" borderId="17" applyAlignment="1" pivotButton="0" quotePrefix="0" xfId="0">
      <alignment horizontal="center" vertical="center"/>
    </xf>
    <xf numFmtId="174" fontId="22" fillId="12" borderId="17" applyAlignment="1" pivotButton="0" quotePrefix="0" xfId="0">
      <alignment horizontal="right" vertical="center"/>
    </xf>
    <xf numFmtId="179" fontId="22" fillId="12" borderId="17" applyAlignment="1" pivotButton="0" quotePrefix="0" xfId="1">
      <alignment horizontal="right" vertical="center"/>
    </xf>
    <xf numFmtId="0" fontId="23" fillId="8" borderId="17" applyAlignment="1" pivotButton="0" quotePrefix="0" xfId="0">
      <alignment horizontal="center"/>
    </xf>
    <xf numFmtId="178" fontId="33" fillId="8" borderId="17" applyAlignment="1" pivotButton="0" quotePrefix="0" xfId="0">
      <alignment horizontal="center" vertical="center"/>
    </xf>
    <xf numFmtId="0" fontId="34" fillId="8" borderId="17" applyAlignment="1" pivotButton="0" quotePrefix="0" xfId="0">
      <alignment horizontal="center"/>
    </xf>
    <xf numFmtId="174" fontId="22" fillId="2" borderId="17" applyAlignment="1" pivotButton="0" quotePrefix="0" xfId="0">
      <alignment horizontal="center"/>
    </xf>
    <xf numFmtId="174" fontId="22" fillId="8" borderId="17" applyAlignment="1" pivotButton="0" quotePrefix="0" xfId="0">
      <alignment horizontal="center" vertical="center"/>
    </xf>
    <xf numFmtId="0" fontId="34" fillId="2" borderId="17" applyAlignment="1" pivotButton="0" quotePrefix="0" xfId="0">
      <alignment horizontal="center"/>
    </xf>
    <xf numFmtId="0" fontId="23" fillId="12" borderId="17" applyAlignment="1" pivotButton="0" quotePrefix="0" xfId="0">
      <alignment horizontal="center"/>
    </xf>
    <xf numFmtId="179" fontId="22" fillId="2" borderId="17" pivotButton="0" quotePrefix="0" xfId="0"/>
    <xf numFmtId="179" fontId="22" fillId="24" borderId="17" pivotButton="0" quotePrefix="0" xfId="0"/>
    <xf numFmtId="0" fontId="34" fillId="2" borderId="17" pivotButton="0" quotePrefix="0" xfId="0"/>
    <xf numFmtId="179" fontId="22" fillId="0" borderId="17" applyAlignment="1" pivotButton="0" quotePrefix="0" xfId="1">
      <alignment vertical="center"/>
    </xf>
    <xf numFmtId="173" fontId="22" fillId="0" borderId="17" applyAlignment="1" pivotButton="0" quotePrefix="0" xfId="1">
      <alignment horizontal="right" vertical="center"/>
    </xf>
    <xf numFmtId="0" fontId="22" fillId="0" borderId="17" pivotButton="0" quotePrefix="0" xfId="0"/>
    <xf numFmtId="174" fontId="22" fillId="0" borderId="17" applyAlignment="1" pivotButton="0" quotePrefix="0" xfId="0">
      <alignment horizontal="center"/>
    </xf>
    <xf numFmtId="174" fontId="22" fillId="0" borderId="17" pivotButton="0" quotePrefix="0" xfId="0"/>
    <xf numFmtId="174" fontId="22" fillId="0" borderId="17" applyAlignment="1" pivotButton="0" quotePrefix="0" xfId="1">
      <alignment horizontal="center"/>
    </xf>
    <xf numFmtId="176" fontId="0" fillId="5" borderId="4" applyAlignment="1" pivotButton="0" quotePrefix="0" xfId="0">
      <alignment horizontal="center" vertical="center"/>
    </xf>
    <xf numFmtId="176" fontId="0" fillId="5" borderId="4" applyAlignment="1" pivotButton="0" quotePrefix="0" xfId="0">
      <alignment horizontal="right" vertical="center"/>
    </xf>
    <xf numFmtId="0" fontId="0" fillId="32" borderId="4" applyAlignment="1" pivotButton="0" quotePrefix="0" xfId="0">
      <alignment horizontal="center"/>
    </xf>
    <xf numFmtId="178" fontId="3" fillId="8" borderId="17" applyAlignment="1" pivotButton="0" quotePrefix="0" xfId="0">
      <alignment horizontal="center" vertical="center"/>
    </xf>
    <xf numFmtId="43" fontId="3" fillId="8" borderId="17" applyAlignment="1" pivotButton="0" quotePrefix="0" xfId="0">
      <alignment horizontal="center" vertical="center"/>
    </xf>
    <xf numFmtId="178" fontId="3" fillId="8" borderId="17" applyAlignment="1" pivotButton="0" quotePrefix="0" xfId="0">
      <alignment horizontal="right" vertical="center"/>
    </xf>
    <xf numFmtId="178" fontId="10" fillId="8" borderId="17" applyAlignment="1" pivotButton="0" quotePrefix="0" xfId="0">
      <alignment horizontal="right" vertical="center"/>
    </xf>
    <xf numFmtId="0" fontId="16" fillId="15" borderId="17" applyAlignment="1" pivotButton="0" quotePrefix="0" xfId="0">
      <alignment horizontal="center" vertical="center" wrapText="1"/>
    </xf>
    <xf numFmtId="0" fontId="16" fillId="8" borderId="17" applyAlignment="1" pivotButton="0" quotePrefix="0" xfId="0">
      <alignment horizontal="right"/>
    </xf>
    <xf numFmtId="175" fontId="15" fillId="8" borderId="17" applyAlignment="1" pivotButton="0" quotePrefix="0" xfId="0">
      <alignment horizontal="center" vertical="center" wrapText="1"/>
    </xf>
    <xf numFmtId="175" fontId="15" fillId="8" borderId="17" applyAlignment="1" pivotButton="0" quotePrefix="0" xfId="0">
      <alignment wrapText="1"/>
    </xf>
    <xf numFmtId="175" fontId="15" fillId="8" borderId="17" applyAlignment="1" pivotButton="0" quotePrefix="0" xfId="12">
      <alignment wrapText="1"/>
    </xf>
    <xf numFmtId="0" fontId="9" fillId="0" borderId="17" pivotButton="0" quotePrefix="0" xfId="0"/>
    <xf numFmtId="0" fontId="0" fillId="8" borderId="17" applyAlignment="1" pivotButton="0" quotePrefix="0" xfId="0">
      <alignment horizontal="center"/>
    </xf>
    <xf numFmtId="174" fontId="0" fillId="0" borderId="17" pivotButton="0" quotePrefix="0" xfId="0"/>
    <xf numFmtId="2" fontId="0" fillId="0" borderId="17" applyAlignment="1" pivotButton="0" quotePrefix="0" xfId="0">
      <alignment horizontal="center"/>
    </xf>
    <xf numFmtId="0" fontId="0" fillId="0" borderId="17" applyAlignment="1" pivotButton="0" quotePrefix="0" xfId="0">
      <alignment wrapText="1"/>
    </xf>
    <xf numFmtId="0" fontId="9" fillId="0" borderId="17" applyAlignment="1" pivotButton="0" quotePrefix="0" xfId="0">
      <alignment horizontal="center"/>
    </xf>
    <xf numFmtId="174" fontId="0" fillId="0" borderId="17" pivotButton="0" quotePrefix="0" xfId="1"/>
    <xf numFmtId="174" fontId="0" fillId="12" borderId="17" pivotButton="0" quotePrefix="0" xfId="1"/>
    <xf numFmtId="4" fontId="7" fillId="9" borderId="17" pivotButton="0" quotePrefix="0" xfId="4"/>
    <xf numFmtId="168" fontId="7" fillId="9" borderId="17" pivotButton="0" quotePrefix="0" xfId="4"/>
    <xf numFmtId="169" fontId="7" fillId="9" borderId="17" pivotButton="0" quotePrefix="0" xfId="4"/>
    <xf numFmtId="43" fontId="10" fillId="11" borderId="17" applyAlignment="1" pivotButton="0" quotePrefix="0" xfId="0">
      <alignment horizontal="center" vertical="center"/>
    </xf>
    <xf numFmtId="178" fontId="10" fillId="11" borderId="17" applyAlignment="1" pivotButton="0" quotePrefix="0" xfId="0">
      <alignment horizontal="center" vertical="center"/>
    </xf>
    <xf numFmtId="174" fontId="3" fillId="12" borderId="17" applyAlignment="1" pivotButton="0" quotePrefix="0" xfId="1">
      <alignment horizontal="center" vertical="center"/>
    </xf>
    <xf numFmtId="174" fontId="3" fillId="8" borderId="17" applyAlignment="1" pivotButton="0" quotePrefix="0" xfId="1">
      <alignment horizontal="center" vertical="center"/>
    </xf>
    <xf numFmtId="174" fontId="0" fillId="12" borderId="17" pivotButton="0" quotePrefix="0" xfId="0"/>
    <xf numFmtId="174" fontId="0" fillId="8" borderId="17" pivotButton="0" quotePrefix="0" xfId="0"/>
    <xf numFmtId="0" fontId="0" fillId="13" borderId="17" pivotButton="0" quotePrefix="0" xfId="0"/>
    <xf numFmtId="0" fontId="0" fillId="13" borderId="17" applyAlignment="1" pivotButton="0" quotePrefix="0" xfId="0">
      <alignment horizontal="center"/>
    </xf>
    <xf numFmtId="174" fontId="0" fillId="13" borderId="17" pivotButton="0" quotePrefix="0" xfId="0"/>
    <xf numFmtId="174" fontId="0" fillId="13" borderId="17" pivotButton="0" quotePrefix="0" xfId="1"/>
    <xf numFmtId="174" fontId="9" fillId="14" borderId="17" pivotButton="0" quotePrefix="0" xfId="1"/>
    <xf numFmtId="0" fontId="12" fillId="2" borderId="17" applyAlignment="1" pivotButton="0" quotePrefix="0" xfId="6">
      <alignment horizontal="center"/>
    </xf>
    <xf numFmtId="0" fontId="11" fillId="0" borderId="17" pivotButton="0" quotePrefix="0" xfId="6"/>
    <xf numFmtId="0" fontId="12" fillId="0" borderId="17" pivotButton="0" quotePrefix="0" xfId="6"/>
    <xf numFmtId="174" fontId="12" fillId="0" borderId="17" pivotButton="0" quotePrefix="0" xfId="6"/>
    <xf numFmtId="174" fontId="13" fillId="0" borderId="17" applyAlignment="1" pivotButton="0" quotePrefix="0" xfId="6">
      <alignment horizontal="center"/>
    </xf>
    <xf numFmtId="14" fontId="12" fillId="0" borderId="17" pivotButton="0" quotePrefix="0" xfId="6"/>
    <xf numFmtId="0" fontId="9" fillId="11" borderId="17" pivotButton="0" quotePrefix="0" xfId="0"/>
    <xf numFmtId="0" fontId="9" fillId="11" borderId="17" applyAlignment="1" pivotButton="0" quotePrefix="0" xfId="0">
      <alignment horizontal="center"/>
    </xf>
    <xf numFmtId="0" fontId="0" fillId="41" borderId="0" pivotButton="0" quotePrefix="0" xfId="0"/>
    <xf numFmtId="2" fontId="9" fillId="0" borderId="17" applyAlignment="1" pivotButton="0" quotePrefix="0" xfId="0">
      <alignment horizontal="center"/>
    </xf>
    <xf numFmtId="0" fontId="0" fillId="0" borderId="10" pivotButton="0" quotePrefix="0" xfId="0"/>
    <xf numFmtId="0" fontId="0" fillId="0" borderId="16" pivotButton="0" quotePrefix="0" xfId="0"/>
    <xf numFmtId="0" fontId="9" fillId="0" borderId="1" pivotButton="0" quotePrefix="0" xfId="0"/>
    <xf numFmtId="0" fontId="9" fillId="0" borderId="2" pivotButton="0" quotePrefix="0" xfId="0"/>
    <xf numFmtId="0" fontId="0" fillId="0" borderId="10" applyAlignment="1" pivotButton="0" quotePrefix="0" xfId="0">
      <alignment horizontal="center"/>
    </xf>
    <xf numFmtId="0" fontId="0" fillId="28" borderId="10" pivotButton="0" quotePrefix="0" xfId="0"/>
    <xf numFmtId="0" fontId="0" fillId="37" borderId="10" pivotButton="0" quotePrefix="0" xfId="0"/>
    <xf numFmtId="12" fontId="0" fillId="0" borderId="17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176" fontId="0" fillId="5" borderId="0" pivotButton="0" quotePrefix="0" xfId="0"/>
    <xf numFmtId="176" fontId="0" fillId="0" borderId="17" applyAlignment="1" pivotButton="0" quotePrefix="0" xfId="0">
      <alignment horizontal="center"/>
    </xf>
    <xf numFmtId="176" fontId="0" fillId="5" borderId="0" applyAlignment="1" pivotButton="0" quotePrefix="0" xfId="0">
      <alignment horizontal="center"/>
    </xf>
    <xf numFmtId="0" fontId="22" fillId="8" borderId="17" applyAlignment="1" pivotButton="0" quotePrefix="0" xfId="0">
      <alignment horizontal="center"/>
    </xf>
    <xf numFmtId="0" fontId="0" fillId="28" borderId="10" applyAlignment="1" pivotButton="0" quotePrefix="0" xfId="0">
      <alignment horizontal="center"/>
    </xf>
    <xf numFmtId="176" fontId="0" fillId="12" borderId="17" applyAlignment="1" pivotButton="0" quotePrefix="0" xfId="0">
      <alignment vertical="center"/>
    </xf>
    <xf numFmtId="0" fontId="23" fillId="21" borderId="17" applyAlignment="1" pivotButton="0" quotePrefix="0" xfId="0">
      <alignment horizontal="left"/>
    </xf>
    <xf numFmtId="0" fontId="0" fillId="12" borderId="17" applyAlignment="1" pivotButton="0" quotePrefix="0" xfId="0">
      <alignment vertical="center" wrapText="1"/>
    </xf>
    <xf numFmtId="176" fontId="0" fillId="12" borderId="4" applyAlignment="1" pivotButton="0" quotePrefix="0" xfId="0">
      <alignment horizontal="center" vertical="center"/>
    </xf>
    <xf numFmtId="176" fontId="0" fillId="12" borderId="4" applyAlignment="1" pivotButton="0" quotePrefix="0" xfId="0">
      <alignment horizontal="right" vertical="center"/>
    </xf>
    <xf numFmtId="176" fontId="0" fillId="5" borderId="11" applyAlignment="1" pivotButton="0" quotePrefix="0" xfId="0">
      <alignment vertical="center"/>
    </xf>
    <xf numFmtId="176" fontId="0" fillId="5" borderId="17" applyAlignment="1" pivotButton="0" quotePrefix="0" xfId="0">
      <alignment horizontal="center" vertical="center"/>
    </xf>
    <xf numFmtId="176" fontId="0" fillId="5" borderId="10" applyAlignment="1" pivotButton="0" quotePrefix="0" xfId="0">
      <alignment vertical="center"/>
    </xf>
    <xf numFmtId="176" fontId="0" fillId="5" borderId="10" applyAlignment="1" pivotButton="0" quotePrefix="0" xfId="0">
      <alignment horizontal="right" vertical="center"/>
    </xf>
    <xf numFmtId="0" fontId="0" fillId="0" borderId="17" applyAlignment="1" pivotButton="0" quotePrefix="0" xfId="0">
      <alignment horizontal="right"/>
    </xf>
    <xf numFmtId="2" fontId="22" fillId="42" borderId="17" applyAlignment="1" pivotButton="0" quotePrefix="0" xfId="0">
      <alignment horizontal="center"/>
    </xf>
    <xf numFmtId="0" fontId="0" fillId="8" borderId="17" applyAlignment="1" pivotButton="0" quotePrefix="0" xfId="0">
      <alignment horizontal="center" vertical="center" wrapText="1"/>
    </xf>
    <xf numFmtId="0" fontId="0" fillId="8" borderId="17" applyAlignment="1" pivotButton="0" quotePrefix="0" xfId="0">
      <alignment vertical="center" wrapText="1"/>
    </xf>
    <xf numFmtId="176" fontId="0" fillId="8" borderId="11" applyAlignment="1" pivotButton="0" quotePrefix="0" xfId="0">
      <alignment vertical="center"/>
    </xf>
    <xf numFmtId="176" fontId="0" fillId="8" borderId="17" applyAlignment="1" pivotButton="0" quotePrefix="0" xfId="0">
      <alignment horizontal="center" vertical="center"/>
    </xf>
    <xf numFmtId="176" fontId="0" fillId="8" borderId="10" applyAlignment="1" pivotButton="0" quotePrefix="0" xfId="0">
      <alignment vertical="center"/>
    </xf>
    <xf numFmtId="176" fontId="0" fillId="8" borderId="10" applyAlignment="1" pivotButton="0" quotePrefix="0" xfId="0">
      <alignment horizontal="right" vertical="center"/>
    </xf>
    <xf numFmtId="176" fontId="0" fillId="8" borderId="17" applyAlignment="1" pivotButton="0" quotePrefix="0" xfId="0">
      <alignment horizontal="right" vertical="center" wrapText="1"/>
    </xf>
    <xf numFmtId="176" fontId="0" fillId="8" borderId="11" applyAlignment="1" pivotButton="0" quotePrefix="0" xfId="0">
      <alignment horizontal="right" vertical="center" wrapText="1"/>
    </xf>
    <xf numFmtId="0" fontId="0" fillId="8" borderId="11" pivotButton="0" quotePrefix="0" xfId="0"/>
    <xf numFmtId="14" fontId="0" fillId="8" borderId="11" applyAlignment="1" pivotButton="0" quotePrefix="0" xfId="0">
      <alignment vertical="center"/>
    </xf>
    <xf numFmtId="2" fontId="22" fillId="16" borderId="17" applyAlignment="1" pivotButton="0" quotePrefix="0" xfId="0">
      <alignment horizontal="center"/>
    </xf>
    <xf numFmtId="178" fontId="22" fillId="16" borderId="17" applyAlignment="1" pivotButton="0" quotePrefix="0" xfId="0">
      <alignment horizontal="center" vertical="center"/>
    </xf>
    <xf numFmtId="174" fontId="22" fillId="16" borderId="17" applyAlignment="1" pivotButton="0" quotePrefix="0" xfId="0">
      <alignment horizontal="right" vertical="center"/>
    </xf>
    <xf numFmtId="179" fontId="22" fillId="16" borderId="17" applyAlignment="1" pivotButton="0" quotePrefix="0" xfId="1">
      <alignment horizontal="right" vertical="center"/>
    </xf>
    <xf numFmtId="0" fontId="22" fillId="16" borderId="17" applyAlignment="1" pivotButton="0" quotePrefix="0" xfId="0">
      <alignment horizontal="center"/>
    </xf>
    <xf numFmtId="0" fontId="34" fillId="0" borderId="17" pivotButton="0" quotePrefix="0" xfId="0"/>
    <xf numFmtId="174" fontId="22" fillId="0" borderId="17" applyAlignment="1" pivotButton="0" quotePrefix="0" xfId="0">
      <alignment horizontal="right"/>
    </xf>
    <xf numFmtId="179" fontId="22" fillId="0" borderId="17" applyAlignment="1" pivotButton="0" quotePrefix="0" xfId="0">
      <alignment horizontal="right"/>
    </xf>
    <xf numFmtId="0" fontId="23" fillId="7" borderId="17" applyAlignment="1" pivotButton="0" quotePrefix="0" xfId="0">
      <alignment horizontal="right" vertical="center"/>
    </xf>
    <xf numFmtId="176" fontId="0" fillId="0" borderId="17" applyAlignment="1" pivotButton="0" quotePrefix="0" xfId="0">
      <alignment horizontal="right"/>
    </xf>
    <xf numFmtId="0" fontId="23" fillId="7" borderId="17" applyAlignment="1" pivotButton="0" quotePrefix="0" xfId="0">
      <alignment horizontal="right" vertical="center" wrapText="1"/>
    </xf>
    <xf numFmtId="179" fontId="0" fillId="0" borderId="17" applyAlignment="1" pivotButton="0" quotePrefix="0" xfId="0">
      <alignment horizontal="right"/>
    </xf>
    <xf numFmtId="179" fontId="0" fillId="0" borderId="17" applyAlignment="1" pivotButton="0" quotePrefix="0" xfId="0">
      <alignment horizontal="right" vertical="center"/>
    </xf>
    <xf numFmtId="176" fontId="0" fillId="12" borderId="0" pivotButton="0" quotePrefix="0" xfId="0"/>
    <xf numFmtId="176" fontId="23" fillId="0" borderId="0" applyAlignment="1" pivotButton="0" quotePrefix="0" xfId="0">
      <alignment horizontal="center"/>
    </xf>
    <xf numFmtId="0" fontId="20" fillId="27" borderId="0" applyAlignment="1" pivotButton="0" quotePrefix="0" xfId="0">
      <alignment horizontal="center" vertical="center"/>
    </xf>
    <xf numFmtId="0" fontId="21" fillId="7" borderId="17" applyAlignment="1" pivotButton="0" quotePrefix="0" xfId="0">
      <alignment horizontal="center" vertical="center"/>
    </xf>
    <xf numFmtId="0" fontId="21" fillId="7" borderId="17" applyAlignment="1" pivotButton="0" quotePrefix="0" xfId="0">
      <alignment horizontal="center" vertical="center" wrapText="1"/>
    </xf>
    <xf numFmtId="0" fontId="20" fillId="27" borderId="0" pivotButton="0" quotePrefix="0" xfId="0"/>
    <xf numFmtId="0" fontId="21" fillId="25" borderId="17" applyAlignment="1" pivotButton="0" quotePrefix="0" xfId="0">
      <alignment horizontal="center"/>
    </xf>
    <xf numFmtId="0" fontId="21" fillId="25" borderId="17" pivotButton="0" quotePrefix="0" xfId="0"/>
    <xf numFmtId="176" fontId="0" fillId="25" borderId="17" pivotButton="0" quotePrefix="0" xfId="0"/>
    <xf numFmtId="49" fontId="20" fillId="27" borderId="0" applyAlignment="1" pivotButton="0" quotePrefix="0" xfId="0">
      <alignment horizontal="center"/>
    </xf>
    <xf numFmtId="0" fontId="21" fillId="24" borderId="17" applyAlignment="1" pivotButton="0" quotePrefix="0" xfId="0">
      <alignment horizontal="center"/>
    </xf>
    <xf numFmtId="0" fontId="21" fillId="24" borderId="17" pivotButton="0" quotePrefix="0" xfId="0"/>
    <xf numFmtId="176" fontId="0" fillId="24" borderId="17" pivotButton="0" quotePrefix="0" xfId="0"/>
    <xf numFmtId="0" fontId="21" fillId="2" borderId="17" applyAlignment="1" pivotButton="0" quotePrefix="0" xfId="0">
      <alignment horizontal="center"/>
    </xf>
    <xf numFmtId="0" fontId="21" fillId="2" borderId="17" pivotButton="0" quotePrefix="0" xfId="0"/>
    <xf numFmtId="176" fontId="0" fillId="2" borderId="17" pivotButton="0" quotePrefix="0" xfId="0"/>
    <xf numFmtId="0" fontId="36" fillId="2" borderId="17" applyAlignment="1" pivotButton="0" quotePrefix="0" xfId="0">
      <alignment horizontal="center"/>
    </xf>
    <xf numFmtId="0" fontId="36" fillId="2" borderId="17" pivotButton="0" quotePrefix="0" xfId="0"/>
    <xf numFmtId="0" fontId="23" fillId="0" borderId="17" applyAlignment="1" pivotButton="0" quotePrefix="0" xfId="0">
      <alignment horizontal="left"/>
    </xf>
    <xf numFmtId="2" fontId="0" fillId="0" borderId="0" pivotButton="0" quotePrefix="0" xfId="0"/>
    <xf numFmtId="0" fontId="29" fillId="4" borderId="0" pivotButton="0" quotePrefix="0" xfId="0"/>
    <xf numFmtId="0" fontId="29" fillId="29" borderId="0" pivotButton="0" quotePrefix="0" xfId="0"/>
    <xf numFmtId="176" fontId="0" fillId="5" borderId="17" applyAlignment="1" pivotButton="0" quotePrefix="0" xfId="0">
      <alignment horizontal="center"/>
    </xf>
    <xf numFmtId="2" fontId="22" fillId="24" borderId="17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wrapText="1"/>
    </xf>
    <xf numFmtId="9" fontId="0" fillId="0" borderId="0" pivotButton="0" quotePrefix="0" xfId="0"/>
    <xf numFmtId="0" fontId="0" fillId="0" borderId="5" applyAlignment="1" pivotButton="0" quotePrefix="0" xfId="0">
      <alignment horizontal="center"/>
    </xf>
    <xf numFmtId="0" fontId="0" fillId="35" borderId="17" pivotButton="0" quotePrefix="0" xfId="0"/>
    <xf numFmtId="176" fontId="0" fillId="35" borderId="17" pivotButton="0" quotePrefix="0" xfId="0"/>
    <xf numFmtId="10" fontId="0" fillId="0" borderId="17" pivotButton="0" quotePrefix="0" xfId="3"/>
    <xf numFmtId="9" fontId="0" fillId="35" borderId="17" pivotButton="0" quotePrefix="0" xfId="3"/>
    <xf numFmtId="0" fontId="0" fillId="44" borderId="17" pivotButton="0" quotePrefix="0" xfId="0"/>
    <xf numFmtId="0" fontId="0" fillId="44" borderId="5" applyAlignment="1" pivotButton="0" quotePrefix="0" xfId="0">
      <alignment horizontal="center"/>
    </xf>
    <xf numFmtId="176" fontId="0" fillId="44" borderId="11" pivotButton="0" quotePrefix="0" xfId="0"/>
    <xf numFmtId="176" fontId="0" fillId="44" borderId="17" pivotButton="0" quotePrefix="0" xfId="0"/>
    <xf numFmtId="10" fontId="0" fillId="44" borderId="17" pivotButton="0" quotePrefix="0" xfId="3"/>
    <xf numFmtId="0" fontId="22" fillId="4" borderId="17" applyAlignment="1" pivotButton="0" quotePrefix="0" xfId="0">
      <alignment horizontal="center"/>
    </xf>
    <xf numFmtId="178" fontId="32" fillId="4" borderId="17" applyAlignment="1" pivotButton="0" quotePrefix="0" xfId="0">
      <alignment vertical="center"/>
    </xf>
    <xf numFmtId="2" fontId="32" fillId="4" borderId="17" applyAlignment="1" pivotButton="0" quotePrefix="0" xfId="0">
      <alignment horizontal="center"/>
    </xf>
    <xf numFmtId="178" fontId="22" fillId="4" borderId="17" applyAlignment="1" pivotButton="0" quotePrefix="0" xfId="0">
      <alignment horizontal="center" vertical="center"/>
    </xf>
    <xf numFmtId="2" fontId="22" fillId="4" borderId="17" applyAlignment="1" pivotButton="0" quotePrefix="0" xfId="0">
      <alignment horizontal="center"/>
    </xf>
    <xf numFmtId="0" fontId="32" fillId="4" borderId="17" applyAlignment="1" pivotButton="0" quotePrefix="0" xfId="0">
      <alignment horizontal="center"/>
    </xf>
    <xf numFmtId="0" fontId="0" fillId="12" borderId="0" applyAlignment="1" pivotButton="0" quotePrefix="0" xfId="0">
      <alignment horizontal="right"/>
    </xf>
    <xf numFmtId="176" fontId="0" fillId="12" borderId="0" applyAlignment="1" pivotButton="0" quotePrefix="0" xfId="0">
      <alignment horizontal="right"/>
    </xf>
    <xf numFmtId="176" fontId="0" fillId="5" borderId="17" pivotButton="0" quotePrefix="0" xfId="0"/>
    <xf numFmtId="0" fontId="0" fillId="4" borderId="17" applyAlignment="1" pivotButton="0" quotePrefix="0" xfId="0">
      <alignment horizontal="center" vertical="center" wrapText="1"/>
    </xf>
    <xf numFmtId="174" fontId="22" fillId="4" borderId="17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9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/>
    </xf>
    <xf numFmtId="0" fontId="0" fillId="12" borderId="0" applyAlignment="1" pivotButton="0" quotePrefix="0" xfId="0">
      <alignment horizontal="center" vertical="center"/>
    </xf>
    <xf numFmtId="0" fontId="29" fillId="1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/>
    </xf>
    <xf numFmtId="0" fontId="22" fillId="27" borderId="17" applyAlignment="1" pivotButton="0" quotePrefix="0" xfId="0">
      <alignment horizontal="center" vertical="center" wrapText="1"/>
    </xf>
    <xf numFmtId="0" fontId="22" fillId="27" borderId="11" applyAlignment="1" pivotButton="0" quotePrefix="0" xfId="0">
      <alignment horizontal="center" vertical="center"/>
    </xf>
    <xf numFmtId="0" fontId="3" fillId="0" borderId="17" pivotButton="0" quotePrefix="0" xfId="0"/>
    <xf numFmtId="0" fontId="3" fillId="38" borderId="17" pivotButton="0" quotePrefix="0" xfId="0"/>
    <xf numFmtId="0" fontId="3" fillId="37" borderId="17" pivotButton="0" quotePrefix="0" xfId="0"/>
    <xf numFmtId="0" fontId="9" fillId="0" borderId="11" pivotButton="0" quotePrefix="0" xfId="0"/>
    <xf numFmtId="0" fontId="0" fillId="37" borderId="17" applyAlignment="1" pivotButton="0" quotePrefix="0" xfId="0">
      <alignment horizontal="center"/>
    </xf>
    <xf numFmtId="0" fontId="9" fillId="0" borderId="17" applyAlignment="1" pivotButton="0" quotePrefix="0" xfId="0">
      <alignment horizontal="center" vertical="center" wrapText="1"/>
    </xf>
    <xf numFmtId="176" fontId="0" fillId="21" borderId="10" applyAlignment="1" pivotButton="0" quotePrefix="0" xfId="0">
      <alignment horizontal="right" vertical="center"/>
    </xf>
    <xf numFmtId="2" fontId="37" fillId="12" borderId="17" applyAlignment="1" pivotButton="0" quotePrefix="0" xfId="0">
      <alignment horizontal="center"/>
    </xf>
    <xf numFmtId="49" fontId="22" fillId="0" borderId="17" applyAlignment="1" pivotButton="0" quotePrefix="0" xfId="0">
      <alignment horizontal="center"/>
    </xf>
    <xf numFmtId="0" fontId="23" fillId="0" borderId="17" applyAlignment="1" pivotButton="0" quotePrefix="0" xfId="0">
      <alignment horizontal="center" vertical="center"/>
    </xf>
    <xf numFmtId="49" fontId="0" fillId="0" borderId="17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32" borderId="11" applyAlignment="1" pivotButton="0" quotePrefix="0" xfId="0">
      <alignment horizontal="center"/>
    </xf>
    <xf numFmtId="0" fontId="0" fillId="32" borderId="16" applyAlignment="1" pivotButton="0" quotePrefix="0" xfId="0">
      <alignment horizontal="center"/>
    </xf>
    <xf numFmtId="0" fontId="0" fillId="32" borderId="10" applyAlignment="1" pivotButton="0" quotePrefix="0" xfId="0">
      <alignment horizontal="center"/>
    </xf>
    <xf numFmtId="0" fontId="0" fillId="23" borderId="17" applyAlignment="1" pivotButton="0" quotePrefix="0" xfId="0">
      <alignment horizontal="center"/>
    </xf>
    <xf numFmtId="0" fontId="0" fillId="30" borderId="17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 textRotation="90"/>
    </xf>
    <xf numFmtId="0" fontId="0" fillId="0" borderId="15" applyAlignment="1" pivotButton="0" quotePrefix="0" xfId="0">
      <alignment horizontal="center" vertical="center" textRotation="90"/>
    </xf>
    <xf numFmtId="0" fontId="0" fillId="0" borderId="8" applyAlignment="1" pivotButton="0" quotePrefix="0" xfId="0">
      <alignment horizontal="center" vertical="center" textRotation="90"/>
    </xf>
    <xf numFmtId="0" fontId="23" fillId="7" borderId="17" applyAlignment="1" pivotButton="0" quotePrefix="0" xfId="0">
      <alignment horizontal="center"/>
    </xf>
    <xf numFmtId="0" fontId="0" fillId="43" borderId="4" applyAlignment="1" pivotButton="0" quotePrefix="0" xfId="0">
      <alignment horizontal="center" vertical="center"/>
    </xf>
    <xf numFmtId="0" fontId="0" fillId="43" borderId="8" applyAlignment="1" pivotButton="0" quotePrefix="0" xfId="0">
      <alignment horizontal="center" vertical="center"/>
    </xf>
    <xf numFmtId="0" fontId="0" fillId="11" borderId="17" applyAlignment="1" pivotButton="0" quotePrefix="0" xfId="0">
      <alignment horizontal="center" vertical="center" wrapText="1"/>
    </xf>
    <xf numFmtId="173" fontId="22" fillId="0" borderId="0" pivotButton="0" quotePrefix="0" xfId="1"/>
    <xf numFmtId="176" fontId="23" fillId="0" borderId="0" applyAlignment="1" pivotButton="0" quotePrefix="0" xfId="0">
      <alignment horizontal="center"/>
    </xf>
    <xf numFmtId="176" fontId="22" fillId="25" borderId="17" applyAlignment="1" pivotButton="0" quotePrefix="0" xfId="0">
      <alignment horizontal="right"/>
    </xf>
    <xf numFmtId="179" fontId="22" fillId="31" borderId="17" applyAlignment="1" pivotButton="0" quotePrefix="0" xfId="0">
      <alignment horizontal="right"/>
    </xf>
    <xf numFmtId="173" fontId="30" fillId="0" borderId="0" pivotButton="0" quotePrefix="0" xfId="0"/>
    <xf numFmtId="173" fontId="3" fillId="0" borderId="0" pivotButton="0" quotePrefix="0" xfId="0"/>
    <xf numFmtId="176" fontId="22" fillId="24" borderId="17" applyAlignment="1" pivotButton="0" quotePrefix="0" xfId="0">
      <alignment horizontal="right"/>
    </xf>
    <xf numFmtId="179" fontId="22" fillId="24" borderId="17" applyAlignment="1" pivotButton="0" quotePrefix="0" xfId="0">
      <alignment horizontal="right"/>
    </xf>
    <xf numFmtId="176" fontId="22" fillId="2" borderId="17" applyAlignment="1" pivotButton="0" quotePrefix="0" xfId="0">
      <alignment horizontal="right"/>
    </xf>
    <xf numFmtId="179" fontId="22" fillId="2" borderId="17" applyAlignment="1" pivotButton="0" quotePrefix="0" xfId="0">
      <alignment horizontal="right"/>
    </xf>
    <xf numFmtId="174" fontId="30" fillId="0" borderId="0" pivotButton="0" quotePrefix="0" xfId="0"/>
    <xf numFmtId="174" fontId="3" fillId="0" borderId="0" pivotButton="0" quotePrefix="0" xfId="0"/>
    <xf numFmtId="178" fontId="22" fillId="0" borderId="17" applyAlignment="1" pivotButton="0" quotePrefix="0" xfId="0">
      <alignment vertical="center"/>
    </xf>
    <xf numFmtId="174" fontId="22" fillId="0" borderId="17" applyAlignment="1" pivotButton="0" quotePrefix="0" xfId="0">
      <alignment horizontal="center" vertical="center"/>
    </xf>
    <xf numFmtId="174" fontId="22" fillId="0" borderId="17" applyAlignment="1" pivotButton="0" quotePrefix="0" xfId="0">
      <alignment horizontal="right" vertical="center"/>
    </xf>
    <xf numFmtId="178" fontId="22" fillId="0" borderId="17" applyAlignment="1" pivotButton="0" quotePrefix="0" xfId="0">
      <alignment horizontal="center" vertical="center"/>
    </xf>
    <xf numFmtId="179" fontId="22" fillId="0" borderId="17" applyAlignment="1" pivotButton="0" quotePrefix="0" xfId="1">
      <alignment horizontal="right" vertical="center"/>
    </xf>
    <xf numFmtId="178" fontId="32" fillId="0" borderId="17" applyAlignment="1" pivotButton="0" quotePrefix="0" xfId="0">
      <alignment vertical="center"/>
    </xf>
    <xf numFmtId="174" fontId="32" fillId="0" borderId="17" applyAlignment="1" pivotButton="0" quotePrefix="0" xfId="0">
      <alignment horizontal="center" vertical="center"/>
    </xf>
    <xf numFmtId="174" fontId="32" fillId="0" borderId="17" applyAlignment="1" pivotButton="0" quotePrefix="0" xfId="0">
      <alignment horizontal="right" vertical="center"/>
    </xf>
    <xf numFmtId="178" fontId="32" fillId="0" borderId="17" applyAlignment="1" pivotButton="0" quotePrefix="0" xfId="0">
      <alignment horizontal="center" vertical="center"/>
    </xf>
    <xf numFmtId="179" fontId="32" fillId="0" borderId="17" applyAlignment="1" pivotButton="0" quotePrefix="0" xfId="1">
      <alignment horizontal="right" vertical="center"/>
    </xf>
    <xf numFmtId="178" fontId="32" fillId="20" borderId="17" applyAlignment="1" pivotButton="0" quotePrefix="0" xfId="0">
      <alignment vertical="center"/>
    </xf>
    <xf numFmtId="178" fontId="22" fillId="20" borderId="17" applyAlignment="1" pivotButton="0" quotePrefix="0" xfId="0">
      <alignment horizontal="center" vertical="center"/>
    </xf>
    <xf numFmtId="174" fontId="22" fillId="20" borderId="17" applyAlignment="1" pivotButton="0" quotePrefix="0" xfId="0">
      <alignment horizontal="right" vertical="center"/>
    </xf>
    <xf numFmtId="179" fontId="22" fillId="20" borderId="17" applyAlignment="1" pivotButton="0" quotePrefix="0" xfId="1">
      <alignment horizontal="right" vertical="center"/>
    </xf>
    <xf numFmtId="178" fontId="32" fillId="16" borderId="17" applyAlignment="1" pivotButton="0" quotePrefix="0" xfId="0">
      <alignment vertical="center"/>
    </xf>
    <xf numFmtId="178" fontId="32" fillId="16" borderId="17" applyAlignment="1" pivotButton="0" quotePrefix="0" xfId="0">
      <alignment horizontal="center" vertical="center"/>
    </xf>
    <xf numFmtId="174" fontId="32" fillId="16" borderId="17" applyAlignment="1" pivotButton="0" quotePrefix="0" xfId="0">
      <alignment horizontal="right" vertical="center"/>
    </xf>
    <xf numFmtId="179" fontId="32" fillId="16" borderId="17" applyAlignment="1" pivotButton="0" quotePrefix="0" xfId="1">
      <alignment horizontal="right" vertical="center"/>
    </xf>
    <xf numFmtId="174" fontId="22" fillId="2" borderId="17" applyAlignment="1" pivotButton="0" quotePrefix="0" xfId="0">
      <alignment horizontal="right"/>
    </xf>
    <xf numFmtId="174" fontId="22" fillId="21" borderId="17" applyAlignment="1" pivotButton="0" quotePrefix="0" xfId="0">
      <alignment horizontal="right"/>
    </xf>
    <xf numFmtId="179" fontId="22" fillId="21" borderId="17" applyAlignment="1" pivotButton="0" quotePrefix="0" xfId="0">
      <alignment horizontal="right"/>
    </xf>
    <xf numFmtId="174" fontId="30" fillId="0" borderId="0" pivotButton="0" quotePrefix="0" xfId="1"/>
    <xf numFmtId="173" fontId="30" fillId="0" borderId="0" pivotButton="0" quotePrefix="0" xfId="1"/>
    <xf numFmtId="178" fontId="32" fillId="20" borderId="17" applyAlignment="1" pivotButton="0" quotePrefix="0" xfId="0">
      <alignment horizontal="center" vertical="center"/>
    </xf>
    <xf numFmtId="174" fontId="32" fillId="20" borderId="17" applyAlignment="1" pivotButton="0" quotePrefix="0" xfId="0">
      <alignment horizontal="right" vertical="center"/>
    </xf>
    <xf numFmtId="179" fontId="32" fillId="20" borderId="17" applyAlignment="1" pivotButton="0" quotePrefix="0" xfId="1">
      <alignment horizontal="right" vertical="center"/>
    </xf>
    <xf numFmtId="178" fontId="32" fillId="4" borderId="17" applyAlignment="1" pivotButton="0" quotePrefix="0" xfId="0">
      <alignment vertical="center"/>
    </xf>
    <xf numFmtId="178" fontId="32" fillId="12" borderId="17" applyAlignment="1" pivotButton="0" quotePrefix="0" xfId="0">
      <alignment vertical="center"/>
    </xf>
    <xf numFmtId="178" fontId="22" fillId="12" borderId="17" applyAlignment="1" pivotButton="0" quotePrefix="0" xfId="0">
      <alignment horizontal="center" vertical="center"/>
    </xf>
    <xf numFmtId="174" fontId="22" fillId="12" borderId="17" applyAlignment="1" pivotButton="0" quotePrefix="0" xfId="0">
      <alignment horizontal="right" vertical="center"/>
    </xf>
    <xf numFmtId="179" fontId="22" fillId="12" borderId="17" applyAlignment="1" pivotButton="0" quotePrefix="0" xfId="1">
      <alignment horizontal="right" vertical="center"/>
    </xf>
    <xf numFmtId="178" fontId="32" fillId="8" borderId="17" applyAlignment="1" pivotButton="0" quotePrefix="0" xfId="0">
      <alignment vertical="center"/>
    </xf>
    <xf numFmtId="178" fontId="32" fillId="8" borderId="17" applyAlignment="1" pivotButton="0" quotePrefix="0" xfId="0">
      <alignment horizontal="center" vertical="center"/>
    </xf>
    <xf numFmtId="174" fontId="32" fillId="8" borderId="17" applyAlignment="1" pivotButton="0" quotePrefix="0" xfId="0">
      <alignment horizontal="right" vertical="center"/>
    </xf>
    <xf numFmtId="179" fontId="32" fillId="8" borderId="17" applyAlignment="1" pivotButton="0" quotePrefix="0" xfId="1">
      <alignment horizontal="right" vertical="center"/>
    </xf>
    <xf numFmtId="178" fontId="22" fillId="8" borderId="17" applyAlignment="1" pivotButton="0" quotePrefix="0" xfId="0">
      <alignment vertical="center"/>
    </xf>
    <xf numFmtId="178" fontId="22" fillId="8" borderId="17" applyAlignment="1" pivotButton="0" quotePrefix="0" xfId="0">
      <alignment horizontal="center" vertical="center"/>
    </xf>
    <xf numFmtId="174" fontId="22" fillId="8" borderId="17" applyAlignment="1" pivotButton="0" quotePrefix="0" xfId="0">
      <alignment horizontal="right" vertical="center"/>
    </xf>
    <xf numFmtId="179" fontId="22" fillId="8" borderId="17" applyAlignment="1" pivotButton="0" quotePrefix="0" xfId="1">
      <alignment horizontal="right" vertical="center"/>
    </xf>
    <xf numFmtId="178" fontId="33" fillId="8" borderId="17" applyAlignment="1" pivotButton="0" quotePrefix="0" xfId="0">
      <alignment horizontal="center" vertical="center"/>
    </xf>
    <xf numFmtId="174" fontId="22" fillId="2" borderId="17" applyAlignment="1" pivotButton="0" quotePrefix="0" xfId="0">
      <alignment horizontal="center"/>
    </xf>
    <xf numFmtId="174" fontId="22" fillId="8" borderId="17" applyAlignment="1" pivotButton="0" quotePrefix="0" xfId="0">
      <alignment horizontal="center" vertical="center"/>
    </xf>
    <xf numFmtId="178" fontId="22" fillId="4" borderId="17" applyAlignment="1" pivotButton="0" quotePrefix="0" xfId="0">
      <alignment horizontal="center" vertical="center"/>
    </xf>
    <xf numFmtId="174" fontId="22" fillId="4" borderId="17" applyAlignment="1" pivotButton="0" quotePrefix="0" xfId="0">
      <alignment horizontal="right" vertical="center"/>
    </xf>
    <xf numFmtId="174" fontId="30" fillId="0" borderId="0" applyAlignment="1" pivotButton="0" quotePrefix="0" xfId="0">
      <alignment horizontal="center"/>
    </xf>
    <xf numFmtId="179" fontId="22" fillId="0" borderId="17" applyAlignment="1" pivotButton="0" quotePrefix="0" xfId="1">
      <alignment vertical="center"/>
    </xf>
    <xf numFmtId="179" fontId="22" fillId="2" borderId="17" pivotButton="0" quotePrefix="0" xfId="0"/>
    <xf numFmtId="179" fontId="22" fillId="24" borderId="17" pivotButton="0" quotePrefix="0" xfId="0"/>
    <xf numFmtId="178" fontId="22" fillId="16" borderId="17" applyAlignment="1" pivotButton="0" quotePrefix="0" xfId="0">
      <alignment horizontal="center" vertical="center"/>
    </xf>
    <xf numFmtId="174" fontId="22" fillId="16" borderId="17" applyAlignment="1" pivotButton="0" quotePrefix="0" xfId="0">
      <alignment horizontal="right" vertical="center"/>
    </xf>
    <xf numFmtId="179" fontId="22" fillId="16" borderId="17" applyAlignment="1" pivotButton="0" quotePrefix="0" xfId="1">
      <alignment horizontal="right" vertical="center"/>
    </xf>
    <xf numFmtId="179" fontId="22" fillId="0" borderId="17" applyAlignment="1" pivotButton="0" quotePrefix="0" xfId="0">
      <alignment horizontal="right"/>
    </xf>
    <xf numFmtId="174" fontId="22" fillId="0" borderId="17" applyAlignment="1" pivotButton="0" quotePrefix="0" xfId="0">
      <alignment horizontal="right"/>
    </xf>
    <xf numFmtId="173" fontId="22" fillId="0" borderId="17" applyAlignment="1" pivotButton="0" quotePrefix="0" xfId="1">
      <alignment horizontal="right" vertical="center"/>
    </xf>
    <xf numFmtId="174" fontId="22" fillId="0" borderId="0" pivotButton="0" quotePrefix="0" xfId="0"/>
    <xf numFmtId="180" fontId="22" fillId="0" borderId="0" pivotButton="0" quotePrefix="0" xfId="0"/>
    <xf numFmtId="174" fontId="22" fillId="0" borderId="17" applyAlignment="1" pivotButton="0" quotePrefix="0" xfId="0">
      <alignment horizontal="center"/>
    </xf>
    <xf numFmtId="174" fontId="22" fillId="0" borderId="17" pivotButton="0" quotePrefix="0" xfId="0"/>
    <xf numFmtId="174" fontId="23" fillId="0" borderId="0" applyAlignment="1" pivotButton="0" quotePrefix="0" xfId="0">
      <alignment horizontal="center"/>
    </xf>
    <xf numFmtId="174" fontId="23" fillId="0" borderId="0" pivotButton="0" quotePrefix="0" xfId="0"/>
    <xf numFmtId="174" fontId="22" fillId="0" borderId="17" applyAlignment="1" pivotButton="0" quotePrefix="0" xfId="1">
      <alignment horizontal="center"/>
    </xf>
    <xf numFmtId="176" fontId="0" fillId="0" borderId="17" applyAlignment="1" pivotButton="0" quotePrefix="0" xfId="0">
      <alignment horizontal="right" vertical="center"/>
    </xf>
    <xf numFmtId="176" fontId="0" fillId="0" borderId="17" applyAlignment="1" pivotButton="0" quotePrefix="0" xfId="0">
      <alignment horizontal="right"/>
    </xf>
    <xf numFmtId="176" fontId="0" fillId="12" borderId="0" applyAlignment="1" pivotButton="0" quotePrefix="0" xfId="0">
      <alignment horizontal="right"/>
    </xf>
    <xf numFmtId="179" fontId="0" fillId="0" borderId="17" applyAlignment="1" pivotButton="0" quotePrefix="0" xfId="0">
      <alignment horizontal="right"/>
    </xf>
    <xf numFmtId="179" fontId="0" fillId="0" borderId="17" applyAlignment="1" pivotButton="0" quotePrefix="0" xfId="0">
      <alignment horizontal="right" vertical="center"/>
    </xf>
    <xf numFmtId="176" fontId="0" fillId="12" borderId="0" pivotButton="0" quotePrefix="0" xfId="0"/>
    <xf numFmtId="176" fontId="0" fillId="0" borderId="0" pivotButton="0" quotePrefix="0" xfId="0"/>
    <xf numFmtId="0" fontId="0" fillId="43" borderId="17" applyAlignment="1" pivotButton="0" quotePrefix="0" xfId="0">
      <alignment horizontal="center" vertical="center"/>
    </xf>
    <xf numFmtId="176" fontId="0" fillId="0" borderId="17" pivotButton="0" quotePrefix="0" xfId="0"/>
    <xf numFmtId="176" fontId="0" fillId="5" borderId="17" applyAlignment="1" pivotButton="0" quotePrefix="0" xfId="0">
      <alignment horizontal="center"/>
    </xf>
    <xf numFmtId="176" fontId="0" fillId="5" borderId="17" pivotButton="0" quotePrefix="0" xfId="0"/>
    <xf numFmtId="176" fontId="9" fillId="0" borderId="10" applyAlignment="1" pivotButton="0" quotePrefix="0" xfId="0">
      <alignment vertical="center"/>
    </xf>
    <xf numFmtId="176" fontId="0" fillId="0" borderId="11" applyAlignment="1" pivotButton="0" quotePrefix="0" xfId="0">
      <alignment vertical="center"/>
    </xf>
    <xf numFmtId="176" fontId="0" fillId="0" borderId="17" applyAlignment="1" pivotButton="0" quotePrefix="0" xfId="0">
      <alignment horizontal="center" vertical="center"/>
    </xf>
    <xf numFmtId="176" fontId="0" fillId="0" borderId="10" applyAlignment="1" pivotButton="0" quotePrefix="0" xfId="0">
      <alignment vertical="center"/>
    </xf>
    <xf numFmtId="176" fontId="0" fillId="0" borderId="10" applyAlignment="1" pivotButton="0" quotePrefix="0" xfId="0">
      <alignment horizontal="right" vertical="center"/>
    </xf>
    <xf numFmtId="176" fontId="0" fillId="0" borderId="17" applyAlignment="1" pivotButton="0" quotePrefix="0" xfId="0">
      <alignment horizontal="right" vertical="center" wrapText="1"/>
    </xf>
    <xf numFmtId="176" fontId="0" fillId="0" borderId="11" applyAlignment="1" pivotButton="0" quotePrefix="0" xfId="0">
      <alignment horizontal="right" vertical="center" wrapText="1"/>
    </xf>
    <xf numFmtId="176" fontId="0" fillId="19" borderId="11" applyAlignment="1" pivotButton="0" quotePrefix="0" xfId="0">
      <alignment vertical="center"/>
    </xf>
    <xf numFmtId="176" fontId="0" fillId="19" borderId="10" applyAlignment="1" pivotButton="0" quotePrefix="0" xfId="0">
      <alignment vertical="center"/>
    </xf>
    <xf numFmtId="176" fontId="0" fillId="19" borderId="10" applyAlignment="1" pivotButton="0" quotePrefix="0" xfId="0">
      <alignment horizontal="right" vertical="center"/>
    </xf>
    <xf numFmtId="176" fontId="0" fillId="16" borderId="11" applyAlignment="1" pivotButton="0" quotePrefix="0" xfId="0">
      <alignment vertical="center"/>
    </xf>
    <xf numFmtId="176" fontId="0" fillId="16" borderId="10" applyAlignment="1" pivotButton="0" quotePrefix="0" xfId="0">
      <alignment vertical="center"/>
    </xf>
    <xf numFmtId="176" fontId="0" fillId="16" borderId="10" applyAlignment="1" pivotButton="0" quotePrefix="0" xfId="0">
      <alignment horizontal="right" vertical="center"/>
    </xf>
    <xf numFmtId="176" fontId="0" fillId="0" borderId="4" applyAlignment="1" pivotButton="0" quotePrefix="0" xfId="0">
      <alignment vertical="center"/>
    </xf>
    <xf numFmtId="176" fontId="0" fillId="0" borderId="4" applyAlignment="1" pivotButton="0" quotePrefix="0" xfId="0">
      <alignment horizontal="center" vertical="center"/>
    </xf>
    <xf numFmtId="176" fontId="0" fillId="0" borderId="4" applyAlignment="1" pivotButton="0" quotePrefix="0" xfId="0">
      <alignment horizontal="right" vertical="center"/>
    </xf>
    <xf numFmtId="176" fontId="0" fillId="0" borderId="4" applyAlignment="1" pivotButton="0" quotePrefix="0" xfId="0">
      <alignment horizontal="right" vertical="center" wrapText="1"/>
    </xf>
    <xf numFmtId="176" fontId="0" fillId="0" borderId="17" applyAlignment="1" pivotButton="0" quotePrefix="0" xfId="0">
      <alignment vertical="center"/>
    </xf>
    <xf numFmtId="176" fontId="0" fillId="5" borderId="4" applyAlignment="1" pivotButton="0" quotePrefix="0" xfId="0">
      <alignment horizontal="center" vertical="center"/>
    </xf>
    <xf numFmtId="176" fontId="0" fillId="5" borderId="17" applyAlignment="1" pivotButton="0" quotePrefix="0" xfId="0">
      <alignment vertical="center"/>
    </xf>
    <xf numFmtId="176" fontId="0" fillId="5" borderId="4" applyAlignment="1" pivotButton="0" quotePrefix="0" xfId="0">
      <alignment horizontal="right" vertical="center"/>
    </xf>
    <xf numFmtId="176" fontId="0" fillId="12" borderId="4" applyAlignment="1" pivotButton="0" quotePrefix="0" xfId="0">
      <alignment horizontal="center" vertical="center"/>
    </xf>
    <xf numFmtId="176" fontId="0" fillId="12" borderId="17" applyAlignment="1" pivotButton="0" quotePrefix="0" xfId="0">
      <alignment vertical="center"/>
    </xf>
    <xf numFmtId="176" fontId="0" fillId="12" borderId="4" applyAlignment="1" pivotButton="0" quotePrefix="0" xfId="0">
      <alignment horizontal="right" vertical="center"/>
    </xf>
    <xf numFmtId="176" fontId="0" fillId="8" borderId="10" applyAlignment="1" pivotButton="0" quotePrefix="0" xfId="0">
      <alignment horizontal="right" vertical="center"/>
    </xf>
    <xf numFmtId="176" fontId="0" fillId="8" borderId="11" applyAlignment="1" pivotButton="0" quotePrefix="0" xfId="0">
      <alignment vertical="center"/>
    </xf>
    <xf numFmtId="176" fontId="0" fillId="8" borderId="17" applyAlignment="1" pivotButton="0" quotePrefix="0" xfId="0">
      <alignment horizontal="center" vertical="center"/>
    </xf>
    <xf numFmtId="176" fontId="0" fillId="8" borderId="10" applyAlignment="1" pivotButton="0" quotePrefix="0" xfId="0">
      <alignment vertical="center"/>
    </xf>
    <xf numFmtId="176" fontId="0" fillId="8" borderId="17" applyAlignment="1" pivotButton="0" quotePrefix="0" xfId="0">
      <alignment horizontal="right" vertical="center" wrapText="1"/>
    </xf>
    <xf numFmtId="176" fontId="0" fillId="8" borderId="11" applyAlignment="1" pivotButton="0" quotePrefix="0" xfId="0">
      <alignment horizontal="right" vertical="center" wrapText="1"/>
    </xf>
    <xf numFmtId="176" fontId="0" fillId="27" borderId="2" applyAlignment="1" pivotButton="0" quotePrefix="0" xfId="0">
      <alignment horizontal="center" vertical="center"/>
    </xf>
    <xf numFmtId="176" fontId="0" fillId="27" borderId="6" applyAlignment="1" pivotButton="0" quotePrefix="0" xfId="0">
      <alignment horizontal="center" vertical="center"/>
    </xf>
    <xf numFmtId="176" fontId="0" fillId="0" borderId="8" applyAlignment="1" pivotButton="0" quotePrefix="0" xfId="0">
      <alignment horizontal="center" vertical="center"/>
    </xf>
    <xf numFmtId="176" fontId="0" fillId="0" borderId="8" applyAlignment="1" pivotButton="0" quotePrefix="0" xfId="0">
      <alignment vertical="center"/>
    </xf>
    <xf numFmtId="176" fontId="0" fillId="0" borderId="8" applyAlignment="1" pivotButton="0" quotePrefix="0" xfId="0">
      <alignment horizontal="right" vertical="center"/>
    </xf>
    <xf numFmtId="176" fontId="0" fillId="0" borderId="8" applyAlignment="1" pivotButton="0" quotePrefix="0" xfId="0">
      <alignment horizontal="right" vertical="center" wrapText="1"/>
    </xf>
    <xf numFmtId="176" fontId="0" fillId="0" borderId="0" applyAlignment="1" pivotButton="0" quotePrefix="0" xfId="0">
      <alignment horizontal="center" vertical="center"/>
    </xf>
    <xf numFmtId="176" fontId="9" fillId="0" borderId="17" applyAlignment="1" pivotButton="0" quotePrefix="0" xfId="0">
      <alignment horizontal="center" vertical="center"/>
    </xf>
    <xf numFmtId="176" fontId="0" fillId="0" borderId="10" applyAlignment="1" pivotButton="0" quotePrefix="0" xfId="0">
      <alignment horizontal="center" vertical="center"/>
    </xf>
    <xf numFmtId="176" fontId="9" fillId="23" borderId="17" applyAlignment="1" pivotButton="0" quotePrefix="0" xfId="0">
      <alignment vertical="center"/>
    </xf>
    <xf numFmtId="176" fontId="0" fillId="23" borderId="17" applyAlignment="1" pivotButton="0" quotePrefix="0" xfId="0">
      <alignment horizontal="center" vertical="center"/>
    </xf>
    <xf numFmtId="176" fontId="0" fillId="23" borderId="17" applyAlignment="1" pivotButton="0" quotePrefix="0" xfId="0">
      <alignment vertical="center"/>
    </xf>
    <xf numFmtId="176" fontId="0" fillId="23" borderId="17" applyAlignment="1" pivotButton="0" quotePrefix="0" xfId="0">
      <alignment horizontal="right" vertical="center" wrapText="1"/>
    </xf>
    <xf numFmtId="176" fontId="0" fillId="23" borderId="11" applyAlignment="1" pivotButton="0" quotePrefix="0" xfId="0">
      <alignment horizontal="right" vertical="center" wrapText="1"/>
    </xf>
    <xf numFmtId="176" fontId="0" fillId="21" borderId="10" applyAlignment="1" pivotButton="0" quotePrefix="0" xfId="0">
      <alignment horizontal="right" vertical="center"/>
    </xf>
    <xf numFmtId="176" fontId="0" fillId="0" borderId="11" pivotButton="0" quotePrefix="0" xfId="0"/>
    <xf numFmtId="176" fontId="9" fillId="0" borderId="17" applyAlignment="1" pivotButton="0" quotePrefix="0" xfId="0">
      <alignment vertical="center"/>
    </xf>
    <xf numFmtId="176" fontId="0" fillId="5" borderId="11" applyAlignment="1" pivotButton="0" quotePrefix="0" xfId="0">
      <alignment vertical="center"/>
    </xf>
    <xf numFmtId="176" fontId="0" fillId="5" borderId="17" applyAlignment="1" pivotButton="0" quotePrefix="0" xfId="0">
      <alignment horizontal="center" vertical="center"/>
    </xf>
    <xf numFmtId="176" fontId="0" fillId="5" borderId="10" applyAlignment="1" pivotButton="0" quotePrefix="0" xfId="0">
      <alignment vertical="center"/>
    </xf>
    <xf numFmtId="176" fontId="0" fillId="5" borderId="10" applyAlignment="1" pivotButton="0" quotePrefix="0" xfId="0">
      <alignment horizontal="right" vertical="center"/>
    </xf>
    <xf numFmtId="176" fontId="0" fillId="12" borderId="10" applyAlignment="1" pivotButton="0" quotePrefix="0" xfId="0">
      <alignment horizontal="right" vertical="center"/>
    </xf>
    <xf numFmtId="0" fontId="0" fillId="32" borderId="17" applyAlignment="1" pivotButton="0" quotePrefix="0" xfId="0">
      <alignment horizontal="center"/>
    </xf>
    <xf numFmtId="176" fontId="0" fillId="34" borderId="17" applyAlignment="1" pivotButton="0" quotePrefix="0" xfId="0">
      <alignment horizontal="center"/>
    </xf>
    <xf numFmtId="176" fontId="0" fillId="34" borderId="17" pivotButton="0" quotePrefix="0" xfId="0"/>
    <xf numFmtId="176" fontId="0" fillId="26" borderId="17" pivotButton="0" quotePrefix="0" xfId="0"/>
    <xf numFmtId="176" fontId="0" fillId="29" borderId="17" pivotButton="0" quotePrefix="0" xfId="0"/>
    <xf numFmtId="176" fontId="0" fillId="26" borderId="17" applyAlignment="1" pivotButton="0" quotePrefix="0" xfId="0">
      <alignment horizontal="center"/>
    </xf>
    <xf numFmtId="177" fontId="0" fillId="32" borderId="17" applyAlignment="1" pivotButton="0" quotePrefix="0" xfId="0">
      <alignment horizontal="center"/>
    </xf>
    <xf numFmtId="177" fontId="0" fillId="30" borderId="17" applyAlignment="1" pivotButton="0" quotePrefix="0" xfId="0">
      <alignment horizontal="center"/>
    </xf>
    <xf numFmtId="177" fontId="0" fillId="28" borderId="1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7" applyAlignment="1" pivotButton="0" quotePrefix="0" xfId="0">
      <alignment horizontal="center" vertical="center" textRotation="90"/>
    </xf>
    <xf numFmtId="176" fontId="0" fillId="5" borderId="0" pivotButton="0" quotePrefix="0" xfId="0"/>
    <xf numFmtId="176" fontId="0" fillId="0" borderId="17" applyAlignment="1" pivotButton="0" quotePrefix="0" xfId="0">
      <alignment horizontal="center"/>
    </xf>
    <xf numFmtId="176" fontId="0" fillId="5" borderId="0" applyAlignment="1" pivotButton="0" quotePrefix="0" xfId="0">
      <alignment horizontal="center"/>
    </xf>
    <xf numFmtId="176" fontId="0" fillId="25" borderId="17" pivotButton="0" quotePrefix="0" xfId="0"/>
    <xf numFmtId="176" fontId="0" fillId="24" borderId="17" pivotButton="0" quotePrefix="0" xfId="0"/>
    <xf numFmtId="176" fontId="0" fillId="2" borderId="17" pivotButton="0" quotePrefix="0" xfId="0"/>
    <xf numFmtId="175" fontId="15" fillId="8" borderId="17" applyAlignment="1" pivotButton="0" quotePrefix="0" xfId="0">
      <alignment horizontal="center" vertical="center" wrapText="1"/>
    </xf>
    <xf numFmtId="175" fontId="15" fillId="8" borderId="17" applyAlignment="1" pivotButton="0" quotePrefix="0" xfId="0">
      <alignment wrapText="1"/>
    </xf>
    <xf numFmtId="175" fontId="15" fillId="8" borderId="17" applyAlignment="1" pivotButton="0" quotePrefix="0" xfId="12">
      <alignment wrapText="1"/>
    </xf>
    <xf numFmtId="175" fontId="0" fillId="8" borderId="0" pivotButton="0" quotePrefix="0" xfId="0"/>
    <xf numFmtId="176" fontId="0" fillId="44" borderId="11" pivotButton="0" quotePrefix="0" xfId="0"/>
    <xf numFmtId="176" fontId="0" fillId="44" borderId="17" pivotButton="0" quotePrefix="0" xfId="0"/>
    <xf numFmtId="176" fontId="0" fillId="35" borderId="17" pivotButton="0" quotePrefix="0" xfId="0"/>
    <xf numFmtId="164" fontId="6" fillId="9" borderId="0" applyAlignment="1" pivotButton="0" quotePrefix="0" xfId="4">
      <alignment horizontal="left"/>
    </xf>
    <xf numFmtId="165" fontId="4" fillId="9" borderId="0" pivotButton="0" quotePrefix="0" xfId="4"/>
    <xf numFmtId="166" fontId="8" fillId="9" borderId="9" pivotButton="0" quotePrefix="0" xfId="4"/>
    <xf numFmtId="167" fontId="8" fillId="9" borderId="9" pivotButton="0" quotePrefix="0" xfId="4"/>
    <xf numFmtId="168" fontId="7" fillId="9" borderId="17" pivotButton="0" quotePrefix="0" xfId="4"/>
    <xf numFmtId="169" fontId="7" fillId="9" borderId="17" pivotButton="0" quotePrefix="0" xfId="4"/>
    <xf numFmtId="168" fontId="7" fillId="9" borderId="0" pivotButton="0" quotePrefix="0" xfId="4"/>
    <xf numFmtId="169" fontId="7" fillId="9" borderId="0" pivotButton="0" quotePrefix="0" xfId="4"/>
    <xf numFmtId="170" fontId="6" fillId="10" borderId="9" applyAlignment="1" pivotButton="0" quotePrefix="0" xfId="4">
      <alignment horizontal="right"/>
    </xf>
    <xf numFmtId="171" fontId="6" fillId="10" borderId="9" applyAlignment="1" pivotButton="0" quotePrefix="0" xfId="4">
      <alignment horizontal="right"/>
    </xf>
    <xf numFmtId="172" fontId="4" fillId="9" borderId="0" pivotButton="0" quotePrefix="0" xfId="4"/>
    <xf numFmtId="178" fontId="10" fillId="11" borderId="17" applyAlignment="1" pivotButton="0" quotePrefix="0" xfId="0">
      <alignment horizontal="center" vertical="center"/>
    </xf>
    <xf numFmtId="178" fontId="10" fillId="8" borderId="17" applyAlignment="1" pivotButton="0" quotePrefix="0" xfId="0">
      <alignment horizontal="right" vertical="center"/>
    </xf>
    <xf numFmtId="178" fontId="3" fillId="8" borderId="17" applyAlignment="1" pivotButton="0" quotePrefix="0" xfId="0">
      <alignment horizontal="center" vertical="center"/>
    </xf>
    <xf numFmtId="178" fontId="3" fillId="8" borderId="17" applyAlignment="1" pivotButton="0" quotePrefix="0" xfId="0">
      <alignment horizontal="right" vertical="center"/>
    </xf>
    <xf numFmtId="174" fontId="3" fillId="12" borderId="17" applyAlignment="1" pivotButton="0" quotePrefix="0" xfId="1">
      <alignment horizontal="center" vertical="center"/>
    </xf>
    <xf numFmtId="174" fontId="3" fillId="8" borderId="17" applyAlignment="1" pivotButton="0" quotePrefix="0" xfId="1">
      <alignment horizontal="center" vertical="center"/>
    </xf>
    <xf numFmtId="174" fontId="9" fillId="13" borderId="8" pivotButton="0" quotePrefix="0" xfId="0"/>
    <xf numFmtId="174" fontId="9" fillId="13" borderId="7" pivotButton="0" quotePrefix="0" xfId="1"/>
    <xf numFmtId="174" fontId="9" fillId="13" borderId="8" pivotButton="0" quotePrefix="0" xfId="1"/>
    <xf numFmtId="174" fontId="0" fillId="8" borderId="8" pivotButton="0" quotePrefix="0" xfId="0"/>
    <xf numFmtId="174" fontId="0" fillId="8" borderId="7" pivotButton="0" quotePrefix="0" xfId="1"/>
    <xf numFmtId="174" fontId="0" fillId="8" borderId="8" pivotButton="0" quotePrefix="0" xfId="1"/>
    <xf numFmtId="174" fontId="0" fillId="0" borderId="17" pivotButton="0" quotePrefix="0" xfId="0"/>
    <xf numFmtId="174" fontId="0" fillId="12" borderId="17" pivotButton="0" quotePrefix="0" xfId="0"/>
    <xf numFmtId="174" fontId="0" fillId="0" borderId="10" pivotButton="0" quotePrefix="0" xfId="1"/>
    <xf numFmtId="174" fontId="0" fillId="0" borderId="17" pivotButton="0" quotePrefix="0" xfId="1"/>
    <xf numFmtId="174" fontId="0" fillId="8" borderId="17" pivotButton="0" quotePrefix="0" xfId="0"/>
    <xf numFmtId="174" fontId="0" fillId="0" borderId="0" pivotButton="0" quotePrefix="0" xfId="0"/>
    <xf numFmtId="174" fontId="9" fillId="0" borderId="0" pivotButton="0" quotePrefix="0" xfId="0"/>
    <xf numFmtId="174" fontId="0" fillId="0" borderId="4" pivotButton="0" quotePrefix="0" xfId="0"/>
    <xf numFmtId="174" fontId="0" fillId="0" borderId="4" pivotButton="0" quotePrefix="0" xfId="1"/>
    <xf numFmtId="174" fontId="9" fillId="14" borderId="14" pivotButton="0" quotePrefix="0" xfId="0"/>
    <xf numFmtId="174" fontId="9" fillId="14" borderId="14" pivotButton="0" quotePrefix="0" xfId="1"/>
    <xf numFmtId="174" fontId="0" fillId="0" borderId="15" pivotButton="0" quotePrefix="0" xfId="0"/>
    <xf numFmtId="174" fontId="0" fillId="0" borderId="15" pivotButton="0" quotePrefix="0" xfId="1"/>
    <xf numFmtId="174" fontId="0" fillId="13" borderId="14" pivotButton="0" quotePrefix="0" xfId="0"/>
    <xf numFmtId="174" fontId="0" fillId="13" borderId="14" pivotButton="0" quotePrefix="0" xfId="1"/>
    <xf numFmtId="174" fontId="0" fillId="0" borderId="8" pivotButton="0" quotePrefix="0" xfId="0"/>
    <xf numFmtId="174" fontId="0" fillId="0" borderId="8" pivotButton="0" quotePrefix="0" xfId="1"/>
    <xf numFmtId="174" fontId="0" fillId="0" borderId="10" pivotButton="0" quotePrefix="0" xfId="0"/>
    <xf numFmtId="174" fontId="9" fillId="14" borderId="13" pivotButton="0" quotePrefix="0" xfId="0"/>
    <xf numFmtId="174" fontId="9" fillId="13" borderId="13" pivotButton="0" quotePrefix="0" xfId="0"/>
    <xf numFmtId="174" fontId="9" fillId="13" borderId="14" pivotButton="0" quotePrefix="0" xfId="1"/>
    <xf numFmtId="174" fontId="9" fillId="13" borderId="14" pivotButton="0" quotePrefix="0" xfId="0"/>
    <xf numFmtId="174" fontId="0" fillId="13" borderId="13" pivotButton="0" quotePrefix="0" xfId="0"/>
    <xf numFmtId="174" fontId="0" fillId="12" borderId="17" pivotButton="0" quotePrefix="0" xfId="1"/>
    <xf numFmtId="174" fontId="0" fillId="13" borderId="17" pivotButton="0" quotePrefix="0" xfId="0"/>
    <xf numFmtId="174" fontId="0" fillId="13" borderId="17" pivotButton="0" quotePrefix="0" xfId="1"/>
    <xf numFmtId="174" fontId="9" fillId="14" borderId="17" pivotButton="0" quotePrefix="0" xfId="1"/>
    <xf numFmtId="174" fontId="12" fillId="0" borderId="0" pivotButton="0" quotePrefix="0" xfId="7"/>
    <xf numFmtId="174" fontId="12" fillId="0" borderId="0" pivotButton="0" quotePrefix="0" xfId="6"/>
    <xf numFmtId="174" fontId="12" fillId="0" borderId="17" pivotButton="0" quotePrefix="0" xfId="6"/>
    <xf numFmtId="174" fontId="13" fillId="0" borderId="17" applyAlignment="1" pivotButton="0" quotePrefix="0" xfId="6">
      <alignment horizontal="center"/>
    </xf>
  </cellXfs>
  <cellStyles count="17">
    <cellStyle name="Normal" xfId="0" builtinId="0"/>
    <cellStyle name="Moneda" xfId="1" builtinId="4"/>
    <cellStyle name="Normal 2" xfId="2"/>
    <cellStyle name="Porcentaje" xfId="3" builtinId="5"/>
    <cellStyle name="Legal 8? x 14 in" xfId="4"/>
    <cellStyle name="Porcentaje 2" xfId="5"/>
    <cellStyle name="Normal 3" xfId="6"/>
    <cellStyle name="Currency 2" xfId="7"/>
    <cellStyle name="Percent 2" xfId="8"/>
    <cellStyle name="Percent 3" xfId="9"/>
    <cellStyle name="Currency 3" xfId="10"/>
    <cellStyle name="Comma 2" xfId="11"/>
    <cellStyle name="Currency 5" xfId="12"/>
    <cellStyle name="Hipervínculo" xfId="13" builtinId="8"/>
    <cellStyle name="Millares 2" xfId="14"/>
    <cellStyle name="Currency 4" xfId="15"/>
    <cellStyle name="Moneda 2" xfId="16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 sz="1800"/>
              <a:t>%Material</a:t>
            </a:r>
          </a:p>
        </rich>
      </tx>
      <layout>
        <manualLayout>
          <xMode val="edge"/>
          <yMode val="edge"/>
          <wMode val="factor"/>
          <hMode val="factor"/>
          <x val="0.4389686161024745"/>
          <y val="0.00671705515839424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R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6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7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9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1"/>
            <showSerName val="0"/>
            <showPercent val="1"/>
            <showBubbleSize val="0"/>
            <showLeaderLines val="1"/>
          </dLbls>
          <cat>
            <strRef>
              <f>'GRAFICO '!$B$4:$B$19</f>
              <strCache>
                <ptCount val="16"/>
                <pt idx="0">
                  <v xml:space="preserve">FUNDACIONES </v>
                </pt>
                <pt idx="1">
                  <v xml:space="preserve">SUPERESTRUCTURA PRIMER NIVEL </v>
                </pt>
                <pt idx="2">
                  <v xml:space="preserve">SUPERESTRUCTURA SEGUNDO NIVEL </v>
                </pt>
                <pt idx="3">
                  <v xml:space="preserve">OTROS GRIS </v>
                </pt>
                <pt idx="4">
                  <v xml:space="preserve">ESTRUCTURA METÁLICA Y CUBIERTAS </v>
                </pt>
                <pt idx="5">
                  <v xml:space="preserve">LIVIANO </v>
                </pt>
                <pt idx="6">
                  <v xml:space="preserve">REPELLOS </v>
                </pt>
                <pt idx="7">
                  <v xml:space="preserve">ENCHAPES </v>
                </pt>
                <pt idx="8">
                  <v xml:space="preserve">MUEBLES Y PUERTAS </v>
                </pt>
                <pt idx="9">
                  <v xml:space="preserve">OBRAS ADICIONALES </v>
                </pt>
                <pt idx="10">
                  <v xml:space="preserve">ACABADOS </v>
                </pt>
                <pt idx="11">
                  <v xml:space="preserve">VENTANERIA </v>
                </pt>
                <pt idx="12">
                  <v xml:space="preserve">ELÉCTRICO </v>
                </pt>
                <pt idx="13">
                  <v xml:space="preserve">MECÁNICO </v>
                </pt>
                <pt idx="14">
                  <v xml:space="preserve">ALQUILERES </v>
                </pt>
                <pt idx="15">
                  <v xml:space="preserve">MANO DE OBRA </v>
                </pt>
              </strCache>
            </strRef>
          </cat>
          <val>
            <numRef>
              <f>'GRAFICO '!$J$4:$J$19</f>
              <numCache>
                <formatCode>0%</formatCode>
                <ptCount val="16"/>
                <pt idx="0">
                  <v>0.1681027624252893</v>
                </pt>
                <pt idx="1">
                  <v>0.1063080518760756</v>
                </pt>
                <pt idx="2">
                  <v>0</v>
                </pt>
                <pt idx="3">
                  <v>0.03924125154399384</v>
                </pt>
                <pt idx="4">
                  <v>0.1811466378482492</v>
                </pt>
                <pt idx="5">
                  <v>0.07186918932440288</v>
                </pt>
                <pt idx="6">
                  <v>0.02520525639525271</v>
                </pt>
                <pt idx="7">
                  <v>0.06082576577550956</v>
                </pt>
                <pt idx="8">
                  <v>0.1316727022460026</v>
                </pt>
                <pt idx="9">
                  <v>0.0418394462751429</v>
                </pt>
                <pt idx="10">
                  <v>0.0902150404453621</v>
                </pt>
                <pt idx="11">
                  <v>0</v>
                </pt>
                <pt idx="12">
                  <v>0.06076144934416881</v>
                </pt>
                <pt idx="13">
                  <v>0.02281244650055049</v>
                </pt>
                <pt idx="14">
                  <v>0</v>
                </pt>
                <pt idx="15">
                  <v>0</v>
                </pt>
              </numCache>
            </numRef>
          </val>
        </ser>
        <dLbls>
          <dLblPos val="outEnd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%MANO DE OBRA</a:t>
            </a:r>
          </a:p>
        </rich>
      </tx>
      <layout>
        <manualLayout>
          <xMode val="edge"/>
          <yMode val="edge"/>
          <wMode val="factor"/>
          <hMode val="factor"/>
          <x val="0.3394406531964547"/>
          <y val="0.00370885434949323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R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6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7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9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CR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'GRAFICO '!$B$4:$B$19</f>
              <strCache>
                <ptCount val="16"/>
                <pt idx="0">
                  <v xml:space="preserve">FUNDACIONES </v>
                </pt>
                <pt idx="1">
                  <v xml:space="preserve">SUPERESTRUCTURA PRIMER NIVEL </v>
                </pt>
                <pt idx="2">
                  <v xml:space="preserve">SUPERESTRUCTURA SEGUNDO NIVEL </v>
                </pt>
                <pt idx="3">
                  <v xml:space="preserve">OTROS GRIS </v>
                </pt>
                <pt idx="4">
                  <v xml:space="preserve">ESTRUCTURA METÁLICA Y CUBIERTAS </v>
                </pt>
                <pt idx="5">
                  <v xml:space="preserve">LIVIANO </v>
                </pt>
                <pt idx="6">
                  <v xml:space="preserve">REPELLOS </v>
                </pt>
                <pt idx="7">
                  <v xml:space="preserve">ENCHAPES </v>
                </pt>
                <pt idx="8">
                  <v xml:space="preserve">MUEBLES Y PUERTAS </v>
                </pt>
                <pt idx="9">
                  <v xml:space="preserve">OBRAS ADICIONALES </v>
                </pt>
                <pt idx="10">
                  <v xml:space="preserve">ACABADOS </v>
                </pt>
                <pt idx="11">
                  <v xml:space="preserve">VENTANERIA </v>
                </pt>
                <pt idx="12">
                  <v xml:space="preserve">ELÉCTRICO </v>
                </pt>
                <pt idx="13">
                  <v xml:space="preserve">MECÁNICO </v>
                </pt>
                <pt idx="14">
                  <v xml:space="preserve">ALQUILERES </v>
                </pt>
                <pt idx="15">
                  <v xml:space="preserve">MANO DE OBRA </v>
                </pt>
              </strCache>
            </strRef>
          </cat>
          <val>
            <numRef>
              <f>'GRAFICO '!$K$4:$K$19</f>
              <numCache>
                <formatCode>0%</formatCode>
                <ptCount val="16"/>
                <pt idx="0">
                  <v>0.1404057833045755</v>
                </pt>
                <pt idx="1">
                  <v>0.1375319807223181</v>
                </pt>
                <pt idx="2">
                  <v>0</v>
                </pt>
                <pt idx="3">
                  <v>0.06445528648777295</v>
                </pt>
                <pt idx="4">
                  <v>0.06646040340334385</v>
                </pt>
                <pt idx="5">
                  <v>0.08744570714583209</v>
                </pt>
                <pt idx="6">
                  <v>0.1432795858868329</v>
                </pt>
                <pt idx="7">
                  <v>0.06979234842625097</v>
                </pt>
                <pt idx="8">
                  <v>0.089873267091093</v>
                </pt>
                <pt idx="9">
                  <v>0.0402332361516035</v>
                </pt>
                <pt idx="10">
                  <v>0.08949842327601594</v>
                </pt>
                <pt idx="11">
                  <v>0</v>
                </pt>
                <pt idx="12">
                  <v>0</v>
                </pt>
                <pt idx="13">
                  <v>0.05378116261081692</v>
                </pt>
                <pt idx="14">
                  <v>0</v>
                </pt>
                <pt idx="15">
                  <v>0.01724281549354436</v>
                </pt>
              </numCache>
            </numRef>
          </val>
        </ser>
        <dLbls>
          <dLblPos val="outEnd"/>
          <showLegendKey val="0"/>
          <showVal val="0"/>
          <showCatName val="1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SUBCONTRATO/EQUIPOS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R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CR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"/>
            </dLbl>
            <dLbl>
              <idx val="2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4"/>
            </dLbl>
            <dLbl>
              <idx val="5"/>
            </dLbl>
            <dLbl>
              <idx val="6"/>
            </dLbl>
            <dLbl>
              <idx val="7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9"/>
            </dLbl>
            <dLbl>
              <idx val="10"/>
            </dLbl>
            <dLbl>
              <idx val="1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0"/>
              <showBubbleSize val="0"/>
            </dLbl>
            <dLbl>
              <idx val="13"/>
            </dLbl>
            <dLbl>
              <idx val="14"/>
            </dLbl>
            <dLbl>
              <idx val="15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'GRAFICO '!$B$4:$B$19</f>
              <strCache>
                <ptCount val="16"/>
                <pt idx="0">
                  <v xml:space="preserve">FUNDACIONES </v>
                </pt>
                <pt idx="1">
                  <v xml:space="preserve">SUPERESTRUCTURA PRIMER NIVEL </v>
                </pt>
                <pt idx="2">
                  <v xml:space="preserve">SUPERESTRUCTURA SEGUNDO NIVEL </v>
                </pt>
                <pt idx="3">
                  <v xml:space="preserve">OTROS GRIS </v>
                </pt>
                <pt idx="4">
                  <v xml:space="preserve">ESTRUCTURA METÁLICA Y CUBIERTAS </v>
                </pt>
                <pt idx="5">
                  <v xml:space="preserve">LIVIANO </v>
                </pt>
                <pt idx="6">
                  <v xml:space="preserve">REPELLOS </v>
                </pt>
                <pt idx="7">
                  <v xml:space="preserve">ENCHAPES </v>
                </pt>
                <pt idx="8">
                  <v xml:space="preserve">MUEBLES Y PUERTAS </v>
                </pt>
                <pt idx="9">
                  <v xml:space="preserve">OBRAS ADICIONALES </v>
                </pt>
                <pt idx="10">
                  <v xml:space="preserve">ACABADOS </v>
                </pt>
                <pt idx="11">
                  <v xml:space="preserve">VENTANERIA </v>
                </pt>
                <pt idx="12">
                  <v xml:space="preserve">ELÉCTRICO </v>
                </pt>
                <pt idx="13">
                  <v xml:space="preserve">MECÁNICO </v>
                </pt>
                <pt idx="14">
                  <v xml:space="preserve">ALQUILERES </v>
                </pt>
                <pt idx="15">
                  <v xml:space="preserve">MANO DE OBRA </v>
                </pt>
              </strCache>
            </strRef>
          </cat>
          <val>
            <numRef>
              <f>'GRAFICO '!$L$4:$L$19</f>
              <numCache>
                <formatCode>0%</formatCode>
                <ptCount val="16"/>
                <pt idx="0">
                  <v>0.05050478754145818</v>
                </pt>
                <pt idx="1">
                  <v>0</v>
                </pt>
                <pt idx="2">
                  <v>0</v>
                </pt>
                <pt idx="3">
                  <v>0.02837640124752032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0.1828741910122305</v>
                </pt>
                <pt idx="9">
                  <v>0</v>
                </pt>
                <pt idx="10">
                  <v>0</v>
                </pt>
                <pt idx="11">
                  <v>0.4805140033635147</v>
                </pt>
                <pt idx="12">
                  <v>0.2577306168352763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dLbls>
          <dLblPos val="outEnd"/>
          <showLegendKey val="0"/>
          <showVal val="0"/>
          <showCatName val="1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 xml:space="preserve">COSTOS DIRECTOS </a:t>
            </a:r>
          </a:p>
        </rich>
      </tx>
      <layout>
        <manualLayout>
          <xMode val="edge"/>
          <yMode val="edge"/>
          <wMode val="factor"/>
          <hMode val="factor"/>
          <x val="0.317043176499601"/>
          <y val="0.010139415634340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R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chemeClr val="accent5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chemeClr val="accent1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chemeClr val="accent2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chemeClr val="accent3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chemeClr val="accent4">
                  <a:lumMod val="80000"/>
                  <a:lumOff val="2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6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CR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7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9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s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1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2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4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dLbl>
              <idx val="1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sp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1" i="0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bestFit"/>
              <showLegendKey val="0"/>
              <showVal val="1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1"/>
            <showCatName val="1"/>
            <showSerName val="0"/>
            <showPercent val="1"/>
            <showBubbleSize val="0"/>
            <showLeaderLines val="1"/>
          </dLbls>
          <cat>
            <strRef>
              <f>'GRAFICO '!$B$4:$B$19</f>
              <strCache>
                <ptCount val="16"/>
                <pt idx="0">
                  <v xml:space="preserve">FUNDACIONES </v>
                </pt>
                <pt idx="1">
                  <v xml:space="preserve">SUPERESTRUCTURA PRIMER NIVEL </v>
                </pt>
                <pt idx="2">
                  <v xml:space="preserve">SUPERESTRUCTURA SEGUNDO NIVEL </v>
                </pt>
                <pt idx="3">
                  <v xml:space="preserve">OTROS GRIS </v>
                </pt>
                <pt idx="4">
                  <v xml:space="preserve">ESTRUCTURA METÁLICA Y CUBIERTAS </v>
                </pt>
                <pt idx="5">
                  <v xml:space="preserve">LIVIANO </v>
                </pt>
                <pt idx="6">
                  <v xml:space="preserve">REPELLOS </v>
                </pt>
                <pt idx="7">
                  <v xml:space="preserve">ENCHAPES </v>
                </pt>
                <pt idx="8">
                  <v xml:space="preserve">MUEBLES Y PUERTAS </v>
                </pt>
                <pt idx="9">
                  <v xml:space="preserve">OBRAS ADICIONALES </v>
                </pt>
                <pt idx="10">
                  <v xml:space="preserve">ACABADOS </v>
                </pt>
                <pt idx="11">
                  <v xml:space="preserve">VENTANERIA </v>
                </pt>
                <pt idx="12">
                  <v xml:space="preserve">ELÉCTRICO </v>
                </pt>
                <pt idx="13">
                  <v xml:space="preserve">MECÁNICO </v>
                </pt>
                <pt idx="14">
                  <v xml:space="preserve">ALQUILERES </v>
                </pt>
                <pt idx="15">
                  <v xml:space="preserve">MANO DE OBRA </v>
                </pt>
              </strCache>
            </strRef>
          </cat>
          <val>
            <numRef>
              <f>'GRAFICO '!$M$4:$M$19</f>
              <numCache>
                <formatCode>0%</formatCode>
                <ptCount val="16"/>
                <pt idx="0">
                  <v>0.1513760961939293</v>
                </pt>
                <pt idx="1">
                  <v>0.1059996212041828</v>
                </pt>
                <pt idx="2">
                  <v>0</v>
                </pt>
                <pt idx="3">
                  <v>0.04500783065181427</v>
                </pt>
                <pt idx="4">
                  <v>0.1364193702205134</v>
                </pt>
                <pt idx="5">
                  <v>0.07020415113705331</v>
                </pt>
                <pt idx="6">
                  <v>0.05426921279123521</v>
                </pt>
                <pt idx="7">
                  <v>0.05830648823015266</v>
                </pt>
                <pt idx="8">
                  <v>0.1247757356465846</v>
                </pt>
                <pt idx="9">
                  <v>0.03805985115709897</v>
                </pt>
                <pt idx="10">
                  <v>0.08278854953955572</v>
                </pt>
                <pt idx="11">
                  <v>0.03855094662792238</v>
                </pt>
                <pt idx="12">
                  <v>0.060566970374422</v>
                </pt>
                <pt idx="13">
                  <v>0.02913555663816808</v>
                </pt>
                <pt idx="14">
                  <v>0</v>
                </pt>
                <pt idx="15">
                  <v>0.004539619587367225</v>
                </pt>
              </numCache>
            </numRef>
          </val>
        </ser>
        <dLbls>
          <dLblPos val="outEnd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Catalina Vazquez</author>
    <author>tc={7ED34AF7-AE60-43D2-AE4D-60666E6827D9}</author>
    <author>tc={6CFD2240-D730-471E-98E2-AFEF3BE168A9}</author>
    <author>tc={B1EAB073-BF29-4450-9B95-9A78B1B631EC}</author>
    <author>tc={62D4B823-E2E7-4685-87E8-E210E89E628E}</author>
    <author>tc={860696F2-5C2A-4098-B319-58B50A4B01EC}</author>
    <author>tc={31EB201B-4C17-4459-9147-4AE0CB6FA28F}</author>
    <author>tc={5F942239-5346-4B46-AF87-AF590C8965DB}</author>
  </authors>
  <commentList>
    <comment ref="E13" authorId="0" shapeId="0">
      <text>
        <t>Catalina Vazquez:
REVISAR TIPO LASTRE</t>
      </text>
    </comment>
    <comment ref="B19" authorId="0" shapeId="0">
      <text>
        <t xml:space="preserve">Catalina Vazquez:
TRAZO LASTRE Y COMPACTACION </t>
      </text>
    </comment>
    <comment ref="D19" authorId="0" shapeId="0">
      <text>
        <t xml:space="preserve">Catalina Vazquez:
Trazo </t>
      </text>
    </comment>
    <comment ref="F19" authorId="0" shapeId="0">
      <text>
        <t>Catalina Vazquez:
TRAZO LASTRE Y COMPACTACION</t>
      </text>
    </comment>
    <comment ref="B20" authorId="0" shapeId="0">
      <text>
        <t xml:space="preserve">Catalina Vazquez:
TRAZO LASTRE Y COMPACTACION </t>
      </text>
    </comment>
    <comment ref="D20" authorId="0" shapeId="0">
      <text>
        <t xml:space="preserve">Catalina Vazquez:
Trazo </t>
      </text>
    </comment>
    <comment ref="F20" authorId="0" shapeId="0">
      <text>
        <t xml:space="preserve">Catalina Vazquez:
TRAZO LASTRE Y COMPACTACION </t>
      </text>
    </comment>
    <comment ref="B56" authorId="0" shapeId="0">
      <text>
        <t>Catalina Vazquez:
ZANJEO</t>
      </text>
    </comment>
    <comment ref="D56" authorId="0" shapeId="0">
      <text>
        <t>Catalina Vazquez:
Zanjeo + 6 horas operario (MO TUBERIA)</t>
      </text>
    </comment>
    <comment ref="F56" authorId="0" shapeId="0">
      <text>
        <t>Catalina Vazquez:
ZANJEO</t>
      </text>
    </comment>
    <comment ref="B57" authorId="0" shapeId="0">
      <text>
        <t xml:space="preserve">Catalina Vazquez:
ZANJEO </t>
      </text>
    </comment>
    <comment ref="D57" authorId="0" shapeId="0">
      <text>
        <t>Catalina Vazquez:
Zanjeo+ 6 horas ayudante (MO TUBERIA)</t>
      </text>
    </comment>
    <comment ref="F57" authorId="0" shapeId="0">
      <text>
        <t>Catalina Vazquez:
ZANJEO</t>
      </text>
    </comment>
    <comment ref="B67" authorId="0" shapeId="0">
      <text>
        <t>Catalina Vazquez:
SELLO</t>
      </text>
    </comment>
    <comment ref="D67" authorId="0" shapeId="0">
      <text>
        <t xml:space="preserve">Catalina Vazquez:
MO SELLOS </t>
      </text>
    </comment>
    <comment ref="F67" authorId="0" shapeId="0">
      <text>
        <t>Catalina Vazquez:
SELLO</t>
      </text>
    </comment>
    <comment ref="B68" authorId="0" shapeId="0">
      <text>
        <t>Catalina Vazquez:
SELLO</t>
      </text>
    </comment>
    <comment ref="D68" authorId="0" shapeId="0">
      <text>
        <t xml:space="preserve">Catalina Vazquez:
MO SELLOS </t>
      </text>
    </comment>
    <comment ref="F68" authorId="0" shapeId="0">
      <text>
        <t>Catalina Vazquez:
SELLO</t>
      </text>
    </comment>
    <comment ref="D74" authorId="0" shapeId="0">
      <text>
        <t xml:space="preserve">Catalina Vazquez:
CANTIDAD EN LI TROS ( 2 LITROS X M3) </t>
      </text>
    </comment>
    <comment ref="D76" authorId="0" shapeId="0">
      <text>
        <t xml:space="preserve">Catalina Vazquez:
Arranquea de muros y varilla longitudinal de viga </t>
      </text>
    </comment>
    <comment ref="E7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D77" authorId="0" shapeId="0">
      <text>
        <t xml:space="preserve">Catalina Vazquez:
Aros de viga de losa </t>
      </text>
    </comment>
    <comment ref="E77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E112" authorId="0" shapeId="0">
      <text>
        <t xml:space="preserve">Catalina Vazquez:
PREGUNTAR COSTO </t>
      </text>
    </comment>
    <comment ref="B113" authorId="0" shapeId="0">
      <text>
        <t>Catalina Vazquez:
ACERO LOSA</t>
      </text>
    </comment>
    <comment ref="F113" authorId="0" shapeId="0">
      <text>
        <t>Catalina Vazquez:
ACERO LOSA</t>
      </text>
    </comment>
    <comment ref="B114" authorId="0" shapeId="0">
      <text>
        <t xml:space="preserve">Catalina Vazquez:
ACERO LOSA </t>
      </text>
    </comment>
    <comment ref="F114" authorId="0" shapeId="0">
      <text>
        <t>Catalina Vazquez:
ACERO LOSA</t>
      </text>
    </comment>
    <comment ref="B115" authorId="0" shapeId="0">
      <text>
        <t xml:space="preserve">Catalina Vazquez:
FORMALETA LOSA </t>
      </text>
    </comment>
    <comment ref="F115" authorId="0" shapeId="0">
      <text>
        <t xml:space="preserve">Catalina Vazquez:
FORMALETA LOSA </t>
      </text>
    </comment>
    <comment ref="B116" authorId="0" shapeId="0">
      <text>
        <t xml:space="preserve">Catalina Vazquez:
FORMALETA LOSA </t>
      </text>
    </comment>
    <comment ref="F116" authorId="0" shapeId="0">
      <text>
        <t xml:space="preserve">Catalina Vazquez:
FORMALETA LOSA </t>
      </text>
    </comment>
    <comment ref="B117" authorId="0" shapeId="0">
      <text>
        <t>Catalina Vazquez:
COLADO LOSA</t>
      </text>
    </comment>
    <comment ref="F117" authorId="0" shapeId="0">
      <text>
        <t xml:space="preserve">Catalina Vazquez:
COLADO LOSA </t>
      </text>
    </comment>
    <comment ref="B118" authorId="0" shapeId="0">
      <text>
        <t>Catalina Vazquez:
COLADO LOSA</t>
      </text>
    </comment>
    <comment ref="F118" authorId="0" shapeId="0">
      <text>
        <t>Catalina Vazquez:
COLADO LOSA</t>
      </text>
    </comment>
    <comment ref="B119" authorId="0" shapeId="0">
      <text>
        <t xml:space="preserve">Catalina Vazquez:
INST MECANICAS LOSA </t>
      </text>
    </comment>
    <comment ref="F119" authorId="0" shapeId="0">
      <text>
        <t>Catalina Vazquez:
INST MECANICAS DE LOSA</t>
      </text>
    </comment>
    <comment ref="B120" authorId="0" shapeId="0">
      <text>
        <t>Catalina Vazquez:
INST MECANICAS LOSA</t>
      </text>
    </comment>
    <comment ref="F120" authorId="0" shapeId="0">
      <text>
        <t xml:space="preserve">Catalina Vazquez:
INST MECÁNICAS DE LOSA </t>
      </text>
    </comment>
    <comment ref="B121" authorId="0" shapeId="0">
      <text>
        <t xml:space="preserve">Catalina Vazquez:
POTABLE LOSA </t>
      </text>
    </comment>
    <comment ref="F121" authorId="0" shapeId="0">
      <text>
        <t>Catalina Vazquez:
POTABLE LOSA</t>
      </text>
    </comment>
    <comment ref="B122" authorId="0" shapeId="0">
      <text>
        <t xml:space="preserve">Catalina Vazquez:
POTABLE LOSA </t>
      </text>
    </comment>
    <comment ref="F122" authorId="0" shapeId="0">
      <text>
        <t xml:space="preserve">Catalina Vazquez:
POTABLE LOSA </t>
      </text>
    </comment>
    <comment ref="D127" authorId="0" shapeId="0">
      <text>
        <t xml:space="preserve">Catalina Vazquez:
Varilla #3 horizontal muro + ganchos de viga corona y banquina y losa cenital </t>
      </text>
    </comment>
    <comment ref="E127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E128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D129" authorId="0" shapeId="0">
      <text>
        <t xml:space="preserve">Catalina Vazquez:
HORIZONTAL MURO VIGA CORONA Y VIGA BANQUINA Y LOSA CENITAL </t>
      </text>
    </comment>
    <comment ref="E147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viga losa y arranques de muros</t>
      </text>
    </comment>
    <comment ref="B148" authorId="0" shapeId="0">
      <text>
        <t xml:space="preserve">Catalina Vazquez:
ACEROS MUROS N1 </t>
      </text>
    </comment>
    <comment ref="F148" authorId="0" shapeId="0">
      <text>
        <t xml:space="preserve">Catalina Vazquez:
ACERO MUROS N1 </t>
      </text>
    </comment>
    <comment ref="B149" authorId="0" shapeId="0">
      <text>
        <t xml:space="preserve">Catalina Vazquez:
ACEROS MUROS N1 </t>
      </text>
    </comment>
    <comment ref="F149" authorId="0" shapeId="0">
      <text>
        <t>Catalina Vazquez:
ACERO MUROS N1</t>
      </text>
    </comment>
    <comment ref="B150" authorId="0" shapeId="0">
      <text>
        <t xml:space="preserve">Catalina Vazquez:
FORMALETA N1 </t>
      </text>
    </comment>
    <comment ref="F150" authorId="0" shapeId="0">
      <text>
        <t xml:space="preserve">Catalina Vazquez:
FORMALETA N1 </t>
      </text>
    </comment>
    <comment ref="B151" authorId="0" shapeId="0">
      <text>
        <t xml:space="preserve">Catalina Vazquez:
FORMALETA N1 </t>
      </text>
    </comment>
    <comment ref="F151" authorId="0" shapeId="0">
      <text>
        <t xml:space="preserve">Catalina Vazquez:
FORMALETA N1 </t>
      </text>
    </comment>
    <comment ref="B152" authorId="0" shapeId="0">
      <text>
        <t xml:space="preserve">Catalina Vazquez:
INST MECANICA MUROS N1 </t>
      </text>
    </comment>
    <comment ref="F152" authorId="0" shapeId="0">
      <text>
        <t xml:space="preserve">Catalina Vazquez:
INSTALAC MECANIC MUROS N1 </t>
      </text>
    </comment>
    <comment ref="B153" authorId="0" shapeId="0">
      <text>
        <t xml:space="preserve">Catalina Vazquez:
INST MECANIC MUROS N1 </t>
      </text>
    </comment>
    <comment ref="F153" authorId="0" shapeId="0">
      <text>
        <t xml:space="preserve">Catalina Vazquez:
INSTALAC MECANICAS MUROS N1 </t>
      </text>
    </comment>
    <comment ref="D158" authorId="0" shapeId="0">
      <text>
        <t>Catalina Vazquez:
CANTIDAD EN LITROS</t>
      </text>
    </comment>
    <comment ref="G158" authorId="0" shapeId="0">
      <text>
        <t xml:space="preserve">Catalina Vazquez: LITROS </t>
      </text>
    </comment>
    <comment ref="D159" authorId="0" shapeId="0">
      <text>
        <t xml:space="preserve">Catalina Vazquez:
Costo x litro </t>
      </text>
    </comment>
    <comment ref="G159" authorId="0" shapeId="0">
      <text>
        <t xml:space="preserve">Catalina Vazquez:
LITROS </t>
      </text>
    </comment>
    <comment ref="E160" authorId="0" shapeId="0">
      <text>
        <t xml:space="preserve">Catalina Vazquez:
CONSULTAR </t>
      </text>
    </comment>
    <comment ref="B163" authorId="0" shapeId="0">
      <text>
        <t xml:space="preserve">Catalina Vazquez:
COLADO DE MUROS </t>
      </text>
    </comment>
    <comment ref="F163" authorId="0" shapeId="0">
      <text>
        <t xml:space="preserve">Catalina Vazquez:
COLADO DE MUROS </t>
      </text>
    </comment>
    <comment ref="B164" authorId="0" shapeId="0">
      <text>
        <t xml:space="preserve">Catalina Vazquez:
COLADO DE MUROS </t>
      </text>
    </comment>
    <comment ref="F164" authorId="0" shapeId="0">
      <text>
        <t xml:space="preserve">Catalina Vazquez:
COLADO DE MUROS </t>
      </text>
    </comment>
    <comment ref="B165" authorId="0" shapeId="0">
      <text>
        <t xml:space="preserve">Catalina Vazquez:
TRAZO FORMALETA N1 </t>
      </text>
    </comment>
    <comment ref="F165" authorId="0" shapeId="0">
      <text>
        <t xml:space="preserve">Catalina Vazquez:
TRAZO FORMALETA N1 </t>
      </text>
    </comment>
    <comment ref="B166" authorId="0" shapeId="0">
      <text>
        <t xml:space="preserve">Catalina Vazquez:
TRAZO FORMALETA N1 </t>
      </text>
    </comment>
    <comment ref="F166" authorId="0" shapeId="0">
      <text>
        <t xml:space="preserve">Catalina Vazquez:
TRAZO DE FORMALETA N1 </t>
      </text>
    </comment>
    <comment ref="B167" authorId="0" shapeId="0">
      <text>
        <t xml:space="preserve">Catalina Vazquez:
DESENCOFRE MUROS N1 </t>
      </text>
    </comment>
    <comment ref="F167" authorId="0" shapeId="0">
      <text>
        <t xml:space="preserve">Catalina Vazquez:
DESENCOFRE MUROS N1 </t>
      </text>
    </comment>
    <comment ref="B168" authorId="0" shapeId="0">
      <text>
        <t xml:space="preserve">Catalina Vazquez:
DESENCOFRE MUROS N1 </t>
      </text>
    </comment>
    <comment ref="F168" authorId="0" shapeId="0">
      <text>
        <t xml:space="preserve">Catalina Vazquez:
DESENCOFRE MUROS N1 </t>
      </text>
    </comment>
    <comment ref="B180" authorId="0" shapeId="0">
      <text>
        <t xml:space="preserve">Catalina Vazquez:
MAMPOSTERIA </t>
      </text>
    </comment>
    <comment ref="F180" authorId="0" shapeId="0">
      <text>
        <t xml:space="preserve">Catalina Vazquez:
MAMPOSTERIA </t>
      </text>
    </comment>
    <comment ref="B181" authorId="0" shapeId="0">
      <text>
        <t xml:space="preserve">Catalina Vazquez:
MAMPOSTERIA </t>
      </text>
    </comment>
    <comment ref="F181" authorId="0" shapeId="0">
      <text>
        <t xml:space="preserve">Catalina Vazquez:
MAMPOSTERIA </t>
      </text>
    </comment>
    <comment ref="B195" authorId="0" shapeId="0">
      <text>
        <t xml:space="preserve">Catalina Vazquez:
ACERO MUROS N2 </t>
      </text>
    </comment>
    <comment ref="F195" authorId="0" shapeId="0">
      <text>
        <t xml:space="preserve">Catalina Vazquez:
ACERO MUROS N2 </t>
      </text>
    </comment>
    <comment ref="B196" authorId="0" shapeId="0">
      <text>
        <t xml:space="preserve">Catalina Vazquez:
ACERO MUROS N2 </t>
      </text>
    </comment>
    <comment ref="F196" authorId="0" shapeId="0">
      <text>
        <t>Catalina Vazquez:
ACERO MUROS N2</t>
      </text>
    </comment>
    <comment ref="B197" authorId="0" shapeId="0">
      <text>
        <t>Catalina Vazquez:
FORMALETA N2</t>
      </text>
    </comment>
    <comment ref="F197" authorId="0" shapeId="0">
      <text>
        <t xml:space="preserve">Catalina Vazquez:
 FORMALETA N2
</t>
      </text>
    </comment>
    <comment ref="B198" authorId="0" shapeId="0">
      <text>
        <t>Catalina Vazquez:
 FORMALETA N2</t>
      </text>
    </comment>
    <comment ref="F198" authorId="0" shapeId="0">
      <text>
        <t>Catalina Vazquez:
 FORMALETA N2</t>
      </text>
    </comment>
    <comment ref="B199" authorId="0" shapeId="0">
      <text>
        <t>Catalina Vazquez:
INSTALAC MECANIC MUROS N2</t>
      </text>
    </comment>
    <comment ref="F199" authorId="0" shapeId="0">
      <text>
        <t>Catalina Vazquez:
INSTALAC MECANIC MUROS N2</t>
      </text>
    </comment>
    <comment ref="B200" authorId="0" shapeId="0">
      <text>
        <t>Catalina Vazquez:
INSTALAC MECANIC MUROS N2</t>
      </text>
    </comment>
    <comment ref="F200" authorId="0" shapeId="0">
      <text>
        <t xml:space="preserve">Catalina Vazquez:
INSTALAC MECANIC MUROS N2 </t>
      </text>
    </comment>
    <comment ref="B208" authorId="0" shapeId="0">
      <text>
        <t xml:space="preserve">Catalina Vazquez:
COLADO MUROS N2 </t>
      </text>
    </comment>
    <comment ref="F208" authorId="0" shapeId="0">
      <text>
        <t xml:space="preserve">Catalina Vazquez:
COLADO MUROS N2 </t>
      </text>
    </comment>
    <comment ref="B209" authorId="0" shapeId="0">
      <text>
        <t xml:space="preserve">Catalina Vazquez:
COLADO MUROS N2 </t>
      </text>
    </comment>
    <comment ref="F209" authorId="0" shapeId="0">
      <text>
        <t>Catalina Vazquez:
COLADO MUROS N2</t>
      </text>
    </comment>
    <comment ref="B210" authorId="0" shapeId="0">
      <text>
        <t>Catalina Vazquez:
TRAZO FORMALETA N2</t>
      </text>
    </comment>
    <comment ref="F210" authorId="0" shapeId="0">
      <text>
        <t xml:space="preserve">Catalina Vazquez:
 FORMALETA N2
</t>
      </text>
    </comment>
    <comment ref="B211" authorId="0" shapeId="0">
      <text>
        <t>Catalina Vazquez:
TRAZO FORMALETA N2</t>
      </text>
    </comment>
    <comment ref="F211" authorId="0" shapeId="0">
      <text>
        <t>Catalina Vazquez:
 FORMALETA N2</t>
      </text>
    </comment>
    <comment ref="B212" authorId="0" shapeId="0">
      <text>
        <t>Catalina Vazquez:
DESENCOFRE MUROS N2</t>
      </text>
    </comment>
    <comment ref="F212" authorId="0" shapeId="0">
      <text>
        <t>Catalina Vazquez:
DESENCOFRE MUROS N2</t>
      </text>
    </comment>
    <comment ref="B213" authorId="0" shapeId="0">
      <text>
        <t>Catalina Vazquez:
DESENCOFRE MUROS N2</t>
      </text>
    </comment>
    <comment ref="F213" authorId="0" shapeId="0">
      <text>
        <t xml:space="preserve">Catalina Vazquez:
DESENCOFRE MUROS N2 </t>
      </text>
    </comment>
    <comment ref="B237" authorId="0" shapeId="0">
      <text>
        <t xml:space="preserve">Catalina Vazquez:
ACERO GRADAS N1 </t>
      </text>
    </comment>
    <comment ref="F237" authorId="0" shapeId="0">
      <text>
        <t xml:space="preserve">Catalina Vazquez:
ACERO GRADAS N1 </t>
      </text>
    </comment>
    <comment ref="B238" authorId="0" shapeId="0">
      <text>
        <t xml:space="preserve">Catalina Vazquez:
ACERO GRADAS N1 </t>
      </text>
    </comment>
    <comment ref="F238" authorId="0" shapeId="0">
      <text>
        <t xml:space="preserve">Catalina Vazquez:
ACERO GRADAS N1 </t>
      </text>
    </comment>
    <comment ref="B239" authorId="0" shapeId="0">
      <text>
        <t>Catalina Vazquez:
 FORMALETA GRADAS N1</t>
      </text>
    </comment>
    <comment ref="F239" authorId="0" shapeId="0">
      <text>
        <t xml:space="preserve">Catalina Vazquez:
 FORMALETA GRADAS N1
</t>
      </text>
    </comment>
    <comment ref="B240" authorId="0" shapeId="0">
      <text>
        <t>Catalina Vazquez:
 FORMALETA GRADAS N1</t>
      </text>
    </comment>
    <comment ref="F240" authorId="0" shapeId="0">
      <text>
        <t xml:space="preserve">Catalina Vazquez:
 FORMALETA GRADAS N1
</t>
      </text>
    </comment>
    <comment ref="B241" authorId="0" shapeId="0">
      <text>
        <t>Catalina Vazquez:
 COLADO GRADAS N1</t>
      </text>
    </comment>
    <comment ref="F241" authorId="0" shapeId="0">
      <text>
        <t>Catalina Vazquez:
COLADO GRADAS N1</t>
      </text>
    </comment>
    <comment ref="B242" authorId="0" shapeId="0">
      <text>
        <t>Catalina Vazquez:
 COLADO GRADAS N1</t>
      </text>
    </comment>
    <comment ref="F242" authorId="0" shapeId="0">
      <text>
        <t>Catalina Vazquez:
COLADO GRADAS N1</t>
      </text>
    </comment>
    <comment ref="B243" authorId="0" shapeId="0">
      <text>
        <t>Catalina Vazquez:
DESENCOFRE GRADAS N1</t>
      </text>
    </comment>
    <comment ref="F243" authorId="0" shapeId="0">
      <text>
        <t xml:space="preserve">Catalina Vazquez:
DESENCOFRE GRADAS N1 </t>
      </text>
    </comment>
    <comment ref="B244" authorId="0" shapeId="0">
      <text>
        <t>Catalina Vazquez:
DESENCOFRE GRADAS N1</t>
      </text>
    </comment>
    <comment ref="F244" authorId="0" shapeId="0">
      <text>
        <t xml:space="preserve">Catalina Vazquez:
DESENCOFRE GRADAS N1 </t>
      </text>
    </comment>
    <comment ref="B245" authorId="0" shapeId="0">
      <text>
        <t>Catalina Vazquez:
ACERO GRADAS N2</t>
      </text>
    </comment>
    <comment ref="F245" authorId="0" shapeId="0">
      <text>
        <t xml:space="preserve">Catalina Vazquez:
ACERO GRADAS N2
</t>
      </text>
    </comment>
    <comment ref="B246" authorId="0" shapeId="0">
      <text>
        <t>Catalina Vazquez:
ACERO GRADAS N2</t>
      </text>
    </comment>
    <comment ref="F246" authorId="0" shapeId="0">
      <text>
        <t xml:space="preserve">Catalina Vazquez:
ACERO GRADAS N2
</t>
      </text>
    </comment>
    <comment ref="B247" authorId="0" shapeId="0">
      <text>
        <t>Catalina Vazquez:
FORMALETA GRADAS N2</t>
      </text>
    </comment>
    <comment ref="F247" authorId="0" shapeId="0">
      <text>
        <t>Catalina Vazquez:
FORMALETA GRADAS N2</t>
      </text>
    </comment>
    <comment ref="B248" authorId="0" shapeId="0">
      <text>
        <t>Catalina Vazquez:
FORMALETA GRADAS N2</t>
      </text>
    </comment>
    <comment ref="F248" authorId="0" shapeId="0">
      <text>
        <t>Catalina Vazquez:
FORMALETA GRADAS N2</t>
      </text>
    </comment>
    <comment ref="B249" authorId="0" shapeId="0">
      <text>
        <t xml:space="preserve">Catalina Vazquez:
COLADO GRADAS N2 </t>
      </text>
    </comment>
    <comment ref="F249" authorId="0" shapeId="0">
      <text>
        <t xml:space="preserve">Catalina Vazquez:
COLADO GRADAS N2 </t>
      </text>
    </comment>
    <comment ref="B250" authorId="0" shapeId="0">
      <text>
        <t xml:space="preserve">Catalina Vazquez:
COLADO GRADAS N2 </t>
      </text>
    </comment>
    <comment ref="F250" authorId="0" shapeId="0">
      <text>
        <t xml:space="preserve">Catalina Vazquez:
COLADO GRADAS N2 </t>
      </text>
    </comment>
    <comment ref="B251" authorId="0" shapeId="0">
      <text>
        <t>Catalina Vazquez:
DESENCOFRE GRADAS  N2</t>
      </text>
    </comment>
    <comment ref="F251" authorId="0" shapeId="0">
      <text>
        <t xml:space="preserve">Catalina Vazquez:
DESENCOFRE GRADAS N2
</t>
      </text>
    </comment>
    <comment ref="B252" authorId="0" shapeId="0">
      <text>
        <t>Catalina Vazquez:
DESENCOFRE GRADAS  N2</t>
      </text>
    </comment>
    <comment ref="F252" authorId="0" shapeId="0">
      <text>
        <t xml:space="preserve">Catalina Vazquez:
DESENCOFRE GRADAS N2
</t>
      </text>
    </comment>
    <comment ref="E283" authorId="0" shapeId="0">
      <text>
        <t xml:space="preserve">Catalina Vazquez:
CONSULTAR PRECIO </t>
      </text>
    </comment>
    <comment ref="B284" authorId="0" shapeId="0">
      <text>
        <t xml:space="preserve">Catalina Vazquez:
COLUMNA COCHERA </t>
      </text>
    </comment>
    <comment ref="F284" authorId="0" shapeId="0">
      <text>
        <t xml:space="preserve">Catalina Vazquez:
COLUMNA COCHERA </t>
      </text>
    </comment>
    <comment ref="B285" authorId="0" shapeId="0">
      <text>
        <t xml:space="preserve">Catalina Vazquez:
COLUMNA COCHERA </t>
      </text>
    </comment>
    <comment ref="F285" authorId="0" shapeId="0">
      <text>
        <t>Catalina Vazquez:
COLUMNA COCHERA</t>
      </text>
    </comment>
    <comment ref="B286" authorId="0" shapeId="0">
      <text>
        <t xml:space="preserve">Catalina Vazquez:
COLUMNA MEDIDOR </t>
      </text>
    </comment>
    <comment ref="F286" authorId="0" shapeId="0">
      <text>
        <t xml:space="preserve">Catalina Vazquez:
COLUMNA MEDIDOR </t>
      </text>
    </comment>
    <comment ref="B287" authorId="0" shapeId="0">
      <text>
        <t xml:space="preserve">Catalina Vazquez:
COLUMNA MEDIDOR </t>
      </text>
    </comment>
    <comment ref="F287" authorId="0" shapeId="0">
      <text>
        <t xml:space="preserve">Catalina Vazquez:
COLUMNA MEDIDOR </t>
      </text>
    </comment>
    <comment ref="E289" authorId="0" shapeId="0">
      <text>
        <t xml:space="preserve">Catalina Vazquez:
REVISAR TIPO DE LASTRE </t>
      </text>
    </comment>
    <comment ref="B297" authorId="0" shapeId="0">
      <text>
        <t>Catalina Vazquez:
LASTRE Y COMPACTACION COCHERA</t>
      </text>
    </comment>
    <comment ref="F297" authorId="0" shapeId="0">
      <text>
        <t xml:space="preserve">Catalina Vazquez:
LASTRE Y COMPACTACION COCHERA </t>
      </text>
    </comment>
    <comment ref="B298" authorId="0" shapeId="0">
      <text>
        <t>Catalina Vazquez:
LASTRE Y COMPACTACION COCHERA</t>
      </text>
    </comment>
    <comment ref="F298" authorId="0" shapeId="0">
      <text>
        <t xml:space="preserve">Catalina Vazquez:
LASTRE Y COMPACTACION COCHERA </t>
      </text>
    </comment>
    <comment ref="B299" authorId="0" shapeId="0">
      <text>
        <t>Catalina Vazquez:
COLADO LOSA COCHERA</t>
      </text>
    </comment>
    <comment ref="F299" authorId="0" shapeId="0">
      <text>
        <t xml:space="preserve">Catalina Vazquez:
COLADO LOSA COCHERA </t>
      </text>
    </comment>
    <comment ref="B300" authorId="0" shapeId="0">
      <text>
        <t>Catalina Vazquez:
COLADO LOSA COCHERA</t>
      </text>
    </comment>
    <comment ref="F300" authorId="0" shapeId="0">
      <text>
        <t xml:space="preserve">Catalina Vazquez:
COLADO LOSA COCHERA </t>
      </text>
    </comment>
    <comment ref="B301" authorId="0" shapeId="0">
      <text>
        <t>Catalina Vazquez:
ACABADO LAVADO COCHERA</t>
      </text>
    </comment>
    <comment ref="F301" authorId="0" shapeId="0">
      <text>
        <t>Catalina Vazquez:
ACABADO LAVADO COCHERA</t>
      </text>
    </comment>
    <comment ref="B302" authorId="0" shapeId="0">
      <text>
        <t>Catalina Vazquez:
ACABADO LAVADO COCHERA</t>
      </text>
    </comment>
    <comment ref="F302" authorId="0" shapeId="0">
      <text>
        <t>Catalina Vazquez:
ACABADO LAVADO COCHERA</t>
      </text>
    </comment>
    <comment ref="B303" authorId="0" shapeId="0">
      <text>
        <t xml:space="preserve">Catalina Vazquez:
LASTRE Y COMPACTACION TERRAZA </t>
      </text>
    </comment>
    <comment ref="F303" authorId="0" shapeId="0">
      <text>
        <t xml:space="preserve">Catalina Vazquez:
LASTRE Y COMPACTACIÓN TERRAZA </t>
      </text>
    </comment>
    <comment ref="B304" authorId="0" shapeId="0">
      <text>
        <t xml:space="preserve">Catalina Vazquez:
LASTRE Y COMPACTACION TERRAZA </t>
      </text>
    </comment>
    <comment ref="F304" authorId="0" shapeId="0">
      <text>
        <t xml:space="preserve">Catalina Vazquez:
LASTRE Y COMPACTACIÓN TERRAZA </t>
      </text>
    </comment>
    <comment ref="B305" authorId="0" shapeId="0">
      <text>
        <t>Catalina Vazquez:
COLADO LOSA TERRAZA(PILAS)</t>
      </text>
    </comment>
    <comment ref="F305" authorId="0" shapeId="0">
      <text>
        <t>Catalina Vazquez:
COLADO LOSA TERRAZA (PILAS)</t>
      </text>
    </comment>
    <comment ref="B306" authorId="0" shapeId="0">
      <text>
        <t>Catalina Vazquez:
COLADO LOSA TERRAZA (PILAS)</t>
      </text>
    </comment>
    <comment ref="F306" authorId="0" shapeId="0">
      <text>
        <t>Catalina Vazquez:
COLADO LOSA TERRAZA(PILAS)</t>
      </text>
    </comment>
    <comment ref="B307" authorId="0" shapeId="0">
      <text>
        <t>Catalina Vazquez:
ACABADO LAVADO TERRAZA (PILAS)</t>
      </text>
    </comment>
    <comment ref="F307" authorId="0" shapeId="0">
      <text>
        <t>Catalina Vazquez:
ACABADO LAVADO TERRAZA (PILAS)</t>
      </text>
    </comment>
    <comment ref="B308" authorId="0" shapeId="0">
      <text>
        <t>Catalina Vazquez:
ACABADO LAVADO TERRAZA (PILAS)</t>
      </text>
    </comment>
    <comment ref="F308" authorId="0" shapeId="0">
      <text>
        <t>Catalina Vazquez:
ACABADO LAVADO TERRAZA (PILAS)</t>
      </text>
    </comment>
    <comment ref="D311" authorId="0" shapeId="0">
      <text>
        <t xml:space="preserve">Catalina Vazquez:
CERCHA </t>
      </text>
    </comment>
    <comment ref="D312" authorId="0" shapeId="0">
      <text>
        <t xml:space="preserve">Catalina Vazquez:
CLAVADORES, PRECINTA Y DIAGONAL CERCHAS </t>
      </text>
    </comment>
    <comment ref="D313" authorId="0" shapeId="0">
      <text>
        <t xml:space="preserve">Catalina Vazquez:
PRECINTA 
</t>
      </text>
    </comment>
    <comment ref="B323" authorId="0" shapeId="0">
      <text>
        <t xml:space="preserve">Catalina Vazquez:
ESTRUCT METALICA TECHO </t>
      </text>
    </comment>
    <comment ref="D323" authorId="0" shapeId="0">
      <text>
        <t xml:space="preserve">Catalina Vazquez:
 MO ESTRUCTURA METALICA DE TECHO Y ESTRUCT TECHO PINTURA </t>
      </text>
    </comment>
    <comment ref="F323" authorId="0" shapeId="0">
      <text>
        <t xml:space="preserve">Catalina Vazquez:
ESTRUCT METALICA TECHO </t>
      </text>
    </comment>
    <comment ref="B324" authorId="0" shapeId="0">
      <text>
        <t xml:space="preserve">Catalina Vazquez:
ESTRUCT METALICA TECHO </t>
      </text>
    </comment>
    <comment ref="D324" authorId="0" shapeId="0">
      <text>
        <t>Catalina Vazquez:
 MO ESTRUCTURA METALICA DE TECHO Y ESTRUCT TECHO PINTURA</t>
      </text>
    </comment>
    <comment ref="F324" authorId="0" shapeId="0">
      <text>
        <t xml:space="preserve">Catalina Vazquez:
ESTRUCT METALICA TECHO </t>
      </text>
    </comment>
    <comment ref="B325" authorId="0" shapeId="0">
      <text>
        <t xml:space="preserve">Catalina Vazquez:
ESTRUCTURA TECHO PINTURA </t>
      </text>
    </comment>
    <comment ref="D325" authorId="0" shapeId="0">
      <text>
        <t xml:space="preserve">Catalina Vazquez:
 MO ESTRUCTURA METALICA DE TECHO Y ESTRUCT TECHO PINTURA </t>
      </text>
    </comment>
    <comment ref="F325" authorId="0" shapeId="0">
      <text>
        <t xml:space="preserve">Catalina Vazquez:
ESTRUCT TECHO PINTURA </t>
      </text>
    </comment>
    <comment ref="B326" authorId="0" shapeId="0">
      <text>
        <t xml:space="preserve">Catalina Vazquez:
ESTRUCTURA TECHO PINTURA </t>
      </text>
    </comment>
    <comment ref="D326" authorId="0" shapeId="0">
      <text>
        <t>Catalina Vazquez:
 MO ESTRUCTURA METALICA DE TECHO Y ESTRUCT TECHO PINTURA</t>
      </text>
    </comment>
    <comment ref="F326" authorId="0" shapeId="0">
      <text>
        <t xml:space="preserve">Catalina Vazquez:
ESTRUCT TECHO PINTURA </t>
      </text>
    </comment>
    <comment ref="D328" authorId="0" shapeId="0">
      <text>
        <t>Catalina Vazquez:
PERIMETRO ESTRUCTURA</t>
      </text>
    </comment>
    <comment ref="D329" authorId="0" shapeId="0">
      <text>
        <t xml:space="preserve">Catalina Vazquez:
CCOLUMNAS COCHERA </t>
      </text>
    </comment>
    <comment ref="D330" authorId="0" shapeId="0">
      <text>
        <t xml:space="preserve">Catalina Vazquez:
CLAVADORES </t>
      </text>
    </comment>
    <comment ref="B344" authorId="0" shapeId="0">
      <text>
        <t>Catalina Vazquez:
ESTRUCT METALICA COCHERA</t>
      </text>
    </comment>
    <comment ref="D344" authorId="0" shapeId="0">
      <text>
        <t xml:space="preserve">Catalina Vazquez:
 MO ESTRUCTURA METALICA DE TECHO Y ESTRUCT TECHO PINTURA </t>
      </text>
    </comment>
    <comment ref="F344" authorId="0" shapeId="0">
      <text>
        <t>Catalina Vazquez:
ESTRUCT METALICA TECHO COCHERA</t>
      </text>
    </comment>
    <comment ref="B345" authorId="0" shapeId="0">
      <text>
        <t>Catalina Vazquez:
ESTRUCT METALICA COCHERA</t>
      </text>
    </comment>
    <comment ref="D345" authorId="0" shapeId="0">
      <text>
        <t>Catalina Vazquez:
 MO ESTRUCTURA METALICA DE TECHO Y ESTRUCT TECHO PINTURA</t>
      </text>
    </comment>
    <comment ref="F345" authorId="0" shapeId="0">
      <text>
        <t>Catalina Vazquez:
ESTRUCT METALICA TECHO COCHERA</t>
      </text>
    </comment>
    <comment ref="B346" authorId="0" shapeId="0">
      <text>
        <t xml:space="preserve">Catalina Vazquez:
ESTRUCTURA TECHO COCHERA PINTURA </t>
      </text>
    </comment>
    <comment ref="D346" authorId="0" shapeId="0">
      <text>
        <t xml:space="preserve">Catalina Vazquez:
 MO ESTRUCTURA METALICA DE TECHO Y ESTRUCT TECHO PINTURA </t>
      </text>
    </comment>
    <comment ref="F346" authorId="0" shapeId="0">
      <text>
        <t xml:space="preserve">Catalina Vazquez:
ESTRUCT TECHO COCHERA PINTURA </t>
      </text>
    </comment>
    <comment ref="B347" authorId="0" shapeId="0">
      <text>
        <t xml:space="preserve">Catalina Vazquez:
ESTRUCTURA TECHO COCHERA PINTURA </t>
      </text>
    </comment>
    <comment ref="D347" authorId="0" shapeId="0">
      <text>
        <t>Catalina Vazquez:
 MO ESTRUCTURA METALICA DE TECHO Y ESTRUCT TECHO PINTURA</t>
      </text>
    </comment>
    <comment ref="F347" authorId="0" shapeId="0">
      <text>
        <t xml:space="preserve">Catalina Vazquez:
ESTRUCT TECHO COCHERA PINTURA </t>
      </text>
    </comment>
    <comment ref="E353" authorId="0" shapeId="0">
      <text>
        <t xml:space="preserve">Catalina Vazquez:
DEFINIR MONTO </t>
      </text>
    </comment>
    <comment ref="B354" authorId="0" shapeId="0">
      <text>
        <t xml:space="preserve">Catalina Vazquez:
CUBIERTA TECHO CASA </t>
      </text>
    </comment>
    <comment ref="D354" authorId="0" shapeId="0">
      <text>
        <t xml:space="preserve">Catalina Vazquez:
 MO CUBIERTA </t>
      </text>
    </comment>
    <comment ref="F354" authorId="0" shapeId="0">
      <text>
        <t xml:space="preserve">Catalina Vazquez:
CUBIERTA TECHO CASA </t>
      </text>
    </comment>
    <comment ref="B355" authorId="0" shapeId="0">
      <text>
        <t xml:space="preserve">Catalina Vazquez:
CUBIERTA TECHO CASA </t>
      </text>
    </comment>
    <comment ref="D355" authorId="0" shapeId="0">
      <text>
        <t>Catalina Vazquez:
 MO CUBIERTA</t>
      </text>
    </comment>
    <comment ref="F355" authorId="0" shapeId="0">
      <text>
        <t>Catalina Vazquez:
CUBIERTA TECHO CASA</t>
      </text>
    </comment>
    <comment ref="B366" authorId="0" shapeId="0">
      <text>
        <t xml:space="preserve">Catalina Vazquez:
CUBIERTA TECHO COCHERA </t>
      </text>
    </comment>
    <comment ref="D366" authorId="0" shapeId="0">
      <text>
        <t>Catalina Vazquez:
 MO CUBIERTA COCHERA</t>
      </text>
    </comment>
    <comment ref="F366" authorId="0" shapeId="0">
      <text>
        <t xml:space="preserve">Catalina Vazquez:
CUBIERTA TECHO COCHERA </t>
      </text>
    </comment>
    <comment ref="B367" authorId="0" shapeId="0">
      <text>
        <t xml:space="preserve">Catalina Vazquez:
CUBIERTA TECHO COCHERA </t>
      </text>
    </comment>
    <comment ref="D367" authorId="0" shapeId="0">
      <text>
        <t>Catalina Vazquez:
 MO CUBIERTA COCHERA</t>
      </text>
    </comment>
    <comment ref="F367" authorId="0" shapeId="0">
      <text>
        <t xml:space="preserve">Catalina Vazquez:
CUBIERTA TECHO COCHERA </t>
      </text>
    </comment>
    <comment ref="E373" authorId="0" shapeId="0">
      <text>
        <t>Catalina Vazquez:
DEFINIR MONTO</t>
      </text>
    </comment>
    <comment ref="B374" authorId="0" shapeId="0">
      <text>
        <t xml:space="preserve">Catalina Vazquez:
HOJALATERIA GENERAL </t>
      </text>
    </comment>
    <comment ref="D374" authorId="0" shapeId="0">
      <text>
        <t xml:space="preserve">Catalina Vazquez:
 MO HOJALATERIA CASA,COCHERA Y AREA PILA </t>
      </text>
    </comment>
    <comment ref="F374" authorId="0" shapeId="0">
      <text>
        <t xml:space="preserve">Catalina Vazquez:
REVISAR HORAS </t>
      </text>
    </comment>
    <comment ref="B375" authorId="0" shapeId="0">
      <text>
        <t xml:space="preserve">Catalina Vazquez:
HOJALATERIA GENERAL </t>
      </text>
    </comment>
    <comment ref="D375" authorId="0" shapeId="0">
      <text>
        <t xml:space="preserve">Catalina Vazquez:
 MO CASA, COCHERA Y AREA DE PILA </t>
      </text>
    </comment>
    <comment ref="B376" authorId="0" shapeId="0">
      <text>
        <t xml:space="preserve">Catalina Vazquez:
TALLER DE FABRICACION </t>
      </text>
    </comment>
    <comment ref="D376" authorId="0" shapeId="0">
      <text>
        <t xml:space="preserve">Catalina Vazquez:
 MO HOJALATERIA CASA,COCHERA Y AREA PILA </t>
      </text>
    </comment>
    <comment ref="F376" authorId="0" shapeId="0">
      <text>
        <t xml:space="preserve">Catalina Vazquez:
TALLER DE FABRICACION </t>
      </text>
    </comment>
    <comment ref="B377" authorId="0" shapeId="0">
      <text>
        <t xml:space="preserve">Catalina Vazquez:
TALLER DE FABRICACION </t>
      </text>
    </comment>
    <comment ref="D377" authorId="0" shapeId="0">
      <text>
        <t xml:space="preserve">Catalina Vazquez:
 MO CASA, COCHERA Y AREA DE PILA </t>
      </text>
    </comment>
    <comment ref="F377" authorId="0" shapeId="0">
      <text>
        <t xml:space="preserve">Catalina Vazquez:
TALLER DE FABRICACION </t>
      </text>
    </comment>
    <comment ref="B378" authorId="0" shapeId="0">
      <text>
        <t xml:space="preserve">Catalina Vazquez:
INSTALACION DE HOJALATERIA </t>
      </text>
    </comment>
    <comment ref="D378" authorId="0" shapeId="0">
      <text>
        <t xml:space="preserve">Catalina Vazquez:
 MO HOJALATERIA CASA,COCHERA Y AREA PILA </t>
      </text>
    </comment>
    <comment ref="F378" authorId="0" shapeId="0">
      <text>
        <t xml:space="preserve">Catalina Vazquez:
INSTALAC HOJALATERIA </t>
      </text>
    </comment>
    <comment ref="B379" authorId="0" shapeId="0">
      <text>
        <t xml:space="preserve">Catalina Vazquez:
INSTALACION DE HOJALATERIA </t>
      </text>
    </comment>
    <comment ref="D379" authorId="0" shapeId="0">
      <text>
        <t xml:space="preserve">Catalina Vazquez:
 MO CASA, COCHERA Y AREA DE PILA </t>
      </text>
    </comment>
    <comment ref="F379" authorId="0" shapeId="0">
      <text>
        <t xml:space="preserve">Catalina Vazquez:
INSTALAC HOJALATERIA </t>
      </text>
    </comment>
    <comment ref="B386" authorId="0" shapeId="0">
      <text>
        <t xml:space="preserve">Catalina Vazquez:
MO PINTURA GRADAS </t>
      </text>
    </comment>
    <comment ref="F386" authorId="0" shapeId="0">
      <text>
        <t xml:space="preserve">Catalina Vazquez:
MO PINTURA DE GRADAS   </t>
      </text>
    </comment>
    <comment ref="B387" authorId="0" shapeId="0">
      <text>
        <t xml:space="preserve">Catalina Vazquez:
MO PINTURA GRADAS </t>
      </text>
    </comment>
    <comment ref="F387" authorId="0" shapeId="0">
      <text>
        <t xml:space="preserve">Catalina Vazquez:
MO PINTURA DE GRADAS   </t>
      </text>
    </comment>
    <comment ref="B388" authorId="0" shapeId="0">
      <text>
        <t xml:space="preserve">Catalina Vazquez:
MO COLADO GRADAS METALICAS   </t>
      </text>
    </comment>
    <comment ref="F388" authorId="0" shapeId="0">
      <text>
        <t xml:space="preserve">Catalina Vazquez:
MO COLADO DE GRADAS METALICAS   </t>
      </text>
    </comment>
    <comment ref="B389" authorId="0" shapeId="0">
      <text>
        <t xml:space="preserve">Catalina Vazquez:
MO COLADO GRADAS METALICAS   </t>
      </text>
    </comment>
    <comment ref="F389" authorId="0" shapeId="0">
      <text>
        <t xml:space="preserve">Catalina Vazquez:
MO COLADO DE GRADAS METALICAS   </t>
      </text>
    </comment>
    <comment ref="B390" authorId="0" shapeId="0">
      <text>
        <t xml:space="preserve">Catalina Vazquez:
PASAMANOS GRADAS  </t>
      </text>
    </comment>
    <comment ref="F390" authorId="0" shapeId="0">
      <text>
        <t xml:space="preserve">Catalina Vazquez:
PASAMANOS DE GRADAS   </t>
      </text>
    </comment>
    <comment ref="B391" authorId="0" shapeId="0">
      <text>
        <t xml:space="preserve">Catalina Vazquez:
PASAMANOS GRADAS  </t>
      </text>
    </comment>
    <comment ref="F391" authorId="0" shapeId="0">
      <text>
        <t xml:space="preserve">Catalina Vazquez:
PASAMANOS DE GRADAS   </t>
      </text>
    </comment>
    <comment ref="B392" authorId="0" shapeId="0">
      <text>
        <t xml:space="preserve">Catalina Vazquez:
ESTRUCT METALICA GRADAS Y BARANDA   </t>
      </text>
    </comment>
    <comment ref="F392" authorId="0" shapeId="0">
      <text>
        <t xml:space="preserve">Catalina Vazquez:
ESTRUCT METALICA GRADAS Y BARANDAS  </t>
      </text>
    </comment>
    <comment ref="B393" authorId="0" shapeId="0">
      <text>
        <t xml:space="preserve">Catalina Vazquez:
ESTRUCT METALICA GRADAS Y BARANDA   </t>
      </text>
    </comment>
    <comment ref="F393" authorId="0" shapeId="0">
      <text>
        <t xml:space="preserve">Catalina Vazquez:
ESTRUCT METALICA GRADAS Y BARANDAS  </t>
      </text>
    </comment>
    <comment ref="B406" authorId="0" shapeId="0">
      <text>
        <t xml:space="preserve">Catalina Vazquez:
BARANDA GRADAS N2   </t>
      </text>
    </comment>
    <comment ref="F406" authorId="0" shapeId="0">
      <text>
        <t xml:space="preserve">Catalina Vazquez:
BARANDA GRADAS N2 </t>
      </text>
    </comment>
    <comment ref="B407" authorId="0" shapeId="0">
      <text>
        <t xml:space="preserve">Catalina Vazquez:
BARANDA GRADAS N2   </t>
      </text>
    </comment>
    <comment ref="F407" authorId="0" shapeId="0">
      <text>
        <t xml:space="preserve">Catalina Vazquez:
BARANDA GRADAS N2 </t>
      </text>
    </comment>
    <comment ref="B418" authorId="0" shapeId="0">
      <text>
        <t>Catalina Vazquez:
ESTRUCT METALICA INTERNA</t>
      </text>
    </comment>
    <comment ref="F418" authorId="0" shapeId="0">
      <text>
        <t>Catalina Vazquez:
ESTRUCT METALICA INTERNA</t>
      </text>
    </comment>
    <comment ref="B419" authorId="0" shapeId="0">
      <text>
        <t xml:space="preserve">Catalina Vazquez:
BARANDA GRADAS N2   </t>
      </text>
    </comment>
    <comment ref="F419" authorId="0" shapeId="0">
      <text>
        <t>Catalina Vazquez:
ESTRUCT METALICA INTERNA</t>
      </text>
    </comment>
    <comment ref="B420" authorId="0" shapeId="0">
      <text>
        <t xml:space="preserve">Catalina Vazquez:
ESTRUCT METALICA DUCTO </t>
      </text>
    </comment>
    <comment ref="F420" authorId="0" shapeId="0">
      <text>
        <t>Catalina Vazquez:
ESTRUCT METALICA DUCTO</t>
      </text>
    </comment>
    <comment ref="B421" authorId="0" shapeId="0">
      <text>
        <t xml:space="preserve">Catalina Vazquez:
ESTRUCT METALICA DUCTO </t>
      </text>
    </comment>
    <comment ref="F421" authorId="0" shapeId="0">
      <text>
        <t>Catalina Vazquez:
ESTRUCT METALICA DUCTO</t>
      </text>
    </comment>
    <comment ref="B451" authorId="0" shapeId="0">
      <text>
        <t>Catalina Vazquez:
ESTRUCT LIVIANA TAPICHELES</t>
      </text>
    </comment>
    <comment ref="F451" authorId="0" shapeId="0">
      <text>
        <t xml:space="preserve">Catalina Vazquez:
ESTRUC LIVIANA TAPICHELES </t>
      </text>
    </comment>
    <comment ref="B452" authorId="0" shapeId="0">
      <text>
        <t>Catalina Vazquez:
ESTRUCT LIVIANA TAPICHELES</t>
      </text>
    </comment>
    <comment ref="F452" authorId="0" shapeId="0">
      <text>
        <t xml:space="preserve">Catalina Vazquez:
ESTRUC LIVIANA TAPICHELES </t>
      </text>
    </comment>
    <comment ref="B453" authorId="0" shapeId="0">
      <text>
        <t xml:space="preserve">Catalina Vazquez:
FORRO DE TAPICHELES </t>
      </text>
    </comment>
    <comment ref="F453" authorId="0" shapeId="0">
      <text>
        <t xml:space="preserve">Catalina Vazquez:
FORRO DE TAPICHELES </t>
      </text>
    </comment>
    <comment ref="B454" authorId="0" shapeId="0">
      <text>
        <t xml:space="preserve">Catalina Vazquez:
FORRO DE TAPICHELES </t>
      </text>
    </comment>
    <comment ref="F454" authorId="0" shapeId="0">
      <text>
        <t xml:space="preserve">Catalina Vazquez:
FORRO DE TAPICHELES </t>
      </text>
    </comment>
    <comment ref="B490" authorId="0" shapeId="0">
      <text>
        <t>Catalina Vazquez:
ESTRUCT LIVIANA INTERNA</t>
      </text>
    </comment>
    <comment ref="F490" authorId="0" shapeId="0">
      <text>
        <t>Catalina Vazquez:
ESTRUC LIVIANA INTERNA</t>
      </text>
    </comment>
    <comment ref="B491" authorId="0" shapeId="0">
      <text>
        <t>Catalina Vazquez:
ESTRUCT LIVIANA INTERNA</t>
      </text>
    </comment>
    <comment ref="F491" authorId="0" shapeId="0">
      <text>
        <t>Catalina Vazquez:
ESTRUC LIVIANA INTERNA</t>
      </text>
    </comment>
    <comment ref="B492" authorId="0" shapeId="0">
      <text>
        <t xml:space="preserve">Catalina Vazquez:
FORRO LIVIANO INTERNO </t>
      </text>
    </comment>
    <comment ref="F492" authorId="0" shapeId="0">
      <text>
        <t>Catalina Vazquez:
FORRO LIVIANO INTERNO</t>
      </text>
    </comment>
    <comment ref="B493" authorId="0" shapeId="0">
      <text>
        <t xml:space="preserve">Catalina Vazquez:
FORRO LIVIANO INTERNO </t>
      </text>
    </comment>
    <comment ref="F493" authorId="0" shapeId="0">
      <text>
        <t>Catalina Vazquez:
FORRO LIVIANO INTERNO</t>
      </text>
    </comment>
    <comment ref="B494" authorId="0" shapeId="0">
      <text>
        <t xml:space="preserve">Catalina Vazquez:
FORRO ALEROS Y TABLILLA </t>
      </text>
    </comment>
    <comment ref="F494" authorId="0" shapeId="0">
      <text>
        <t xml:space="preserve">Catalina Vazquez:
FORRO ALEROS Y TABLILLA </t>
      </text>
    </comment>
    <comment ref="B495" authorId="0" shapeId="0">
      <text>
        <t xml:space="preserve">Catalina Vazquez:
FORRO ALEROS Y TABLILLA </t>
      </text>
    </comment>
    <comment ref="F495" authorId="0" shapeId="0">
      <text>
        <t xml:space="preserve">Catalina Vazquez:
FORRO ALEROS Y TABLILLA </t>
      </text>
    </comment>
    <comment ref="B496" authorId="0" shapeId="0">
      <text>
        <t xml:space="preserve">Catalina Vazquez:
ESTRUCTURA Y FORRO DE PILA </t>
      </text>
    </comment>
    <comment ref="F496" authorId="0" shapeId="0">
      <text>
        <t xml:space="preserve">Catalina Vazquez:
ESTRUCT Y FORRO DE PILA  </t>
      </text>
    </comment>
    <comment ref="B497" authorId="0" shapeId="0">
      <text>
        <t xml:space="preserve">Catalina Vazquez:
ESTRUCTURA Y FORRO DE PILA </t>
      </text>
    </comment>
    <comment ref="F497" authorId="0" shapeId="0">
      <text>
        <t xml:space="preserve">Catalina Vazquez:
ESTRUCT Y FORRO DE PILA  </t>
      </text>
    </comment>
    <comment ref="B498" authorId="0" shapeId="0">
      <text>
        <t xml:space="preserve">Catalina Vazquez:
FORRO DE DUCTOS MECANICOS </t>
      </text>
    </comment>
    <comment ref="F498" authorId="0" shapeId="0">
      <text>
        <t xml:space="preserve">Catalina Vazquez:
FORRO DE DUCTOS MECANICOS </t>
      </text>
    </comment>
    <comment ref="B499" authorId="0" shapeId="0">
      <text>
        <t xml:space="preserve">Catalina Vazquez:
FORRO DE DUCTOS MECANICOS </t>
      </text>
    </comment>
    <comment ref="F499" authorId="0" shapeId="0">
      <text>
        <t xml:space="preserve">Catalina Vazquez:
FORRO DE DUCTOS MECANICOS </t>
      </text>
    </comment>
    <comment ref="B500" authorId="0" shapeId="0">
      <text>
        <t xml:space="preserve">Catalina Vazquez:
ESTRUCT LIVIANA DUCTOS ESCALERA </t>
      </text>
    </comment>
    <comment ref="F500" authorId="0" shapeId="0">
      <text>
        <t xml:space="preserve">Catalina Vazquez:
ESTRUCT LIVIANA DUCTO ESCALERA </t>
      </text>
    </comment>
    <comment ref="B501" authorId="0" shapeId="0">
      <text>
        <t xml:space="preserve">Catalina Vazquez:
ESTRUCT LIVIANA DUCTOS ESCALERA </t>
      </text>
    </comment>
    <comment ref="F501" authorId="0" shapeId="0">
      <text>
        <t xml:space="preserve">Catalina Vazquez:
ESTRUCT LIVIANA DUCTO ESCALERA </t>
      </text>
    </comment>
    <comment ref="B502" authorId="0" shapeId="0">
      <text>
        <t>Catalina Vazquez:
FORRO DUCTO ESCALERAS</t>
      </text>
    </comment>
    <comment ref="F502" authorId="0" shapeId="0">
      <text>
        <t>Catalina Vazquez:
FORRO DUCTO ESCALERAS</t>
      </text>
    </comment>
    <comment ref="B503" authorId="0" shapeId="0">
      <text>
        <t>Catalina Vazquez:
FORRO DUCTO ESCALERAS</t>
      </text>
    </comment>
    <comment ref="F503" authorId="0" shapeId="0">
      <text>
        <t>Catalina Vazquez:
FORRO DUCTO ESCALERAS</t>
      </text>
    </comment>
    <comment ref="B509" authorId="0" shapeId="0">
      <text>
        <t>Catalina Vazquez:
RELLENO DE CORBATAS</t>
      </text>
    </comment>
    <comment ref="F509" authorId="0" shapeId="0">
      <text>
        <t xml:space="preserve">Catalina Vazquez:
RELLENO DE CORBATAS </t>
      </text>
    </comment>
    <comment ref="B510" authorId="0" shapeId="0">
      <text>
        <t>Catalina Vazquez:
RELLENO DE CORBATAS</t>
      </text>
    </comment>
    <comment ref="F510" authorId="0" shapeId="0">
      <text>
        <t xml:space="preserve">Catalina Vazquez:
RELLENO DE CORBATAS </t>
      </text>
    </comment>
    <comment ref="B511" authorId="0" shapeId="0">
      <text>
        <t xml:space="preserve">Catalina Vazquez:
CODALES DE VENTANAS </t>
      </text>
    </comment>
    <comment ref="F511" authorId="0" shapeId="0">
      <text>
        <t xml:space="preserve">Catalina Vazquez:
CODALES DE VENTANAS </t>
      </text>
    </comment>
    <comment ref="B512" authorId="0" shapeId="0">
      <text>
        <t xml:space="preserve">Catalina Vazquez:
CODALES DE VENTANAS </t>
      </text>
    </comment>
    <comment ref="F512" authorId="0" shapeId="0">
      <text>
        <t xml:space="preserve">Catalina Vazquez:
CODALES DE VENTANAS </t>
      </text>
    </comment>
    <comment ref="B513" authorId="0" shapeId="0">
      <text>
        <t xml:space="preserve">Catalina Vazquez:
MURO SECO INTERIOR </t>
      </text>
    </comment>
    <comment ref="F513" authorId="0" shapeId="0">
      <text>
        <t xml:space="preserve">Catalina Vazquez:
MURO SECO INTERIOR </t>
      </text>
    </comment>
    <comment ref="B514" authorId="0" shapeId="0">
      <text>
        <t xml:space="preserve">Catalina Vazquez:
MURO SECO INTERIOR </t>
      </text>
    </comment>
    <comment ref="F514" authorId="0" shapeId="0">
      <text>
        <t xml:space="preserve">Catalina Vazquez:
MURO SECO INTERIOR </t>
      </text>
    </comment>
    <comment ref="B515" authorId="0" shapeId="0">
      <text>
        <t xml:space="preserve">Catalina Vazquez:
MURO SECO EXTERIOR </t>
      </text>
    </comment>
    <comment ref="F515" authorId="0" shapeId="0">
      <text>
        <t>Catalina Vazquez:
MURO SECO EXTERIOR</t>
      </text>
    </comment>
    <comment ref="B516" authorId="0" shapeId="0">
      <text>
        <t xml:space="preserve">Catalina Vazquez:
MURO SECO EXTERIOR </t>
      </text>
    </comment>
    <comment ref="F516" authorId="0" shapeId="0">
      <text>
        <t>Catalina Vazquez:
MURO SECO EXTERIOR</t>
      </text>
    </comment>
    <comment ref="B517" authorId="0" shapeId="0">
      <text>
        <t xml:space="preserve">Catalina Vazquez:
REPELLO TAPIA  </t>
      </text>
    </comment>
    <comment ref="F517" authorId="0" shapeId="0">
      <text>
        <t xml:space="preserve">Catalina Vazquez:
REPELLO TAPIA </t>
      </text>
    </comment>
    <comment ref="B518" authorId="0" shapeId="0">
      <text>
        <t xml:space="preserve">Catalina Vazquez:
REPELLO TAPIA  </t>
      </text>
    </comment>
    <comment ref="F518" authorId="0" shapeId="0">
      <text>
        <t xml:space="preserve">Catalina Vazquez:
REPELLO TAPIA </t>
      </text>
    </comment>
    <comment ref="B519" authorId="0" shapeId="0">
      <text>
        <t xml:space="preserve">Catalina Vazquez:
REPELLO CIELOS  </t>
      </text>
    </comment>
    <comment ref="F519" authorId="0" shapeId="0">
      <text>
        <t xml:space="preserve">Catalina Vazquez:
REPELLO CIELOS </t>
      </text>
    </comment>
    <comment ref="B520" authorId="0" shapeId="0">
      <text>
        <t xml:space="preserve">Catalina Vazquez:
REPELLO CIELOS  </t>
      </text>
    </comment>
    <comment ref="F520" authorId="0" shapeId="0">
      <text>
        <t xml:space="preserve">Catalina Vazquez:
REPELLO CIELOS </t>
      </text>
    </comment>
    <comment ref="D522" authorId="0" shapeId="0">
      <text>
        <t xml:space="preserve">Catalina Vazquez:
Paredes internas </t>
      </text>
    </comment>
    <comment ref="B526" authorId="0" shapeId="0">
      <text>
        <t>Catalina Vazquez:
EMPASTE CEMENTICIO</t>
      </text>
    </comment>
    <comment ref="B527" authorId="0" shapeId="0">
      <text>
        <t>Catalina Vazquez:
EMPASTE CEMENTICIO</t>
      </text>
    </comment>
    <comment ref="B548" authorId="0" shapeId="0">
      <text>
        <t xml:space="preserve">Catalina Vazquez:
ENCHAPE PISO </t>
      </text>
    </comment>
    <comment ref="F548" authorId="0" shapeId="0">
      <text>
        <t xml:space="preserve">Catalina Vazquez:
ENCHAPE PISO </t>
      </text>
    </comment>
    <comment ref="B549" authorId="0" shapeId="0">
      <text>
        <t xml:space="preserve">Catalina Vazquez:
ENCHAPE PISO </t>
      </text>
    </comment>
    <comment ref="F549" authorId="0" shapeId="0">
      <text>
        <t xml:space="preserve">Catalina Vazquez:
ENCHAPE PISO </t>
      </text>
    </comment>
    <comment ref="B550" authorId="0" shapeId="0">
      <text>
        <t xml:space="preserve">Catalina Vazquez:
ENCHAPE FACHADA </t>
      </text>
    </comment>
    <comment ref="F550" authorId="0" shapeId="0">
      <text>
        <t xml:space="preserve">Catalina Vazquez:
ENCHAPE FACHADA </t>
      </text>
    </comment>
    <comment ref="B551" authorId="0" shapeId="0">
      <text>
        <t xml:space="preserve">Catalina Vazquez:
ENCHAPE FACHADA </t>
      </text>
    </comment>
    <comment ref="F551" authorId="0" shapeId="0">
      <text>
        <t xml:space="preserve">Catalina Vazquez:
ENCHAPE FACHADA </t>
      </text>
    </comment>
    <comment ref="B552" authorId="0" shapeId="0">
      <text>
        <t>Catalina Vazquez:
ENCHAPE BAÑO</t>
      </text>
    </comment>
    <comment ref="F552" authorId="0" shapeId="0">
      <text>
        <t xml:space="preserve">Catalina Vazquez:
ENCHAPE BAÑO </t>
      </text>
    </comment>
    <comment ref="B553" authorId="0" shapeId="0">
      <text>
        <t>Catalina Vazquez:
ENCHAPE BAÑO</t>
      </text>
    </comment>
    <comment ref="F553" authorId="0" shapeId="0">
      <text>
        <t xml:space="preserve">Catalina Vazquez:
ENCHAPE BAÑO </t>
      </text>
    </comment>
    <comment ref="B554" authorId="0" shapeId="0">
      <text>
        <t xml:space="preserve">Catalina Vazquez:
ENCHAPE LOSA CENITAL </t>
      </text>
    </comment>
    <comment ref="F554" authorId="0" shapeId="0">
      <text>
        <t xml:space="preserve">Catalina Vazquez:
ENCHAPE LOSA CENITAL </t>
      </text>
    </comment>
    <comment ref="B555" authorId="0" shapeId="0">
      <text>
        <t xml:space="preserve">Catalina Vazquez:
ENCHAPE LOSA CENITAL </t>
      </text>
    </comment>
    <comment ref="F555" authorId="0" shapeId="0">
      <text>
        <t xml:space="preserve">Catalina Vazquez:
ENCHAPE LOSA CENITAL </t>
      </text>
    </comment>
    <comment ref="B556" authorId="0" shapeId="0">
      <text>
        <t>Catalina Vazquez:ENCHAPE GRADAS</t>
      </text>
    </comment>
    <comment ref="F556" authorId="0" shapeId="0">
      <text>
        <t>Catalina Vazquez:
ENCHAPE GRADAS</t>
      </text>
    </comment>
    <comment ref="B557" authorId="0" shapeId="0">
      <text>
        <t>Catalina Vazquez:
ENCHAPE GRADAS</t>
      </text>
    </comment>
    <comment ref="F557" authorId="0" shapeId="0">
      <text>
        <t>Catalina Vazquez:
ENCHAPE GRADAS</t>
      </text>
    </comment>
    <comment ref="B558" authorId="0" shapeId="0">
      <text>
        <t xml:space="preserve">Catalina Vazquez:
BOCEL GRAGAS </t>
      </text>
    </comment>
    <comment ref="F558" authorId="0" shapeId="0">
      <text>
        <t>Catalina Vazquez:
BOCEL DE GRADAS</t>
      </text>
    </comment>
    <comment ref="B559" authorId="0" shapeId="0">
      <text>
        <t xml:space="preserve">Catalina Vazquez:
BOCEL GRAGAS </t>
      </text>
    </comment>
    <comment ref="F559" authorId="0" shapeId="0">
      <text>
        <t>Catalina Vazquez:
BOCEL DE GRADAS</t>
      </text>
    </comment>
    <comment ref="B622" authorId="0" shapeId="0">
      <text>
        <t xml:space="preserve">Catalina Vazquez:
MUEBLE DE COCINA Y CLOSET </t>
      </text>
    </comment>
    <comment ref="D622" authorId="0" shapeId="0">
      <text>
        <t xml:space="preserve">Catalina Vazquez:
FABRICACION </t>
      </text>
    </comment>
    <comment ref="F622" authorId="0" shapeId="0">
      <text>
        <t>Catalina Vazquez:
MUEBLE DE COCINA Y CLOSET (FABRICACE INSTALAC)</t>
      </text>
    </comment>
    <comment ref="B623" authorId="0" shapeId="0">
      <text>
        <t xml:space="preserve">Catalina Vazquez:
MUEBLE DE COCINA Y CLOSET </t>
      </text>
    </comment>
    <comment ref="D623" authorId="0" shapeId="0">
      <text>
        <t xml:space="preserve">Catalina Vazquez:
FABRICACION </t>
      </text>
    </comment>
    <comment ref="F623" authorId="0" shapeId="0">
      <text>
        <t>Catalina Vazquez:
MUEBLE DE COCINA Y CLOSET (FABRICACE INSTALAC)</t>
      </text>
    </comment>
    <comment ref="B624" authorId="0" shapeId="0">
      <text>
        <t xml:space="preserve">Catalina Vazquez:
SOBRE DE GRANITO </t>
      </text>
    </comment>
    <comment ref="D624" authorId="0" shapeId="0">
      <text>
        <t>Catalina Vazquez:
INSTALACION</t>
      </text>
    </comment>
    <comment ref="F624" authorId="0" shapeId="0">
      <text>
        <t xml:space="preserve">Catalina Vazquez:
SOBRE DE GRANITO </t>
      </text>
    </comment>
    <comment ref="B625" authorId="0" shapeId="0">
      <text>
        <t xml:space="preserve">Catalina Vazquez:
SOBRE DE GRANITO </t>
      </text>
    </comment>
    <comment ref="D625" authorId="0" shapeId="0">
      <text>
        <t xml:space="preserve">Catalina Vazquez:
INSTALACION </t>
      </text>
    </comment>
    <comment ref="F625" authorId="0" shapeId="0">
      <text>
        <t xml:space="preserve">Catalina Vazquez:
SOBRE DE GRANITO </t>
      </text>
    </comment>
    <comment ref="E63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Largo de las unidades: 1 metro</t>
      </text>
    </comment>
    <comment ref="E632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 asume que la caja tiene 100 uds</t>
      </text>
    </comment>
    <comment ref="B636" authorId="0" shapeId="0">
      <text>
        <t xml:space="preserve">Catalina Vazquez:
PUERTAS Y RODAPIE </t>
      </text>
    </comment>
    <comment ref="F636" authorId="0" shapeId="0">
      <text>
        <t>Catalina Vazquez:
PUERTAS Y RODAPIE</t>
      </text>
    </comment>
    <comment ref="B637" authorId="0" shapeId="0">
      <text>
        <t xml:space="preserve">Catalina Vazquez:
PUERTAS Y RODAPIE </t>
      </text>
    </comment>
    <comment ref="F637" authorId="0" shapeId="0">
      <text>
        <t>Catalina Vazquez:
PUERTAS Y RODAPIE</t>
      </text>
    </comment>
    <comment ref="B643" authorId="0" shapeId="0">
      <text>
        <t>Catalina Vazquez:
RELLENO DE PATIO</t>
      </text>
    </comment>
    <comment ref="F643" authorId="0" shapeId="0">
      <text>
        <t>Catalina Vazquez:
RELLENO DE PATIO</t>
      </text>
    </comment>
    <comment ref="B644" authorId="0" shapeId="0">
      <text>
        <t>Catalina Vazquez:
RELLENO DE PATIO</t>
      </text>
    </comment>
    <comment ref="F644" authorId="0" shapeId="0">
      <text>
        <t>Catalina Vazquez:
RELLENO DE PATIO</t>
      </text>
    </comment>
    <comment ref="B645" authorId="0" shapeId="0">
      <text>
        <t xml:space="preserve">Catalina Vazquez:
COLOCACION ZACATE </t>
      </text>
    </comment>
    <comment ref="F645" authorId="0" shapeId="0">
      <text>
        <t xml:space="preserve">Catalina Vazquez:
COLOCACION DE ZACATE </t>
      </text>
    </comment>
    <comment ref="B646" authorId="0" shapeId="0">
      <text>
        <t xml:space="preserve">Catalina Vazquez:
COLOCACION ZACATE </t>
      </text>
    </comment>
    <comment ref="F646" authorId="0" shapeId="0">
      <text>
        <t xml:space="preserve">Catalina Vazquez:
COLOCACION DE ZACATE </t>
      </text>
    </comment>
    <comment ref="F647" authorId="0" shapeId="0">
      <text>
        <t xml:space="preserve">Catalina Vazquez:
10 m calculados </t>
      </text>
    </comment>
    <comment ref="B653" authorId="0" shapeId="0">
      <text>
        <t xml:space="preserve">Catalina Vazquez:
TAPIA </t>
      </text>
    </comment>
    <comment ref="F653" authorId="0" shapeId="0">
      <text>
        <t xml:space="preserve">Catalina Vazquez:
TAPIA </t>
      </text>
    </comment>
    <comment ref="B654" authorId="0" shapeId="0">
      <text>
        <t xml:space="preserve">Catalina Vazquez:
TAPIA </t>
      </text>
    </comment>
    <comment ref="F654" authorId="0" shapeId="0">
      <text>
        <t xml:space="preserve">Catalina Vazquez:
TAPIA </t>
      </text>
    </comment>
    <comment ref="B655" authorId="0" shapeId="0">
      <text>
        <t>Catalina Vazquez:
PERLING DE TAPIA</t>
      </text>
    </comment>
    <comment ref="F655" authorId="0" shapeId="0">
      <text>
        <t xml:space="preserve">Catalina Vazquez:
PERLING TAPIA </t>
      </text>
    </comment>
    <comment ref="B656" authorId="0" shapeId="0">
      <text>
        <t>Catalina Vazquez:
PERLING DE TAPIA</t>
      </text>
    </comment>
    <comment ref="F656" authorId="0" shapeId="0">
      <text>
        <t xml:space="preserve">Catalina Vazquez:
PERLING TAPIA </t>
      </text>
    </comment>
    <comment ref="B663" authorId="0" shapeId="0">
      <text>
        <t xml:space="preserve">Catalina Vazquez:
RAMPA DE ACCESO </t>
      </text>
    </comment>
    <comment ref="D663" authorId="0" shapeId="0">
      <text>
        <t>Catalina Vazquez:
 MO RAMPA DE ACCESO Y ACERA</t>
      </text>
    </comment>
    <comment ref="F663" authorId="0" shapeId="0">
      <text>
        <t xml:space="preserve">Catalina Vazquez:
RAMPA DE ACCESO </t>
      </text>
    </comment>
    <comment ref="B664" authorId="0" shapeId="0">
      <text>
        <t xml:space="preserve">Catalina Vazquez:
RAMPA DE ACCESO </t>
      </text>
    </comment>
    <comment ref="D664" authorId="0" shapeId="0">
      <text>
        <t xml:space="preserve">Catalina Vazquez:
MO RAMPA DE ACCESO Y ACERA </t>
      </text>
    </comment>
    <comment ref="F664" authorId="0" shapeId="0">
      <text>
        <t xml:space="preserve">Catalina Vazquez:
RAMPA DE ACCESO </t>
      </text>
    </comment>
    <comment ref="B665" authorId="0" shapeId="0">
      <text>
        <t xml:space="preserve">Catalina Vazquez:
ACERA </t>
      </text>
    </comment>
    <comment ref="D665" authorId="0" shapeId="0">
      <text>
        <t>Catalina Vazquez:
 MO RAMPA DE ACCESO Y ACERA</t>
      </text>
    </comment>
    <comment ref="F665" authorId="0" shapeId="0">
      <text>
        <t>Catalina Vazquez:
ACERA</t>
      </text>
    </comment>
    <comment ref="B666" authorId="0" shapeId="0">
      <text>
        <t xml:space="preserve">Catalina Vazquez:
ACERA </t>
      </text>
    </comment>
    <comment ref="D666" authorId="0" shapeId="0">
      <text>
        <t xml:space="preserve">Catalina Vazquez:
MO RAMPA DE ACCESO Y ACERA </t>
      </text>
    </comment>
    <comment ref="F666" authorId="0" shapeId="0">
      <text>
        <t>Catalina Vazquez:
ACERA</t>
      </text>
    </comment>
    <comment ref="D669" authorId="0" shapeId="0">
      <text>
        <t xml:space="preserve">Catalina Vazquez:
PINTURA INTERNA </t>
      </text>
    </comment>
    <comment ref="D670" authorId="0" shapeId="0">
      <text>
        <t xml:space="preserve">Catalina Vazquez:
PINTURA INTERNA FISURAS </t>
      </text>
    </comment>
    <comment ref="D671" authorId="0" shapeId="0">
      <text>
        <t xml:space="preserve">Catalina Vazquez:
1 CUBETA BLANCA 1 CUBETA GRIS Y 1 CUBETA CAFÉ </t>
      </text>
    </comment>
    <comment ref="D672" authorId="0" shapeId="0">
      <text>
        <t xml:space="preserve">Catalina Vazquez:
PINTURA LOSA CENITAL </t>
      </text>
    </comment>
    <comment ref="D678" authorId="0" shapeId="0">
      <text>
        <t xml:space="preserve">Catalina Vazquez:
ACABADOS ESTRUCTURA METALICA </t>
      </text>
    </comment>
    <comment ref="B685" authorId="0" shapeId="0">
      <text>
        <t xml:space="preserve">Catalina Vazquez:
LIJADO DE CIELOS </t>
      </text>
    </comment>
    <comment ref="F685" authorId="0" shapeId="0">
      <text>
        <t>Catalina Vazquez:
LIJADO DE CIELOS Y PAREDES</t>
      </text>
    </comment>
    <comment ref="B686" authorId="0" shapeId="0">
      <text>
        <t xml:space="preserve">Catalina Vazquez:
LIJADO DE CIELOS </t>
      </text>
    </comment>
    <comment ref="F686" authorId="0" shapeId="0">
      <text>
        <t>Catalina Vazquez:
LIJADO DE CIELOS Y PAREDES</t>
      </text>
    </comment>
    <comment ref="B687" authorId="0" shapeId="0">
      <text>
        <t xml:space="preserve">Catalina Vazquez:
REPARACIÓN DE GRIETAS </t>
      </text>
    </comment>
    <comment ref="F687" authorId="0" shapeId="0">
      <text>
        <t>Catalina Vazquez:
REPARACION DE GRIETAS</t>
      </text>
    </comment>
    <comment ref="B688" authorId="0" shapeId="0">
      <text>
        <t xml:space="preserve">Catalina Vazquez:
REPARACIÓN DE GRIETAS </t>
      </text>
    </comment>
    <comment ref="F688" authorId="0" shapeId="0">
      <text>
        <t>Catalina Vazquez:
REPARACION DE GRIETAS</t>
      </text>
    </comment>
    <comment ref="B689" authorId="0" shapeId="0">
      <text>
        <t>Catalina Vazquez:
ALISTAR PARA PINTAR CASA</t>
      </text>
    </comment>
    <comment ref="F689" authorId="0" shapeId="0">
      <text>
        <t xml:space="preserve">Catalina Vazquez:
ALISTAR PARA PINTAR CASA </t>
      </text>
    </comment>
    <comment ref="B690" authorId="0" shapeId="0">
      <text>
        <t>Catalina Vazquez:
ALISTAR PARA PINTAR CASA</t>
      </text>
    </comment>
    <comment ref="F690" authorId="0" shapeId="0">
      <text>
        <t xml:space="preserve">Catalina Vazquez:
ALISTAR PARA PINTAR CASA </t>
      </text>
    </comment>
    <comment ref="B691" authorId="0" shapeId="0">
      <text>
        <t xml:space="preserve">Catalina Vazquez:
PRIMER MANO DE PINTURA </t>
      </text>
    </comment>
    <comment ref="F691" authorId="0" shapeId="0">
      <text>
        <t>Catalina Vazquez:
PRIMER MANO DE PINTURA</t>
      </text>
    </comment>
    <comment ref="B692" authorId="0" shapeId="0">
      <text>
        <t xml:space="preserve">Catalina Vazquez:
PRIMER MANO DE PINTURA </t>
      </text>
    </comment>
    <comment ref="F692" authorId="0" shapeId="0">
      <text>
        <t>Catalina Vazquez:
PRIMER MANO DE PINTURA</t>
      </text>
    </comment>
    <comment ref="B693" authorId="0" shapeId="0">
      <text>
        <t xml:space="preserve">Catalina Vazquez:
MANO FINAL DE PINTURA </t>
      </text>
    </comment>
    <comment ref="F693" authorId="0" shapeId="0">
      <text>
        <t xml:space="preserve">Catalina Vazquez:
MANO FINAL DE PINTURA </t>
      </text>
    </comment>
    <comment ref="B694" authorId="0" shapeId="0">
      <text>
        <t xml:space="preserve">Catalina Vazquez:
MANO FINAL DE PINTURA </t>
      </text>
    </comment>
    <comment ref="F694" authorId="0" shapeId="0">
      <text>
        <t xml:space="preserve">Catalina Vazquez:
MANO FINAL DE PINTURA </t>
      </text>
    </comment>
    <comment ref="B695" authorId="0" shapeId="0">
      <text>
        <t xml:space="preserve">Catalina Vazquez:
PINTURA EXTERNA DE TAPIA </t>
      </text>
    </comment>
    <comment ref="F695" authorId="0" shapeId="0">
      <text>
        <t xml:space="preserve">Catalina Vazquez:
PINTURA EXTERNA DE TAPIA </t>
      </text>
    </comment>
    <comment ref="B696" authorId="0" shapeId="0">
      <text>
        <t xml:space="preserve">Catalina Vazquez:
PINTURA EXTERNA DE TAPIA </t>
      </text>
    </comment>
    <comment ref="F696" authorId="0" shapeId="0">
      <text>
        <t xml:space="preserve">Catalina Vazquez:
PINTURA EXTERNA DE TAPIA </t>
      </text>
    </comment>
    <comment ref="B713" authorId="0" shapeId="0">
      <text>
        <t xml:space="preserve">Catalina Vazquez:
LOSA SANITARIA </t>
      </text>
    </comment>
    <comment ref="F713" authorId="0" shapeId="0">
      <text>
        <t>Catalina Vazquez:
LOSA SANITARIA</t>
      </text>
    </comment>
    <comment ref="B714" authorId="0" shapeId="0">
      <text>
        <t xml:space="preserve">Catalina Vazquez:
LOSA SANITARIA </t>
      </text>
    </comment>
    <comment ref="F714" authorId="0" shapeId="0">
      <text>
        <t>Catalina Vazquez:
LOSA SANITARIA</t>
      </text>
    </comment>
    <comment ref="B715" authorId="0" shapeId="0">
      <text>
        <t xml:space="preserve">Catalina Vazquez:
COLOCACION DE GRIFERIA </t>
      </text>
    </comment>
    <comment ref="F715" authorId="0" shapeId="0">
      <text>
        <t xml:space="preserve">Catalina Vazquez:
COLOCACION DE GRIFERIA </t>
      </text>
    </comment>
    <comment ref="B716" authorId="0" shapeId="0">
      <text>
        <t xml:space="preserve">Catalina Vazquez:
COLOCACION DE GRIFERIA </t>
      </text>
    </comment>
    <comment ref="F716" authorId="0" shapeId="0">
      <text>
        <t xml:space="preserve">Catalina Vazquez:
COLOCACION DE GRIFERIA </t>
      </text>
    </comment>
    <comment ref="B725" authorId="0" shapeId="0">
      <text>
        <t xml:space="preserve">Catalina Vazquez:
OCHADO PRETIL </t>
      </text>
    </comment>
    <comment ref="F725" authorId="0" shapeId="0">
      <text>
        <t xml:space="preserve">Catalina Vazquez:
OCHADO PRETIL </t>
      </text>
    </comment>
    <comment ref="B726" authorId="0" shapeId="0">
      <text>
        <t xml:space="preserve">Catalina Vazquez:
OCHADO PRETIL </t>
      </text>
    </comment>
    <comment ref="F726" authorId="0" shapeId="0">
      <text>
        <t xml:space="preserve">Catalina Vazquez:
OCHADO PRETIL </t>
      </text>
    </comment>
    <comment ref="B727" authorId="0" shapeId="0">
      <text>
        <t>Catalina Vazquez:
REPARACION AZOTEA</t>
      </text>
    </comment>
    <comment ref="F727" authorId="0" shapeId="0">
      <text>
        <t>Catalina Vazquez:
PREPARACION AZOTEA</t>
      </text>
    </comment>
    <comment ref="B728" authorId="0" shapeId="0">
      <text>
        <t>Catalina Vazquez:
REPARACION AZOTEA</t>
      </text>
    </comment>
    <comment ref="F728" authorId="0" shapeId="0">
      <text>
        <t>Catalina Vazquez:
PREPARACION AZOTEA</t>
      </text>
    </comment>
    <comment ref="B729" authorId="0" shapeId="0">
      <text>
        <t>Catalina Vazquez:
IMPERMEABILIZACION AZOTEA</t>
      </text>
    </comment>
    <comment ref="F729" authorId="0" shapeId="0">
      <text>
        <t xml:space="preserve">Catalina Vazquez:
IMPERMEABILIZACION AZOTEA </t>
      </text>
    </comment>
    <comment ref="B730" authorId="0" shapeId="0">
      <text>
        <t>Catalina Vazquez:
IMPERMEABILIZACION AZOTEA</t>
      </text>
    </comment>
    <comment ref="F730" authorId="0" shapeId="0">
      <text>
        <t xml:space="preserve">Catalina Vazquez:
IMPERMEABILIZACION AZOTEA </t>
      </text>
    </comment>
    <comment ref="B732" authorId="0" shapeId="0">
      <text>
        <t>Catalina Vazquez:
PONCHEO</t>
      </text>
    </comment>
    <comment ref="F732" authorId="0" shapeId="0">
      <text>
        <t>Catalina Vazquez:
PONCHEO</t>
      </text>
    </comment>
    <comment ref="B733" authorId="0" shapeId="0">
      <text>
        <t>Catalina Vazquez:
PONCHEO</t>
      </text>
    </comment>
    <comment ref="F733" authorId="0" shapeId="0">
      <text>
        <t>Catalina Vazquez:
PONCHEO</t>
      </text>
    </comment>
    <comment ref="B734" authorId="0" shapeId="0">
      <text>
        <t xml:space="preserve">Catalina Vazquez:
LIMPIEZA PARA ENTREGA </t>
      </text>
    </comment>
    <comment ref="F734" authorId="0" shapeId="0">
      <text>
        <t>Catalina Vazquez:
LIMPIEZA PARA ENTREGA</t>
      </text>
    </comment>
    <comment ref="B735" authorId="0" shapeId="0">
      <text>
        <t xml:space="preserve">Catalina Vazquez:
LIMPIEZA PARA ENTREGA </t>
      </text>
    </comment>
    <comment ref="F735" authorId="0" shapeId="0">
      <text>
        <t>Catalina Vazquez:
LIMPIEZA PARA ENTREGA</t>
      </text>
    </comment>
    <comment ref="B736" authorId="0" shapeId="0">
      <text>
        <t xml:space="preserve">Catalina Vazquez:
LAVADO COHERA, TERRAZA Y SELLADOR </t>
      </text>
    </comment>
    <comment ref="F736" authorId="0" shapeId="0">
      <text>
        <t xml:space="preserve">Catalina Vazquez:
LAVADO DE COCHERA, TERRAZA Y SELLADOR </t>
      </text>
    </comment>
    <comment ref="B737" authorId="0" shapeId="0">
      <text>
        <t xml:space="preserve">Catalina Vazquez:
LAVADO COHERA, TERRAZA Y SELLADOR </t>
      </text>
    </comment>
    <comment ref="F737" authorId="0" shapeId="0">
      <text>
        <t xml:space="preserve">Catalina Vazquez:
LAVADO DE COCHERA, TERRAZA Y SELLADOR </t>
      </text>
    </comment>
    <comment ref="B741" authorId="0" shapeId="0">
      <text>
        <t xml:space="preserve">Catalina Vazquez:
VENTANERIA </t>
      </text>
    </comment>
    <comment ref="F741" authorId="0" shapeId="0">
      <text>
        <t>Catalina Vazquez:
VENTANERIA</t>
      </text>
    </comment>
    <comment ref="B742" authorId="0" shapeId="0">
      <text>
        <t xml:space="preserve">Catalina Vazquez:
VENTANERIA </t>
      </text>
    </comment>
    <comment ref="F742" authorId="0" shapeId="0">
      <text>
        <t xml:space="preserve">Catalina Vazquez:
VENTANERIA </t>
      </text>
    </comment>
    <comment ref="B746" authorId="0" shapeId="0">
      <text>
        <t>Catalina Vazquez:
ACOMETIDA</t>
      </text>
    </comment>
    <comment ref="F746" authorId="0" shapeId="0">
      <text>
        <t xml:space="preserve">Catalina Vazquez:
ACOMETIDA </t>
      </text>
    </comment>
    <comment ref="B747" authorId="0" shapeId="0">
      <text>
        <t>Catalina Vazquez:
ACOMETIDA</t>
      </text>
    </comment>
    <comment ref="F747" authorId="0" shapeId="0">
      <text>
        <t xml:space="preserve">Catalina Vazquez:
ACOMETIDA </t>
      </text>
    </comment>
    <comment ref="B750" authorId="0" shapeId="0">
      <text>
        <t xml:space="preserve">Catalina Vazquez:
TUBERIA ELECTRICA LOSA </t>
      </text>
    </comment>
    <comment ref="F750" authorId="0" shapeId="0">
      <text>
        <t xml:space="preserve">Catalina Vazquez:
TUBERIA ELECTRICA LOSA  </t>
      </text>
    </comment>
    <comment ref="B751" authorId="0" shapeId="0">
      <text>
        <t xml:space="preserve">Catalina Vazquez:
TUBERIA ELECTRICA LOSA </t>
      </text>
    </comment>
    <comment ref="F751" authorId="0" shapeId="0">
      <text>
        <t xml:space="preserve">Catalina Vazquez:
TUBERIA ELECTRICA LOSA  </t>
      </text>
    </comment>
    <comment ref="B754" authorId="0" shapeId="0">
      <text>
        <t>Catalina Vazquez:
TUBERIA ELECTRICA MUROS N1</t>
      </text>
    </comment>
    <comment ref="F754" authorId="0" shapeId="0">
      <text>
        <t>Catalina Vazquez:
TUBERIA ELECTRICA MUROS N1</t>
      </text>
    </comment>
    <comment ref="B755" authorId="0" shapeId="0">
      <text>
        <t>Catalina Vazquez:
TUBERIA ELECTRICA MUROS N1</t>
      </text>
    </comment>
    <comment ref="F755" authorId="0" shapeId="0">
      <text>
        <t>Catalina Vazquez:
TUBERIA ELECTRICA MUROS N1</t>
      </text>
    </comment>
    <comment ref="B758" authorId="0" shapeId="0">
      <text>
        <t xml:space="preserve">Catalina Vazquez:
BASE MEDIDOR </t>
      </text>
    </comment>
    <comment ref="F758" authorId="0" shapeId="0">
      <text>
        <t xml:space="preserve">Catalina Vazquez:
BASE DE MEDIDOR </t>
      </text>
    </comment>
    <comment ref="B759" authorId="0" shapeId="0">
      <text>
        <t xml:space="preserve">Catalina Vazquez:
BASE MEDIDOR </t>
      </text>
    </comment>
    <comment ref="F759" authorId="0" shapeId="0">
      <text>
        <t xml:space="preserve">Catalina Vazquez:
BASE DE MEDIDOR </t>
      </text>
    </comment>
    <comment ref="B760" authorId="0" shapeId="0">
      <text>
        <t xml:space="preserve">Catalina Vazquez:
INSTALAC ELECT CIELOS Y CENTRO DE CARGA </t>
      </text>
    </comment>
    <comment ref="F760" authorId="0" shapeId="0">
      <text>
        <t xml:space="preserve">Catalina Vazquez:
INSTALAC ELECTRICA CIELOS Y CENTRO DE CARGA </t>
      </text>
    </comment>
    <comment ref="B761" authorId="0" shapeId="0">
      <text>
        <t xml:space="preserve">Catalina Vazquez:
INSTALAC ELECT CIELOS Y CENTRO DE CARGA </t>
      </text>
    </comment>
    <comment ref="F761" authorId="0" shapeId="0">
      <text>
        <t xml:space="preserve">Catalina Vazquez:
INSTALAC ELECTRICA CIELOS Y CENTRO DE CARGA </t>
      </text>
    </comment>
    <comment ref="B769" authorId="0" shapeId="0">
      <text>
        <t xml:space="preserve">Catalina Vazquez:
INSTALAC PLAFONES </t>
      </text>
    </comment>
    <comment ref="F769" authorId="0" shapeId="0">
      <text>
        <t xml:space="preserve">Catalina Vazquez:
INSTALAC ELECTRICA CIELOS Y CENTRO DE CARGA </t>
      </text>
    </comment>
    <comment ref="B770" authorId="0" shapeId="0">
      <text>
        <t xml:space="preserve">Catalina Vazquez:
INSTALAC PLAFONES </t>
      </text>
    </comment>
    <comment ref="F770" authorId="0" shapeId="0">
      <text>
        <t xml:space="preserve">Catalina Vazquez:
INSTALAC ELECTRICA CIELOS Y CENTRO DE CARGA </t>
      </text>
    </comment>
    <comment ref="B779" authorId="0" shapeId="0">
      <text>
        <t xml:space="preserve">Catalina Vazquez:
ARMADO CAJA BREAKER </t>
      </text>
    </comment>
    <comment ref="F779" authorId="0" shapeId="0">
      <text>
        <t xml:space="preserve">Catalina Vazquez:
ARMADO CAJA BREAKER </t>
      </text>
    </comment>
    <comment ref="B780" authorId="0" shapeId="0">
      <text>
        <t xml:space="preserve">Catalina Vazquez:
ARMADO CAJA BREAKER </t>
      </text>
    </comment>
    <comment ref="F780" authorId="0" shapeId="0">
      <text>
        <t xml:space="preserve">Catalina Vazquez:
ARMADO CAJA BREAKER </t>
      </text>
    </comment>
    <comment ref="B811" authorId="0" shapeId="0">
      <text>
        <t xml:space="preserve">Catalina Vazquez:
CABLEADO MUROS Y ARMADO CENTRO DE CARGA </t>
      </text>
    </comment>
    <comment ref="F811" authorId="0" shapeId="0">
      <text>
        <t xml:space="preserve">Catalina Vazquez:
CABLEADO MUROS Y ARMADO CENTRO DE CARGA </t>
      </text>
    </comment>
    <comment ref="B812" authorId="0" shapeId="0">
      <text>
        <t xml:space="preserve">Catalina Vazquez:
CABLEADO MUROS Y ARMADO CENTRO DE CARGA </t>
      </text>
    </comment>
    <comment ref="F812" authorId="0" shapeId="0">
      <text>
        <t xml:space="preserve">Catalina Vazquez:
CABLEADO MUROS Y ARMADO CENTRO DE CARGA </t>
      </text>
    </comment>
    <comment ref="B820" authorId="0" shapeId="0">
      <text>
        <t xml:space="preserve">Catalina Vazquez:
PLAQUERIA Y LUMINARIAS </t>
      </text>
    </comment>
    <comment ref="F820" authorId="0" shapeId="0">
      <text>
        <t xml:space="preserve">Catalina Vazquez:
PLAQUERIA Y LUMINARIAS </t>
      </text>
    </comment>
    <comment ref="B821" authorId="0" shapeId="0">
      <text>
        <t xml:space="preserve">Catalina Vazquez:
PLAQUERIA Y LUMINARIAS </t>
      </text>
    </comment>
    <comment ref="F821" authorId="0" shapeId="0">
      <text>
        <t xml:space="preserve">Catalina Vazquez:
PLAQUERIA Y LUMINARIAS </t>
      </text>
    </comment>
    <comment ref="B830" authorId="0" shapeId="0">
      <text>
        <t xml:space="preserve">Catalina Vazquez:
COLOCACIÓN DE BREAKERS </t>
      </text>
    </comment>
    <comment ref="F830" authorId="0" shapeId="0">
      <text>
        <t xml:space="preserve">Catalina Vazquez:
COLOCACIÓN DE BREAKERS </t>
      </text>
    </comment>
    <comment ref="B831" authorId="0" shapeId="0">
      <text>
        <t xml:space="preserve">Catalina Vazquez:
COLOCACIÓN DE BREAKERS </t>
      </text>
    </comment>
    <comment ref="F831" authorId="0" shapeId="0">
      <text>
        <t xml:space="preserve">Catalina Vazquez:
COLOCACIÓN DE BREAKERS </t>
      </text>
    </comment>
    <comment ref="B832" authorId="0" shapeId="0">
      <text>
        <t xml:space="preserve">Catalina Vazquez:
COLOCACION DE BOMBILLOS Y AJUSTES </t>
      </text>
    </comment>
    <comment ref="F832" authorId="0" shapeId="0">
      <text>
        <t xml:space="preserve">Catalina Vazquez:
COLOCACION DE BOMBILLOS Y AJUSTES </t>
      </text>
    </comment>
    <comment ref="B833" authorId="0" shapeId="0">
      <text>
        <t xml:space="preserve">Catalina Vazquez:
COLOCACION DE BOMBILLOS Y AJUSTES </t>
      </text>
    </comment>
    <comment ref="F833" authorId="0" shapeId="0">
      <text>
        <t xml:space="preserve">Catalina Vazquez:
COLOCACION DE BOMBILLOS Y AJUSTES </t>
      </text>
    </comment>
    <comment ref="B845" authorId="0" shapeId="0">
      <text>
        <t xml:space="preserve">Catalina Vazquez:
INSTALAC MECANICA EXT Y CAJAS DE REGISTRO </t>
      </text>
    </comment>
    <comment ref="F845" authorId="0" shapeId="0">
      <text>
        <t xml:space="preserve">Catalina Vazquez:
INSTALAC MEC EXTERIOR Y CAJAS DE REGISTRO </t>
      </text>
    </comment>
    <comment ref="B846" authorId="0" shapeId="0">
      <text>
        <t xml:space="preserve">Catalina Vazquez:
INSTALAC MECANICA EXT Y CAJAS DE REGISTRO </t>
      </text>
    </comment>
    <comment ref="F846" authorId="0" shapeId="0">
      <text>
        <t xml:space="preserve">Catalina Vazquez:
INSTALAC MEC EXTERIOR Y CAJAS DE REGISTRO </t>
      </text>
    </comment>
    <comment ref="B847" authorId="0" shapeId="0">
      <text>
        <t xml:space="preserve">Catalina Vazquez:
TAPAS METALICAS </t>
      </text>
    </comment>
    <comment ref="F847" authorId="0" shapeId="0">
      <text>
        <t>Catalina Vazquez:
TAPAS METALICAS</t>
      </text>
    </comment>
    <comment ref="B848" authorId="0" shapeId="0">
      <text>
        <t xml:space="preserve">Catalina Vazquez:
TAPAS METALICAS </t>
      </text>
    </comment>
    <comment ref="F848" authorId="0" shapeId="0">
      <text>
        <t>Catalina Vazquez:
TAPAS METALICAS</t>
      </text>
    </comment>
    <comment ref="B849" authorId="0" shapeId="0">
      <text>
        <t xml:space="preserve">Catalina Vazquez:
CAJA LAVADORA </t>
      </text>
    </comment>
    <comment ref="F849" authorId="0" shapeId="0">
      <text>
        <t xml:space="preserve">Catalina Vazquez:
CAJA LAVADORA  </t>
      </text>
    </comment>
    <comment ref="B850" authorId="0" shapeId="0">
      <text>
        <t xml:space="preserve">Catalina Vazquez:
CAJA LAVADORA </t>
      </text>
    </comment>
    <comment ref="F850" authorId="0" shapeId="0">
      <text>
        <t xml:space="preserve">Catalina Vazquez:
CAJA LAVADORA  </t>
      </text>
    </comment>
    <comment ref="B855" authorId="0" shapeId="0">
      <text>
        <t>Catalina Vazquez:
BAJANTES</t>
      </text>
    </comment>
    <comment ref="F855" authorId="0" shapeId="0">
      <text>
        <t>Catalina Vazquez:
BAJANTES</t>
      </text>
    </comment>
    <comment ref="B856" authorId="0" shapeId="0">
      <text>
        <t>Catalina Vazquez:
BAJANTES</t>
      </text>
    </comment>
    <comment ref="F856" authorId="0" shapeId="0">
      <text>
        <t>Catalina Vazquez:
BAJANTES</t>
      </text>
    </comment>
    <comment ref="B872" authorId="0" shapeId="0">
      <text>
        <t xml:space="preserve">Catalina Vazquez:
MONTAJE DE MONOMANDOS </t>
      </text>
    </comment>
    <comment ref="F872" authorId="0" shapeId="0">
      <text>
        <t xml:space="preserve">Catalina Vazquez:
MONTAJE DE MONOMANDOS </t>
      </text>
    </comment>
    <comment ref="B873" authorId="0" shapeId="0">
      <text>
        <t xml:space="preserve">Catalina Vazquez:
MONTAJE DE MONOMANDOS </t>
      </text>
    </comment>
    <comment ref="F873" authorId="0" shapeId="0">
      <text>
        <t xml:space="preserve">Catalina Vazquez:
MONTAJE DE MONOMANDOS </t>
      </text>
    </comment>
    <comment ref="B874" authorId="0" shapeId="0">
      <text>
        <t xml:space="preserve">Catalina Vazquez:
COLOCACION DE GRIFERIA </t>
      </text>
    </comment>
    <comment ref="F874" authorId="0" shapeId="0">
      <text>
        <t xml:space="preserve">Catalina Vazquez:
COLOCACION DE GRIFERIA </t>
      </text>
    </comment>
    <comment ref="B875" authorId="0" shapeId="0">
      <text>
        <t xml:space="preserve">Catalina Vazquez:
COLOCACION DE GRIFERIA </t>
      </text>
    </comment>
    <comment ref="F875" authorId="0" shapeId="0">
      <text>
        <t xml:space="preserve">Catalina Vazquez:
COLOCACION DE GRIFERIA </t>
      </text>
    </comment>
    <comment ref="B876" authorId="0" shapeId="0">
      <text>
        <t xml:space="preserve">Catalina Vazquez:
COLOCACION DE LLAVES DE CHORRO </t>
      </text>
    </comment>
    <comment ref="F876" authorId="0" shapeId="0">
      <text>
        <t xml:space="preserve">Catalina Vazquez:
COLOCACION DE LLAVES DE CHORRO </t>
      </text>
    </comment>
    <comment ref="B877" authorId="0" shapeId="0">
      <text>
        <t xml:space="preserve">Catalina Vazquez:
COLOCACION DE LLAVES DE CHORRO </t>
      </text>
    </comment>
    <comment ref="F877" authorId="0" shapeId="0">
      <text>
        <t xml:space="preserve">Catalina Vazquez:
COLOCACION DE LLAVES DE CHORRO </t>
      </text>
    </comment>
    <comment ref="B878" authorId="0" shapeId="0">
      <text>
        <t>Catalina Vazquez:
MEDIDOR DE AGUA</t>
      </text>
    </comment>
    <comment ref="F878" authorId="0" shapeId="0">
      <text>
        <t xml:space="preserve">Catalina Vazquez:
MEDIDOR DE AGUA </t>
      </text>
    </comment>
    <comment ref="B879" authorId="0" shapeId="0">
      <text>
        <t>Catalina Vazquez:
MEDIDOR DE AGUA</t>
      </text>
    </comment>
    <comment ref="F879" authorId="0" shapeId="0">
      <text>
        <t xml:space="preserve">Catalina Vazquez:
MEDIDOR DE AGUA </t>
      </text>
    </comment>
    <comment ref="B880" authorId="0" shapeId="0">
      <text>
        <t xml:space="preserve">Catalina Vazquez:
LLAVES DE CONTROL </t>
      </text>
    </comment>
    <comment ref="F880" authorId="0" shapeId="0">
      <text>
        <t xml:space="preserve">Catalina Vazquez:
LLAVES DE CONTROL </t>
      </text>
    </comment>
    <comment ref="B881" authorId="0" shapeId="0">
      <text>
        <t xml:space="preserve">Catalina Vazquez:
LLAVES DE CONTROL </t>
      </text>
    </comment>
    <comment ref="F881" authorId="0" shapeId="0">
      <text>
        <t xml:space="preserve">Catalina Vazquez:
LLAVES DE CONTROL </t>
      </text>
    </comment>
    <comment ref="B882" authorId="0" shapeId="0">
      <text>
        <t xml:space="preserve">Catalina Vazquez:
INSTALACION DE PILA </t>
      </text>
    </comment>
    <comment ref="F882" authorId="0" shapeId="0">
      <text>
        <t>Catalina Vazquez:
INSTALAC PILA</t>
      </text>
    </comment>
    <comment ref="B883" authorId="0" shapeId="0">
      <text>
        <t xml:space="preserve">Catalina Vazquez:
INSTALACION DE PILA </t>
      </text>
    </comment>
    <comment ref="F883" authorId="0" shapeId="0">
      <text>
        <t>Catalina Vazquez:
INSTALAC PILA</t>
      </text>
    </comment>
    <comment ref="B884" authorId="0" shapeId="0">
      <text>
        <t>Catalina Vazquez:
INSTALACION MECANICA DUCTOS</t>
      </text>
    </comment>
    <comment ref="F884" authorId="0" shapeId="0">
      <text>
        <t>Catalina Vazquez:
INSTALAC MECANICA DUCTOS</t>
      </text>
    </comment>
    <comment ref="B885" authorId="0" shapeId="0">
      <text>
        <t>Catalina Vazquez:
INSTALACION MECANICA DUCTOS</t>
      </text>
    </comment>
    <comment ref="F885" authorId="0" shapeId="0">
      <text>
        <t>Catalina Vazquez:
INSTALAC MECANICA DUCTOS</t>
      </text>
    </comment>
    <comment ref="B901" authorId="0" shapeId="0">
      <text>
        <t>Catalina Vazquez:
ALQUILER EQUIPO</t>
      </text>
    </comment>
    <comment ref="F901" authorId="0" shapeId="0">
      <text>
        <t>Catalina Vazquez:
ALQUILER EQUIPO</t>
      </text>
    </comment>
    <comment ref="B902" authorId="0" shapeId="0">
      <text>
        <t>Catalina Vazquez:
ALQUILER EQUIPO</t>
      </text>
    </comment>
    <comment ref="F902" authorId="0" shapeId="0">
      <text>
        <t>Catalina Vazquez:
ALQUILER EQUIPO</t>
      </text>
    </comment>
    <comment ref="B903" authorId="0" shapeId="0">
      <text>
        <t>Catalina Vazquez:
ALQUILER FORMALETA</t>
      </text>
    </comment>
    <comment ref="F903" authorId="0" shapeId="0">
      <text>
        <t xml:space="preserve">Catalina Vazquez:
ALQUILER FORMALETA </t>
      </text>
    </comment>
    <comment ref="B904" authorId="0" shapeId="0">
      <text>
        <t>Catalina Vazquez:
ALQUILER FORMALETA</t>
      </text>
    </comment>
    <comment ref="F904" authorId="0" shapeId="0">
      <text>
        <t xml:space="preserve">Catalina Vazquez:
ALQUILER FORMALETA </t>
      </text>
    </comment>
    <comment ref="F907" authorId="0" shapeId="0">
      <text>
        <t xml:space="preserve">Catalina Vazquez:
IMPREVISTOS MANO DE OBRA </t>
      </text>
    </comment>
    <comment ref="F908" authorId="0" shapeId="0">
      <text>
        <t xml:space="preserve">Catalina Vazquez:
IMPREVISTOS DE MANO DE OBRA </t>
      </text>
    </comment>
  </commentList>
</comments>
</file>

<file path=xl/comments/comment2.xml><?xml version="1.0" encoding="utf-8"?>
<comments xmlns="http://schemas.openxmlformats.org/spreadsheetml/2006/main">
  <authors>
    <author>Catalina Vazquez</author>
    <author>tc={2B3AD9B2-693D-490A-B63D-22BD20D30E18}</author>
    <author>tc={E694BB69-06C5-4B7A-89DF-0EAA9F217345}</author>
    <author>tc={35FD99AA-6210-4B38-A1D2-41FE258A06DD}</author>
    <author>tc={4ACE2478-A979-47F2-A9F6-39460F264F0D}</author>
    <author>tc={8082DE4F-4F78-469E-8CBC-480FDA0611F6}</author>
    <author>tc={66D5E027-98D7-4BE9-B613-9A49719702E9}</author>
  </authors>
  <commentList>
    <comment ref="B11" authorId="0" shapeId="0">
      <text>
        <t xml:space="preserve">Catalina Vazq
Durman 16 junio Joselyn </t>
      </text>
    </comment>
    <comment ref="B12" authorId="0" shapeId="0">
      <text>
        <t xml:space="preserve">Catalina Vazquez:
DURMAN 16 JUNIO JOSELYN </t>
      </text>
    </comment>
    <comment ref="B1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DURMAN 16 JUNIO JOSELYN</t>
      </text>
    </comment>
    <comment ref="B14" authorId="0" shapeId="0">
      <text>
        <t xml:space="preserve">Catalina Vazquez:
Durman 16 junio Joselyn </t>
      </text>
    </comment>
    <comment ref="B16" authorId="0" shapeId="0">
      <text>
        <t xml:space="preserve">Catalina Vazquez:
Durman 16 junio Joselyn </t>
      </text>
    </comment>
    <comment ref="B17" authorId="0" shapeId="0">
      <text>
        <t xml:space="preserve">Catalina Vazquez:
Durman 16 junio Joselyn 
</t>
      </text>
    </comment>
    <comment ref="B20" authorId="0" shapeId="0">
      <text>
        <t xml:space="preserve">Catalina Vazquez:
Durman 16 junio Joselyn
</t>
      </text>
    </comment>
    <comment ref="B113" authorId="0" shapeId="0">
      <text>
        <t xml:space="preserve">Catalina Vazquez:
JOSELYN 22 JULIO 22 </t>
      </text>
    </comment>
    <comment ref="B137" authorId="0" shapeId="0">
      <text>
        <t xml:space="preserve">Catalina Vazquez:
Durman 16 junio joselyn </t>
      </text>
    </comment>
    <comment ref="B139" authorId="0" shapeId="0">
      <text>
        <t xml:space="preserve">Catalina Vazquez:
Durman 16 junio Joselyn </t>
      </text>
    </comment>
    <comment ref="B142" authorId="0" shapeId="0">
      <text>
        <t xml:space="preserve">Catalina Vazquez:
Durman 16 junio Joselyn </t>
      </text>
    </comment>
    <comment ref="B143" authorId="0" shapeId="0">
      <text>
        <t xml:space="preserve">Catalina Vazquez:
Durman 16 junio Joselyn </t>
      </text>
    </comment>
    <comment ref="B146" authorId="0" shapeId="0">
      <text>
        <t xml:space="preserve">Catalina Vazquez:
Durman 16 junio Joselyn 
</t>
      </text>
    </comment>
    <comment ref="B147" authorId="0" shapeId="0">
      <text>
        <t xml:space="preserve">Catalina Vazquez:Durman 16 junio joselyn </t>
      </text>
    </comment>
    <comment ref="B148" authorId="0" shapeId="0">
      <text>
        <t xml:space="preserve">Catalina Vazquez:
durman 16 junio joselyn </t>
      </text>
    </comment>
    <comment ref="B149" authorId="0" shapeId="0">
      <text>
        <t xml:space="preserve">Catalina Vazquez:
Durman 16 junio joselyn </t>
      </text>
    </comment>
    <comment ref="B166" authorId="0" shapeId="0">
      <text>
        <t xml:space="preserve">Catalina Vazquez:
DURMAN 16 JUNIO JOSELYN </t>
      </text>
    </comment>
    <comment ref="B167" authorId="0" shapeId="0">
      <text>
        <t xml:space="preserve">Catalina Vazquez:
DURMAN 16 JUNIO JOSELYN </t>
      </text>
    </comment>
    <comment ref="B168" authorId="0" shapeId="0">
      <text>
        <t xml:space="preserve">Catalina Vazquez:
Durman 16 junio Joselyn </t>
      </text>
    </comment>
    <comment ref="B169" authorId="0" shapeId="0">
      <text>
        <t xml:space="preserve">Catalina Vazquez:
Durman 16 junio Joselyn </t>
      </text>
    </comment>
    <comment ref="B182" authorId="0" shapeId="0">
      <text>
        <t xml:space="preserve">Catalina Vazquez:
Durman 16 junio Joselyn </t>
      </text>
    </comment>
    <comment ref="B183" authorId="0" shapeId="0">
      <text>
        <t xml:space="preserve">Catalina Vazquez:
Durman 16 junio joselyn </t>
      </text>
    </comment>
    <comment ref="B184" authorId="0" shapeId="0">
      <text>
        <t xml:space="preserve">Catalina Vazquez
Durman 16 junio joselyn </t>
      </text>
    </comment>
    <comment ref="B186" authorId="0" shapeId="0">
      <text>
        <t xml:space="preserve">Catalina Vazquez:
Durman 16 junio joselyn </t>
      </text>
    </comment>
    <comment ref="B187" authorId="0" shapeId="0">
      <text>
        <t xml:space="preserve">Catalina Vazquez:
Durman 16 junio joselyn </t>
      </text>
    </comment>
    <comment ref="F220" authorId="0" shapeId="0">
      <text>
        <t xml:space="preserve">Catalina Vazquez:
</t>
      </text>
    </comment>
    <comment ref="B237" authorId="0" shapeId="0">
      <text>
        <t xml:space="preserve">Catalina Vazquez:
Durman 16 junio Joselyn </t>
      </text>
    </comment>
    <comment ref="B318" authorId="0" shapeId="0">
      <text>
        <t xml:space="preserve">Catalina Vazquez:
Durman 16 junio joselyn </t>
      </text>
    </comment>
    <comment ref="B352" authorId="0" shapeId="0">
      <text>
        <t xml:space="preserve">Catalina Vazquez:
Durman 16 junio Joselyn </t>
      </text>
    </comment>
    <comment ref="B410" authorId="0" shapeId="0">
      <text>
        <t xml:space="preserve">Catalina Vazquez:
Duman 16 jinio Joselyn </t>
      </text>
    </comment>
    <comment ref="B411" authorId="0" shapeId="0">
      <text>
        <t xml:space="preserve">Catalina Vazquez:
Durman 16 junio Joselyn </t>
      </text>
    </comment>
    <comment ref="B412" authorId="0" shapeId="0">
      <text>
        <t xml:space="preserve">Catalina Vazquez:
Durman 16 junio Joselyn </t>
      </text>
    </comment>
    <comment ref="B413" authorId="0" shapeId="0">
      <text>
        <t xml:space="preserve">Catalina Vazquez:
Durman 16 junio joselyn </t>
      </text>
    </comment>
    <comment ref="B414" authorId="0" shapeId="0">
      <text>
        <t xml:space="preserve">Catalina Vazquez:
Durman 16 junio Joselyn </t>
      </text>
    </comment>
    <comment ref="B415" authorId="0" shapeId="0">
      <text>
        <t xml:space="preserve">Catalina Vazquez:
Durman 16 junio Joselyn </t>
      </text>
    </comment>
    <comment ref="B416" authorId="0" shapeId="0">
      <text>
        <t xml:space="preserve">Catalina Vazquez:
Durman 16 junio Joselyn </t>
      </text>
    </comment>
    <comment ref="B451" authorId="0" shapeId="0">
      <text>
        <t xml:space="preserve">Catalina Vazquez:
Durman 16 junio joselyn </t>
      </text>
    </comment>
    <comment ref="B481" authorId="0" shapeId="0">
      <text>
        <t xml:space="preserve">Catalina Vazquez:
Durman 16 junio Joselyn </t>
      </text>
    </comment>
    <comment ref="B483" authorId="0" shapeId="0">
      <text>
        <t xml:space="preserve">Catalina Vazquez:
Duman 16 junio Joselyn </t>
      </text>
    </comment>
    <comment ref="B485" authorId="0" shapeId="0">
      <text>
        <t xml:space="preserve">Catalina Vazquez:
Durman 16 junio joselyn </t>
      </text>
    </comment>
    <comment ref="B486" authorId="0" shapeId="0">
      <text>
        <t xml:space="preserve">Catalina Vazquez:
Durman 16 junio Joselyn </t>
      </text>
    </comment>
    <comment ref="B487" authorId="0" shapeId="0">
      <text>
        <t xml:space="preserve">Catalina Vazquez:
Durman 16 junio Joselyn </t>
      </text>
    </comment>
    <comment ref="B489" authorId="0" shapeId="0">
      <text>
        <t xml:space="preserve">Catalina Vazquez:
Durman 16 junio joselyn </t>
      </text>
    </comment>
    <comment ref="B490" authorId="0" shapeId="0">
      <text>
        <t xml:space="preserve">Catalina Vazquez:
Durman 16 junio joselyn </t>
      </text>
    </comment>
    <comment ref="B497" authorId="0" shapeId="0">
      <text>
        <t xml:space="preserve">Catalina Vazquez:
Durman 16 junio Joselyn </t>
      </text>
    </comment>
    <comment ref="B498" authorId="0" shapeId="0">
      <text>
        <t xml:space="preserve">Catalina Vazquez:
Durman 16 junio Joselyn </t>
      </text>
    </comment>
    <comment ref="B500" authorId="0" shapeId="0">
      <text>
        <t xml:space="preserve">Catalina Vazquez:
Durman 16 junio Joselyn </t>
      </text>
    </comment>
    <comment ref="B50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Durman 16 junio joselyn</t>
      </text>
    </comment>
    <comment ref="B556" authorId="0" shapeId="0">
      <text>
        <t xml:space="preserve">Catalina Vazquez:
Durman 16 junio Joselyn </t>
      </text>
    </comment>
    <comment ref="B557" authorId="0" shapeId="0">
      <text>
        <t xml:space="preserve">Catalina Vazquez:
Durman 16 junio Joselyn </t>
      </text>
    </comment>
    <comment ref="B558" authorId="0" shapeId="0">
      <text>
        <t xml:space="preserve">Catalina Vazquez:
Durman 16 junio Joselyn </t>
      </text>
    </comment>
    <comment ref="B559" authorId="0" shapeId="0">
      <text>
        <t xml:space="preserve">Catalina Vazquez:
Durman 16 junio Joselyn </t>
      </text>
    </comment>
    <comment ref="B560" authorId="0" shapeId="0">
      <text>
        <t xml:space="preserve">Catalina Vazquez:
Durman 16 junio joselyn </t>
      </text>
    </comment>
    <comment ref="B562" authorId="0" shapeId="0">
      <text>
        <t xml:space="preserve">Catalina Vazquez:
Durman 16 junio Joselyn </t>
      </text>
    </comment>
    <comment ref="B565" authorId="0" shapeId="0">
      <text>
        <t xml:space="preserve">Catalina Vazquez:
Durman 16 junio joselyn </t>
      </text>
    </comment>
    <comment ref="B566" authorId="0" shapeId="0">
      <text>
        <t xml:space="preserve">Catalina Vazquez:
Durman 16 junio Joselyn </t>
      </text>
    </comment>
    <comment ref="B567" authorId="0" shapeId="0">
      <text>
        <t xml:space="preserve">Catalina Vazquez:
Durman 16 junio Joselyn </t>
      </text>
    </comment>
    <comment ref="B568" authorId="0" shapeId="0">
      <text>
        <t xml:space="preserve">Catalina Vazquez:
Durman 16 junio Joselyn </t>
      </text>
    </comment>
    <comment ref="B569" authorId="0" shapeId="0">
      <text>
        <t xml:space="preserve">Catalina Vazquez:
Durman 16 junio Joselyn </t>
      </text>
    </comment>
    <comment ref="B571" authorId="0" shapeId="0">
      <text>
        <t xml:space="preserve">Catalina Vazquez:
Durman 16 junio joselyn </t>
      </text>
    </comment>
    <comment ref="B573" authorId="0" shapeId="0">
      <text>
        <t xml:space="preserve">Catalina Vazquez:
Durman 16 junio Joselyn </t>
      </text>
    </comment>
    <comment ref="B577" authorId="0" shapeId="0">
      <text>
        <t xml:space="preserve">Catalina Vazquez:
Durman 16 junio joselyn </t>
      </text>
    </comment>
    <comment ref="B580" authorId="0" shapeId="0">
      <text>
        <t xml:space="preserve">Catalina Vazquez:
Durman 16 junio Joselyn </t>
      </text>
    </comment>
    <comment ref="B589" authorId="0" shapeId="0">
      <text>
        <t xml:space="preserve">Catalina Vazquez:
Durman 16 junio Joselyn </t>
      </text>
    </comment>
    <comment ref="B590" authorId="0" shapeId="0">
      <text>
        <t xml:space="preserve">Catalina Vazquez:
Durman 16 junio Joselyn </t>
      </text>
    </comment>
    <comment ref="B591" authorId="0" shapeId="0">
      <text>
        <t xml:space="preserve">Catalina Vazquez:
Durman 16 junio joselyn </t>
      </text>
    </comment>
    <comment ref="B592" authorId="0" shapeId="0">
      <text>
        <t xml:space="preserve">Catalina Vazquez:
Durman 16 junio joselyn 
</t>
      </text>
    </comment>
    <comment ref="B594" authorId="0" shapeId="0">
      <text>
        <t xml:space="preserve">Catalina Vazquez:
Durman 16 junio joselyn 
</t>
      </text>
    </comment>
    <comment ref="B607" authorId="0" shapeId="0">
      <text>
        <t xml:space="preserve">Catalina Vazquez:
Durman 16 junio joselyn </t>
      </text>
    </comment>
    <comment ref="B61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Durman 16 junio joselyn</t>
      </text>
    </comment>
    <comment ref="B635" authorId="0" shapeId="0">
      <text>
        <t xml:space="preserve">Catalina Vazquez:
Durman 16 junio Joselyn </t>
      </text>
    </comment>
    <comment ref="B653" authorId="0" shapeId="0">
      <text>
        <t xml:space="preserve">Catalina Vazquez:
Durman 16 junio Joselyn </t>
      </text>
    </comment>
    <comment ref="B669" authorId="0" shapeId="0">
      <text>
        <t xml:space="preserve">Catalina Vazquez:
Durman 16 junio Joselyn </t>
      </text>
    </comment>
    <comment ref="B671" authorId="0" shapeId="0">
      <text>
        <t xml:space="preserve">Catalina Vazquez:
Durman 16 junio joselyn </t>
      </text>
    </comment>
    <comment ref="B702" authorId="0" shapeId="0">
      <text>
        <t>Catalina Vazquez:
Tajo Hacienda Platanillal:
Material 11 mil 
Transporte: 59280</t>
      </text>
    </comment>
    <comment ref="E702" authorId="0" shapeId="0">
      <text>
        <t>Catalina Vazquez:
Se considera lastre tipo destape (1667 x 1,04)+ (1667x1,13)=3617,39</t>
      </text>
    </comment>
    <comment ref="B742" authorId="0" shapeId="0">
      <text>
        <t>Catalina Vazquez:
JOSELYN 22 JULIO 22</t>
      </text>
    </comment>
    <comment ref="B76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ESMERALDA 16 JUNIO JOSELYN</t>
      </text>
    </comment>
    <comment ref="B76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RODATEC 16 JUNIO JOSELYN</t>
      </text>
    </comment>
    <comment ref="B769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RODATEC 16 JUNIO JOSELYN</t>
      </text>
    </comment>
  </commentList>
</comments>
</file>

<file path=xl/comments/comment3.xml><?xml version="1.0" encoding="utf-8"?>
<comments xmlns="http://schemas.openxmlformats.org/spreadsheetml/2006/main">
  <authors>
    <author>Catalina Vazquez</author>
  </authors>
  <commentList>
    <comment ref="D39" authorId="0" shapeId="0">
      <text>
        <t xml:space="preserve">Catalina Vazquez:
Precio con IVA INCLUIDO E INSTALACION 3% RETENCION INCLUIDO
</t>
      </text>
    </comment>
    <comment ref="D40" authorId="0" shapeId="0">
      <text>
        <t xml:space="preserve">Catalina Vazquez:
Precio con IVA INCLUIDO E INSTALACION </t>
      </text>
    </comment>
    <comment ref="D41" authorId="0" shapeId="0">
      <text>
        <t xml:space="preserve">Catalina Vazquez:
Precio con IVA INCLUIDO E INSTALACION </t>
      </text>
    </comment>
  </commentList>
</comments>
</file>

<file path=xl/comments/comment4.xml><?xml version="1.0" encoding="utf-8"?>
<comments xmlns="http://schemas.openxmlformats.org/spreadsheetml/2006/main">
  <authors>
    <author>Catalina Vazquez</author>
  </authors>
  <commentList>
    <comment ref="C289" authorId="0" shapeId="0">
      <text>
        <t xml:space="preserve">Catalina Vazquez:
800 g x m3 </t>
      </text>
    </comment>
  </commentList>
</comments>
</file>

<file path=xl/comments/comment5.xml><?xml version="1.0" encoding="utf-8"?>
<comments xmlns="http://schemas.openxmlformats.org/spreadsheetml/2006/main">
  <authors>
    <author>Catalina Vazquez</author>
  </authors>
  <commentList>
    <comment ref="B46" authorId="0" shapeId="0">
      <text>
        <t xml:space="preserve">Catalina Vazquez:
</t>
      </text>
    </comment>
  </commentList>
</comments>
</file>

<file path=xl/comments/comment6.xml><?xml version="1.0" encoding="utf-8"?>
<comments xmlns="http://schemas.openxmlformats.org/spreadsheetml/2006/main">
  <authors>
    <author>Catalina Vazquez</author>
  </authors>
  <commentList>
    <comment ref="B4" authorId="0" shapeId="0">
      <text>
        <t xml:space="preserve">Catalina Vazquez:
TRAZO LASTRE Y COMPACTACION </t>
      </text>
    </comment>
    <comment ref="B6" authorId="0" shapeId="0">
      <text>
        <t>Catalina Vazquez:
ZANJEO</t>
      </text>
    </comment>
    <comment ref="B8" authorId="0" shapeId="0">
      <text>
        <t>Catalina Vazquez:
SELLO</t>
      </text>
    </comment>
    <comment ref="B10" authorId="0" shapeId="0">
      <text>
        <t>Catalina Vazquez:
ACERO LOSA</t>
      </text>
    </comment>
    <comment ref="B11" authorId="0" shapeId="0">
      <text>
        <t xml:space="preserve">Catalina Vazquez:
FORMALETA LOSA </t>
      </text>
    </comment>
    <comment ref="B12" authorId="0" shapeId="0">
      <text>
        <t>Catalina Vazquez:
COLADO LOSA</t>
      </text>
    </comment>
    <comment ref="B13" authorId="0" shapeId="0">
      <text>
        <t xml:space="preserve">Catalina Vazquez:
INST MECANICAS LOSA </t>
      </text>
    </comment>
    <comment ref="B14" authorId="0" shapeId="0">
      <text>
        <t xml:space="preserve">Catalina Vazquez:
POTABLE LOSA </t>
      </text>
    </comment>
    <comment ref="B17" authorId="0" shapeId="0">
      <text>
        <t xml:space="preserve">Catalina Vazquez:
ACEROS MUROS N1 </t>
      </text>
    </comment>
    <comment ref="B18" authorId="0" shapeId="0">
      <text>
        <t xml:space="preserve">Catalina Vazquez:
FORMALETA N1 </t>
      </text>
    </comment>
    <comment ref="B19" authorId="0" shapeId="0">
      <text>
        <t xml:space="preserve">Catalina Vazquez:
INST MECANICA MUROS N1 </t>
      </text>
    </comment>
    <comment ref="B21" authorId="0" shapeId="0">
      <text>
        <t xml:space="preserve">Catalina Vazquez:
COLADO DE MUROS </t>
      </text>
    </comment>
    <comment ref="B22" authorId="0" shapeId="0">
      <text>
        <t xml:space="preserve">Catalina Vazquez:
TRAZO FORMALETA N1 </t>
      </text>
    </comment>
    <comment ref="B23" authorId="0" shapeId="0">
      <text>
        <t xml:space="preserve">Catalina Vazquez:
DESENCOFRE MUROS N1 </t>
      </text>
    </comment>
    <comment ref="B25" authorId="0" shapeId="0">
      <text>
        <t xml:space="preserve">Catalina Vazquez:
MAMPOSTERIA </t>
      </text>
    </comment>
    <comment ref="B28" authorId="0" shapeId="0">
      <text>
        <t xml:space="preserve">Catalina Vazquez:
ACERO MUROS N2 </t>
      </text>
    </comment>
    <comment ref="B29" authorId="0" shapeId="0">
      <text>
        <t>Catalina Vazquez:
FORMALETA N2</t>
      </text>
    </comment>
    <comment ref="B30" authorId="0" shapeId="0">
      <text>
        <t>Catalina Vazquez:
INSTALAC MECANIC MUROS N2</t>
      </text>
    </comment>
    <comment ref="B32" authorId="0" shapeId="0">
      <text>
        <t xml:space="preserve">Catalina Vazquez:
COLADO MUROS N2 </t>
      </text>
    </comment>
    <comment ref="B33" authorId="0" shapeId="0">
      <text>
        <t>Catalina Vazquez:
TRAZO FORMALETA N2</t>
      </text>
    </comment>
    <comment ref="B34" authorId="0" shapeId="0">
      <text>
        <t>Catalina Vazquez:
DESENCOFRE MUROS N2</t>
      </text>
    </comment>
    <comment ref="B37" authorId="0" shapeId="0">
      <text>
        <t xml:space="preserve">Catalina Vazquez:
ACERO GRADAS N1 </t>
      </text>
    </comment>
    <comment ref="B38" authorId="0" shapeId="0">
      <text>
        <t>Catalina Vazquez:
 FORMALETA GRADAS N1</t>
      </text>
    </comment>
    <comment ref="B39" authorId="0" shapeId="0">
      <text>
        <t>Catalina Vazquez:
 COLADO GRADAS N1</t>
      </text>
    </comment>
    <comment ref="B40" authorId="0" shapeId="0">
      <text>
        <t>Catalina Vazquez:
DESENCOFRE GRADAS N1</t>
      </text>
    </comment>
    <comment ref="B41" authorId="0" shapeId="0">
      <text>
        <t>Catalina Vazquez:
ACERO GRADAS N2</t>
      </text>
    </comment>
    <comment ref="B42" authorId="0" shapeId="0">
      <text>
        <t>Catalina Vazquez:
FORMALETA GRADAS N2</t>
      </text>
    </comment>
    <comment ref="B43" authorId="0" shapeId="0">
      <text>
        <t xml:space="preserve">Catalina Vazquez:
COLADO GRADAS N2 </t>
      </text>
    </comment>
    <comment ref="B44" authorId="0" shapeId="0">
      <text>
        <t>Catalina Vazquez:
DESENCOFRE GRADAS  N2</t>
      </text>
    </comment>
    <comment ref="B46" authorId="0" shapeId="0">
      <text>
        <t xml:space="preserve">Catalina Vazquez:
COLUMNA COCHERA </t>
      </text>
    </comment>
    <comment ref="B47" authorId="0" shapeId="0">
      <text>
        <t xml:space="preserve">Catalina Vazquez:
COLUMNA MEDIDOR </t>
      </text>
    </comment>
    <comment ref="B49" authorId="0" shapeId="0">
      <text>
        <t>Catalina Vazquez:
LASTRE Y COMPACTACION COCHERA</t>
      </text>
    </comment>
    <comment ref="B50" authorId="0" shapeId="0">
      <text>
        <t>Catalina Vazquez:
COLADO LOSA COCHERA</t>
      </text>
    </comment>
    <comment ref="B51" authorId="0" shapeId="0">
      <text>
        <t>Catalina Vazquez:
ACABADO LAVADO COCHERA</t>
      </text>
    </comment>
    <comment ref="B52" authorId="0" shapeId="0">
      <text>
        <t xml:space="preserve">Catalina Vazquez:
LASTRE Y COMPACTACION TERRAZA </t>
      </text>
    </comment>
    <comment ref="B53" authorId="0" shapeId="0">
      <text>
        <t>Catalina Vazquez:
COLADO LOSA TERRAZA(PILAS)</t>
      </text>
    </comment>
    <comment ref="B54" authorId="0" shapeId="0">
      <text>
        <t>Catalina Vazquez:
ACABADO LAVADO TERRAZA (PILAS)</t>
      </text>
    </comment>
    <comment ref="B57" authorId="0" shapeId="0">
      <text>
        <t xml:space="preserve">Catalina Vazquez:
ESTRUCT METALICA TECHO </t>
      </text>
    </comment>
    <comment ref="B58" authorId="0" shapeId="0">
      <text>
        <t xml:space="preserve">Catalina Vazquez:
ESTRUCTURA TECHO PINTURA </t>
      </text>
    </comment>
    <comment ref="B60" authorId="0" shapeId="0">
      <text>
        <t>Catalina Vazquez:
ESTRUCT METALICA COCHERA</t>
      </text>
    </comment>
    <comment ref="B61" authorId="0" shapeId="0">
      <text>
        <t xml:space="preserve">Catalina Vazquez:
ESTRUCTURA TECHO COCHERA PINTURA </t>
      </text>
    </comment>
    <comment ref="B63" authorId="0" shapeId="0">
      <text>
        <t xml:space="preserve">Catalina Vazquez:
CUBIERTA TECHO CASA </t>
      </text>
    </comment>
    <comment ref="B65" authorId="0" shapeId="0">
      <text>
        <t xml:space="preserve">Catalina Vazquez:
CUBIERTA TECHO COCHERA </t>
      </text>
    </comment>
    <comment ref="B67" authorId="0" shapeId="0">
      <text>
        <t xml:space="preserve">Catalina Vazquez:
HOJALATERIA GENERAL </t>
      </text>
    </comment>
    <comment ref="B68" authorId="0" shapeId="0">
      <text>
        <t xml:space="preserve">Catalina Vazquez:
TALLER DE FABRICACION </t>
      </text>
    </comment>
    <comment ref="B69" authorId="0" shapeId="0">
      <text>
        <t xml:space="preserve">Catalina Vazquez:
INSTALACION DE HOJALATERIA </t>
      </text>
    </comment>
    <comment ref="B71" authorId="0" shapeId="0">
      <text>
        <t xml:space="preserve">Catalina Vazquez:
GRADAS ESTRUCTURA, PINTADO Y ACABADO  </t>
      </text>
    </comment>
    <comment ref="B76" authorId="0" shapeId="0">
      <text>
        <t xml:space="preserve">Catalina Vazquez:
BARANDA GRADAS N2   </t>
      </text>
    </comment>
    <comment ref="B78" authorId="0" shapeId="0">
      <text>
        <t>Catalina Vazquez:
ESTRUCT METALICA INTERNA</t>
      </text>
    </comment>
    <comment ref="B82" authorId="0" shapeId="0">
      <text>
        <t>Catalina Vazquez:
ESTRUCT LIVIANA TAPICHELES</t>
      </text>
    </comment>
    <comment ref="B83" authorId="0" shapeId="0">
      <text>
        <t xml:space="preserve">Catalina Vazquez:
FORRO DE TAPICHELES </t>
      </text>
    </comment>
    <comment ref="B85" authorId="0" shapeId="0">
      <text>
        <t>Catalina Vazquez:
ESTRUCT LIVIANA INTERNA</t>
      </text>
    </comment>
    <comment ref="B86" authorId="0" shapeId="0">
      <text>
        <t xml:space="preserve">Catalina Vazquez:
FORRO LIVIANO INTERNO </t>
      </text>
    </comment>
    <comment ref="B87" authorId="0" shapeId="0">
      <text>
        <t xml:space="preserve">Catalina Vazquez:
FORRO ALEROS Y TABLILLA </t>
      </text>
    </comment>
    <comment ref="B88" authorId="0" shapeId="0">
      <text>
        <t xml:space="preserve">Catalina Vazquez:
ESTRUCTURA Y FORRO DE PILA </t>
      </text>
    </comment>
    <comment ref="B89" authorId="0" shapeId="0">
      <text>
        <t xml:space="preserve">Catalina Vazquez:
FORRO DE DUCTOS MECANICOS </t>
      </text>
    </comment>
    <comment ref="B90" authorId="0" shapeId="0">
      <text>
        <t xml:space="preserve">Catalina Vazquez:
ESTRUCT LIVIANA DUCTOS ESCALERA </t>
      </text>
    </comment>
    <comment ref="B91" authorId="0" shapeId="0">
      <text>
        <t>Catalina Vazquez:
FORRO DUCTO ESCALERAS</t>
      </text>
    </comment>
    <comment ref="B94" authorId="0" shapeId="0">
      <text>
        <t>Catalina Vazquez:
RELLENO DE CORBATAS</t>
      </text>
    </comment>
    <comment ref="B95" authorId="0" shapeId="0">
      <text>
        <t xml:space="preserve">Catalina Vazquez:
CODALES DE VENTANAS </t>
      </text>
    </comment>
    <comment ref="B96" authorId="0" shapeId="0">
      <text>
        <t xml:space="preserve">Catalina Vazquez:
MURO SECO INTERIOR </t>
      </text>
    </comment>
    <comment ref="B97" authorId="0" shapeId="0">
      <text>
        <t xml:space="preserve">Catalina Vazquez:
MURO SECO EXTERIOR </t>
      </text>
    </comment>
    <comment ref="B98" authorId="0" shapeId="0">
      <text>
        <t xml:space="preserve">Catalina Vazquez:
REPELLO TAPIA  </t>
      </text>
    </comment>
    <comment ref="B99" authorId="0" shapeId="0">
      <text>
        <t xml:space="preserve">Catalina Vazquez:
REPELLO CIELOS  </t>
      </text>
    </comment>
    <comment ref="B101" authorId="0" shapeId="0">
      <text>
        <t>Catalina Vazquez:
EMPASTE CEMENTICIO</t>
      </text>
    </comment>
    <comment ref="B104" authorId="0" shapeId="0">
      <text>
        <t xml:space="preserve">Catalina Vazquez:
ENCHAPE PISO </t>
      </text>
    </comment>
    <comment ref="B105" authorId="0" shapeId="0">
      <text>
        <t xml:space="preserve">Catalina Vazquez:
ENCHAPE FACHADA </t>
      </text>
    </comment>
    <comment ref="B106" authorId="0" shapeId="0">
      <text>
        <t>Catalina Vazquez:
ENCHAPE BAÑO</t>
      </text>
    </comment>
    <comment ref="B107" authorId="0" shapeId="0">
      <text>
        <t xml:space="preserve">Catalina Vazquez:
ENCHAPE LOSA CENITAL </t>
      </text>
    </comment>
    <comment ref="B108" authorId="0" shapeId="0">
      <text>
        <t>Catalina Vazquez:ENCHAPE GRADAS</t>
      </text>
    </comment>
    <comment ref="B109" authorId="0" shapeId="0">
      <text>
        <t xml:space="preserve">Catalina Vazquez:
BOCEL GRAGAS </t>
      </text>
    </comment>
    <comment ref="B112" authorId="0" shapeId="0">
      <text>
        <t xml:space="preserve">Catalina Vazquez:
MUEBLE DE COCINA Y CLOSET </t>
      </text>
    </comment>
    <comment ref="B113" authorId="0" shapeId="0">
      <text>
        <t xml:space="preserve">Catalina Vazquez:
SOBRE DE GRANITO </t>
      </text>
    </comment>
    <comment ref="B115" authorId="0" shapeId="0">
      <text>
        <t xml:space="preserve">Catalina Vazquez:
PUERTAS Y RODAPIE </t>
      </text>
    </comment>
    <comment ref="B118" authorId="0" shapeId="0">
      <text>
        <t>Catalina Vazquez:
RELLENO DE PATIO</t>
      </text>
    </comment>
    <comment ref="B119" authorId="0" shapeId="0">
      <text>
        <t xml:space="preserve">Catalina Vazquez:
COLOCACION ZACATE </t>
      </text>
    </comment>
    <comment ref="B121" authorId="0" shapeId="0">
      <text>
        <t xml:space="preserve">Catalina Vazquez:
TAPIA </t>
      </text>
    </comment>
    <comment ref="B122" authorId="0" shapeId="0">
      <text>
        <t>Catalina Vazquez:
PERLING DE TAPIA</t>
      </text>
    </comment>
    <comment ref="B124" authorId="0" shapeId="0">
      <text>
        <t xml:space="preserve">Catalina Vazquez:
RAMPA DE ACCESO </t>
      </text>
    </comment>
    <comment ref="B125" authorId="0" shapeId="0">
      <text>
        <t xml:space="preserve">Catalina Vazquez:
ACERA </t>
      </text>
    </comment>
    <comment ref="B128" authorId="0" shapeId="0">
      <text>
        <t xml:space="preserve">Catalina Vazquez:
LIJADO DE CIELOS </t>
      </text>
    </comment>
    <comment ref="B129" authorId="0" shapeId="0">
      <text>
        <t xml:space="preserve">Catalina Vazquez:
REPARACIÓN DE GRIETAS </t>
      </text>
    </comment>
    <comment ref="B130" authorId="0" shapeId="0">
      <text>
        <t>Catalina Vazquez:
ALISTAR PARA PINTAR CASA</t>
      </text>
    </comment>
    <comment ref="B131" authorId="0" shapeId="0">
      <text>
        <t xml:space="preserve">Catalina Vazquez:
PRIMER MANO DE PINTURA </t>
      </text>
    </comment>
    <comment ref="B132" authorId="0" shapeId="0">
      <text>
        <t xml:space="preserve">Catalina Vazquez:
MANO FINAL DE PINTURA </t>
      </text>
    </comment>
    <comment ref="B133" authorId="0" shapeId="0">
      <text>
        <t xml:space="preserve">Catalina Vazquez:
PINTURA EXTERNA DE TAPIA </t>
      </text>
    </comment>
    <comment ref="B135" authorId="0" shapeId="0">
      <text>
        <t xml:space="preserve">Catalina Vazquez:
LOSA SANITARIA </t>
      </text>
    </comment>
    <comment ref="B136" authorId="0" shapeId="0">
      <text>
        <t xml:space="preserve">Catalina Vazquez:
COLOCACION DE GRIFERIA </t>
      </text>
    </comment>
    <comment ref="B138" authorId="0" shapeId="0">
      <text>
        <t xml:space="preserve">Catalina Vazquez:
OCHADO PRETIL </t>
      </text>
    </comment>
    <comment ref="B139" authorId="0" shapeId="0">
      <text>
        <t>Catalina Vazquez:
REPARACION AZOTEA</t>
      </text>
    </comment>
    <comment ref="B140" authorId="0" shapeId="0">
      <text>
        <t>Catalina Vazquez:
IMPERMEABILIZACION AZOTEA</t>
      </text>
    </comment>
    <comment ref="B142" authorId="0" shapeId="0">
      <text>
        <t>Catalina Vazquez:
PONCHEO</t>
      </text>
    </comment>
    <comment ref="B143" authorId="0" shapeId="0">
      <text>
        <t xml:space="preserve">Catalina Vazquez:
LIMPIEZA PARA ENTREGA </t>
      </text>
    </comment>
    <comment ref="B144" authorId="0" shapeId="0">
      <text>
        <t xml:space="preserve">Catalina Vazquez:
LAVADO COHERA, TERRAZA Y SELLADOR </t>
      </text>
    </comment>
    <comment ref="B147" authorId="0" shapeId="0">
      <text>
        <t xml:space="preserve">Catalina Vazquez:
VENTANERIA </t>
      </text>
    </comment>
    <comment ref="B150" authorId="0" shapeId="0">
      <text>
        <t>Catalina Vazquez:
ACOMETIDA</t>
      </text>
    </comment>
    <comment ref="B152" authorId="0" shapeId="0">
      <text>
        <t xml:space="preserve">Catalina Vazquez:
TUBERIA ELECTRICA LOSA </t>
      </text>
    </comment>
    <comment ref="B154" authorId="0" shapeId="0">
      <text>
        <t>Catalina Vazquez:
TUBERIA ELECTRICA MUROS N1</t>
      </text>
    </comment>
    <comment ref="B156" authorId="0" shapeId="0">
      <text>
        <t xml:space="preserve">Catalina Vazquez:
BASE MEDIDOR </t>
      </text>
    </comment>
    <comment ref="B157" authorId="0" shapeId="0">
      <text>
        <t xml:space="preserve">Catalina Vazquez:
INSTALAC ELECT CIELOS Y CENTRO DE CARGA </t>
      </text>
    </comment>
    <comment ref="B159" authorId="0" shapeId="0">
      <text>
        <t xml:space="preserve">Catalina Vazquez:
INSTALAC PLAFONES </t>
      </text>
    </comment>
    <comment ref="B161" authorId="0" shapeId="0">
      <text>
        <t xml:space="preserve">Catalina Vazquez:
ARMADO CAJA BREAKER </t>
      </text>
    </comment>
    <comment ref="B163" authorId="0" shapeId="0">
      <text>
        <t xml:space="preserve">Catalina Vazquez:
CABLEADO MUROS Y ARMADO CENTRO DE CARGA </t>
      </text>
    </comment>
    <comment ref="B165" authorId="0" shapeId="0">
      <text>
        <t xml:space="preserve">Catalina Vazquez:
PLAQUERIA Y LUMINARIAS </t>
      </text>
    </comment>
    <comment ref="B167" authorId="0" shapeId="0">
      <text>
        <t xml:space="preserve">Catalina Vazquez:
COLOCACIÓN DE BREAKERS </t>
      </text>
    </comment>
    <comment ref="B168" authorId="0" shapeId="0">
      <text>
        <t xml:space="preserve">Catalina Vazquez:
COLOCACION DE BOMBILLOS Y AJUSTES </t>
      </text>
    </comment>
    <comment ref="B171" authorId="0" shapeId="0">
      <text>
        <t xml:space="preserve">Catalina Vazquez:
INSTALAC MECANICA EXT Y CAJAS DE REGISTRO </t>
      </text>
    </comment>
    <comment ref="B172" authorId="0" shapeId="0">
      <text>
        <t xml:space="preserve">Catalina Vazquez:
TAPAS METALICAS </t>
      </text>
    </comment>
    <comment ref="B173" authorId="0" shapeId="0">
      <text>
        <t xml:space="preserve">Catalina Vazquez:
CAJA LAVADORA </t>
      </text>
    </comment>
    <comment ref="B175" authorId="0" shapeId="0">
      <text>
        <t>Catalina Vazquez:
BAJANTES</t>
      </text>
    </comment>
    <comment ref="B177" authorId="0" shapeId="0">
      <text>
        <t xml:space="preserve">Catalina Vazquez:
MONTAJE DE MONOMANDOS </t>
      </text>
    </comment>
    <comment ref="B178" authorId="0" shapeId="0">
      <text>
        <t xml:space="preserve">Catalina Vazquez:
COLOCACION DE GRIFERIA </t>
      </text>
    </comment>
    <comment ref="B179" authorId="0" shapeId="0">
      <text>
        <t xml:space="preserve">Catalina Vazquez:
COLOCACION DE LLAVES DE CHORRO </t>
      </text>
    </comment>
    <comment ref="B180" authorId="0" shapeId="0">
      <text>
        <t>Catalina Vazquez:
MEDIDOR DE AGUA</t>
      </text>
    </comment>
    <comment ref="B181" authorId="0" shapeId="0">
      <text>
        <t xml:space="preserve">Catalina Vazquez:
LLAVES DE CONTROL </t>
      </text>
    </comment>
    <comment ref="B182" authorId="0" shapeId="0">
      <text>
        <t xml:space="preserve">Catalina Vazquez:
INSTALACION DE PILA </t>
      </text>
    </comment>
    <comment ref="B183" authorId="0" shapeId="0">
      <text>
        <t>Catalina Vazquez:
INSTALACION MECANICA DUCTOS</t>
      </text>
    </comment>
    <comment ref="B186" authorId="0" shapeId="0">
      <text>
        <t>Catalina Vazquez:
ALQUILER EQUIPO</t>
      </text>
    </comment>
    <comment ref="B187" authorId="0" shapeId="0">
      <text>
        <t>Catalina Vazquez:
ALQUILER FORMALETA</t>
      </text>
    </comment>
  </commentList>
</comments>
</file>

<file path=xl/comments/comment7.xml><?xml version="1.0" encoding="utf-8"?>
<comments xmlns="http://schemas.openxmlformats.org/spreadsheetml/2006/main">
  <authors>
    <author>Catalina Vazquez</author>
    <author>tc={EBD6A02D-CB79-4DD7-BD59-F78A89B28048}</author>
  </authors>
  <commentList>
    <comment ref="C40" authorId="0" shapeId="0">
      <text>
        <t xml:space="preserve">Catalina Vazquez:
CANTIDAD EN LI TROS ( 2 LITROS X M3) </t>
      </text>
    </comment>
    <comment ref="C4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Varilla de viga de losa y arranques de muros</t>
      </text>
    </comment>
    <comment ref="C70" authorId="0" shapeId="0">
      <text>
        <t xml:space="preserve">Catalina Vazquez:
Varilla #3 horizontal muro + ganchos de viga corona y banquina y losa cenital </t>
      </text>
    </comment>
    <comment ref="C78" authorId="0" shapeId="0">
      <text>
        <t>Catalina Vazquez:
CANTIDAD EN LITROS</t>
      </text>
    </comment>
    <comment ref="C98" authorId="0" shapeId="0">
      <text>
        <t xml:space="preserve">Catalina Vazquez:
CERCHA </t>
      </text>
    </comment>
    <comment ref="C99" authorId="0" shapeId="0">
      <text>
        <t xml:space="preserve">Catalina Vazquez:
CLAVADORES, PRECINTA Y DIAGONAL CERCHAS </t>
      </text>
    </comment>
    <comment ref="C100" authorId="0" shapeId="0">
      <text>
        <t xml:space="preserve">Catalina Vazquez:
PRECINTA 
</t>
      </text>
    </comment>
    <comment ref="C107" authorId="0" shapeId="0">
      <text>
        <t>Catalina Vazquez:
PERIMETRO ESTRUCTURA</t>
      </text>
    </comment>
    <comment ref="C108" authorId="0" shapeId="0">
      <text>
        <t xml:space="preserve">Catalina Vazquez:
CCOLUMNAS COCHERA </t>
      </text>
    </comment>
    <comment ref="C109" authorId="0" shapeId="0">
      <text>
        <t xml:space="preserve">Catalina Vazquez:
CLAVADORES </t>
      </text>
    </comment>
    <comment ref="C151" authorId="0" shapeId="0">
      <text>
        <t xml:space="preserve">Catalina Vazquez:
Paredes internas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23</row>
      <rowOff>1</rowOff>
    </from>
    <to>
      <col>5</col>
      <colOff>66675</colOff>
      <row>43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347661</colOff>
      <row>23</row>
      <rowOff>23811</rowOff>
    </from>
    <to>
      <col>10</col>
      <colOff>571500</colOff>
      <row>43</row>
      <rowOff>161924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80961</colOff>
      <row>47</row>
      <rowOff>123825</rowOff>
    </from>
    <to>
      <col>4</col>
      <colOff>1076325</colOff>
      <row>67</row>
      <rowOff>47625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5</col>
      <colOff>376236</colOff>
      <row>47</row>
      <rowOff>161925</rowOff>
    </from>
    <to>
      <col>10</col>
      <colOff>485775</colOff>
      <row>67</row>
      <rowOff>142874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76200</colOff>
      <row>0</row>
      <rowOff>0</rowOff>
    </from>
    <to>
      <col>19</col>
      <colOff>153599</colOff>
      <row>19</row>
      <rowOff>14655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11425" y="0"/>
          <a:ext cx="6763949" cy="4634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6</col>
      <colOff>9525</colOff>
      <row>46</row>
      <rowOff>180975</rowOff>
    </from>
    <to>
      <col>7</col>
      <colOff>238455</colOff>
      <row>49</row>
      <rowOff>162031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17497"/>
        <a:stretch xmlns:a="http://schemas.openxmlformats.org/drawingml/2006/main">
          <a:fillRect/>
        </a:stretch>
      </blipFill>
      <spPr>
        <a:xfrm xmlns:a="http://schemas.openxmlformats.org/drawingml/2006/main">
          <a:off x="3924300" y="6086475"/>
          <a:ext cx="2362530" cy="6287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142875</colOff>
      <row>18</row>
      <rowOff>186647</rowOff>
    </from>
    <to>
      <col>15</col>
      <colOff>262596</colOff>
      <row>29</row>
      <rowOff>152400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886450" y="4044272"/>
          <a:ext cx="9051449" cy="23279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57150</colOff>
      <row>71</row>
      <rowOff>180975</rowOff>
    </from>
    <to>
      <col>12</col>
      <colOff>292932</colOff>
      <row>99</row>
      <rowOff>66675</rowOff>
    </to>
    <pic>
      <nvPicPr>
        <cNvPr id="4" name="Imagen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b="6013"/>
        <a:stretch xmlns:a="http://schemas.openxmlformats.org/drawingml/2006/main">
          <a:fillRect/>
        </a:stretch>
      </blipFill>
      <spPr>
        <a:xfrm xmlns:a="http://schemas.openxmlformats.org/drawingml/2006/main">
          <a:off x="8839200" y="15468600"/>
          <a:ext cx="2919111" cy="5429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28574</colOff>
      <row>74</row>
      <rowOff>13096</rowOff>
    </from>
    <to>
      <col>3</col>
      <colOff>2762249</colOff>
      <row>75</row>
      <rowOff>1977</rowOff>
    </to>
    <pic>
      <nvPicPr>
        <cNvPr id="5" name="Imagen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r="6420" b="19832"/>
        <a:stretch xmlns:a="http://schemas.openxmlformats.org/drawingml/2006/main">
          <a:fillRect/>
        </a:stretch>
      </blipFill>
      <spPr>
        <a:xfrm xmlns:a="http://schemas.openxmlformats.org/drawingml/2006/main">
          <a:off x="1485899" y="9157096"/>
          <a:ext cx="2733675" cy="2719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47624</colOff>
      <row>75</row>
      <rowOff>28574</rowOff>
    </from>
    <to>
      <col>3</col>
      <colOff>2474639</colOff>
      <row>75</row>
      <rowOff>247649</rowOff>
    </to>
    <pic>
      <nvPicPr>
        <cNvPr id="6" name="Imagen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5"/>
        <a:srcRect xmlns:a="http://schemas.openxmlformats.org/drawingml/2006/main" t="32254" b="25816"/>
        <a:stretch xmlns:a="http://schemas.openxmlformats.org/drawingml/2006/main">
          <a:fillRect/>
        </a:stretch>
      </blipFill>
      <spPr>
        <a:xfrm xmlns:a="http://schemas.openxmlformats.org/drawingml/2006/main">
          <a:off x="1266824" y="9458324"/>
          <a:ext cx="2427015" cy="219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876300</colOff>
      <row>224</row>
      <rowOff>9525</rowOff>
    </from>
    <to>
      <col>13</col>
      <colOff>857258</colOff>
      <row>243</row>
      <rowOff>175735</rowOff>
    </to>
    <pic>
      <nvPicPr>
        <cNvPr id="7" name="Imagen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7248525" y="42748200"/>
          <a:ext cx="7154644" cy="37857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323850</colOff>
      <row>629</row>
      <rowOff>142875</rowOff>
    </from>
    <to>
      <col>6</col>
      <colOff>2038782</colOff>
      <row>633</row>
      <rowOff>152508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315075" y="105365550"/>
          <a:ext cx="3105583" cy="771633"/>
        </a:xfrm>
        <a:prstGeom xmlns:a="http://schemas.openxmlformats.org/drawingml/2006/main" prst="rect">
          <avLst/>
        </a:prstGeom>
        <a:ln xmlns:a="http://schemas.openxmlformats.org/drawingml/2006/main" w="127000" cap="sq">
          <a:solidFill>
            <a:srgbClr val="000000"/>
          </a:solidFill>
          <a:prstDash val="solid"/>
          <a:miter lim="800000"/>
        </a:ln>
      </spPr>
    </pic>
    <clientData/>
  </twoCellAnchor>
  <twoCellAnchor editAs="oneCell">
    <from>
      <col>1</col>
      <colOff>38100</colOff>
      <row>923</row>
      <rowOff>28575</rowOff>
    </from>
    <to>
      <col>9</col>
      <colOff>162199</colOff>
      <row>940</row>
      <rowOff>448</rowOff>
    </to>
    <pic>
      <nvPicPr>
        <cNvPr id="10" name="Imagen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8100" y="169030650"/>
          <a:ext cx="11717385" cy="3210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419098</colOff>
      <row>835</row>
      <rowOff>45039</rowOff>
    </from>
    <to>
      <col>8</col>
      <colOff>348490</colOff>
      <row>847</row>
      <rowOff>157955</rowOff>
    </to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9503227" y="152836925"/>
          <a:ext cx="3124349" cy="23336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533400</colOff>
      <row>980</row>
      <rowOff>171450</rowOff>
    </from>
    <to>
      <col>11</col>
      <colOff>200472</colOff>
      <row>1004</row>
      <rowOff>86362</rowOff>
    </to>
    <pic>
      <nvPicPr>
        <cNvPr id="12" name="Imagen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1239500" y="181803675"/>
          <a:ext cx="3200847" cy="45631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oneCellAnchor>
    <from>
      <col>10</col>
      <colOff>979420</colOff>
      <row>2</row>
      <rowOff>8753</rowOff>
    </from>
    <ext cx="2130345" cy="915838"/>
    <pic>
      <nvPicPr>
        <cNvPr id="2" name="Imagen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32847" t="39993" r="33004" b="35931"/>
        <a:stretch xmlns:a="http://schemas.openxmlformats.org/drawingml/2006/main">
          <a:fillRect/>
        </a:stretch>
      </blipFill>
      <spPr>
        <a:xfrm xmlns:a="http://schemas.openxmlformats.org/drawingml/2006/main">
          <a:off x="8681063" y="378867"/>
          <a:ext cx="2130345" cy="915838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/Documents%20and%20Settings/Daniel/Datos%20de%20programa/Microsoft/Excel/Precios%20de%20materiales%20actualizados%20al%2030-06-2003%20(version%201)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c267fca813d1fef1/Presupuestos/Casas/Santorini%20AZ/Presupuesto/Santorini%20AZ%20-%20Revisado.xlsx" TargetMode="External" Id="rId1"/></Relationships>
</file>

<file path=xl/externalLinks/_rels/externalLink3.xml.rels><Relationships xmlns="http://schemas.openxmlformats.org/package/2006/relationships"><Relationship Type="http://schemas.microsoft.com/office/2019/04/relationships/externalLinkLongPath" Target="https://adelantedesarrolloscr.sharepoint.com/personal/catalina_adelante_cr/Documents/Escritorio/CATALINA/ADELANTE%20DESARROLLOS/VIVIENDA/PRESUPUESTOS%20CASAS/Presupuestos/SKYROS%20TECHO/23-7-2022%20SkyrosTecho%20-%20Presupuesto.xlsx?24B2E15E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supuesto "/>
      <sheetName val="Materiales"/>
      <sheetName val="Mano obra 2"/>
      <sheetName val="Mano obr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esupuesto"/>
      <sheetName val="Codigo de costos"/>
      <sheetName val="EQUIPO"/>
      <sheetName val="Costo personal"/>
      <sheetName val="Precios"/>
      <sheetName val="Durman"/>
      <sheetName val="Electrico"/>
      <sheetName val="Área"/>
      <sheetName val="Concreto"/>
      <sheetName val="Cubierta"/>
      <sheetName val="Acabados"/>
      <sheetName val="Gypsum"/>
      <sheetName val="Losa F "/>
      <sheetName val="VIGAS F"/>
      <sheetName val="Muro de concreto N1"/>
      <sheetName val="Entrepiso y losa"/>
      <sheetName val="Muro de concreto N2"/>
      <sheetName val="Muro de concreto Azotea"/>
      <sheetName val="Est cochera"/>
      <sheetName val="Est princ"/>
      <sheetName val="Electromecanico"/>
      <sheetName val="Puer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ALISIS"/>
      <sheetName val="GRAFICO "/>
      <sheetName val="SKYROS TECHO"/>
      <sheetName val="DESGLOSE"/>
      <sheetName val="BASE DATOS PRECIOS "/>
      <sheetName val="BASE DATOS EQUIPOS Y SUBCONTRAT"/>
      <sheetName val="BASE DATOS MANO DE OBRA"/>
      <sheetName val="INSUMOS MAT "/>
      <sheetName val="CALCULO CANTIDADES "/>
      <sheetName val="TABLA DE AVANCE "/>
      <sheetName val="Costo personal"/>
      <sheetName val="Gastos generales"/>
      <sheetName val="Unitarios"/>
      <sheetName val="Electromecanico"/>
      <sheetName val="Ventaneria"/>
      <sheetName val="Puertas"/>
      <sheetName val="Enchapes"/>
      <sheetName val="Hojalater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N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U924"/>
  <sheetViews>
    <sheetView showGridLines="0" topLeftCell="F54" zoomScaleNormal="100" workbookViewId="0">
      <selection activeCell="L10" sqref="L10"/>
    </sheetView>
  </sheetViews>
  <sheetFormatPr baseColWidth="8" defaultColWidth="11.43359375" defaultRowHeight="15.75" outlineLevelRow="2"/>
  <cols>
    <col width="6.05078125" bestFit="1" customWidth="1" style="121" min="1" max="1"/>
    <col width="10.625" customWidth="1" style="121" min="2" max="2"/>
    <col width="12.10546875" customWidth="1" style="52" min="3" max="3"/>
    <col width="30.265625" bestFit="1" customWidth="1" style="122" min="4" max="4"/>
    <col width="98.46875" bestFit="1" customWidth="1" style="121" min="5" max="5"/>
    <col width="25.55859375" customWidth="1" style="272" min="6" max="6"/>
    <col width="21.5234375" customWidth="1" style="121" min="7" max="7"/>
    <col outlineLevel="1" width="20.4453125" customWidth="1" style="121" min="8" max="8"/>
    <col outlineLevel="1" width="18.16015625" customWidth="1" style="121" min="9" max="9"/>
    <col outlineLevel="1" width="18.29296875" customWidth="1" style="121" min="10" max="10"/>
    <col outlineLevel="1" width="22.328125" customWidth="1" style="121" min="11" max="11"/>
    <col outlineLevel="1" width="17.890625" customWidth="1" style="121" min="12" max="12"/>
    <col outlineLevel="1" width="18.6953125" customWidth="1" style="121" min="13" max="13"/>
    <col outlineLevel="1" width="19.63671875" customWidth="1" style="121" min="14" max="14"/>
    <col outlineLevel="1" width="20.4453125" customWidth="1" style="121" min="15" max="15"/>
    <col width="12.77734375" bestFit="1" customWidth="1" style="274" min="16" max="16"/>
    <col width="6.3203125" customWidth="1" style="274" min="17" max="17"/>
    <col width="16.140625" bestFit="1" customWidth="1" style="274" min="18" max="19"/>
    <col width="27.44140625" customWidth="1" style="274" min="20" max="20"/>
    <col width="14.390625" bestFit="1" customWidth="1" style="52" min="21" max="21"/>
    <col width="11.43359375" customWidth="1" style="52" min="22" max="16384"/>
  </cols>
  <sheetData>
    <row r="1">
      <c r="G1" s="606" t="n"/>
    </row>
    <row r="3">
      <c r="D3" s="602" t="inlineStr">
        <is>
          <t>Desglose de Presupuesto</t>
        </is>
      </c>
      <c r="E3" s="462" t="n"/>
      <c r="F3" s="462" t="n"/>
      <c r="G3" s="462" t="n"/>
      <c r="H3" s="462" t="n"/>
      <c r="I3" s="462" t="n"/>
      <c r="J3" s="462" t="n"/>
      <c r="K3" s="462" t="n"/>
      <c r="L3" s="462" t="n"/>
      <c r="M3" s="462" t="n"/>
      <c r="N3" s="462" t="n"/>
      <c r="O3" s="461" t="n"/>
    </row>
    <row r="4">
      <c r="D4" s="329" t="inlineStr">
        <is>
          <t>Proyecto:</t>
        </is>
      </c>
      <c r="E4" s="359" t="inlineStr">
        <is>
          <t xml:space="preserve">IKARIA TECHO </t>
        </is>
      </c>
      <c r="F4" s="275" t="n"/>
      <c r="G4" s="275" t="n"/>
      <c r="H4" s="275" t="n"/>
      <c r="I4" s="275" t="n"/>
      <c r="J4" s="275" t="n"/>
      <c r="K4" s="275" t="n"/>
      <c r="L4" s="275" t="n"/>
      <c r="M4" s="275" t="n"/>
      <c r="N4" s="275" t="n"/>
      <c r="O4" s="275" t="n"/>
    </row>
    <row r="5">
      <c r="D5" s="329" t="inlineStr">
        <is>
          <t>Cliente:</t>
        </is>
      </c>
      <c r="E5" s="359" t="inlineStr">
        <is>
          <t>ADELANTE DESARROLLOS</t>
        </is>
      </c>
      <c r="F5" s="275" t="n"/>
      <c r="G5" s="275" t="n"/>
      <c r="H5" s="275" t="n"/>
      <c r="I5" s="275" t="n"/>
      <c r="J5" s="275" t="n"/>
      <c r="K5" s="275" t="n"/>
      <c r="L5" s="275" t="n"/>
      <c r="M5" s="275" t="n"/>
      <c r="N5" s="275" t="n"/>
      <c r="O5" s="275" t="n"/>
      <c r="R5" s="360" t="inlineStr">
        <is>
          <t>Actualizacion</t>
        </is>
      </c>
    </row>
    <row r="6">
      <c r="D6" s="329" t="inlineStr">
        <is>
          <t>Fecha:</t>
        </is>
      </c>
      <c r="E6" s="361" t="n">
        <v>44719</v>
      </c>
      <c r="F6" s="275" t="n"/>
      <c r="G6" s="275" t="n"/>
      <c r="H6" s="275" t="n"/>
      <c r="I6" s="275" t="n"/>
      <c r="J6" s="275" t="n"/>
      <c r="K6" s="275" t="n"/>
      <c r="L6" s="275" t="n"/>
      <c r="M6" s="275" t="n"/>
      <c r="N6" s="275" t="n"/>
      <c r="O6" s="275" t="n"/>
      <c r="P6" s="362" t="inlineStr">
        <is>
          <t>TC</t>
        </is>
      </c>
      <c r="Q6" s="362" t="n">
        <v>700</v>
      </c>
      <c r="R6" s="363" t="n">
        <v>44713</v>
      </c>
    </row>
    <row r="7">
      <c r="D7" s="329" t="inlineStr">
        <is>
          <t>Ubicación:</t>
        </is>
      </c>
      <c r="E7" s="359" t="inlineStr">
        <is>
          <t>Cartago</t>
        </is>
      </c>
      <c r="F7" s="275" t="n"/>
      <c r="G7" s="275" t="n"/>
      <c r="H7" s="275" t="n"/>
      <c r="I7" s="275" t="n"/>
      <c r="J7" s="275" t="n"/>
      <c r="K7" s="275" t="n"/>
      <c r="L7" s="275" t="n"/>
      <c r="M7" s="275" t="n"/>
      <c r="N7" s="275" t="n"/>
      <c r="O7" s="275" t="n"/>
    </row>
    <row r="8">
      <c r="D8" s="329" t="inlineStr">
        <is>
          <t xml:space="preserve">Area: </t>
        </is>
      </c>
      <c r="E8" s="527" t="n">
        <v>90.84</v>
      </c>
      <c r="F8" s="275" t="n"/>
      <c r="G8" s="275" t="n"/>
      <c r="H8" s="275" t="n"/>
      <c r="I8" s="275" t="n"/>
      <c r="J8" s="275" t="n"/>
      <c r="K8" s="275" t="n"/>
      <c r="L8" s="275" t="n"/>
      <c r="M8" s="275" t="n"/>
      <c r="N8" s="607" t="n"/>
      <c r="O8" s="275" t="n"/>
    </row>
    <row r="9" ht="41.25" customFormat="1" customHeight="1" s="53">
      <c r="A9" s="276" t="n"/>
      <c r="B9" s="577" t="inlineStr">
        <is>
          <t xml:space="preserve">CODIGO </t>
        </is>
      </c>
      <c r="C9" s="576" t="inlineStr">
        <is>
          <t>CODIGO ACUMATICA</t>
        </is>
      </c>
      <c r="D9" s="364" t="inlineStr">
        <is>
          <t>N°</t>
        </is>
      </c>
      <c r="E9" s="364" t="inlineStr">
        <is>
          <t>Descripcion actividad</t>
        </is>
      </c>
      <c r="F9" s="364" t="inlineStr">
        <is>
          <t>Cantidad</t>
        </is>
      </c>
      <c r="G9" s="364" t="inlineStr">
        <is>
          <t>Unidad</t>
        </is>
      </c>
      <c r="H9" s="364" t="inlineStr">
        <is>
          <t>Unit mater</t>
        </is>
      </c>
      <c r="I9" s="364" t="inlineStr">
        <is>
          <t>Unit MO</t>
        </is>
      </c>
      <c r="J9" s="364" t="inlineStr">
        <is>
          <t>Unit Sub/ Equipos</t>
        </is>
      </c>
      <c r="K9" s="364" t="inlineStr">
        <is>
          <t>Total Mater</t>
        </is>
      </c>
      <c r="L9" s="364" t="inlineStr">
        <is>
          <t>Total MO</t>
        </is>
      </c>
      <c r="M9" s="364" t="inlineStr">
        <is>
          <t xml:space="preserve">Total Sub/Equipos </t>
        </is>
      </c>
      <c r="N9" s="365" t="inlineStr">
        <is>
          <t xml:space="preserve">Total Directo Colones </t>
        </is>
      </c>
      <c r="O9" s="365" t="inlineStr">
        <is>
          <t xml:space="preserve">Total Directo Dólares </t>
        </is>
      </c>
      <c r="P9" s="277" t="n"/>
      <c r="Q9" s="277" t="n"/>
      <c r="R9" s="277" t="n"/>
      <c r="S9" s="277" t="n"/>
      <c r="T9" s="277" t="n"/>
    </row>
    <row r="10">
      <c r="A10" s="278" t="n"/>
      <c r="B10" s="279" t="n"/>
      <c r="C10" s="578" t="n"/>
      <c r="D10" s="366" t="n"/>
      <c r="E10" s="367" t="inlineStr">
        <is>
          <t>TOTAL PRESUPUESTO</t>
        </is>
      </c>
      <c r="F10" s="368" t="n"/>
      <c r="G10" s="369" t="n"/>
      <c r="H10" s="369" t="n"/>
      <c r="I10" s="369" t="n"/>
      <c r="J10" s="369" t="n"/>
      <c r="K10" s="608">
        <f>K11+K123+K182+K214+K309+K422+K504+K528+K560+K638+K667+K738+K743+K834+K886+K905</f>
        <v/>
      </c>
      <c r="L10" s="608">
        <f>L11+L123+L182+L214+L309+L422+L504+L528+L560+L638+L667+L738+L743+L834+L886+L905</f>
        <v/>
      </c>
      <c r="M10" s="608">
        <f>M11+M123+M182+M214+M309+M422+M504+M528+M560+M638+M667+M738+M743+M834+M886+M905</f>
        <v/>
      </c>
      <c r="N10" s="608">
        <f>N11+N123+N182+N214+N309+N422+N504+N528+N560+N638+N667+N738+N743+N834+N886+N905</f>
        <v/>
      </c>
      <c r="O10" s="609">
        <f>O11+O123+O182+O214+O309+O422+O504+O528+O560+O638+O667+O738+O743+O834+O886+O905</f>
        <v/>
      </c>
      <c r="P10" s="610" t="n"/>
      <c r="Q10" s="610" t="n"/>
      <c r="R10" s="281" t="n"/>
      <c r="U10" s="611" t="n"/>
    </row>
    <row r="11">
      <c r="A11" s="278" t="n"/>
      <c r="B11" s="282" t="inlineStr">
        <is>
          <t>01</t>
        </is>
      </c>
      <c r="C11" s="578" t="n"/>
      <c r="D11" s="372" t="n">
        <v>1</v>
      </c>
      <c r="E11" s="373" t="inlineStr">
        <is>
          <t xml:space="preserve">FUNDACIONES </t>
        </is>
      </c>
      <c r="F11" s="374" t="n"/>
      <c r="G11" s="375" t="n"/>
      <c r="H11" s="375" t="n"/>
      <c r="I11" s="375" t="n"/>
      <c r="J11" s="375" t="n"/>
      <c r="K11" s="612">
        <f>K12+K21+K58+K69</f>
        <v/>
      </c>
      <c r="L11" s="612">
        <f>L12+L21+L58+L69</f>
        <v/>
      </c>
      <c r="M11" s="612">
        <f>M12+M21+M58+M69</f>
        <v/>
      </c>
      <c r="N11" s="612">
        <f>N12+N21+N58+N69</f>
        <v/>
      </c>
      <c r="O11" s="613">
        <f>O12+O21+O58+O69</f>
        <v/>
      </c>
      <c r="P11" s="610" t="n"/>
      <c r="Q11" s="610" t="n"/>
      <c r="R11" s="281" t="n"/>
      <c r="U11" s="611" t="n"/>
    </row>
    <row r="12" ht="14.1" customHeight="1">
      <c r="A12" s="278" t="n"/>
      <c r="B12" s="282" t="inlineStr">
        <is>
          <t>01-01</t>
        </is>
      </c>
      <c r="C12" s="578" t="n"/>
      <c r="D12" s="307" t="inlineStr">
        <is>
          <t xml:space="preserve">1.1 </t>
        </is>
      </c>
      <c r="E12" s="308" t="inlineStr">
        <is>
          <t xml:space="preserve">OBRAS PRELIMINARES Y RELLENOS </t>
        </is>
      </c>
      <c r="F12" s="309" t="n">
        <v>1</v>
      </c>
      <c r="G12" s="310" t="inlineStr">
        <is>
          <t>gb</t>
        </is>
      </c>
      <c r="H12" s="310" t="n"/>
      <c r="I12" s="310" t="n"/>
      <c r="J12" s="310" t="n"/>
      <c r="K12" s="614">
        <f>SUM(K13:K20)</f>
        <v/>
      </c>
      <c r="L12" s="614">
        <f>SUM(L13:L20)</f>
        <v/>
      </c>
      <c r="M12" s="614">
        <f>SUM(M13:M20)</f>
        <v/>
      </c>
      <c r="N12" s="614">
        <f>SUM(N13:N20)</f>
        <v/>
      </c>
      <c r="O12" s="615">
        <f>SUM(O13:O20)</f>
        <v/>
      </c>
      <c r="P12" s="610" t="n"/>
      <c r="Q12" s="610" t="n"/>
      <c r="S12" s="616" t="n"/>
      <c r="U12" s="617" t="n"/>
    </row>
    <row r="13" outlineLevel="2" ht="15" customHeight="1">
      <c r="A13" s="278" t="inlineStr">
        <is>
          <t>MAT</t>
        </is>
      </c>
      <c r="B13" s="282" t="n"/>
      <c r="C13" s="578">
        <f>_xlfn.XLOOKUP(D13,'INSUMOS MAT '!B:B,'INSUMOS MAT '!C:C,"ERROR",0)</f>
        <v/>
      </c>
      <c r="D13" s="284" t="inlineStr">
        <is>
          <t>MAT03-0014</t>
        </is>
      </c>
      <c r="E13" s="618">
        <f>_xlfn.XLOOKUP(D13,'BASE DATOS PRECIOS '!B:B,'BASE DATOS PRECIOS '!C:C)</f>
        <v/>
      </c>
      <c r="F13" s="301" t="n">
        <v>12.5</v>
      </c>
      <c r="G13" s="619">
        <f>+_xlfn.XLOOKUP(D13,'BASE DATOS PRECIOS '!B:B,'BASE DATOS PRECIOS '!D:D)</f>
        <v/>
      </c>
      <c r="H13" s="620">
        <f>+_xlfn.XLOOKUP(E13,'BASE DATOS PRECIOS '!C:C,'BASE DATOS PRECIOS '!F:F)</f>
        <v/>
      </c>
      <c r="I13" s="621" t="n"/>
      <c r="J13" s="621" t="n"/>
      <c r="K13" s="620">
        <f>+F13*H13</f>
        <v/>
      </c>
      <c r="L13" s="620">
        <f>+F13*I13</f>
        <v/>
      </c>
      <c r="M13" s="620">
        <f>+F13*J13</f>
        <v/>
      </c>
      <c r="N13" s="620">
        <f>SUM(K13:M13)</f>
        <v/>
      </c>
      <c r="O13" s="622">
        <f>SUM(K13:M13)/tc</f>
        <v/>
      </c>
    </row>
    <row r="14" outlineLevel="2" ht="15" customHeight="1">
      <c r="A14" s="278" t="inlineStr">
        <is>
          <t>MAT</t>
        </is>
      </c>
      <c r="B14" s="282" t="n"/>
      <c r="C14" s="578">
        <f>_xlfn.XLOOKUP(D14,'INSUMOS MAT '!B:B,'INSUMOS MAT '!C:C,"ERROR",0)</f>
        <v/>
      </c>
      <c r="D14" s="284" t="inlineStr">
        <is>
          <t>MAT08-0017</t>
        </is>
      </c>
      <c r="E14" s="623">
        <f>_xlfn.XLOOKUP(D14,'BASE DATOS PRECIOS '!B:B,'BASE DATOS PRECIOS '!C:C)</f>
        <v/>
      </c>
      <c r="F14" s="301" t="n">
        <v>2</v>
      </c>
      <c r="G14" s="619">
        <f>+_xlfn.XLOOKUP(D14,'BASE DATOS PRECIOS '!B:B,'BASE DATOS PRECIOS '!D:D)</f>
        <v/>
      </c>
      <c r="H14" s="620">
        <f>+_xlfn.XLOOKUP(E14,'BASE DATOS PRECIOS '!C:C,'BASE DATOS PRECIOS '!F:F)</f>
        <v/>
      </c>
      <c r="I14" s="621" t="n"/>
      <c r="J14" s="621" t="n"/>
      <c r="K14" s="620">
        <f>+F14*H14</f>
        <v/>
      </c>
      <c r="L14" s="620">
        <f>+F14*I14</f>
        <v/>
      </c>
      <c r="M14" s="620">
        <f>+F14*J14</f>
        <v/>
      </c>
      <c r="N14" s="620">
        <f>SUM(K14:M14)</f>
        <v/>
      </c>
      <c r="O14" s="622">
        <f>SUM(K14:M14)/tc</f>
        <v/>
      </c>
    </row>
    <row r="15" outlineLevel="2" ht="15" customHeight="1">
      <c r="A15" s="278" t="inlineStr">
        <is>
          <t>MAT</t>
        </is>
      </c>
      <c r="B15" s="282" t="n"/>
      <c r="C15" s="578">
        <f>_xlfn.XLOOKUP(D15,'INSUMOS MAT '!B:B,'INSUMOS MAT '!C:C,"ERROR",0)</f>
        <v/>
      </c>
      <c r="D15" s="285" t="inlineStr">
        <is>
          <t>MAT08-0029</t>
        </is>
      </c>
      <c r="E15" s="623">
        <f>_xlfn.XLOOKUP(D15,'BASE DATOS PRECIOS '!B:B,'BASE DATOS PRECIOS '!C:C)</f>
        <v/>
      </c>
      <c r="F15" s="287" t="n">
        <v>6</v>
      </c>
      <c r="G15" s="624">
        <f>+_xlfn.XLOOKUP(D15,'BASE DATOS PRECIOS '!B:B,'BASE DATOS PRECIOS '!D:D)</f>
        <v/>
      </c>
      <c r="H15" s="625">
        <f>+_xlfn.XLOOKUP(E15,'BASE DATOS PRECIOS '!C:C,'BASE DATOS PRECIOS '!F:F)</f>
        <v/>
      </c>
      <c r="I15" s="626" t="n"/>
      <c r="J15" s="626" t="n"/>
      <c r="K15" s="620">
        <f>+F15*H15</f>
        <v/>
      </c>
      <c r="L15" s="625">
        <f>+F15*I15</f>
        <v/>
      </c>
      <c r="M15" s="625">
        <f>+F15*J15</f>
        <v/>
      </c>
      <c r="N15" s="625">
        <f>SUM(K15:M15)</f>
        <v/>
      </c>
      <c r="O15" s="627">
        <f>SUM(K15:M15)/tc</f>
        <v/>
      </c>
    </row>
    <row r="16" outlineLevel="2" ht="15" customHeight="1">
      <c r="A16" s="278" t="inlineStr">
        <is>
          <t>MAT</t>
        </is>
      </c>
      <c r="B16" s="282" t="n"/>
      <c r="C16" s="578">
        <f>_xlfn.XLOOKUP(D16,'INSUMOS MAT '!B:B,'INSUMOS MAT '!C:C,"ERROR",0)</f>
        <v/>
      </c>
      <c r="D16" s="285" t="inlineStr">
        <is>
          <t>MAT08-0031</t>
        </is>
      </c>
      <c r="E16" s="623">
        <f>_xlfn.XLOOKUP(D16,'BASE DATOS PRECIOS '!B:B,'BASE DATOS PRECIOS '!C:C)</f>
        <v/>
      </c>
      <c r="F16" s="287" t="n">
        <v>3</v>
      </c>
      <c r="G16" s="624">
        <f>+_xlfn.XLOOKUP(D16,'BASE DATOS PRECIOS '!B:B,'BASE DATOS PRECIOS '!D:D)</f>
        <v/>
      </c>
      <c r="H16" s="625">
        <f>+_xlfn.XLOOKUP(E16,'BASE DATOS PRECIOS '!C:C,'BASE DATOS PRECIOS '!F:F)</f>
        <v/>
      </c>
      <c r="I16" s="626" t="n"/>
      <c r="J16" s="626" t="n"/>
      <c r="K16" s="620">
        <f>+F16*H16</f>
        <v/>
      </c>
      <c r="L16" s="625">
        <f>+F16*I16</f>
        <v/>
      </c>
      <c r="M16" s="625">
        <f>+F16*J16</f>
        <v/>
      </c>
      <c r="N16" s="625">
        <f>SUM(K16:M16)</f>
        <v/>
      </c>
      <c r="O16" s="627">
        <f>SUM(K16:M16)/tc</f>
        <v/>
      </c>
    </row>
    <row r="17" outlineLevel="2" ht="15" customHeight="1">
      <c r="A17" s="278" t="inlineStr">
        <is>
          <t>EQUIP</t>
        </is>
      </c>
      <c r="B17" s="282" t="n"/>
      <c r="C17" s="578" t="n"/>
      <c r="D17" s="380" t="inlineStr">
        <is>
          <t xml:space="preserve">BACK HOE </t>
        </is>
      </c>
      <c r="E17" s="628">
        <f>+_xlfn.XLOOKUP(D17,'BASE DATOS EQUIPOS Y SUBCONTRAT'!A:A,'BASE DATOS EQUIPOS Y SUBCONTRAT'!B:B)</f>
        <v/>
      </c>
      <c r="F17" s="382" t="n">
        <v>1</v>
      </c>
      <c r="G17" s="629">
        <f>+_xlfn.XLOOKUP(D17,'BASE DATOS EQUIPOS Y SUBCONTRAT'!A:A,'BASE DATOS EQUIPOS Y SUBCONTRAT'!C:C)</f>
        <v/>
      </c>
      <c r="H17" s="630" t="n">
        <v>0</v>
      </c>
      <c r="I17" s="629" t="n"/>
      <c r="J17" s="630">
        <f>+_xlfn.XLOOKUP(D17,'BASE DATOS EQUIPOS Y SUBCONTRAT'!A:A,'BASE DATOS EQUIPOS Y SUBCONTRAT'!E:E)</f>
        <v/>
      </c>
      <c r="K17" s="630">
        <f>+F17*H17</f>
        <v/>
      </c>
      <c r="L17" s="630">
        <f>+F17*I17</f>
        <v/>
      </c>
      <c r="M17" s="630">
        <f>+F17*J17</f>
        <v/>
      </c>
      <c r="N17" s="630">
        <f>SUM(K17:M17)</f>
        <v/>
      </c>
      <c r="O17" s="631">
        <f>SUM(K17:M17)/tc</f>
        <v/>
      </c>
    </row>
    <row r="18" outlineLevel="2" ht="15" customHeight="1">
      <c r="A18" s="278" t="inlineStr">
        <is>
          <t>EQUIP</t>
        </is>
      </c>
      <c r="B18" s="282" t="n"/>
      <c r="C18" s="578" t="n"/>
      <c r="D18" s="380" t="inlineStr">
        <is>
          <t xml:space="preserve">COMPACTADOR </t>
        </is>
      </c>
      <c r="E18" s="628">
        <f>+_xlfn.XLOOKUP(D18,'BASE DATOS EQUIPOS Y SUBCONTRAT'!A:A,'BASE DATOS EQUIPOS Y SUBCONTRAT'!B:B)</f>
        <v/>
      </c>
      <c r="F18" s="382" t="n">
        <v>3</v>
      </c>
      <c r="G18" s="629">
        <f>+_xlfn.XLOOKUP(D18,'BASE DATOS EQUIPOS Y SUBCONTRAT'!A:A,'BASE DATOS EQUIPOS Y SUBCONTRAT'!C:C)</f>
        <v/>
      </c>
      <c r="H18" s="630" t="n">
        <v>0</v>
      </c>
      <c r="I18" s="629" t="n"/>
      <c r="J18" s="630">
        <f>+_xlfn.XLOOKUP(D18,'BASE DATOS EQUIPOS Y SUBCONTRAT'!A:A,'BASE DATOS EQUIPOS Y SUBCONTRAT'!E:E)</f>
        <v/>
      </c>
      <c r="K18" s="630">
        <f>+F18*H18</f>
        <v/>
      </c>
      <c r="L18" s="630">
        <f>+F18*I18</f>
        <v/>
      </c>
      <c r="M18" s="630">
        <f>+F18*J18</f>
        <v/>
      </c>
      <c r="N18" s="630">
        <f>SUM(K18:M18)</f>
        <v/>
      </c>
      <c r="O18" s="631">
        <f>SUM(K18:M18)/tc</f>
        <v/>
      </c>
    </row>
    <row r="19" outlineLevel="2" ht="15" customHeight="1">
      <c r="A19" s="278" t="inlineStr">
        <is>
          <t xml:space="preserve">MO </t>
        </is>
      </c>
      <c r="B19" s="282" t="inlineStr">
        <is>
          <t>01-01-01</t>
        </is>
      </c>
      <c r="C19" s="578" t="n"/>
      <c r="D19" s="386" t="inlineStr">
        <is>
          <t xml:space="preserve">OPERARIO </t>
        </is>
      </c>
      <c r="E19" s="632">
        <f>+_xlfn.XLOOKUP(D19,'BASE DATOS MANO DE OBRA'!A:A,'BASE DATOS MANO DE OBRA'!B:B)</f>
        <v/>
      </c>
      <c r="F19" s="388" t="n">
        <v>38.5</v>
      </c>
      <c r="G19" s="633">
        <f>+_xlfn.XLOOKUP(D19,'BASE DATOS MANO DE OBRA'!A:A,'BASE DATOS MANO DE OBRA'!C:C)</f>
        <v/>
      </c>
      <c r="H19" s="634" t="n">
        <v>0</v>
      </c>
      <c r="I19" s="634">
        <f>+_xlfn.XLOOKUP(D19,'BASE DATOS MANO DE OBRA'!A:A,'BASE DATOS MANO DE OBRA'!E:E)</f>
        <v/>
      </c>
      <c r="J19" s="634" t="n">
        <v>0</v>
      </c>
      <c r="K19" s="634">
        <f>+F19*H19</f>
        <v/>
      </c>
      <c r="L19" s="634">
        <f>+F19*I19</f>
        <v/>
      </c>
      <c r="M19" s="634">
        <f>+F19*J19</f>
        <v/>
      </c>
      <c r="N19" s="634">
        <f>SUM(K19:M19)</f>
        <v/>
      </c>
      <c r="O19" s="635">
        <f>SUM(K19:M19)/tc</f>
        <v/>
      </c>
    </row>
    <row r="20" outlineLevel="2" ht="15" customHeight="1">
      <c r="A20" s="278" t="inlineStr">
        <is>
          <t xml:space="preserve">MO </t>
        </is>
      </c>
      <c r="B20" s="282" t="inlineStr">
        <is>
          <t>01-01-01</t>
        </is>
      </c>
      <c r="C20" s="578" t="n"/>
      <c r="D20" s="386" t="inlineStr">
        <is>
          <t xml:space="preserve">AYUDANTE </t>
        </is>
      </c>
      <c r="E20" s="632">
        <f>+_xlfn.XLOOKUP(D20,'BASE DATOS MANO DE OBRA'!A:A,'BASE DATOS MANO DE OBRA'!B:B)</f>
        <v/>
      </c>
      <c r="F20" s="388" t="n">
        <v>38.5</v>
      </c>
      <c r="G20" s="633">
        <f>+_xlfn.XLOOKUP(D20,'BASE DATOS MANO DE OBRA'!A:A,'BASE DATOS MANO DE OBRA'!C:C)</f>
        <v/>
      </c>
      <c r="H20" s="634" t="n">
        <v>0</v>
      </c>
      <c r="I20" s="634">
        <f>+_xlfn.XLOOKUP(D20,'BASE DATOS MANO DE OBRA'!A:A,'BASE DATOS MANO DE OBRA'!E:E)</f>
        <v/>
      </c>
      <c r="J20" s="634" t="n">
        <v>0</v>
      </c>
      <c r="K20" s="634">
        <f>+F20*H20</f>
        <v/>
      </c>
      <c r="L20" s="634">
        <f>+F20*I20</f>
        <v/>
      </c>
      <c r="M20" s="634">
        <f>+F20*J20</f>
        <v/>
      </c>
      <c r="N20" s="634">
        <f>SUM(K20:M20)</f>
        <v/>
      </c>
      <c r="O20" s="635">
        <f>SUM(K20:M20)/tc</f>
        <v/>
      </c>
    </row>
    <row r="21" ht="15" customHeight="1">
      <c r="A21" s="278" t="n"/>
      <c r="B21" s="282" t="inlineStr">
        <is>
          <t>01-02</t>
        </is>
      </c>
      <c r="C21" s="578" t="n"/>
      <c r="D21" s="307" t="inlineStr">
        <is>
          <t>1.2</t>
        </is>
      </c>
      <c r="E21" s="308" t="inlineStr">
        <is>
          <t>EXCAVACIÓN Y TUBERÍAS MECÁNICAS (INCLUYE ACOMETIDA)</t>
        </is>
      </c>
      <c r="F21" s="309" t="n">
        <v>1</v>
      </c>
      <c r="G21" s="310" t="inlineStr">
        <is>
          <t>gb</t>
        </is>
      </c>
      <c r="H21" s="310" t="n"/>
      <c r="I21" s="310" t="n"/>
      <c r="J21" s="310" t="n"/>
      <c r="K21" s="636">
        <f>SUM(K23:K57)</f>
        <v/>
      </c>
      <c r="L21" s="636">
        <f>SUM(L23:L57)</f>
        <v/>
      </c>
      <c r="M21" s="636">
        <f>SUM(M23:M57)</f>
        <v/>
      </c>
      <c r="N21" s="636">
        <f>SUM(N23:N57)</f>
        <v/>
      </c>
      <c r="O21" s="615">
        <f>SUM(O23:O57)</f>
        <v/>
      </c>
    </row>
    <row r="22" outlineLevel="1" ht="15" customHeight="1">
      <c r="A22" s="278" t="n"/>
      <c r="B22" s="282" t="n"/>
      <c r="C22" s="578" t="n"/>
      <c r="D22" s="292" t="n"/>
      <c r="E22" s="293" t="inlineStr">
        <is>
          <t xml:space="preserve">TUBERÍA MECÁNICA </t>
        </is>
      </c>
      <c r="F22" s="294" t="n"/>
      <c r="G22" s="295" t="n"/>
      <c r="H22" s="295" t="n"/>
      <c r="I22" s="295" t="n"/>
      <c r="J22" s="295" t="n"/>
      <c r="K22" s="637" t="n"/>
      <c r="L22" s="637" t="n"/>
      <c r="M22" s="637" t="n"/>
      <c r="N22" s="637" t="n"/>
      <c r="O22" s="638" t="n"/>
    </row>
    <row r="23" outlineLevel="1">
      <c r="A23" s="278" t="inlineStr">
        <is>
          <t>MAT</t>
        </is>
      </c>
      <c r="B23" s="282" t="n"/>
      <c r="C23" s="578">
        <f>_xlfn.XLOOKUP(D23,'INSUMOS MAT '!B:B,'INSUMOS MAT '!C:C,"ERROR",0)</f>
        <v/>
      </c>
      <c r="D23" s="305" t="inlineStr">
        <is>
          <t>MAT19-0100</t>
        </is>
      </c>
      <c r="E23" s="618">
        <f>+_xlfn.XLOOKUP(D23,'BASE DATOS PRECIOS '!B:B,'BASE DATOS PRECIOS '!C:C)</f>
        <v/>
      </c>
      <c r="F23" s="287" t="n">
        <v>3</v>
      </c>
      <c r="G23" s="621">
        <f>+_xlfn.XLOOKUP(D23,'BASE DATOS PRECIOS '!B:B,'BASE DATOS PRECIOS '!D:D)</f>
        <v/>
      </c>
      <c r="H23" s="620">
        <f>+_xlfn.XLOOKUP(E23,'BASE DATOS PRECIOS '!C:C,'BASE DATOS PRECIOS '!F:F)</f>
        <v/>
      </c>
      <c r="I23" s="621" t="n"/>
      <c r="J23" s="621" t="n"/>
      <c r="K23" s="620">
        <f>+F23*H23</f>
        <v/>
      </c>
      <c r="L23" s="620">
        <f>+F23*I23</f>
        <v/>
      </c>
      <c r="M23" s="620">
        <f>+F23*J23</f>
        <v/>
      </c>
      <c r="N23" s="620">
        <f>SUM(K23:M23)</f>
        <v/>
      </c>
      <c r="O23" s="622">
        <f>SUM(K23:M23)/tc</f>
        <v/>
      </c>
      <c r="P23" s="639" t="n"/>
      <c r="Q23" s="639" t="n"/>
      <c r="R23" s="640" t="n"/>
    </row>
    <row r="24" outlineLevel="1">
      <c r="A24" s="278" t="inlineStr">
        <is>
          <t>MAT</t>
        </is>
      </c>
      <c r="B24" s="282" t="n"/>
      <c r="C24" s="578">
        <f>_xlfn.XLOOKUP(D24,'INSUMOS MAT '!B:B,'INSUMOS MAT '!C:C,"ERROR",0)</f>
        <v/>
      </c>
      <c r="D24" s="305" t="inlineStr">
        <is>
          <t>MAT19-0095</t>
        </is>
      </c>
      <c r="E24" s="618">
        <f>+_xlfn.XLOOKUP(D24,'BASE DATOS PRECIOS '!B:B,'BASE DATOS PRECIOS '!C:C)</f>
        <v/>
      </c>
      <c r="F24" s="301" t="n">
        <v>1</v>
      </c>
      <c r="G24" s="621">
        <f>+_xlfn.XLOOKUP(D24,'BASE DATOS PRECIOS '!B:B,'BASE DATOS PRECIOS '!D:D)</f>
        <v/>
      </c>
      <c r="H24" s="620">
        <f>+_xlfn.XLOOKUP(E24,'BASE DATOS PRECIOS '!C:C,'BASE DATOS PRECIOS '!F:F)</f>
        <v/>
      </c>
      <c r="I24" s="621" t="n"/>
      <c r="J24" s="621" t="n"/>
      <c r="K24" s="620">
        <f>+F24*H24</f>
        <v/>
      </c>
      <c r="L24" s="620">
        <f>+F24*I24</f>
        <v/>
      </c>
      <c r="M24" s="620">
        <f>+F24*J24</f>
        <v/>
      </c>
      <c r="N24" s="620">
        <f>SUM(K24:M24)</f>
        <v/>
      </c>
      <c r="O24" s="622">
        <f>SUM(K24:M24)/tc</f>
        <v/>
      </c>
      <c r="P24" s="639" t="n"/>
      <c r="Q24" s="639" t="n"/>
      <c r="R24" s="640" t="n"/>
    </row>
    <row r="25" outlineLevel="1">
      <c r="A25" s="278" t="inlineStr">
        <is>
          <t>MAT</t>
        </is>
      </c>
      <c r="B25" s="282" t="n"/>
      <c r="C25" s="578">
        <f>_xlfn.XLOOKUP(D25,'INSUMOS MAT '!B:B,'INSUMOS MAT '!C:C,"ERROR",0)</f>
        <v/>
      </c>
      <c r="D25" s="305" t="inlineStr">
        <is>
          <t>MAT19-0094</t>
        </is>
      </c>
      <c r="E25" s="618">
        <f>+_xlfn.XLOOKUP(D25,'BASE DATOS PRECIOS '!B:B,'BASE DATOS PRECIOS '!C:C)</f>
        <v/>
      </c>
      <c r="F25" s="301" t="n">
        <v>1</v>
      </c>
      <c r="G25" s="621">
        <f>+_xlfn.XLOOKUP(D25,'BASE DATOS PRECIOS '!B:B,'BASE DATOS PRECIOS '!D:D)</f>
        <v/>
      </c>
      <c r="H25" s="620">
        <f>+_xlfn.XLOOKUP(E25,'BASE DATOS PRECIOS '!C:C,'BASE DATOS PRECIOS '!F:F)</f>
        <v/>
      </c>
      <c r="I25" s="621" t="n"/>
      <c r="J25" s="621" t="n"/>
      <c r="K25" s="620">
        <f>+F25*H25</f>
        <v/>
      </c>
      <c r="L25" s="620">
        <f>+F25*I25</f>
        <v/>
      </c>
      <c r="M25" s="620">
        <f>+F25*J25</f>
        <v/>
      </c>
      <c r="N25" s="620">
        <f>SUM(K25:M25)</f>
        <v/>
      </c>
      <c r="O25" s="622">
        <f>SUM(K25:M25)/tc</f>
        <v/>
      </c>
      <c r="P25" s="639" t="n"/>
      <c r="Q25" s="639" t="n"/>
      <c r="R25" s="640" t="n"/>
    </row>
    <row r="26" outlineLevel="1">
      <c r="A26" s="278" t="inlineStr">
        <is>
          <t>MAT</t>
        </is>
      </c>
      <c r="B26" s="282" t="n"/>
      <c r="C26" s="578">
        <f>_xlfn.XLOOKUP(D26,'INSUMOS MAT '!B:B,'INSUMOS MAT '!C:C,"ERROR",0)</f>
        <v/>
      </c>
      <c r="D26" s="305" t="inlineStr">
        <is>
          <t>MAT19-0081</t>
        </is>
      </c>
      <c r="E26" s="618">
        <f>+_xlfn.XLOOKUP(D26,'BASE DATOS PRECIOS '!B:B,'BASE DATOS PRECIOS '!C:C)</f>
        <v/>
      </c>
      <c r="F26" s="301" t="n">
        <v>2</v>
      </c>
      <c r="G26" s="621">
        <f>+_xlfn.XLOOKUP(D26,'BASE DATOS PRECIOS '!B:B,'BASE DATOS PRECIOS '!D:D)</f>
        <v/>
      </c>
      <c r="H26" s="620">
        <f>+_xlfn.XLOOKUP(E26,'BASE DATOS PRECIOS '!C:C,'BASE DATOS PRECIOS '!F:F)</f>
        <v/>
      </c>
      <c r="I26" s="621" t="n"/>
      <c r="J26" s="621" t="n"/>
      <c r="K26" s="620">
        <f>+F26*H26</f>
        <v/>
      </c>
      <c r="L26" s="620">
        <f>+F26*I26</f>
        <v/>
      </c>
      <c r="M26" s="620">
        <f>+F26*J26</f>
        <v/>
      </c>
      <c r="N26" s="620">
        <f>SUM(K26:M26)</f>
        <v/>
      </c>
      <c r="O26" s="622">
        <f>SUM(K26:M26)/tc</f>
        <v/>
      </c>
      <c r="P26" s="639" t="n"/>
      <c r="Q26" s="639" t="n"/>
      <c r="R26" s="640" t="n"/>
    </row>
    <row r="27" outlineLevel="1">
      <c r="A27" s="278" t="inlineStr">
        <is>
          <t>MAT</t>
        </is>
      </c>
      <c r="B27" s="282" t="n"/>
      <c r="C27" s="578">
        <f>_xlfn.XLOOKUP(D27,'INSUMOS MAT '!B:B,'INSUMOS MAT '!C:C,"ERROR",0)</f>
        <v/>
      </c>
      <c r="D27" s="305" t="inlineStr">
        <is>
          <t>MAT19-0044</t>
        </is>
      </c>
      <c r="E27" s="618">
        <f>+_xlfn.XLOOKUP(D27,'BASE DATOS PRECIOS '!B:B,'BASE DATOS PRECIOS '!C:C)</f>
        <v/>
      </c>
      <c r="F27" s="301" t="n">
        <v>4</v>
      </c>
      <c r="G27" s="621">
        <f>+_xlfn.XLOOKUP(D27,'BASE DATOS PRECIOS '!B:B,'BASE DATOS PRECIOS '!D:D)</f>
        <v/>
      </c>
      <c r="H27" s="620">
        <f>+_xlfn.XLOOKUP(E27,'BASE DATOS PRECIOS '!C:C,'BASE DATOS PRECIOS '!F:F)</f>
        <v/>
      </c>
      <c r="I27" s="621" t="n"/>
      <c r="J27" s="621" t="n"/>
      <c r="K27" s="620">
        <f>+F27*H27</f>
        <v/>
      </c>
      <c r="L27" s="620">
        <f>+F27*I27</f>
        <v/>
      </c>
      <c r="M27" s="620">
        <f>+F27*J27</f>
        <v/>
      </c>
      <c r="N27" s="620">
        <f>SUM(K27:M27)</f>
        <v/>
      </c>
      <c r="O27" s="622">
        <f>SUM(K27:M27)/tc</f>
        <v/>
      </c>
      <c r="P27" s="639" t="n"/>
      <c r="Q27" s="639" t="n"/>
      <c r="R27" s="640" t="n"/>
    </row>
    <row r="28" outlineLevel="1">
      <c r="A28" s="278" t="inlineStr">
        <is>
          <t>MAT</t>
        </is>
      </c>
      <c r="B28" s="282" t="n"/>
      <c r="C28" s="578">
        <f>_xlfn.XLOOKUP(D28,'INSUMOS MAT '!B:B,'INSUMOS MAT '!C:C,"ERROR",0)</f>
        <v/>
      </c>
      <c r="D28" s="305" t="inlineStr">
        <is>
          <t>MAT19-0118</t>
        </is>
      </c>
      <c r="E28" s="618">
        <f>+_xlfn.XLOOKUP(D28,'BASE DATOS PRECIOS '!B:B,'BASE DATOS PRECIOS '!C:C)</f>
        <v/>
      </c>
      <c r="F28" s="301" t="n">
        <v>5</v>
      </c>
      <c r="G28" s="621">
        <f>+_xlfn.XLOOKUP(D28,'BASE DATOS PRECIOS '!B:B,'BASE DATOS PRECIOS '!D:D)</f>
        <v/>
      </c>
      <c r="H28" s="620">
        <f>+_xlfn.XLOOKUP(E28,'BASE DATOS PRECIOS '!C:C,'BASE DATOS PRECIOS '!F:F)</f>
        <v/>
      </c>
      <c r="I28" s="621" t="n"/>
      <c r="J28" s="621" t="n"/>
      <c r="K28" s="620">
        <f>+F28*H28</f>
        <v/>
      </c>
      <c r="L28" s="620">
        <f>+F28*I28</f>
        <v/>
      </c>
      <c r="M28" s="620">
        <f>+F28*J28</f>
        <v/>
      </c>
      <c r="N28" s="620">
        <f>SUM(K28:M28)</f>
        <v/>
      </c>
      <c r="O28" s="622">
        <f>SUM(K28:M28)/tc</f>
        <v/>
      </c>
      <c r="P28" s="639" t="n"/>
      <c r="Q28" s="639" t="n"/>
      <c r="R28" s="640" t="n"/>
    </row>
    <row r="29" outlineLevel="1">
      <c r="A29" s="278" t="inlineStr">
        <is>
          <t>MAT</t>
        </is>
      </c>
      <c r="B29" s="282" t="n"/>
      <c r="C29" s="578">
        <f>_xlfn.XLOOKUP(D29,'INSUMOS MAT '!B:B,'INSUMOS MAT '!C:C,"ERROR",0)</f>
        <v/>
      </c>
      <c r="D29" s="305" t="inlineStr">
        <is>
          <t>MAT19-0024</t>
        </is>
      </c>
      <c r="E29" s="618">
        <f>+_xlfn.XLOOKUP(D29,'BASE DATOS PRECIOS '!B:B,'BASE DATOS PRECIOS '!C:C)</f>
        <v/>
      </c>
      <c r="F29" s="301" t="n">
        <v>2</v>
      </c>
      <c r="G29" s="621">
        <f>+_xlfn.XLOOKUP(D29,'BASE DATOS PRECIOS '!B:B,'BASE DATOS PRECIOS '!D:D)</f>
        <v/>
      </c>
      <c r="H29" s="620">
        <f>+_xlfn.XLOOKUP(E29,'BASE DATOS PRECIOS '!C:C,'BASE DATOS PRECIOS '!F:F)</f>
        <v/>
      </c>
      <c r="I29" s="621" t="n"/>
      <c r="J29" s="621" t="n"/>
      <c r="K29" s="620">
        <f>+F29*H29</f>
        <v/>
      </c>
      <c r="L29" s="620">
        <f>+F29*I29</f>
        <v/>
      </c>
      <c r="M29" s="620">
        <f>+F29*J29</f>
        <v/>
      </c>
      <c r="N29" s="620">
        <f>SUM(K29:M29)</f>
        <v/>
      </c>
      <c r="O29" s="622">
        <f>SUM(K29:M29)/tc</f>
        <v/>
      </c>
      <c r="P29" s="639" t="n"/>
      <c r="Q29" s="639" t="n"/>
      <c r="R29" s="640" t="n"/>
    </row>
    <row r="30" outlineLevel="1">
      <c r="A30" s="278" t="inlineStr">
        <is>
          <t>MAT</t>
        </is>
      </c>
      <c r="B30" s="282" t="n"/>
      <c r="C30" s="578">
        <f>_xlfn.XLOOKUP(D30,'INSUMOS MAT '!B:B,'INSUMOS MAT '!C:C,"ERROR",0)</f>
        <v/>
      </c>
      <c r="D30" s="305" t="inlineStr">
        <is>
          <t>MAT19-0049</t>
        </is>
      </c>
      <c r="E30" s="618">
        <f>+_xlfn.XLOOKUP(D30,'BASE DATOS PRECIOS '!B:B,'BASE DATOS PRECIOS '!C:C)</f>
        <v/>
      </c>
      <c r="F30" s="301" t="n">
        <v>2</v>
      </c>
      <c r="G30" s="621">
        <f>+_xlfn.XLOOKUP(D30,'BASE DATOS PRECIOS '!B:B,'BASE DATOS PRECIOS '!D:D)</f>
        <v/>
      </c>
      <c r="H30" s="620">
        <f>+_xlfn.XLOOKUP(E30,'BASE DATOS PRECIOS '!C:C,'BASE DATOS PRECIOS '!F:F)</f>
        <v/>
      </c>
      <c r="I30" s="621" t="n"/>
      <c r="J30" s="621" t="n"/>
      <c r="K30" s="620">
        <f>+F30*H30</f>
        <v/>
      </c>
      <c r="L30" s="620">
        <f>+F30*I30</f>
        <v/>
      </c>
      <c r="M30" s="620">
        <f>+F30*J30</f>
        <v/>
      </c>
      <c r="N30" s="620">
        <f>SUM(K30:M30)</f>
        <v/>
      </c>
      <c r="O30" s="622">
        <f>SUM(K30:M30)/tc</f>
        <v/>
      </c>
      <c r="P30" s="639" t="n"/>
      <c r="Q30" s="639" t="n"/>
      <c r="R30" s="640" t="n"/>
    </row>
    <row r="31" outlineLevel="1">
      <c r="A31" s="278" t="inlineStr">
        <is>
          <t>MAT</t>
        </is>
      </c>
      <c r="B31" s="282" t="n"/>
      <c r="C31" s="578">
        <f>_xlfn.XLOOKUP(D31,'INSUMOS MAT '!B:B,'INSUMOS MAT '!C:C,"ERROR",0)</f>
        <v/>
      </c>
      <c r="D31" s="305" t="inlineStr">
        <is>
          <t>MAT19-0055</t>
        </is>
      </c>
      <c r="E31" s="618">
        <f>+_xlfn.XLOOKUP(D31,'BASE DATOS PRECIOS '!B:B,'BASE DATOS PRECIOS '!C:C)</f>
        <v/>
      </c>
      <c r="F31" s="301" t="n">
        <v>2</v>
      </c>
      <c r="G31" s="621">
        <f>+_xlfn.XLOOKUP(D31,'BASE DATOS PRECIOS '!B:B,'BASE DATOS PRECIOS '!D:D)</f>
        <v/>
      </c>
      <c r="H31" s="620">
        <f>+_xlfn.XLOOKUP(E31,'BASE DATOS PRECIOS '!C:C,'BASE DATOS PRECIOS '!F:F)</f>
        <v/>
      </c>
      <c r="I31" s="621" t="n"/>
      <c r="J31" s="621" t="n"/>
      <c r="K31" s="620">
        <f>+F31*H31</f>
        <v/>
      </c>
      <c r="L31" s="620">
        <f>+F31*I31</f>
        <v/>
      </c>
      <c r="M31" s="620">
        <f>+F31*J31</f>
        <v/>
      </c>
      <c r="N31" s="620">
        <f>SUM(K31:M31)</f>
        <v/>
      </c>
      <c r="O31" s="622">
        <f>SUM(K31:M31)/tc</f>
        <v/>
      </c>
      <c r="P31" s="639" t="n"/>
      <c r="Q31" s="639" t="n"/>
      <c r="R31" s="640" t="n"/>
    </row>
    <row r="32" outlineLevel="1">
      <c r="A32" s="278" t="inlineStr">
        <is>
          <t>MAT</t>
        </is>
      </c>
      <c r="B32" s="282" t="n"/>
      <c r="C32" s="578">
        <f>_xlfn.XLOOKUP(D32,'INSUMOS MAT '!B:B,'INSUMOS MAT '!C:C,"ERROR",0)</f>
        <v/>
      </c>
      <c r="D32" s="305" t="inlineStr">
        <is>
          <t>MAT19-0112</t>
        </is>
      </c>
      <c r="E32" s="618">
        <f>+_xlfn.XLOOKUP(D32,'BASE DATOS PRECIOS '!B:B,'BASE DATOS PRECIOS '!C:C)</f>
        <v/>
      </c>
      <c r="F32" s="301" t="n">
        <v>6</v>
      </c>
      <c r="G32" s="621">
        <f>+_xlfn.XLOOKUP(D32,'BASE DATOS PRECIOS '!B:B,'BASE DATOS PRECIOS '!D:D)</f>
        <v/>
      </c>
      <c r="H32" s="620">
        <f>+_xlfn.XLOOKUP(E32,'BASE DATOS PRECIOS '!C:C,'BASE DATOS PRECIOS '!F:F)</f>
        <v/>
      </c>
      <c r="I32" s="621" t="n"/>
      <c r="J32" s="621" t="n"/>
      <c r="K32" s="620">
        <f>+F32*H32</f>
        <v/>
      </c>
      <c r="L32" s="620">
        <f>+F32*I32</f>
        <v/>
      </c>
      <c r="M32" s="620">
        <f>+F32*J32</f>
        <v/>
      </c>
      <c r="N32" s="620">
        <f>SUM(K32:M32)</f>
        <v/>
      </c>
      <c r="O32" s="622">
        <f>SUM(K32:M32)/tc</f>
        <v/>
      </c>
      <c r="P32" s="639" t="n"/>
      <c r="Q32" s="639" t="n"/>
      <c r="R32" s="640" t="n"/>
    </row>
    <row r="33" outlineLevel="1">
      <c r="A33" s="278" t="inlineStr">
        <is>
          <t>MAT</t>
        </is>
      </c>
      <c r="B33" s="282" t="n"/>
      <c r="C33" s="578">
        <f>_xlfn.XLOOKUP(D33,'INSUMOS MAT '!B:B,'INSUMOS MAT '!C:C,"ERROR",0)</f>
        <v/>
      </c>
      <c r="D33" s="305" t="inlineStr">
        <is>
          <t>MAT19-0126</t>
        </is>
      </c>
      <c r="E33" s="618">
        <f>+_xlfn.XLOOKUP(D33,'BASE DATOS PRECIOS '!B:B,'BASE DATOS PRECIOS '!C:C)</f>
        <v/>
      </c>
      <c r="F33" s="301" t="n">
        <v>2</v>
      </c>
      <c r="G33" s="621">
        <f>+_xlfn.XLOOKUP(D33,'BASE DATOS PRECIOS '!B:B,'BASE DATOS PRECIOS '!D:D)</f>
        <v/>
      </c>
      <c r="H33" s="620">
        <f>+_xlfn.XLOOKUP(E33,'BASE DATOS PRECIOS '!C:C,'BASE DATOS PRECIOS '!F:F)</f>
        <v/>
      </c>
      <c r="I33" s="621" t="n"/>
      <c r="J33" s="621" t="n"/>
      <c r="K33" s="620">
        <f>+F33*H33</f>
        <v/>
      </c>
      <c r="L33" s="620">
        <f>+F33*I33</f>
        <v/>
      </c>
      <c r="M33" s="620">
        <f>+F33*J33</f>
        <v/>
      </c>
      <c r="N33" s="620">
        <f>SUM(K33:M33)</f>
        <v/>
      </c>
      <c r="O33" s="622">
        <f>SUM(K33:M33)/tc</f>
        <v/>
      </c>
      <c r="P33" s="639" t="n"/>
      <c r="Q33" s="639" t="n"/>
      <c r="R33" s="640" t="n"/>
    </row>
    <row r="34" outlineLevel="1">
      <c r="A34" s="278" t="inlineStr">
        <is>
          <t>MAT</t>
        </is>
      </c>
      <c r="B34" s="282" t="n"/>
      <c r="C34" s="578">
        <f>_xlfn.XLOOKUP(D34,'INSUMOS MAT '!B:B,'INSUMOS MAT '!C:C,"ERROR",0)</f>
        <v/>
      </c>
      <c r="D34" s="305" t="inlineStr">
        <is>
          <t>MAT19-0063</t>
        </is>
      </c>
      <c r="E34" s="618">
        <f>+_xlfn.XLOOKUP(D34,'BASE DATOS PRECIOS '!B:B,'BASE DATOS PRECIOS '!C:C)</f>
        <v/>
      </c>
      <c r="F34" s="301" t="n">
        <v>4</v>
      </c>
      <c r="G34" s="621">
        <f>+_xlfn.XLOOKUP(D34,'BASE DATOS PRECIOS '!B:B,'BASE DATOS PRECIOS '!D:D)</f>
        <v/>
      </c>
      <c r="H34" s="620">
        <f>+_xlfn.XLOOKUP(E34,'BASE DATOS PRECIOS '!C:C,'BASE DATOS PRECIOS '!F:F)</f>
        <v/>
      </c>
      <c r="I34" s="621" t="n"/>
      <c r="J34" s="621" t="n"/>
      <c r="K34" s="620">
        <f>+F34*H34</f>
        <v/>
      </c>
      <c r="L34" s="620">
        <f>+F34*I34</f>
        <v/>
      </c>
      <c r="M34" s="620">
        <f>+F34*J34</f>
        <v/>
      </c>
      <c r="N34" s="620">
        <f>SUM(K34:M34)</f>
        <v/>
      </c>
      <c r="O34" s="622">
        <f>SUM(K34:M34)/tc</f>
        <v/>
      </c>
      <c r="P34" s="639" t="n"/>
      <c r="Q34" s="639" t="n"/>
      <c r="R34" s="640" t="n"/>
    </row>
    <row r="35" outlineLevel="1">
      <c r="A35" s="278" t="inlineStr">
        <is>
          <t>MAT</t>
        </is>
      </c>
      <c r="B35" s="282" t="n"/>
      <c r="C35" s="578">
        <f>_xlfn.XLOOKUP(D35,'INSUMOS MAT '!B:B,'INSUMOS MAT '!C:C,"ERROR",0)</f>
        <v/>
      </c>
      <c r="D35" s="305" t="inlineStr">
        <is>
          <t>MAT19-0124</t>
        </is>
      </c>
      <c r="E35" s="618">
        <f>+_xlfn.XLOOKUP(D35,'BASE DATOS PRECIOS '!B:B,'BASE DATOS PRECIOS '!C:C)</f>
        <v/>
      </c>
      <c r="F35" s="301" t="n">
        <v>2</v>
      </c>
      <c r="G35" s="621">
        <f>+_xlfn.XLOOKUP(D35,'BASE DATOS PRECIOS '!B:B,'BASE DATOS PRECIOS '!D:D)</f>
        <v/>
      </c>
      <c r="H35" s="620">
        <f>+_xlfn.XLOOKUP(E35,'BASE DATOS PRECIOS '!C:C,'BASE DATOS PRECIOS '!F:F)</f>
        <v/>
      </c>
      <c r="I35" s="621" t="n"/>
      <c r="J35" s="621" t="n"/>
      <c r="K35" s="620">
        <f>+F35*H35</f>
        <v/>
      </c>
      <c r="L35" s="620">
        <f>+F35*I35</f>
        <v/>
      </c>
      <c r="M35" s="620">
        <f>+F35*J35</f>
        <v/>
      </c>
      <c r="N35" s="620">
        <f>SUM(K35:M35)</f>
        <v/>
      </c>
      <c r="O35" s="622">
        <f>SUM(K35:M35)/tc</f>
        <v/>
      </c>
      <c r="P35" s="639" t="n"/>
      <c r="Q35" s="639" t="n"/>
      <c r="R35" s="640" t="n"/>
    </row>
    <row r="36" outlineLevel="1">
      <c r="A36" s="278" t="inlineStr">
        <is>
          <t>MAT</t>
        </is>
      </c>
      <c r="B36" s="282" t="n"/>
      <c r="C36" s="578">
        <f>_xlfn.XLOOKUP(D36,'INSUMOS MAT '!B:B,'INSUMOS MAT '!C:C,"ERROR",0)</f>
        <v/>
      </c>
      <c r="D36" s="305" t="inlineStr">
        <is>
          <t>MAT19-0041</t>
        </is>
      </c>
      <c r="E36" s="618">
        <f>+_xlfn.XLOOKUP(D36,'BASE DATOS PRECIOS '!B:B,'BASE DATOS PRECIOS '!C:C)</f>
        <v/>
      </c>
      <c r="F36" s="301" t="n">
        <v>1</v>
      </c>
      <c r="G36" s="621">
        <f>+_xlfn.XLOOKUP(D36,'BASE DATOS PRECIOS '!B:B,'BASE DATOS PRECIOS '!D:D)</f>
        <v/>
      </c>
      <c r="H36" s="620">
        <f>+_xlfn.XLOOKUP(E36,'BASE DATOS PRECIOS '!C:C,'BASE DATOS PRECIOS '!F:F)</f>
        <v/>
      </c>
      <c r="I36" s="621" t="n"/>
      <c r="J36" s="621" t="n"/>
      <c r="K36" s="620">
        <f>+F36*H36</f>
        <v/>
      </c>
      <c r="L36" s="620" t="n">
        <v>0</v>
      </c>
      <c r="M36" s="620" t="n">
        <v>0</v>
      </c>
      <c r="N36" s="620">
        <f>SUM(K36:M36)</f>
        <v/>
      </c>
      <c r="O36" s="622" t="n">
        <v>1266.556658</v>
      </c>
      <c r="P36" s="639" t="n"/>
      <c r="Q36" s="639" t="n"/>
      <c r="R36" s="640" t="n"/>
    </row>
    <row r="37" outlineLevel="1">
      <c r="A37" s="278" t="inlineStr">
        <is>
          <t>MAT</t>
        </is>
      </c>
      <c r="B37" s="282" t="n"/>
      <c r="C37" s="578">
        <f>_xlfn.XLOOKUP(D37,'INSUMOS MAT '!B:B,'INSUMOS MAT '!C:C,"ERROR",0)</f>
        <v/>
      </c>
      <c r="D37" s="305" t="inlineStr">
        <is>
          <t>MAT19-0017</t>
        </is>
      </c>
      <c r="E37" s="618">
        <f>+_xlfn.XLOOKUP(D37,'BASE DATOS PRECIOS '!B:B,'BASE DATOS PRECIOS '!C:C)</f>
        <v/>
      </c>
      <c r="F37" s="301" t="n">
        <v>1</v>
      </c>
      <c r="G37" s="621">
        <f>+_xlfn.XLOOKUP(D37,'BASE DATOS PRECIOS '!B:B,'BASE DATOS PRECIOS '!D:D)</f>
        <v/>
      </c>
      <c r="H37" s="620">
        <f>+_xlfn.XLOOKUP(E37,'BASE DATOS PRECIOS '!C:C,'BASE DATOS PRECIOS '!F:F)</f>
        <v/>
      </c>
      <c r="I37" s="621" t="n"/>
      <c r="J37" s="621" t="n"/>
      <c r="K37" s="620">
        <f>+F37*H37</f>
        <v/>
      </c>
      <c r="L37" s="620">
        <f>+F37*I37</f>
        <v/>
      </c>
      <c r="M37" s="620">
        <f>+F37*J37</f>
        <v/>
      </c>
      <c r="N37" s="620">
        <f>SUM(K37:M37)</f>
        <v/>
      </c>
      <c r="O37" s="622">
        <f>SUM(K37:M37)/tc</f>
        <v/>
      </c>
      <c r="P37" s="639" t="n"/>
      <c r="Q37" s="639" t="n"/>
      <c r="R37" s="640" t="n"/>
    </row>
    <row r="38" outlineLevel="1">
      <c r="A38" s="278" t="inlineStr">
        <is>
          <t>MAT</t>
        </is>
      </c>
      <c r="B38" s="282" t="n"/>
      <c r="C38" s="578">
        <f>_xlfn.XLOOKUP(D38,'INSUMOS MAT '!B:B,'INSUMOS MAT '!C:C,"ERROR",0)</f>
        <v/>
      </c>
      <c r="D38" s="305" t="inlineStr">
        <is>
          <t>MAT19-0096</t>
        </is>
      </c>
      <c r="E38" s="618">
        <f>+_xlfn.XLOOKUP(D38,'BASE DATOS PRECIOS '!B:B,'BASE DATOS PRECIOS '!C:C)</f>
        <v/>
      </c>
      <c r="F38" s="301" t="n">
        <v>1</v>
      </c>
      <c r="G38" s="621">
        <f>+_xlfn.XLOOKUP(D38,'BASE DATOS PRECIOS '!B:B,'BASE DATOS PRECIOS '!D:D)</f>
        <v/>
      </c>
      <c r="H38" s="620">
        <f>+_xlfn.XLOOKUP(E38,'BASE DATOS PRECIOS '!C:C,'BASE DATOS PRECIOS '!F:F)</f>
        <v/>
      </c>
      <c r="I38" s="621" t="n"/>
      <c r="J38" s="621" t="n"/>
      <c r="K38" s="620">
        <f>+F38*H38</f>
        <v/>
      </c>
      <c r="L38" s="620">
        <f>+F38*I38</f>
        <v/>
      </c>
      <c r="M38" s="620">
        <f>+F38*J38</f>
        <v/>
      </c>
      <c r="N38" s="620">
        <f>SUM(K38:M38)</f>
        <v/>
      </c>
      <c r="O38" s="622">
        <f>SUM(K38:M38)/tc</f>
        <v/>
      </c>
      <c r="P38" s="639" t="n"/>
      <c r="Q38" s="639" t="n"/>
      <c r="R38" s="640" t="n"/>
    </row>
    <row r="39" outlineLevel="1">
      <c r="A39" s="278" t="inlineStr">
        <is>
          <t>MAT</t>
        </is>
      </c>
      <c r="B39" s="282" t="n"/>
      <c r="C39" s="578">
        <f>_xlfn.XLOOKUP(D39,'INSUMOS MAT '!B:B,'INSUMOS MAT '!C:C,"ERROR",0)</f>
        <v/>
      </c>
      <c r="D39" s="305" t="inlineStr">
        <is>
          <t>MAT19-0125</t>
        </is>
      </c>
      <c r="E39" s="618">
        <f>+_xlfn.XLOOKUP(D39,'BASE DATOS PRECIOS '!B:B,'BASE DATOS PRECIOS '!C:C)</f>
        <v/>
      </c>
      <c r="F39" s="301" t="n">
        <v>1</v>
      </c>
      <c r="G39" s="621">
        <f>+_xlfn.XLOOKUP(D39,'BASE DATOS PRECIOS '!B:B,'BASE DATOS PRECIOS '!D:D)</f>
        <v/>
      </c>
      <c r="H39" s="620">
        <f>+_xlfn.XLOOKUP(E39,'BASE DATOS PRECIOS '!C:C,'BASE DATOS PRECIOS '!F:F)</f>
        <v/>
      </c>
      <c r="I39" s="621" t="n"/>
      <c r="J39" s="621" t="n"/>
      <c r="K39" s="620">
        <f>+F39*H39</f>
        <v/>
      </c>
      <c r="L39" s="620">
        <f>+F39*I39</f>
        <v/>
      </c>
      <c r="M39" s="620">
        <f>+F39*J39</f>
        <v/>
      </c>
      <c r="N39" s="620">
        <f>SUM(K39:M39)</f>
        <v/>
      </c>
      <c r="O39" s="622">
        <f>SUM(K39:M39)/tc</f>
        <v/>
      </c>
      <c r="P39" s="639" t="n"/>
      <c r="Q39" s="639" t="n"/>
      <c r="R39" s="640" t="n"/>
    </row>
    <row r="40" outlineLevel="1">
      <c r="A40" s="278" t="inlineStr">
        <is>
          <t>MAT</t>
        </is>
      </c>
      <c r="B40" s="282" t="n"/>
      <c r="C40" s="578">
        <f>_xlfn.XLOOKUP(D40,'INSUMOS MAT '!B:B,'INSUMOS MAT '!C:C,"ERROR",0)</f>
        <v/>
      </c>
      <c r="D40" s="305" t="inlineStr">
        <is>
          <t>MAT03-0002</t>
        </is>
      </c>
      <c r="E40" s="618">
        <f>+_xlfn.XLOOKUP(D40,'BASE DATOS PRECIOS '!B:B,'BASE DATOS PRECIOS '!C:C)</f>
        <v/>
      </c>
      <c r="F40" s="301" t="n">
        <v>0.5</v>
      </c>
      <c r="G40" s="621">
        <f>+_xlfn.XLOOKUP(D40,'BASE DATOS PRECIOS '!B:B,'BASE DATOS PRECIOS '!D:D)</f>
        <v/>
      </c>
      <c r="H40" s="620">
        <f>+_xlfn.XLOOKUP(E40,'BASE DATOS PRECIOS '!C:C,'BASE DATOS PRECIOS '!F:F)</f>
        <v/>
      </c>
      <c r="I40" s="621" t="n"/>
      <c r="J40" s="621" t="n"/>
      <c r="K40" s="620">
        <f>+F40*H40</f>
        <v/>
      </c>
      <c r="L40" s="620">
        <f>+F40*I40</f>
        <v/>
      </c>
      <c r="M40" s="620">
        <f>+F40*J40</f>
        <v/>
      </c>
      <c r="N40" s="620">
        <f>SUM(K40:M40)</f>
        <v/>
      </c>
      <c r="O40" s="622">
        <f>SUM(K40:M40)/tc</f>
        <v/>
      </c>
      <c r="P40" s="639" t="n"/>
      <c r="Q40" s="639" t="n"/>
      <c r="R40" s="640" t="n"/>
    </row>
    <row r="41" outlineLevel="1">
      <c r="A41" s="278" t="inlineStr">
        <is>
          <t>MAT</t>
        </is>
      </c>
      <c r="B41" s="282" t="n"/>
      <c r="C41" s="578">
        <f>_xlfn.XLOOKUP(D41,'INSUMOS MAT '!B:B,'INSUMOS MAT '!C:C,"ERROR",0)</f>
        <v/>
      </c>
      <c r="D41" s="305" t="inlineStr">
        <is>
          <t>MAT08-0091</t>
        </is>
      </c>
      <c r="E41" s="618">
        <f>+_xlfn.XLOOKUP(D41,'BASE DATOS PRECIOS '!B:B,'BASE DATOS PRECIOS '!C:C)</f>
        <v/>
      </c>
      <c r="F41" s="301" t="n">
        <v>1</v>
      </c>
      <c r="G41" s="621">
        <f>+_xlfn.XLOOKUP(D41,'BASE DATOS PRECIOS '!B:B,'BASE DATOS PRECIOS '!D:D)</f>
        <v/>
      </c>
      <c r="H41" s="620">
        <f>+_xlfn.XLOOKUP(E41,'BASE DATOS PRECIOS '!C:C,'BASE DATOS PRECIOS '!F:F)</f>
        <v/>
      </c>
      <c r="I41" s="621" t="n"/>
      <c r="J41" s="621" t="n"/>
      <c r="K41" s="620">
        <f>+F41*H41</f>
        <v/>
      </c>
      <c r="L41" s="620">
        <f>+F41*I41</f>
        <v/>
      </c>
      <c r="M41" s="620">
        <f>+F41*J41</f>
        <v/>
      </c>
      <c r="N41" s="620">
        <f>SUM(K41:M41)</f>
        <v/>
      </c>
      <c r="O41" s="622">
        <f>SUM(K41:M41)/tc</f>
        <v/>
      </c>
      <c r="P41" s="639" t="n"/>
      <c r="Q41" s="639" t="n"/>
      <c r="R41" s="640" t="n"/>
    </row>
    <row r="42" outlineLevel="1">
      <c r="A42" s="278" t="inlineStr">
        <is>
          <t>MAT</t>
        </is>
      </c>
      <c r="B42" s="282" t="n"/>
      <c r="C42" s="578">
        <f>_xlfn.XLOOKUP(D42,'INSUMOS MAT '!B:B,'INSUMOS MAT '!C:C,"ERROR",0)</f>
        <v/>
      </c>
      <c r="D42" s="305" t="inlineStr">
        <is>
          <t>MAT08-0034</t>
        </is>
      </c>
      <c r="E42" s="618">
        <f>+_xlfn.XLOOKUP(D42,'BASE DATOS PRECIOS '!B:B,'BASE DATOS PRECIOS '!C:C)</f>
        <v/>
      </c>
      <c r="F42" s="301" t="n">
        <v>1</v>
      </c>
      <c r="G42" s="621">
        <f>+_xlfn.XLOOKUP(D42,'BASE DATOS PRECIOS '!B:B,'BASE DATOS PRECIOS '!D:D)</f>
        <v/>
      </c>
      <c r="H42" s="620">
        <f>+_xlfn.XLOOKUP(E42,'BASE DATOS PRECIOS '!C:C,'BASE DATOS PRECIOS '!F:F)</f>
        <v/>
      </c>
      <c r="I42" s="621" t="n"/>
      <c r="J42" s="621" t="n"/>
      <c r="K42" s="620">
        <f>+F42*H42</f>
        <v/>
      </c>
      <c r="L42" s="620">
        <f>+F42*I42</f>
        <v/>
      </c>
      <c r="M42" s="620">
        <f>+F42*J42</f>
        <v/>
      </c>
      <c r="N42" s="620">
        <f>SUM(K42:M42)</f>
        <v/>
      </c>
      <c r="O42" s="622">
        <f>SUM(K42:M42)/tc</f>
        <v/>
      </c>
      <c r="P42" s="639" t="n"/>
      <c r="Q42" s="639" t="n"/>
      <c r="R42" s="640" t="n"/>
    </row>
    <row r="43" outlineLevel="1">
      <c r="A43" s="278" t="inlineStr">
        <is>
          <t>MAT</t>
        </is>
      </c>
      <c r="B43" s="282" t="n"/>
      <c r="C43" s="578">
        <f>_xlfn.XLOOKUP(D43,'INSUMOS MAT '!B:B,'INSUMOS MAT '!C:C,"ERROR",0)</f>
        <v/>
      </c>
      <c r="D43" s="305" t="inlineStr">
        <is>
          <t>MAT08-0031</t>
        </is>
      </c>
      <c r="E43" s="618">
        <f>+_xlfn.XLOOKUP(D43,'BASE DATOS PRECIOS '!B:B,'BASE DATOS PRECIOS '!C:C)</f>
        <v/>
      </c>
      <c r="F43" s="301" t="n">
        <v>1</v>
      </c>
      <c r="G43" s="621">
        <f>+_xlfn.XLOOKUP(D43,'BASE DATOS PRECIOS '!B:B,'BASE DATOS PRECIOS '!D:D)</f>
        <v/>
      </c>
      <c r="H43" s="620">
        <f>+_xlfn.XLOOKUP(E43,'BASE DATOS PRECIOS '!C:C,'BASE DATOS PRECIOS '!F:F)</f>
        <v/>
      </c>
      <c r="I43" s="621" t="n"/>
      <c r="J43" s="621" t="n"/>
      <c r="K43" s="620">
        <f>+F43*H43</f>
        <v/>
      </c>
      <c r="L43" s="620">
        <f>+F43*I43</f>
        <v/>
      </c>
      <c r="M43" s="620">
        <f>+F43*J43</f>
        <v/>
      </c>
      <c r="N43" s="620">
        <f>SUM(K43:M43)</f>
        <v/>
      </c>
      <c r="O43" s="622">
        <f>SUM(K43:M43)/tc</f>
        <v/>
      </c>
      <c r="P43" s="639" t="n"/>
      <c r="Q43" s="639" t="n"/>
      <c r="R43" s="640" t="n"/>
    </row>
    <row r="44" outlineLevel="1">
      <c r="A44" s="278" t="inlineStr">
        <is>
          <t>MAT</t>
        </is>
      </c>
      <c r="B44" s="282" t="n"/>
      <c r="C44" s="578">
        <f>_xlfn.XLOOKUP(D44,'INSUMOS MAT '!B:B,'INSUMOS MAT '!C:C,"ERROR",0)</f>
        <v/>
      </c>
      <c r="D44" s="305" t="inlineStr">
        <is>
          <t>MAT08-0003</t>
        </is>
      </c>
      <c r="E44" s="618">
        <f>+_xlfn.XLOOKUP(D44,'BASE DATOS PRECIOS '!B:B,'BASE DATOS PRECIOS '!C:C)</f>
        <v/>
      </c>
      <c r="F44" s="301" t="n">
        <v>1</v>
      </c>
      <c r="G44" s="621">
        <f>+_xlfn.XLOOKUP(D44,'BASE DATOS PRECIOS '!B:B,'BASE DATOS PRECIOS '!D:D)</f>
        <v/>
      </c>
      <c r="H44" s="620">
        <f>+_xlfn.XLOOKUP(E44,'BASE DATOS PRECIOS '!C:C,'BASE DATOS PRECIOS '!F:F)</f>
        <v/>
      </c>
      <c r="I44" s="621" t="n"/>
      <c r="J44" s="621" t="n"/>
      <c r="K44" s="620">
        <f>+F44*H44</f>
        <v/>
      </c>
      <c r="L44" s="620">
        <f>+F44*I44</f>
        <v/>
      </c>
      <c r="M44" s="620">
        <f>+F44*J44</f>
        <v/>
      </c>
      <c r="N44" s="620">
        <f>SUM(K44:M44)</f>
        <v/>
      </c>
      <c r="O44" s="622">
        <f>SUM(K44:M44)/tc</f>
        <v/>
      </c>
      <c r="P44" s="639" t="n"/>
      <c r="Q44" s="639" t="n"/>
      <c r="R44" s="640" t="n"/>
    </row>
    <row r="45" outlineLevel="1">
      <c r="A45" s="278" t="n"/>
      <c r="B45" s="282" t="n"/>
      <c r="C45" s="578" t="n"/>
      <c r="D45" s="292" t="n"/>
      <c r="E45" s="293" t="inlineStr">
        <is>
          <t xml:space="preserve">TUBERÍA ACOMETIDA ELÉCTRICA </t>
        </is>
      </c>
      <c r="F45" s="294" t="n"/>
      <c r="G45" s="295" t="n"/>
      <c r="H45" s="295" t="n"/>
      <c r="I45" s="295" t="n"/>
      <c r="J45" s="295" t="n"/>
      <c r="K45" s="637" t="n"/>
      <c r="L45" s="637" t="n"/>
      <c r="M45" s="637" t="n"/>
      <c r="N45" s="637" t="n"/>
      <c r="O45" s="638" t="n"/>
      <c r="P45" s="639" t="n"/>
      <c r="Q45" s="639" t="n"/>
      <c r="R45" s="640" t="n"/>
    </row>
    <row r="46" outlineLevel="1">
      <c r="A46" s="278" t="inlineStr">
        <is>
          <t>MAT</t>
        </is>
      </c>
      <c r="B46" s="282" t="n"/>
      <c r="C46" s="578">
        <f>_xlfn.XLOOKUP(D46,'INSUMOS MAT '!B:B,'INSUMOS MAT '!C:C,"ERROR",0)</f>
        <v/>
      </c>
      <c r="D46" s="305" t="inlineStr">
        <is>
          <t>MAT19-0084</t>
        </is>
      </c>
      <c r="E46" s="618">
        <f>+_xlfn.XLOOKUP(D46,'BASE DATOS PRECIOS '!B:B,'BASE DATOS PRECIOS '!C:C)</f>
        <v/>
      </c>
      <c r="F46" s="301" t="n">
        <v>6</v>
      </c>
      <c r="G46" s="621">
        <f>+_xlfn.XLOOKUP(D46,'BASE DATOS PRECIOS '!B:B,'BASE DATOS PRECIOS '!D:D)</f>
        <v/>
      </c>
      <c r="H46" s="620">
        <f>+_xlfn.XLOOKUP(E46,'BASE DATOS PRECIOS '!C:C,'BASE DATOS PRECIOS '!F:F)</f>
        <v/>
      </c>
      <c r="I46" s="621" t="n"/>
      <c r="J46" s="621" t="n"/>
      <c r="K46" s="620">
        <f>+F46*H46</f>
        <v/>
      </c>
      <c r="L46" s="620">
        <f>+F46*I46</f>
        <v/>
      </c>
      <c r="M46" s="620">
        <f>+F46*J46</f>
        <v/>
      </c>
      <c r="N46" s="620">
        <f>SUM(K46:M46)</f>
        <v/>
      </c>
      <c r="O46" s="622">
        <f>SUM(K46:M46)/tc</f>
        <v/>
      </c>
      <c r="P46" s="639" t="n"/>
      <c r="Q46" s="639" t="n"/>
      <c r="R46" s="640" t="n"/>
    </row>
    <row r="47" outlineLevel="1">
      <c r="A47" s="278" t="inlineStr">
        <is>
          <t>MAT</t>
        </is>
      </c>
      <c r="B47" s="282" t="n"/>
      <c r="C47" s="578">
        <f>_xlfn.XLOOKUP(D47,'INSUMOS MAT '!B:B,'INSUMOS MAT '!C:C,"ERROR",0)</f>
        <v/>
      </c>
      <c r="D47" s="305" t="inlineStr">
        <is>
          <t>MAT19-0085</t>
        </is>
      </c>
      <c r="E47" s="618">
        <f>+_xlfn.XLOOKUP(D47,'BASE DATOS PRECIOS '!B:B,'BASE DATOS PRECIOS '!C:C)</f>
        <v/>
      </c>
      <c r="F47" s="301" t="n">
        <v>6</v>
      </c>
      <c r="G47" s="621">
        <f>+_xlfn.XLOOKUP(D47,'BASE DATOS PRECIOS '!B:B,'BASE DATOS PRECIOS '!D:D)</f>
        <v/>
      </c>
      <c r="H47" s="620">
        <f>+_xlfn.XLOOKUP(E47,'BASE DATOS PRECIOS '!C:C,'BASE DATOS PRECIOS '!F:F)</f>
        <v/>
      </c>
      <c r="I47" s="621" t="n"/>
      <c r="J47" s="621" t="n"/>
      <c r="K47" s="620">
        <f>+F47*H47</f>
        <v/>
      </c>
      <c r="L47" s="620">
        <f>+F47*I47</f>
        <v/>
      </c>
      <c r="M47" s="620">
        <f>+F47*J47</f>
        <v/>
      </c>
      <c r="N47" s="620">
        <f>SUM(K47:M47)</f>
        <v/>
      </c>
      <c r="O47" s="622">
        <f>SUM(K47:M47)/tc</f>
        <v/>
      </c>
      <c r="P47" s="639" t="n"/>
      <c r="Q47" s="639" t="n"/>
      <c r="R47" s="640" t="n"/>
    </row>
    <row r="48" outlineLevel="1">
      <c r="A48" s="278" t="inlineStr">
        <is>
          <t>MAT</t>
        </is>
      </c>
      <c r="B48" s="282" t="n"/>
      <c r="C48" s="578">
        <f>_xlfn.XLOOKUP(D48,'INSUMOS MAT '!B:B,'INSUMOS MAT '!C:C,"ERROR",0)</f>
        <v/>
      </c>
      <c r="D48" s="305" t="inlineStr">
        <is>
          <t>MAT19-0031</t>
        </is>
      </c>
      <c r="E48" s="618">
        <f>+_xlfn.XLOOKUP(D48,'BASE DATOS PRECIOS '!B:B,'BASE DATOS PRECIOS '!C:C)</f>
        <v/>
      </c>
      <c r="F48" s="301" t="n">
        <v>2</v>
      </c>
      <c r="G48" s="621">
        <f>+_xlfn.XLOOKUP(D48,'BASE DATOS PRECIOS '!B:B,'BASE DATOS PRECIOS '!D:D)</f>
        <v/>
      </c>
      <c r="H48" s="620">
        <f>+_xlfn.XLOOKUP(E48,'BASE DATOS PRECIOS '!C:C,'BASE DATOS PRECIOS '!F:F)</f>
        <v/>
      </c>
      <c r="I48" s="621" t="n"/>
      <c r="J48" s="621" t="n"/>
      <c r="K48" s="620">
        <f>+F48*H48</f>
        <v/>
      </c>
      <c r="L48" s="620">
        <f>+F48*I48</f>
        <v/>
      </c>
      <c r="M48" s="620">
        <f>+F48*J48</f>
        <v/>
      </c>
      <c r="N48" s="620">
        <f>SUM(K48:M48)</f>
        <v/>
      </c>
      <c r="O48" s="622">
        <f>SUM(K48:M48)/tc</f>
        <v/>
      </c>
      <c r="P48" s="639" t="n"/>
      <c r="Q48" s="639" t="n"/>
      <c r="R48" s="640" t="n"/>
    </row>
    <row r="49" outlineLevel="1">
      <c r="A49" s="278" t="inlineStr">
        <is>
          <t>MAT</t>
        </is>
      </c>
      <c r="B49" s="282" t="n"/>
      <c r="C49" s="578">
        <f>_xlfn.XLOOKUP(D49,'INSUMOS MAT '!B:B,'INSUMOS MAT '!C:C,"ERROR",0)</f>
        <v/>
      </c>
      <c r="D49" s="305" t="inlineStr">
        <is>
          <t>MAT19-0032</t>
        </is>
      </c>
      <c r="E49" s="618">
        <f>+_xlfn.XLOOKUP(D49,'BASE DATOS PRECIOS '!B:B,'BASE DATOS PRECIOS '!C:C)</f>
        <v/>
      </c>
      <c r="F49" s="301" t="n">
        <v>2</v>
      </c>
      <c r="G49" s="621">
        <f>+_xlfn.XLOOKUP(D49,'BASE DATOS PRECIOS '!B:B,'BASE DATOS PRECIOS '!D:D)</f>
        <v/>
      </c>
      <c r="H49" s="620">
        <f>+_xlfn.XLOOKUP(E49,'BASE DATOS PRECIOS '!C:C,'BASE DATOS PRECIOS '!F:F)</f>
        <v/>
      </c>
      <c r="I49" s="621" t="n"/>
      <c r="J49" s="621" t="n"/>
      <c r="K49" s="620">
        <f>+F49*H49</f>
        <v/>
      </c>
      <c r="L49" s="620">
        <f>+F49*I49</f>
        <v/>
      </c>
      <c r="M49" s="620">
        <f>+F49*J49</f>
        <v/>
      </c>
      <c r="N49" s="620">
        <f>SUM(K49:M49)</f>
        <v/>
      </c>
      <c r="O49" s="622">
        <f>SUM(K49:M49)/tc</f>
        <v/>
      </c>
      <c r="P49" s="639" t="n"/>
      <c r="Q49" s="639" t="n"/>
      <c r="R49" s="640" t="n"/>
    </row>
    <row r="50" outlineLevel="1">
      <c r="A50" s="278" t="inlineStr">
        <is>
          <t>MAT</t>
        </is>
      </c>
      <c r="B50" s="282" t="n"/>
      <c r="C50" s="578">
        <f>_xlfn.XLOOKUP(D50,'INSUMOS MAT '!B:B,'INSUMOS MAT '!C:C,"ERROR",0)</f>
        <v/>
      </c>
      <c r="D50" s="305" t="inlineStr">
        <is>
          <t>MAT19-0104</t>
        </is>
      </c>
      <c r="E50" s="618">
        <f>+_xlfn.XLOOKUP(D50,'BASE DATOS PRECIOS '!B:B,'BASE DATOS PRECIOS '!C:C)</f>
        <v/>
      </c>
      <c r="F50" s="301" t="n">
        <v>2</v>
      </c>
      <c r="G50" s="621">
        <f>+_xlfn.XLOOKUP(D50,'BASE DATOS PRECIOS '!B:B,'BASE DATOS PRECIOS '!D:D)</f>
        <v/>
      </c>
      <c r="H50" s="620">
        <f>+_xlfn.XLOOKUP(E50,'BASE DATOS PRECIOS '!C:C,'BASE DATOS PRECIOS '!F:F)</f>
        <v/>
      </c>
      <c r="I50" s="621" t="n"/>
      <c r="J50" s="621" t="n"/>
      <c r="K50" s="620">
        <f>+F50*H50</f>
        <v/>
      </c>
      <c r="L50" s="620">
        <f>+F50*I50</f>
        <v/>
      </c>
      <c r="M50" s="620">
        <f>+F50*J50</f>
        <v/>
      </c>
      <c r="N50" s="620">
        <f>SUM(K50:M50)</f>
        <v/>
      </c>
      <c r="O50" s="622">
        <f>SUM(K50:M50)/tc</f>
        <v/>
      </c>
      <c r="P50" s="639" t="n"/>
      <c r="Q50" s="639" t="n"/>
      <c r="R50" s="640" t="n"/>
    </row>
    <row r="51" outlineLevel="1">
      <c r="A51" s="278" t="inlineStr">
        <is>
          <t>MAT</t>
        </is>
      </c>
      <c r="B51" s="282" t="n"/>
      <c r="C51" s="578">
        <f>_xlfn.XLOOKUP(D51,'INSUMOS MAT '!B:B,'INSUMOS MAT '!C:C,"ERROR",0)</f>
        <v/>
      </c>
      <c r="D51" s="305" t="inlineStr">
        <is>
          <t>MAT19-0105</t>
        </is>
      </c>
      <c r="E51" s="618">
        <f>+_xlfn.XLOOKUP(D51,'BASE DATOS PRECIOS '!B:B,'BASE DATOS PRECIOS '!C:C)</f>
        <v/>
      </c>
      <c r="F51" s="301" t="n">
        <v>2</v>
      </c>
      <c r="G51" s="621">
        <f>+_xlfn.XLOOKUP(D51,'BASE DATOS PRECIOS '!B:B,'BASE DATOS PRECIOS '!D:D)</f>
        <v/>
      </c>
      <c r="H51" s="620">
        <f>+_xlfn.XLOOKUP(E51,'BASE DATOS PRECIOS '!C:C,'BASE DATOS PRECIOS '!F:F)</f>
        <v/>
      </c>
      <c r="I51" s="621" t="n"/>
      <c r="J51" s="621" t="n"/>
      <c r="K51" s="620">
        <f>+F51*H51</f>
        <v/>
      </c>
      <c r="L51" s="620">
        <f>+F51*I51</f>
        <v/>
      </c>
      <c r="M51" s="620">
        <f>+F51*J51</f>
        <v/>
      </c>
      <c r="N51" s="620">
        <f>SUM(K51:M51)</f>
        <v/>
      </c>
      <c r="O51" s="622">
        <f>SUM(K51:M51)/tc</f>
        <v/>
      </c>
      <c r="P51" s="639" t="n"/>
      <c r="Q51" s="639" t="n"/>
      <c r="R51" s="640" t="n"/>
    </row>
    <row r="52" outlineLevel="1">
      <c r="A52" s="278" t="inlineStr">
        <is>
          <t>MAT</t>
        </is>
      </c>
      <c r="B52" s="282" t="n"/>
      <c r="C52" s="578">
        <f>_xlfn.XLOOKUP(D52,'INSUMOS MAT '!B:B,'INSUMOS MAT '!C:C,"ERROR",0)</f>
        <v/>
      </c>
      <c r="D52" s="305" t="inlineStr">
        <is>
          <t>MAT21-0009</t>
        </is>
      </c>
      <c r="E52" s="618">
        <f>+_xlfn.XLOOKUP(D52,'BASE DATOS PRECIOS '!B:B,'BASE DATOS PRECIOS '!C:C)</f>
        <v/>
      </c>
      <c r="F52" s="301" t="n">
        <v>1</v>
      </c>
      <c r="G52" s="621">
        <f>+_xlfn.XLOOKUP(D52,'BASE DATOS PRECIOS '!B:B,'BASE DATOS PRECIOS '!D:D)</f>
        <v/>
      </c>
      <c r="H52" s="620">
        <f>+_xlfn.XLOOKUP(E52,'BASE DATOS PRECIOS '!C:C,'BASE DATOS PRECIOS '!F:F)</f>
        <v/>
      </c>
      <c r="I52" s="621" t="n"/>
      <c r="J52" s="621" t="n"/>
      <c r="K52" s="620">
        <f>+F52*H52</f>
        <v/>
      </c>
      <c r="L52" s="620">
        <f>+F52*I52</f>
        <v/>
      </c>
      <c r="M52" s="620">
        <f>+F52*J52</f>
        <v/>
      </c>
      <c r="N52" s="620">
        <f>SUM(K52:M52)</f>
        <v/>
      </c>
      <c r="O52" s="622">
        <f>SUM(K52:M52)/tc</f>
        <v/>
      </c>
      <c r="P52" s="639" t="n"/>
      <c r="Q52" s="639" t="n"/>
      <c r="R52" s="640" t="n"/>
    </row>
    <row r="53" outlineLevel="1">
      <c r="A53" s="278" t="inlineStr">
        <is>
          <t>MAT</t>
        </is>
      </c>
      <c r="B53" s="282" t="n"/>
      <c r="C53" s="578">
        <f>_xlfn.XLOOKUP(D53,'INSUMOS MAT '!B:B,'INSUMOS MAT '!C:C,"ERROR",0)</f>
        <v/>
      </c>
      <c r="D53" s="305" t="inlineStr">
        <is>
          <t>MAT08-0018</t>
        </is>
      </c>
      <c r="E53" s="618">
        <f>+_xlfn.XLOOKUP(D53,'BASE DATOS PRECIOS '!B:B,'BASE DATOS PRECIOS '!C:C)</f>
        <v/>
      </c>
      <c r="F53" s="301" t="n">
        <v>1</v>
      </c>
      <c r="G53" s="621">
        <f>+_xlfn.XLOOKUP(D53,'BASE DATOS PRECIOS '!B:B,'BASE DATOS PRECIOS '!D:D)</f>
        <v/>
      </c>
      <c r="H53" s="620">
        <f>+_xlfn.XLOOKUP(E53,'BASE DATOS PRECIOS '!C:C,'BASE DATOS PRECIOS '!F:F)</f>
        <v/>
      </c>
      <c r="I53" s="621" t="n"/>
      <c r="J53" s="621" t="n"/>
      <c r="K53" s="620">
        <f>+F53*H53</f>
        <v/>
      </c>
      <c r="L53" s="620">
        <f>+F53*I53</f>
        <v/>
      </c>
      <c r="M53" s="620">
        <f>+F53*J53</f>
        <v/>
      </c>
      <c r="N53" s="620">
        <f>SUM(K53:M53)</f>
        <v/>
      </c>
      <c r="O53" s="622">
        <f>SUM(K53:M53)/tc</f>
        <v/>
      </c>
      <c r="P53" s="639" t="n"/>
      <c r="Q53" s="639" t="n"/>
      <c r="R53" s="640" t="n"/>
    </row>
    <row r="54" outlineLevel="1">
      <c r="A54" s="278" t="inlineStr">
        <is>
          <t>EQUIP</t>
        </is>
      </c>
      <c r="B54" s="282" t="n"/>
      <c r="C54" s="578" t="n"/>
      <c r="D54" s="380" t="inlineStr">
        <is>
          <t xml:space="preserve">BACK HOE </t>
        </is>
      </c>
      <c r="E54" s="628">
        <f>+_xlfn.XLOOKUP(D54,'BASE DATOS EQUIPOS Y SUBCONTRAT'!A:A,'BASE DATOS EQUIPOS Y SUBCONTRAT'!B:B)</f>
        <v/>
      </c>
      <c r="F54" s="392" t="n">
        <v>1</v>
      </c>
      <c r="G54" s="641">
        <f>+_xlfn.XLOOKUP(D54,'BASE DATOS EQUIPOS Y SUBCONTRAT'!A:A,'BASE DATOS EQUIPOS Y SUBCONTRAT'!C:C)</f>
        <v/>
      </c>
      <c r="H54" s="642" t="n">
        <v>0</v>
      </c>
      <c r="I54" s="641" t="n"/>
      <c r="J54" s="642">
        <f>+_xlfn.XLOOKUP(D54,'BASE DATOS EQUIPOS Y SUBCONTRAT'!A:A,'BASE DATOS EQUIPOS Y SUBCONTRAT'!E:E)</f>
        <v/>
      </c>
      <c r="K54" s="642">
        <f>+F54*H54</f>
        <v/>
      </c>
      <c r="L54" s="642">
        <f>+F54*I54</f>
        <v/>
      </c>
      <c r="M54" s="642">
        <f>+F54*J54</f>
        <v/>
      </c>
      <c r="N54" s="642">
        <f>SUM(K54:M54)</f>
        <v/>
      </c>
      <c r="O54" s="643">
        <f>SUM(K54:M54)/tc</f>
        <v/>
      </c>
      <c r="P54" s="639" t="n"/>
      <c r="Q54" s="639" t="n"/>
      <c r="R54" s="640" t="n"/>
    </row>
    <row r="55" outlineLevel="1">
      <c r="A55" s="278" t="inlineStr">
        <is>
          <t>EQUIP</t>
        </is>
      </c>
      <c r="B55" s="282" t="n"/>
      <c r="C55" s="578" t="n"/>
      <c r="D55" s="380" t="inlineStr">
        <is>
          <t xml:space="preserve">COMPACTADOR </t>
        </is>
      </c>
      <c r="E55" s="628">
        <f>+_xlfn.XLOOKUP(D55,'BASE DATOS EQUIPOS Y SUBCONTRAT'!A:A,'BASE DATOS EQUIPOS Y SUBCONTRAT'!B:B)</f>
        <v/>
      </c>
      <c r="F55" s="392" t="n">
        <v>2</v>
      </c>
      <c r="G55" s="641">
        <f>+_xlfn.XLOOKUP(D55,'BASE DATOS EQUIPOS Y SUBCONTRAT'!A:A,'BASE DATOS EQUIPOS Y SUBCONTRAT'!C:C)</f>
        <v/>
      </c>
      <c r="H55" s="642" t="n">
        <v>0</v>
      </c>
      <c r="I55" s="641" t="n"/>
      <c r="J55" s="642">
        <f>+_xlfn.XLOOKUP(D55,'BASE DATOS EQUIPOS Y SUBCONTRAT'!A:A,'BASE DATOS EQUIPOS Y SUBCONTRAT'!E:E)</f>
        <v/>
      </c>
      <c r="K55" s="642">
        <f>+F55*H55</f>
        <v/>
      </c>
      <c r="L55" s="642">
        <f>+F55*I55</f>
        <v/>
      </c>
      <c r="M55" s="642">
        <f>+F55*J55</f>
        <v/>
      </c>
      <c r="N55" s="642">
        <f>SUM(K55:M55)</f>
        <v/>
      </c>
      <c r="O55" s="643">
        <f>SUM(K55:M55)/tc</f>
        <v/>
      </c>
      <c r="P55" s="639" t="n"/>
      <c r="Q55" s="639" t="n"/>
      <c r="R55" s="640" t="n"/>
    </row>
    <row r="56" outlineLevel="1">
      <c r="A56" s="278" t="inlineStr">
        <is>
          <t xml:space="preserve">MO </t>
        </is>
      </c>
      <c r="B56" s="282" t="inlineStr">
        <is>
          <t>01-02-01</t>
        </is>
      </c>
      <c r="C56" s="578" t="n"/>
      <c r="D56" s="386" t="inlineStr">
        <is>
          <t xml:space="preserve">OPERARIO </t>
        </is>
      </c>
      <c r="E56" s="632">
        <f>+_xlfn.XLOOKUP(D56,'BASE DATOS MANO DE OBRA'!A:A,'BASE DATOS MANO DE OBRA'!B:B)</f>
        <v/>
      </c>
      <c r="F56" s="388" t="n">
        <v>15</v>
      </c>
      <c r="G56" s="633">
        <f>+_xlfn.XLOOKUP(D56,'BASE DATOS MANO DE OBRA'!A:A,'BASE DATOS MANO DE OBRA'!C:C)</f>
        <v/>
      </c>
      <c r="H56" s="634" t="n">
        <v>0</v>
      </c>
      <c r="I56" s="634">
        <f>+_xlfn.XLOOKUP(D56,'BASE DATOS MANO DE OBRA'!A:A,'BASE DATOS MANO DE OBRA'!E:E)</f>
        <v/>
      </c>
      <c r="J56" s="634" t="n">
        <v>0</v>
      </c>
      <c r="K56" s="634">
        <f>+F56*H56</f>
        <v/>
      </c>
      <c r="L56" s="634">
        <f>+F56*I56</f>
        <v/>
      </c>
      <c r="M56" s="634">
        <f>+F56*J56</f>
        <v/>
      </c>
      <c r="N56" s="634">
        <f>SUM(K56:M56)</f>
        <v/>
      </c>
      <c r="O56" s="635">
        <f>SUM(K56:M56)/tc</f>
        <v/>
      </c>
      <c r="P56" s="639" t="n"/>
      <c r="Q56" s="639" t="n"/>
      <c r="R56" s="640" t="n"/>
    </row>
    <row r="57" outlineLevel="1">
      <c r="A57" s="278" t="inlineStr">
        <is>
          <t xml:space="preserve">MO </t>
        </is>
      </c>
      <c r="B57" s="282" t="inlineStr">
        <is>
          <t>01-02-01</t>
        </is>
      </c>
      <c r="C57" s="578" t="n"/>
      <c r="D57" s="386" t="inlineStr">
        <is>
          <t xml:space="preserve">AYUDANTE </t>
        </is>
      </c>
      <c r="E57" s="632">
        <f>+_xlfn.XLOOKUP(D57,'BASE DATOS MANO DE OBRA'!A:A,'BASE DATOS MANO DE OBRA'!B:B)</f>
        <v/>
      </c>
      <c r="F57" s="388" t="n">
        <v>15</v>
      </c>
      <c r="G57" s="633">
        <f>+_xlfn.XLOOKUP(D57,'BASE DATOS MANO DE OBRA'!A:A,'BASE DATOS MANO DE OBRA'!C:C)</f>
        <v/>
      </c>
      <c r="H57" s="634" t="n">
        <v>0</v>
      </c>
      <c r="I57" s="634">
        <f>+_xlfn.XLOOKUP(D57,'BASE DATOS MANO DE OBRA'!A:A,'BASE DATOS MANO DE OBRA'!E:E)</f>
        <v/>
      </c>
      <c r="J57" s="634" t="n">
        <v>0</v>
      </c>
      <c r="K57" s="634">
        <f>+F57*H57</f>
        <v/>
      </c>
      <c r="L57" s="634">
        <f>+F57*I57</f>
        <v/>
      </c>
      <c r="M57" s="634">
        <f>+F57*J57</f>
        <v/>
      </c>
      <c r="N57" s="634">
        <f>SUM(K57:M57)</f>
        <v/>
      </c>
      <c r="O57" s="635">
        <f>SUM(K57:M57)/tc</f>
        <v/>
      </c>
      <c r="P57" s="639" t="n"/>
      <c r="Q57" s="639" t="n"/>
      <c r="R57" s="640" t="n"/>
    </row>
    <row r="58">
      <c r="A58" s="278" t="n"/>
      <c r="B58" s="282" t="inlineStr">
        <is>
          <t>01-03</t>
        </is>
      </c>
      <c r="C58" s="578" t="n"/>
      <c r="D58" s="307" t="inlineStr">
        <is>
          <t>1.3</t>
        </is>
      </c>
      <c r="E58" s="308" t="inlineStr">
        <is>
          <t xml:space="preserve">SELLO DE CONCRETO </t>
        </is>
      </c>
      <c r="F58" s="309" t="n">
        <v>1</v>
      </c>
      <c r="G58" s="310" t="inlineStr">
        <is>
          <t>gb</t>
        </is>
      </c>
      <c r="H58" s="310" t="n"/>
      <c r="I58" s="310" t="n"/>
      <c r="J58" s="310" t="n"/>
      <c r="K58" s="636">
        <f>SUM(K59:K68)</f>
        <v/>
      </c>
      <c r="L58" s="636">
        <f>SUM(L59:L68)</f>
        <v/>
      </c>
      <c r="M58" s="636">
        <f>SUM(M59:M68)</f>
        <v/>
      </c>
      <c r="N58" s="636">
        <f>SUM(N59:N68)</f>
        <v/>
      </c>
      <c r="O58" s="615">
        <f>SUM(O59:O68)</f>
        <v/>
      </c>
      <c r="P58" s="639" t="n"/>
      <c r="Q58" s="639" t="n"/>
      <c r="R58" s="640" t="n"/>
    </row>
    <row r="59" outlineLevel="1">
      <c r="A59" s="278" t="n"/>
      <c r="B59" s="282" t="n"/>
      <c r="C59" s="578" t="n"/>
      <c r="D59" s="292" t="n"/>
      <c r="E59" s="293" t="inlineStr">
        <is>
          <t xml:space="preserve">CONCRETO </t>
        </is>
      </c>
      <c r="F59" s="294" t="n"/>
      <c r="G59" s="295" t="n"/>
      <c r="H59" s="295" t="n"/>
      <c r="I59" s="295" t="n"/>
      <c r="J59" s="295" t="n"/>
      <c r="K59" s="637" t="n"/>
      <c r="L59" s="637" t="n"/>
      <c r="M59" s="637" t="n"/>
      <c r="N59" s="637" t="n"/>
      <c r="O59" s="638" t="n"/>
      <c r="P59" s="639" t="n"/>
      <c r="Q59" s="639" t="n"/>
      <c r="R59" s="640" t="n"/>
    </row>
    <row r="60" outlineLevel="1">
      <c r="A60" s="278" t="inlineStr">
        <is>
          <t>MAT</t>
        </is>
      </c>
      <c r="B60" s="282" t="n"/>
      <c r="C60" s="578">
        <f>_xlfn.XLOOKUP(D60,'INSUMOS MAT '!B:B,'INSUMOS MAT '!C:C,"ERROR",0)</f>
        <v/>
      </c>
      <c r="D60" s="305" t="inlineStr">
        <is>
          <t>MAT04-0062</t>
        </is>
      </c>
      <c r="E60" s="618">
        <f>+_xlfn.XLOOKUP(D60,'BASE DATOS PRECIOS '!B:B,'BASE DATOS PRECIOS '!C:C)</f>
        <v/>
      </c>
      <c r="F60" s="301" t="n">
        <v>620</v>
      </c>
      <c r="G60" s="621">
        <f>+_xlfn.XLOOKUP(D60,'BASE DATOS PRECIOS '!B:B,'BASE DATOS PRECIOS '!D:D)</f>
        <v/>
      </c>
      <c r="H60" s="620">
        <f>+_xlfn.XLOOKUP(E60,'BASE DATOS PRECIOS '!C:C,'BASE DATOS PRECIOS '!F:F)</f>
        <v/>
      </c>
      <c r="I60" s="621" t="n"/>
      <c r="J60" s="621" t="n"/>
      <c r="K60" s="620">
        <f>+F60*H60</f>
        <v/>
      </c>
      <c r="L60" s="620">
        <f>+F60*I60</f>
        <v/>
      </c>
      <c r="M60" s="620">
        <f>+F60*J60</f>
        <v/>
      </c>
      <c r="N60" s="620">
        <f>SUM(K60:M60)</f>
        <v/>
      </c>
      <c r="O60" s="622">
        <f>SUM(K60:M60)/tc</f>
        <v/>
      </c>
      <c r="P60" s="639" t="n"/>
      <c r="Q60" s="639" t="n"/>
      <c r="R60" s="640" t="n"/>
    </row>
    <row r="61" outlineLevel="1">
      <c r="A61" s="278" t="inlineStr">
        <is>
          <t>MAT</t>
        </is>
      </c>
      <c r="B61" s="282" t="n"/>
      <c r="C61" s="578">
        <f>_xlfn.XLOOKUP(D61,'INSUMOS MAT '!B:B,'INSUMOS MAT '!C:C,"ERROR",0)</f>
        <v/>
      </c>
      <c r="D61" s="305" t="inlineStr">
        <is>
          <t>MAT03-0006</t>
        </is>
      </c>
      <c r="E61" s="623">
        <f>+_xlfn.XLOOKUP(D61,'BASE DATOS PRECIOS '!B:B,'BASE DATOS PRECIOS '!C:C)</f>
        <v/>
      </c>
      <c r="F61" s="287" t="n">
        <v>2.5</v>
      </c>
      <c r="G61" s="621">
        <f>+_xlfn.XLOOKUP(D61,'BASE DATOS PRECIOS '!B:B,'BASE DATOS PRECIOS '!D:D)</f>
        <v/>
      </c>
      <c r="H61" s="620">
        <f>+_xlfn.XLOOKUP(E61,'BASE DATOS PRECIOS '!C:C,'BASE DATOS PRECIOS '!F:F)</f>
        <v/>
      </c>
      <c r="I61" s="621" t="n"/>
      <c r="J61" s="621" t="n"/>
      <c r="K61" s="620">
        <f>+F61*H61</f>
        <v/>
      </c>
      <c r="L61" s="620">
        <f>+F61*I61</f>
        <v/>
      </c>
      <c r="M61" s="620">
        <f>+F61*J61</f>
        <v/>
      </c>
      <c r="N61" s="620">
        <f>SUM(K61:M61)</f>
        <v/>
      </c>
      <c r="O61" s="622">
        <f>SUM(K61:M61)/tc</f>
        <v/>
      </c>
      <c r="P61" s="639" t="n"/>
      <c r="Q61" s="639" t="n"/>
      <c r="R61" s="640" t="n"/>
    </row>
    <row r="62" outlineLevel="1">
      <c r="A62" s="278" t="inlineStr">
        <is>
          <t>MAT</t>
        </is>
      </c>
      <c r="B62" s="282" t="n"/>
      <c r="C62" s="578">
        <f>_xlfn.XLOOKUP(D62,'INSUMOS MAT '!B:B,'INSUMOS MAT '!C:C,"ERROR",0)</f>
        <v/>
      </c>
      <c r="D62" s="305" t="inlineStr">
        <is>
          <t>MAT03-0002</t>
        </is>
      </c>
      <c r="E62" s="623">
        <f>+_xlfn.XLOOKUP(D62,'BASE DATOS PRECIOS '!B:B,'BASE DATOS PRECIOS '!C:C)</f>
        <v/>
      </c>
      <c r="F62" s="287" t="n">
        <v>3</v>
      </c>
      <c r="G62" s="621">
        <f>+_xlfn.XLOOKUP(D62,'BASE DATOS PRECIOS '!B:B,'BASE DATOS PRECIOS '!D:D)</f>
        <v/>
      </c>
      <c r="H62" s="620">
        <f>+_xlfn.XLOOKUP(E62,'BASE DATOS PRECIOS '!C:C,'BASE DATOS PRECIOS '!F:F)</f>
        <v/>
      </c>
      <c r="I62" s="621" t="n"/>
      <c r="J62" s="621" t="n"/>
      <c r="K62" s="620">
        <f>+F62*H62</f>
        <v/>
      </c>
      <c r="L62" s="620">
        <f>+F62*I62</f>
        <v/>
      </c>
      <c r="M62" s="620">
        <f>+F62*J62</f>
        <v/>
      </c>
      <c r="N62" s="620">
        <f>SUM(K62:M62)</f>
        <v/>
      </c>
      <c r="O62" s="622">
        <f>SUM(K62:M62)/tc</f>
        <v/>
      </c>
      <c r="P62" s="639" t="n"/>
      <c r="Q62" s="639" t="n"/>
      <c r="R62" s="640" t="n"/>
    </row>
    <row r="63" outlineLevel="1">
      <c r="A63" s="278" t="inlineStr">
        <is>
          <t>MAT</t>
        </is>
      </c>
      <c r="B63" s="282" t="n"/>
      <c r="C63" s="578">
        <f>_xlfn.XLOOKUP(D63,'INSUMOS MAT '!B:B,'INSUMOS MAT '!C:C,"ERROR",0)</f>
        <v/>
      </c>
      <c r="D63" s="305" t="inlineStr">
        <is>
          <t>MAT02-0017</t>
        </is>
      </c>
      <c r="E63" s="618">
        <f>+_xlfn.XLOOKUP(D63,'BASE DATOS PRECIOS '!B:B,'BASE DATOS PRECIOS '!C:C)</f>
        <v/>
      </c>
      <c r="F63" s="301" t="n">
        <v>1</v>
      </c>
      <c r="G63" s="621">
        <f>+_xlfn.XLOOKUP(D63,'BASE DATOS PRECIOS '!B:B,'BASE DATOS PRECIOS '!D:D)</f>
        <v/>
      </c>
      <c r="H63" s="620">
        <f>+_xlfn.XLOOKUP(E63,'BASE DATOS PRECIOS '!C:C,'BASE DATOS PRECIOS '!F:F)</f>
        <v/>
      </c>
      <c r="I63" s="621" t="n"/>
      <c r="J63" s="621" t="n"/>
      <c r="K63" s="620">
        <f>+F63*H63</f>
        <v/>
      </c>
      <c r="L63" s="620">
        <f>+F63*I63</f>
        <v/>
      </c>
      <c r="M63" s="620">
        <f>+F63*J63</f>
        <v/>
      </c>
      <c r="N63" s="620">
        <f>SUM(K63:M63)</f>
        <v/>
      </c>
      <c r="O63" s="622">
        <f>SUM(K63:M63)/tc</f>
        <v/>
      </c>
      <c r="P63" s="639" t="n"/>
      <c r="Q63" s="639" t="n"/>
      <c r="R63" s="640" t="n"/>
    </row>
    <row r="64" outlineLevel="1">
      <c r="A64" s="278" t="inlineStr">
        <is>
          <t>MAT</t>
        </is>
      </c>
      <c r="B64" s="282" t="n"/>
      <c r="C64" s="578">
        <f>_xlfn.XLOOKUP(D64,'INSUMOS MAT '!B:B,'INSUMOS MAT '!C:C,"ERROR",0)</f>
        <v/>
      </c>
      <c r="D64" s="305" t="inlineStr">
        <is>
          <t>MAT02-0029</t>
        </is>
      </c>
      <c r="E64" s="618">
        <f>+_xlfn.XLOOKUP(D64,'BASE DATOS PRECIOS '!B:B,'BASE DATOS PRECIOS '!C:C)</f>
        <v/>
      </c>
      <c r="F64" s="301" t="n">
        <v>1</v>
      </c>
      <c r="G64" s="621">
        <f>+_xlfn.XLOOKUP(D64,'BASE DATOS PRECIOS '!B:B,'BASE DATOS PRECIOS '!D:D)</f>
        <v/>
      </c>
      <c r="H64" s="620">
        <f>+_xlfn.XLOOKUP(E64,'BASE DATOS PRECIOS '!C:C,'BASE DATOS PRECIOS '!F:F)</f>
        <v/>
      </c>
      <c r="I64" s="621" t="n"/>
      <c r="J64" s="621" t="n"/>
      <c r="K64" s="620">
        <f>+F64*H64</f>
        <v/>
      </c>
      <c r="L64" s="620">
        <f>+F64*I64</f>
        <v/>
      </c>
      <c r="M64" s="620">
        <f>+F64*J64</f>
        <v/>
      </c>
      <c r="N64" s="620">
        <f>SUM(K64:M64)</f>
        <v/>
      </c>
      <c r="O64" s="622">
        <f>SUM(K64:M64)/tc</f>
        <v/>
      </c>
      <c r="P64" s="639" t="n"/>
      <c r="Q64" s="639" t="n"/>
      <c r="R64" s="640" t="n"/>
    </row>
    <row r="65" outlineLevel="1">
      <c r="A65" s="278" t="inlineStr">
        <is>
          <t>MAT</t>
        </is>
      </c>
      <c r="B65" s="282" t="n"/>
      <c r="C65" s="578">
        <f>_xlfn.XLOOKUP(D65,'INSUMOS MAT '!B:B,'INSUMOS MAT '!C:C,"ERROR",0)</f>
        <v/>
      </c>
      <c r="D65" s="305" t="inlineStr">
        <is>
          <t>MAT08-0031</t>
        </is>
      </c>
      <c r="E65" s="618">
        <f>+_xlfn.XLOOKUP(D65,'BASE DATOS PRECIOS '!B:B,'BASE DATOS PRECIOS '!C:C)</f>
        <v/>
      </c>
      <c r="F65" s="301" t="n">
        <v>3</v>
      </c>
      <c r="G65" s="621">
        <f>+_xlfn.XLOOKUP(D65,'BASE DATOS PRECIOS '!B:B,'BASE DATOS PRECIOS '!D:D)</f>
        <v/>
      </c>
      <c r="H65" s="620">
        <f>+_xlfn.XLOOKUP(E65,'BASE DATOS PRECIOS '!C:C,'BASE DATOS PRECIOS '!F:F)</f>
        <v/>
      </c>
      <c r="I65" s="621" t="n"/>
      <c r="J65" s="621" t="n"/>
      <c r="K65" s="620">
        <f>+F65*H65</f>
        <v/>
      </c>
      <c r="L65" s="620">
        <f>+F65*I65</f>
        <v/>
      </c>
      <c r="M65" s="620">
        <f>+F65*J65</f>
        <v/>
      </c>
      <c r="N65" s="620">
        <f>SUM(K65:M65)</f>
        <v/>
      </c>
      <c r="O65" s="622">
        <f>SUM(K65:M65)/tc</f>
        <v/>
      </c>
      <c r="P65" s="639" t="n"/>
      <c r="Q65" s="639" t="n"/>
      <c r="R65" s="640" t="n"/>
    </row>
    <row r="66" outlineLevel="1">
      <c r="A66" s="278" t="inlineStr">
        <is>
          <t>MAT</t>
        </is>
      </c>
      <c r="B66" s="282" t="n"/>
      <c r="C66" s="578">
        <f>_xlfn.XLOOKUP(D66,'INSUMOS MAT '!B:B,'INSUMOS MAT '!C:C,"ERROR",0)</f>
        <v/>
      </c>
      <c r="D66" s="305" t="inlineStr">
        <is>
          <t>MAT08-0449</t>
        </is>
      </c>
      <c r="E66" s="618">
        <f>+_xlfn.XLOOKUP(D66,'BASE DATOS PRECIOS '!B:B,'BASE DATOS PRECIOS '!C:C)</f>
        <v/>
      </c>
      <c r="F66" s="301" t="n">
        <v>5</v>
      </c>
      <c r="G66" s="621">
        <f>+_xlfn.XLOOKUP(D66,'BASE DATOS PRECIOS '!B:B,'BASE DATOS PRECIOS '!D:D)</f>
        <v/>
      </c>
      <c r="H66" s="620">
        <f>+_xlfn.XLOOKUP(E66,'BASE DATOS PRECIOS '!C:C,'BASE DATOS PRECIOS '!F:F)</f>
        <v/>
      </c>
      <c r="I66" s="621" t="n"/>
      <c r="J66" s="621" t="n"/>
      <c r="K66" s="620">
        <f>+F66*H66</f>
        <v/>
      </c>
      <c r="L66" s="620">
        <f>+F66*I66</f>
        <v/>
      </c>
      <c r="M66" s="620">
        <f>+F66*J66</f>
        <v/>
      </c>
      <c r="N66" s="620">
        <f>SUM(K66:M66)</f>
        <v/>
      </c>
      <c r="O66" s="622">
        <f>SUM(K66:M66)/tc</f>
        <v/>
      </c>
      <c r="P66" s="639" t="n"/>
      <c r="Q66" s="639" t="n"/>
      <c r="R66" s="640" t="n"/>
    </row>
    <row r="67" outlineLevel="1">
      <c r="A67" s="278" t="inlineStr">
        <is>
          <t xml:space="preserve">MO </t>
        </is>
      </c>
      <c r="B67" s="282" t="inlineStr">
        <is>
          <t>01-03-01</t>
        </is>
      </c>
      <c r="C67" s="578" t="n"/>
      <c r="D67" s="386" t="inlineStr">
        <is>
          <t xml:space="preserve">OPERARIO </t>
        </is>
      </c>
      <c r="E67" s="632">
        <f>+_xlfn.XLOOKUP(D67,'BASE DATOS MANO DE OBRA'!A:A,'BASE DATOS MANO DE OBRA'!B:B)</f>
        <v/>
      </c>
      <c r="F67" s="388" t="n">
        <v>17</v>
      </c>
      <c r="G67" s="633">
        <f>+_xlfn.XLOOKUP(D67,'BASE DATOS MANO DE OBRA'!A:A,'BASE DATOS MANO DE OBRA'!C:C)</f>
        <v/>
      </c>
      <c r="H67" s="634" t="n">
        <v>0</v>
      </c>
      <c r="I67" s="634">
        <f>+_xlfn.XLOOKUP(D67,'BASE DATOS MANO DE OBRA'!A:A,'BASE DATOS MANO DE OBRA'!E:E)</f>
        <v/>
      </c>
      <c r="J67" s="634" t="n">
        <v>0</v>
      </c>
      <c r="K67" s="634">
        <f>+F67*H67</f>
        <v/>
      </c>
      <c r="L67" s="634">
        <f>+F67*I67</f>
        <v/>
      </c>
      <c r="M67" s="634">
        <f>+F67*J67</f>
        <v/>
      </c>
      <c r="N67" s="634">
        <f>SUM(K67:M67)</f>
        <v/>
      </c>
      <c r="O67" s="635">
        <f>SUM(K67:M67)/tc</f>
        <v/>
      </c>
      <c r="P67" s="639" t="n"/>
      <c r="Q67" s="639" t="n"/>
      <c r="R67" s="640" t="n"/>
    </row>
    <row r="68" outlineLevel="1">
      <c r="A68" s="278" t="inlineStr">
        <is>
          <t xml:space="preserve">MO </t>
        </is>
      </c>
      <c r="B68" s="282" t="inlineStr">
        <is>
          <t>01-03-01</t>
        </is>
      </c>
      <c r="C68" s="578" t="n"/>
      <c r="D68" s="386" t="inlineStr">
        <is>
          <t xml:space="preserve">AYUDANTE </t>
        </is>
      </c>
      <c r="E68" s="632">
        <f>+_xlfn.XLOOKUP(D68,'BASE DATOS MANO DE OBRA'!A:A,'BASE DATOS MANO DE OBRA'!B:B)</f>
        <v/>
      </c>
      <c r="F68" s="388" t="n">
        <v>17</v>
      </c>
      <c r="G68" s="633">
        <f>+_xlfn.XLOOKUP(D68,'BASE DATOS MANO DE OBRA'!A:A,'BASE DATOS MANO DE OBRA'!C:C)</f>
        <v/>
      </c>
      <c r="H68" s="634" t="n">
        <v>0</v>
      </c>
      <c r="I68" s="634">
        <f>+_xlfn.XLOOKUP(D68,'BASE DATOS MANO DE OBRA'!A:A,'BASE DATOS MANO DE OBRA'!E:E)</f>
        <v/>
      </c>
      <c r="J68" s="634" t="n">
        <v>0</v>
      </c>
      <c r="K68" s="634">
        <f>+F68*H68</f>
        <v/>
      </c>
      <c r="L68" s="634">
        <f>+F68*I68</f>
        <v/>
      </c>
      <c r="M68" s="634">
        <f>+F68*J68</f>
        <v/>
      </c>
      <c r="N68" s="634">
        <f>SUM(K68:M68)</f>
        <v/>
      </c>
      <c r="O68" s="635">
        <f>SUM(K68:M68)/tc</f>
        <v/>
      </c>
      <c r="P68" s="639" t="n"/>
      <c r="Q68" s="639" t="n"/>
      <c r="R68" s="640" t="n"/>
    </row>
    <row r="69">
      <c r="A69" s="278" t="n"/>
      <c r="B69" s="282" t="inlineStr">
        <is>
          <t>01-04</t>
        </is>
      </c>
      <c r="C69" s="578" t="n"/>
      <c r="D69" s="307" t="inlineStr">
        <is>
          <t>1.4</t>
        </is>
      </c>
      <c r="E69" s="308" t="inlineStr">
        <is>
          <t xml:space="preserve">LOSA FLOTANTE (ACERO, ELECTROMECANICOS, CONCRETO) </t>
        </is>
      </c>
      <c r="F69" s="309" t="n">
        <v>54.54</v>
      </c>
      <c r="G69" s="310" t="inlineStr">
        <is>
          <t xml:space="preserve">m2 </t>
        </is>
      </c>
      <c r="H69" s="310" t="n"/>
      <c r="I69" s="310" t="n"/>
      <c r="J69" s="310" t="n"/>
      <c r="K69" s="636">
        <f>SUM(K70:K122)</f>
        <v/>
      </c>
      <c r="L69" s="636">
        <f>SUM(L70:L122)</f>
        <v/>
      </c>
      <c r="M69" s="636">
        <f>SUM(M70:M122)</f>
        <v/>
      </c>
      <c r="N69" s="636">
        <f>SUM(N70:N122)</f>
        <v/>
      </c>
      <c r="O69" s="615">
        <f>SUM(O70:O122)</f>
        <v/>
      </c>
      <c r="P69" s="639" t="n"/>
      <c r="Q69" s="639" t="n"/>
      <c r="R69" s="640" t="n"/>
    </row>
    <row r="70" outlineLevel="1">
      <c r="A70" s="278" t="n"/>
      <c r="B70" s="282" t="n"/>
      <c r="C70" s="578" t="n"/>
      <c r="D70" s="292" t="n"/>
      <c r="E70" s="293" t="inlineStr">
        <is>
          <t xml:space="preserve">CONCRETO </t>
        </is>
      </c>
      <c r="F70" s="294" t="n"/>
      <c r="G70" s="295" t="n"/>
      <c r="H70" s="295" t="n"/>
      <c r="I70" s="295" t="n"/>
      <c r="J70" s="295" t="n"/>
      <c r="K70" s="637" t="n"/>
      <c r="L70" s="637" t="n"/>
      <c r="M70" s="637" t="n"/>
      <c r="N70" s="637" t="n"/>
      <c r="O70" s="638" t="n"/>
      <c r="P70" s="639" t="n"/>
      <c r="Q70" s="639" t="n"/>
      <c r="R70" s="640" t="n"/>
    </row>
    <row r="71" outlineLevel="1">
      <c r="A71" s="278" t="inlineStr">
        <is>
          <t>MAT</t>
        </is>
      </c>
      <c r="B71" s="282" t="n"/>
      <c r="C71" s="578">
        <f>_xlfn.XLOOKUP(D71,'INSUMOS MAT '!B:B,'INSUMOS MAT '!C:C,"ERROR",0)</f>
        <v/>
      </c>
      <c r="D71" s="305" t="inlineStr">
        <is>
          <t>MAT04-0062</t>
        </is>
      </c>
      <c r="E71" s="623">
        <f>+_xlfn.XLOOKUP(D71,'BASE DATOS PRECIOS '!B:B,'BASE DATOS PRECIOS '!C:C)</f>
        <v/>
      </c>
      <c r="F71" s="287" t="n">
        <v>3807</v>
      </c>
      <c r="G71" s="621">
        <f>+_xlfn.XLOOKUP(D71,'BASE DATOS PRECIOS '!B:B,'BASE DATOS PRECIOS '!D:D)</f>
        <v/>
      </c>
      <c r="H71" s="620">
        <f>+_xlfn.XLOOKUP(E71,'BASE DATOS PRECIOS '!C:C,'BASE DATOS PRECIOS '!F:F)</f>
        <v/>
      </c>
      <c r="I71" s="621" t="n"/>
      <c r="J71" s="621" t="n"/>
      <c r="K71" s="620">
        <f>+F71*H71</f>
        <v/>
      </c>
      <c r="L71" s="620">
        <f>+F71*I71</f>
        <v/>
      </c>
      <c r="M71" s="620">
        <f>+F71*J71</f>
        <v/>
      </c>
      <c r="N71" s="620">
        <f>SUM(K71:M71)</f>
        <v/>
      </c>
      <c r="O71" s="622">
        <f>SUM(K71:M71)/tc</f>
        <v/>
      </c>
      <c r="P71" s="639" t="n"/>
      <c r="Q71" s="639" t="n"/>
      <c r="R71" s="640" t="n"/>
    </row>
    <row r="72" outlineLevel="1">
      <c r="A72" s="278" t="inlineStr">
        <is>
          <t>MAT</t>
        </is>
      </c>
      <c r="B72" s="282" t="n"/>
      <c r="C72" s="578">
        <f>_xlfn.XLOOKUP(D72,'INSUMOS MAT '!B:B,'INSUMOS MAT '!C:C,"ERROR",0)</f>
        <v/>
      </c>
      <c r="D72" s="305" t="inlineStr">
        <is>
          <t>MAT03-0006</t>
        </is>
      </c>
      <c r="E72" s="623">
        <f>+_xlfn.XLOOKUP(D72,'BASE DATOS PRECIOS '!B:B,'BASE DATOS PRECIOS '!C:C)</f>
        <v/>
      </c>
      <c r="F72" s="287" t="n">
        <v>8</v>
      </c>
      <c r="G72" s="621">
        <f>+_xlfn.XLOOKUP(D72,'BASE DATOS PRECIOS '!B:B,'BASE DATOS PRECIOS '!D:D)</f>
        <v/>
      </c>
      <c r="H72" s="620">
        <f>+_xlfn.XLOOKUP(E72,'BASE DATOS PRECIOS '!C:C,'BASE DATOS PRECIOS '!F:F)</f>
        <v/>
      </c>
      <c r="I72" s="621" t="n"/>
      <c r="J72" s="621" t="n"/>
      <c r="K72" s="620">
        <f>+F72*H72</f>
        <v/>
      </c>
      <c r="L72" s="620">
        <f>+F72*I72</f>
        <v/>
      </c>
      <c r="M72" s="620">
        <f>+F72*J72</f>
        <v/>
      </c>
      <c r="N72" s="620">
        <f>SUM(K72:M72)</f>
        <v/>
      </c>
      <c r="O72" s="622">
        <f>SUM(K72:M72)/tc</f>
        <v/>
      </c>
      <c r="P72" s="639" t="n"/>
      <c r="Q72" s="639" t="n"/>
      <c r="R72" s="640" t="n"/>
    </row>
    <row r="73" outlineLevel="1">
      <c r="A73" s="278" t="inlineStr">
        <is>
          <t>MAT</t>
        </is>
      </c>
      <c r="B73" s="282" t="n"/>
      <c r="C73" s="578">
        <f>_xlfn.XLOOKUP(D73,'INSUMOS MAT '!B:B,'INSUMOS MAT '!C:C,"ERROR",0)</f>
        <v/>
      </c>
      <c r="D73" s="305" t="inlineStr">
        <is>
          <t>MAT03-0002</t>
        </is>
      </c>
      <c r="E73" s="623">
        <f>+_xlfn.XLOOKUP(D73,'BASE DATOS PRECIOS '!B:B,'BASE DATOS PRECIOS '!C:C)</f>
        <v/>
      </c>
      <c r="F73" s="287" t="n">
        <v>7</v>
      </c>
      <c r="G73" s="621">
        <f>+_xlfn.XLOOKUP(D73,'BASE DATOS PRECIOS '!B:B,'BASE DATOS PRECIOS '!D:D)</f>
        <v/>
      </c>
      <c r="H73" s="620">
        <f>+_xlfn.XLOOKUP(E73,'BASE DATOS PRECIOS '!C:C,'BASE DATOS PRECIOS '!F:F)</f>
        <v/>
      </c>
      <c r="I73" s="621" t="n"/>
      <c r="J73" s="621" t="n"/>
      <c r="K73" s="620">
        <f>+F73*H73</f>
        <v/>
      </c>
      <c r="L73" s="620">
        <f>+F73*I73</f>
        <v/>
      </c>
      <c r="M73" s="620">
        <f>+F73*J73</f>
        <v/>
      </c>
      <c r="N73" s="620">
        <f>SUM(K73:M73)</f>
        <v/>
      </c>
      <c r="O73" s="622">
        <f>SUM(K73:M73)/tc</f>
        <v/>
      </c>
      <c r="P73" s="639" t="n"/>
      <c r="Q73" s="639" t="n"/>
      <c r="R73" s="640" t="n"/>
    </row>
    <row r="74" outlineLevel="1">
      <c r="A74" s="278" t="inlineStr">
        <is>
          <t>MAT</t>
        </is>
      </c>
      <c r="B74" s="282" t="n"/>
      <c r="C74" s="578">
        <f>_xlfn.XLOOKUP(D74,'INSUMOS MAT '!B:B,'INSUMOS MAT '!C:C,"ERROR",0)</f>
        <v/>
      </c>
      <c r="D74" s="305" t="inlineStr">
        <is>
          <t>MAT21-0028</t>
        </is>
      </c>
      <c r="E74" s="623">
        <f>+_xlfn.XLOOKUP(D74,'BASE DATOS PRECIOS '!B:B,'BASE DATOS PRECIOS '!C:C)</f>
        <v/>
      </c>
      <c r="F74" s="287" t="n">
        <v>23</v>
      </c>
      <c r="G74" s="621">
        <f>+_xlfn.XLOOKUP(D74,'BASE DATOS PRECIOS '!B:B,'BASE DATOS PRECIOS '!D:D)</f>
        <v/>
      </c>
      <c r="H74" s="620">
        <f>(+_xlfn.XLOOKUP(E74,'BASE DATOS PRECIOS '!C:C,'BASE DATOS PRECIOS '!F:F))/18.9</f>
        <v/>
      </c>
      <c r="I74" s="621" t="n"/>
      <c r="J74" s="621" t="n"/>
      <c r="K74" s="620">
        <f>+F74*H74</f>
        <v/>
      </c>
      <c r="L74" s="620">
        <f>+F74*I74</f>
        <v/>
      </c>
      <c r="M74" s="620">
        <f>+F74*J74</f>
        <v/>
      </c>
      <c r="N74" s="620">
        <f>SUM(K74:M74)</f>
        <v/>
      </c>
      <c r="O74" s="622">
        <f>SUM(K74:M74)/tc</f>
        <v/>
      </c>
      <c r="P74" s="639" t="n"/>
      <c r="Q74" s="639" t="n"/>
      <c r="R74" s="640" t="n"/>
    </row>
    <row r="75" outlineLevel="1">
      <c r="A75" s="278" t="inlineStr">
        <is>
          <t>MAT</t>
        </is>
      </c>
      <c r="B75" s="282" t="n"/>
      <c r="C75" s="578">
        <f>_xlfn.XLOOKUP(D75,'INSUMOS MAT '!B:B,'INSUMOS MAT '!C:C,"ERROR",0)</f>
        <v/>
      </c>
      <c r="D75" s="550" t="inlineStr">
        <is>
          <t>MAT02-0010</t>
        </is>
      </c>
      <c r="E75" s="644">
        <f>+_xlfn.XLOOKUP(D75,'BASE DATOS PRECIOS '!B:B,'BASE DATOS PRECIOS '!C:C)</f>
        <v/>
      </c>
      <c r="F75" s="547" t="n">
        <v>12</v>
      </c>
      <c r="G75" s="626">
        <f>+_xlfn.XLOOKUP(D75,'BASE DATOS PRECIOS '!B:B,'BASE DATOS PRECIOS '!D:D)</f>
        <v/>
      </c>
      <c r="H75" s="625">
        <f>+_xlfn.XLOOKUP(E75,'BASE DATOS PRECIOS '!C:C,'BASE DATOS PRECIOS '!F:F)</f>
        <v/>
      </c>
      <c r="I75" s="626" t="n"/>
      <c r="J75" s="626" t="n"/>
      <c r="K75" s="625">
        <f>+F75*H75</f>
        <v/>
      </c>
      <c r="L75" s="625">
        <f>+F75*I75</f>
        <v/>
      </c>
      <c r="M75" s="625">
        <f>+F75*J75</f>
        <v/>
      </c>
      <c r="N75" s="625">
        <f>SUM(K75:M75)</f>
        <v/>
      </c>
      <c r="O75" s="627">
        <f>SUM(K75:M75)/tc</f>
        <v/>
      </c>
      <c r="P75" s="639" t="n"/>
      <c r="Q75" s="639" t="n"/>
      <c r="R75" s="640" t="n"/>
    </row>
    <row r="76" outlineLevel="1">
      <c r="A76" s="278" t="inlineStr">
        <is>
          <t>MAT</t>
        </is>
      </c>
      <c r="B76" s="282" t="n"/>
      <c r="C76" s="578">
        <f>_xlfn.XLOOKUP(D76,'INSUMOS MAT '!B:B,'INSUMOS MAT '!C:C,"ERROR",0)</f>
        <v/>
      </c>
      <c r="D76" s="550" t="inlineStr">
        <is>
          <t>MAT02-0027</t>
        </is>
      </c>
      <c r="E76" s="644">
        <f>+_xlfn.XLOOKUP(D76,'BASE DATOS PRECIOS '!B:B,'BASE DATOS PRECIOS '!C:C)</f>
        <v/>
      </c>
      <c r="F76" s="547">
        <f>37+65</f>
        <v/>
      </c>
      <c r="G76" s="626">
        <f>+_xlfn.XLOOKUP(D76,'BASE DATOS PRECIOS '!B:B,'BASE DATOS PRECIOS '!D:D)</f>
        <v/>
      </c>
      <c r="H76" s="625">
        <f>+_xlfn.XLOOKUP(E76,'BASE DATOS PRECIOS '!C:C,'BASE DATOS PRECIOS '!F:F)</f>
        <v/>
      </c>
      <c r="I76" s="626" t="n"/>
      <c r="J76" s="626" t="n"/>
      <c r="K76" s="625">
        <f>+F76*H76</f>
        <v/>
      </c>
      <c r="L76" s="625">
        <f>+F76*I76</f>
        <v/>
      </c>
      <c r="M76" s="625">
        <f>+F76*J76</f>
        <v/>
      </c>
      <c r="N76" s="625">
        <f>SUM(K76:M76)</f>
        <v/>
      </c>
      <c r="O76" s="627">
        <f>SUM(K76:M76)/tc</f>
        <v/>
      </c>
      <c r="P76" s="639" t="n"/>
      <c r="Q76" s="639" t="n"/>
      <c r="R76" s="640" t="n"/>
    </row>
    <row r="77" outlineLevel="1">
      <c r="A77" s="278" t="inlineStr">
        <is>
          <t>MAT</t>
        </is>
      </c>
      <c r="B77" s="282" t="n"/>
      <c r="C77" s="578">
        <f>_xlfn.XLOOKUP(D77,'INSUMOS MAT '!B:B,'INSUMOS MAT '!C:C,"ERROR",0)</f>
        <v/>
      </c>
      <c r="D77" s="550" t="inlineStr">
        <is>
          <t>MAT02-0025</t>
        </is>
      </c>
      <c r="E77" s="644">
        <f>+_xlfn.XLOOKUP(D77,'BASE DATOS PRECIOS '!B:B,'BASE DATOS PRECIOS '!C:C)</f>
        <v/>
      </c>
      <c r="F77" s="547">
        <f>47</f>
        <v/>
      </c>
      <c r="G77" s="626">
        <f>+_xlfn.XLOOKUP(D77,'BASE DATOS PRECIOS '!B:B,'BASE DATOS PRECIOS '!D:D)</f>
        <v/>
      </c>
      <c r="H77" s="625">
        <f>+_xlfn.XLOOKUP(E77,'BASE DATOS PRECIOS '!C:C,'BASE DATOS PRECIOS '!F:F)</f>
        <v/>
      </c>
      <c r="I77" s="626" t="n"/>
      <c r="J77" s="626" t="n"/>
      <c r="K77" s="625">
        <f>+F77*H77</f>
        <v/>
      </c>
      <c r="L77" s="625">
        <f>+F77*I77</f>
        <v/>
      </c>
      <c r="M77" s="625">
        <f>+F77*J77</f>
        <v/>
      </c>
      <c r="N77" s="625">
        <f>SUM(K77:M77)</f>
        <v/>
      </c>
      <c r="O77" s="627">
        <f>SUM(K77:M77)/tc</f>
        <v/>
      </c>
      <c r="P77" s="639" t="n"/>
      <c r="Q77" s="639" t="n"/>
      <c r="R77" s="640" t="n"/>
    </row>
    <row r="78" outlineLevel="1">
      <c r="A78" s="278" t="inlineStr">
        <is>
          <t>MAT</t>
        </is>
      </c>
      <c r="B78" s="282" t="n"/>
      <c r="C78" s="578">
        <f>_xlfn.XLOOKUP(D78,'INSUMOS MAT '!B:B,'INSUMOS MAT '!C:C,"ERROR",0)</f>
        <v/>
      </c>
      <c r="D78" s="306" t="inlineStr">
        <is>
          <t>MAT02-0001</t>
        </is>
      </c>
      <c r="E78" s="623">
        <f>+_xlfn.XLOOKUP(D78,'BASE DATOS PRECIOS '!B:B,'BASE DATOS PRECIOS '!C:C)</f>
        <v/>
      </c>
      <c r="F78" s="287">
        <f>25+10</f>
        <v/>
      </c>
      <c r="G78" s="626">
        <f>+_xlfn.XLOOKUP(D78,'BASE DATOS PRECIOS '!B:B,'BASE DATOS PRECIOS '!D:D)</f>
        <v/>
      </c>
      <c r="H78" s="625">
        <f>+_xlfn.XLOOKUP(E78,'BASE DATOS PRECIOS '!C:C,'BASE DATOS PRECIOS '!F:F)</f>
        <v/>
      </c>
      <c r="I78" s="626" t="n"/>
      <c r="J78" s="626" t="n"/>
      <c r="K78" s="625">
        <f>+F78*H78</f>
        <v/>
      </c>
      <c r="L78" s="625">
        <f>+F78*I78</f>
        <v/>
      </c>
      <c r="M78" s="625">
        <f>+F78*J78</f>
        <v/>
      </c>
      <c r="N78" s="625">
        <f>SUM(K78:M78)</f>
        <v/>
      </c>
      <c r="O78" s="627">
        <f>SUM(K78:M78)/tc</f>
        <v/>
      </c>
      <c r="P78" s="639" t="n"/>
      <c r="Q78" s="639" t="n"/>
      <c r="R78" s="640" t="n"/>
    </row>
    <row r="79" outlineLevel="1">
      <c r="A79" s="278" t="inlineStr">
        <is>
          <t>MAT</t>
        </is>
      </c>
      <c r="B79" s="282" t="n"/>
      <c r="C79" s="578">
        <f>_xlfn.XLOOKUP(D79,'INSUMOS MAT '!B:B,'INSUMOS MAT '!C:C,"ERROR",0)</f>
        <v/>
      </c>
      <c r="D79" s="306" t="inlineStr">
        <is>
          <t>MAT08-0108</t>
        </is>
      </c>
      <c r="E79" s="623">
        <f>+_xlfn.XLOOKUP(D79,'BASE DATOS PRECIOS '!B:B,'BASE DATOS PRECIOS '!C:C)</f>
        <v/>
      </c>
      <c r="F79" s="287" t="n">
        <v>120</v>
      </c>
      <c r="G79" s="626">
        <f>+_xlfn.XLOOKUP(D79,'BASE DATOS PRECIOS '!B:B,'BASE DATOS PRECIOS '!D:D)</f>
        <v/>
      </c>
      <c r="H79" s="625">
        <f>+_xlfn.XLOOKUP(E79,'BASE DATOS PRECIOS '!C:C,'BASE DATOS PRECIOS '!F:F)</f>
        <v/>
      </c>
      <c r="I79" s="626" t="n"/>
      <c r="J79" s="626" t="n"/>
      <c r="K79" s="625">
        <f>+F79*H79</f>
        <v/>
      </c>
      <c r="L79" s="625">
        <f>+F79*I79</f>
        <v/>
      </c>
      <c r="M79" s="625">
        <f>+F79*J79</f>
        <v/>
      </c>
      <c r="N79" s="625">
        <f>SUM(K79:M79)</f>
        <v/>
      </c>
      <c r="O79" s="627">
        <f>SUM(K79:M79)/tc</f>
        <v/>
      </c>
      <c r="P79" s="639" t="n"/>
      <c r="Q79" s="639" t="n"/>
      <c r="R79" s="640" t="n"/>
    </row>
    <row r="80" outlineLevel="1">
      <c r="A80" s="278" t="inlineStr">
        <is>
          <t>MAT</t>
        </is>
      </c>
      <c r="B80" s="282" t="n"/>
      <c r="C80" s="578">
        <f>_xlfn.XLOOKUP(D80,'INSUMOS MAT '!B:B,'INSUMOS MAT '!C:C,"ERROR",0)</f>
        <v/>
      </c>
      <c r="D80" s="306" t="inlineStr">
        <is>
          <t>MAT08-0141</t>
        </is>
      </c>
      <c r="E80" s="623">
        <f>+_xlfn.XLOOKUP(D80,'BASE DATOS PRECIOS '!B:B,'BASE DATOS PRECIOS '!C:C)</f>
        <v/>
      </c>
      <c r="F80" s="287" t="n">
        <v>75</v>
      </c>
      <c r="G80" s="626">
        <f>+_xlfn.XLOOKUP(D80,'BASE DATOS PRECIOS '!B:B,'BASE DATOS PRECIOS '!D:D)</f>
        <v/>
      </c>
      <c r="H80" s="625">
        <f>+_xlfn.XLOOKUP(E80,'BASE DATOS PRECIOS '!C:C,'BASE DATOS PRECIOS '!F:F)</f>
        <v/>
      </c>
      <c r="I80" s="626" t="n"/>
      <c r="J80" s="626" t="n"/>
      <c r="K80" s="625">
        <f>+F80*H80</f>
        <v/>
      </c>
      <c r="L80" s="625">
        <f>+F80*I80</f>
        <v/>
      </c>
      <c r="M80" s="625">
        <f>+F80*J80</f>
        <v/>
      </c>
      <c r="N80" s="625">
        <f>SUM(K80:M80)</f>
        <v/>
      </c>
      <c r="O80" s="627">
        <f>SUM(K80:M80)/tc</f>
        <v/>
      </c>
      <c r="P80" s="639" t="n"/>
      <c r="Q80" s="639" t="n"/>
      <c r="R80" s="640" t="n"/>
    </row>
    <row r="81" outlineLevel="1">
      <c r="A81" s="278" t="inlineStr">
        <is>
          <t>MAT</t>
        </is>
      </c>
      <c r="B81" s="282" t="n"/>
      <c r="C81" s="578">
        <f>_xlfn.XLOOKUP(D81,'INSUMOS MAT '!B:B,'INSUMOS MAT '!C:C,"ERROR",0)</f>
        <v/>
      </c>
      <c r="D81" s="306" t="inlineStr">
        <is>
          <t>MAT08-0038</t>
        </is>
      </c>
      <c r="E81" s="623">
        <f>+_xlfn.XLOOKUP(D81,'BASE DATOS PRECIOS '!B:B,'BASE DATOS PRECIOS '!C:C)</f>
        <v/>
      </c>
      <c r="F81" s="287" t="n">
        <v>4</v>
      </c>
      <c r="G81" s="626">
        <f>+_xlfn.XLOOKUP(D81,'BASE DATOS PRECIOS '!B:B,'BASE DATOS PRECIOS '!D:D)</f>
        <v/>
      </c>
      <c r="H81" s="625">
        <f>+_xlfn.XLOOKUP(E81,'BASE DATOS PRECIOS '!C:C,'BASE DATOS PRECIOS '!F:F)</f>
        <v/>
      </c>
      <c r="I81" s="626" t="n"/>
      <c r="J81" s="626" t="n"/>
      <c r="K81" s="625">
        <f>+F81*H81</f>
        <v/>
      </c>
      <c r="L81" s="625">
        <f>+F81*I81</f>
        <v/>
      </c>
      <c r="M81" s="625">
        <f>+F81*J81</f>
        <v/>
      </c>
      <c r="N81" s="625">
        <f>SUM(K81:M81)</f>
        <v/>
      </c>
      <c r="O81" s="627">
        <f>SUM(K81:M81)/tc</f>
        <v/>
      </c>
      <c r="P81" s="639" t="n"/>
      <c r="Q81" s="639" t="n"/>
      <c r="R81" s="640" t="n"/>
    </row>
    <row r="82" outlineLevel="1">
      <c r="A82" s="278" t="n"/>
      <c r="B82" s="282" t="n"/>
      <c r="C82" s="578" t="n"/>
      <c r="D82" s="292" t="n"/>
      <c r="E82" s="293" t="inlineStr">
        <is>
          <t xml:space="preserve">TUBERÍA MECÁNICA AGUA FRIA </t>
        </is>
      </c>
      <c r="F82" s="294" t="n"/>
      <c r="G82" s="295" t="n"/>
      <c r="H82" s="295" t="n"/>
      <c r="I82" s="295" t="n"/>
      <c r="J82" s="295" t="n"/>
      <c r="K82" s="637" t="n"/>
      <c r="L82" s="637" t="n"/>
      <c r="M82" s="637" t="n"/>
      <c r="N82" s="637" t="n"/>
      <c r="O82" s="638" t="n"/>
      <c r="P82" s="639" t="n"/>
      <c r="Q82" s="639" t="n"/>
      <c r="R82" s="640" t="n"/>
    </row>
    <row r="83" outlineLevel="1">
      <c r="A83" s="278" t="inlineStr">
        <is>
          <t>MAT</t>
        </is>
      </c>
      <c r="B83" s="282" t="n"/>
      <c r="C83" s="578">
        <f>_xlfn.XLOOKUP(D83,'INSUMOS MAT '!B:B,'INSUMOS MAT '!C:C,"ERROR",0)</f>
        <v/>
      </c>
      <c r="D83" s="305" t="inlineStr">
        <is>
          <t>MAT19-0011</t>
        </is>
      </c>
      <c r="E83" s="618">
        <f>+_xlfn.XLOOKUP(D83,'BASE DATOS PRECIOS '!B:B,'BASE DATOS PRECIOS '!C:C)</f>
        <v/>
      </c>
      <c r="F83" s="301" t="n">
        <v>2</v>
      </c>
      <c r="G83" s="621">
        <f>+_xlfn.XLOOKUP(D83,'BASE DATOS PRECIOS '!B:B,'BASE DATOS PRECIOS '!D:D)</f>
        <v/>
      </c>
      <c r="H83" s="620">
        <f>+_xlfn.XLOOKUP(E83,'BASE DATOS PRECIOS '!C:C,'BASE DATOS PRECIOS '!F:F)</f>
        <v/>
      </c>
      <c r="I83" s="621" t="n"/>
      <c r="J83" s="621" t="n"/>
      <c r="K83" s="620">
        <f>+F83*H83</f>
        <v/>
      </c>
      <c r="L83" s="620">
        <f>+F83*I83</f>
        <v/>
      </c>
      <c r="M83" s="620">
        <f>+F83*J83</f>
        <v/>
      </c>
      <c r="N83" s="620">
        <f>SUM(K83:M83)</f>
        <v/>
      </c>
      <c r="O83" s="622">
        <f>SUM(K83:M83)/tc</f>
        <v/>
      </c>
      <c r="P83" s="639" t="n"/>
      <c r="Q83" s="639" t="n"/>
      <c r="R83" s="640" t="n"/>
    </row>
    <row r="84" outlineLevel="1">
      <c r="A84" s="278" t="inlineStr">
        <is>
          <t>MAT</t>
        </is>
      </c>
      <c r="B84" s="282" t="n"/>
      <c r="C84" s="578">
        <f>_xlfn.XLOOKUP(D84,'INSUMOS MAT '!B:B,'INSUMOS MAT '!C:C,"ERROR",0)</f>
        <v/>
      </c>
      <c r="D84" s="305" t="inlineStr">
        <is>
          <t>MAT08-0072</t>
        </is>
      </c>
      <c r="E84" s="618">
        <f>+_xlfn.XLOOKUP(D84,'BASE DATOS PRECIOS '!B:B,'BASE DATOS PRECIOS '!C:C)</f>
        <v/>
      </c>
      <c r="F84" s="301" t="n">
        <v>1</v>
      </c>
      <c r="G84" s="621">
        <f>+_xlfn.XLOOKUP(D84,'BASE DATOS PRECIOS '!B:B,'BASE DATOS PRECIOS '!D:D)</f>
        <v/>
      </c>
      <c r="H84" s="620">
        <f>+_xlfn.XLOOKUP(E84,'BASE DATOS PRECIOS '!C:C,'BASE DATOS PRECIOS '!F:F)</f>
        <v/>
      </c>
      <c r="I84" s="621" t="n"/>
      <c r="J84" s="621" t="n"/>
      <c r="K84" s="620">
        <f>+F84*H84</f>
        <v/>
      </c>
      <c r="L84" s="620">
        <f>+F84*I84</f>
        <v/>
      </c>
      <c r="M84" s="620">
        <f>+F84*J84</f>
        <v/>
      </c>
      <c r="N84" s="620">
        <f>SUM(K84:M84)</f>
        <v/>
      </c>
      <c r="O84" s="622">
        <f>SUM(K84:M84)/tc</f>
        <v/>
      </c>
      <c r="P84" s="639" t="n"/>
      <c r="Q84" s="639" t="n"/>
      <c r="R84" s="640" t="n"/>
    </row>
    <row r="85" outlineLevel="1">
      <c r="A85" s="278" t="inlineStr">
        <is>
          <t>MAT</t>
        </is>
      </c>
      <c r="B85" s="282" t="n"/>
      <c r="C85" s="578">
        <f>_xlfn.XLOOKUP(D85,'INSUMOS MAT '!B:B,'INSUMOS MAT '!C:C,"ERROR",0)</f>
        <v/>
      </c>
      <c r="D85" s="305" t="inlineStr">
        <is>
          <t>MAT19-0020</t>
        </is>
      </c>
      <c r="E85" s="618">
        <f>+_xlfn.XLOOKUP(D85,'BASE DATOS PRECIOS '!B:B,'BASE DATOS PRECIOS '!C:C)</f>
        <v/>
      </c>
      <c r="F85" s="301" t="n">
        <v>15</v>
      </c>
      <c r="G85" s="621">
        <f>+_xlfn.XLOOKUP(D85,'BASE DATOS PRECIOS '!B:B,'BASE DATOS PRECIOS '!D:D)</f>
        <v/>
      </c>
      <c r="H85" s="620">
        <f>+_xlfn.XLOOKUP(E85,'BASE DATOS PRECIOS '!C:C,'BASE DATOS PRECIOS '!F:F)</f>
        <v/>
      </c>
      <c r="I85" s="621" t="n"/>
      <c r="J85" s="621" t="n"/>
      <c r="K85" s="620">
        <f>+F85*H85</f>
        <v/>
      </c>
      <c r="L85" s="620">
        <f>+F85*I85</f>
        <v/>
      </c>
      <c r="M85" s="620">
        <f>+F85*J85</f>
        <v/>
      </c>
      <c r="N85" s="620">
        <f>SUM(K85:M85)</f>
        <v/>
      </c>
      <c r="O85" s="622">
        <f>SUM(K85:M85)/tc</f>
        <v/>
      </c>
      <c r="P85" s="639" t="n"/>
      <c r="Q85" s="639" t="n"/>
      <c r="R85" s="640" t="n"/>
    </row>
    <row r="86" outlineLevel="1">
      <c r="A86" s="278" t="inlineStr">
        <is>
          <t>MAT</t>
        </is>
      </c>
      <c r="B86" s="282" t="n"/>
      <c r="C86" s="578">
        <f>_xlfn.XLOOKUP(D86,'INSUMOS MAT '!B:B,'INSUMOS MAT '!C:C,"ERROR",0)</f>
        <v/>
      </c>
      <c r="D86" s="305" t="inlineStr">
        <is>
          <t>MAT19-0077</t>
        </is>
      </c>
      <c r="E86" s="618">
        <f>+_xlfn.XLOOKUP(D86,'BASE DATOS PRECIOS '!B:B,'BASE DATOS PRECIOS '!C:C)</f>
        <v/>
      </c>
      <c r="F86" s="301" t="n">
        <v>10</v>
      </c>
      <c r="G86" s="621">
        <f>+_xlfn.XLOOKUP(D86,'BASE DATOS PRECIOS '!B:B,'BASE DATOS PRECIOS '!D:D)</f>
        <v/>
      </c>
      <c r="H86" s="620">
        <f>+_xlfn.XLOOKUP(E86,'BASE DATOS PRECIOS '!C:C,'BASE DATOS PRECIOS '!F:F)</f>
        <v/>
      </c>
      <c r="I86" s="621" t="n"/>
      <c r="J86" s="621" t="n"/>
      <c r="K86" s="620">
        <f>+F86*H86</f>
        <v/>
      </c>
      <c r="L86" s="620">
        <f>+F86*I86</f>
        <v/>
      </c>
      <c r="M86" s="620">
        <f>+F86*J86</f>
        <v/>
      </c>
      <c r="N86" s="620">
        <f>SUM(K86:M86)</f>
        <v/>
      </c>
      <c r="O86" s="622">
        <f>SUM(K86:M86)/tc</f>
        <v/>
      </c>
      <c r="P86" s="639" t="n"/>
      <c r="Q86" s="639" t="n"/>
      <c r="R86" s="640" t="n"/>
    </row>
    <row r="87" outlineLevel="1">
      <c r="A87" s="278" t="inlineStr">
        <is>
          <t>MAT</t>
        </is>
      </c>
      <c r="B87" s="282" t="n"/>
      <c r="C87" s="578">
        <f>_xlfn.XLOOKUP(D87,'INSUMOS MAT '!B:B,'INSUMOS MAT '!C:C,"ERROR",0)</f>
        <v/>
      </c>
      <c r="D87" s="305" t="inlineStr">
        <is>
          <t>MAT19-0061</t>
        </is>
      </c>
      <c r="E87" s="618">
        <f>+_xlfn.XLOOKUP(D87,'BASE DATOS PRECIOS '!B:B,'BASE DATOS PRECIOS '!C:C)</f>
        <v/>
      </c>
      <c r="F87" s="301" t="n">
        <v>10</v>
      </c>
      <c r="G87" s="621">
        <f>+_xlfn.XLOOKUP(D87,'BASE DATOS PRECIOS '!B:B,'BASE DATOS PRECIOS '!D:D)</f>
        <v/>
      </c>
      <c r="H87" s="620">
        <f>+_xlfn.XLOOKUP(E87,'BASE DATOS PRECIOS '!C:C,'BASE DATOS PRECIOS '!F:F)</f>
        <v/>
      </c>
      <c r="I87" s="621" t="n"/>
      <c r="J87" s="621" t="n"/>
      <c r="K87" s="620">
        <f>+F87*H87</f>
        <v/>
      </c>
      <c r="L87" s="620">
        <f>+F87*I87</f>
        <v/>
      </c>
      <c r="M87" s="620">
        <f>+F87*J87</f>
        <v/>
      </c>
      <c r="N87" s="620">
        <f>SUM(K87:M87)</f>
        <v/>
      </c>
      <c r="O87" s="622">
        <f>SUM(K87:M87)/tc</f>
        <v/>
      </c>
      <c r="P87" s="639" t="n"/>
      <c r="Q87" s="639" t="n"/>
      <c r="R87" s="640" t="n"/>
    </row>
    <row r="88" outlineLevel="1">
      <c r="A88" s="278" t="inlineStr">
        <is>
          <t>MAT</t>
        </is>
      </c>
      <c r="B88" s="282" t="n"/>
      <c r="C88" s="578">
        <f>_xlfn.XLOOKUP(D88,'INSUMOS MAT '!B:B,'INSUMOS MAT '!C:C,"ERROR",0)</f>
        <v/>
      </c>
      <c r="D88" s="305" t="inlineStr">
        <is>
          <t>MAT19-0092</t>
        </is>
      </c>
      <c r="E88" s="618">
        <f>+_xlfn.XLOOKUP(D88,'BASE DATOS PRECIOS '!B:B,'BASE DATOS PRECIOS '!C:C)</f>
        <v/>
      </c>
      <c r="F88" s="301" t="n">
        <v>5</v>
      </c>
      <c r="G88" s="621">
        <f>+_xlfn.XLOOKUP(D88,'BASE DATOS PRECIOS '!B:B,'BASE DATOS PRECIOS '!D:D)</f>
        <v/>
      </c>
      <c r="H88" s="620">
        <f>+_xlfn.XLOOKUP(E88,'BASE DATOS PRECIOS '!C:C,'BASE DATOS PRECIOS '!F:F)</f>
        <v/>
      </c>
      <c r="I88" s="621" t="n"/>
      <c r="J88" s="621" t="n"/>
      <c r="K88" s="620">
        <f>+F88*H88</f>
        <v/>
      </c>
      <c r="L88" s="620">
        <f>+F88*I88</f>
        <v/>
      </c>
      <c r="M88" s="620">
        <f>+F88*J88</f>
        <v/>
      </c>
      <c r="N88" s="620">
        <f>SUM(K88:M88)</f>
        <v/>
      </c>
      <c r="O88" s="622">
        <f>SUM(K88:M88)/tc</f>
        <v/>
      </c>
      <c r="P88" s="639" t="n"/>
      <c r="Q88" s="639" t="n"/>
      <c r="R88" s="640" t="n"/>
    </row>
    <row r="89" outlineLevel="1">
      <c r="A89" s="278" t="n"/>
      <c r="B89" s="282" t="n"/>
      <c r="C89" s="578" t="n"/>
      <c r="D89" s="292" t="n"/>
      <c r="E89" s="293" t="inlineStr">
        <is>
          <t xml:space="preserve">TUBERÍA MECÁNICA AGUA CALIENTE </t>
        </is>
      </c>
      <c r="F89" s="294" t="n"/>
      <c r="G89" s="295" t="n"/>
      <c r="H89" s="295" t="n"/>
      <c r="I89" s="295" t="n"/>
      <c r="J89" s="295" t="n"/>
      <c r="K89" s="637" t="n"/>
      <c r="L89" s="637" t="n"/>
      <c r="M89" s="637" t="n"/>
      <c r="N89" s="637" t="n"/>
      <c r="O89" s="638" t="n"/>
      <c r="P89" s="639" t="n"/>
      <c r="Q89" s="639" t="n"/>
      <c r="R89" s="640" t="n"/>
    </row>
    <row r="90" outlineLevel="1">
      <c r="A90" s="278" t="inlineStr">
        <is>
          <t>MAT</t>
        </is>
      </c>
      <c r="B90" s="282" t="n"/>
      <c r="C90" s="578">
        <f>_xlfn.XLOOKUP(D90,'INSUMOS MAT '!B:B,'INSUMOS MAT '!C:C,"ERROR",0)</f>
        <v/>
      </c>
      <c r="D90" s="305" t="inlineStr">
        <is>
          <t>MAT19-0075</t>
        </is>
      </c>
      <c r="E90" s="618">
        <f>+_xlfn.XLOOKUP(D90,'BASE DATOS PRECIOS '!B:B,'BASE DATOS PRECIOS '!C:C)</f>
        <v/>
      </c>
      <c r="F90" s="301" t="n">
        <v>5</v>
      </c>
      <c r="G90" s="621">
        <f>+_xlfn.XLOOKUP(D90,'BASE DATOS PRECIOS '!B:B,'BASE DATOS PRECIOS '!D:D)</f>
        <v/>
      </c>
      <c r="H90" s="620">
        <f>+_xlfn.XLOOKUP(E90,'BASE DATOS PRECIOS '!C:C,'BASE DATOS PRECIOS '!F:F)</f>
        <v/>
      </c>
      <c r="I90" s="621" t="n"/>
      <c r="J90" s="621" t="n"/>
      <c r="K90" s="620">
        <f>+F90*H90</f>
        <v/>
      </c>
      <c r="L90" s="620">
        <f>+F90*I90</f>
        <v/>
      </c>
      <c r="M90" s="620">
        <f>+F90*J90</f>
        <v/>
      </c>
      <c r="N90" s="620">
        <f>SUM(K90:M90)</f>
        <v/>
      </c>
      <c r="O90" s="622">
        <f>SUM(K90:M90)/tc</f>
        <v/>
      </c>
      <c r="P90" s="639" t="n"/>
      <c r="Q90" s="639" t="n"/>
      <c r="R90" s="640" t="n"/>
    </row>
    <row r="91" outlineLevel="1">
      <c r="A91" s="278" t="inlineStr">
        <is>
          <t>MAT</t>
        </is>
      </c>
      <c r="B91" s="282" t="n"/>
      <c r="C91" s="578">
        <f>_xlfn.XLOOKUP(D91,'INSUMOS MAT '!B:B,'INSUMOS MAT '!C:C,"ERROR",0)</f>
        <v/>
      </c>
      <c r="D91" s="305" t="inlineStr">
        <is>
          <t>MAT19-0021</t>
        </is>
      </c>
      <c r="E91" s="618">
        <f>+_xlfn.XLOOKUP(D91,'BASE DATOS PRECIOS '!B:B,'BASE DATOS PRECIOS '!C:C)</f>
        <v/>
      </c>
      <c r="F91" s="301" t="n">
        <v>11</v>
      </c>
      <c r="G91" s="621">
        <f>+_xlfn.XLOOKUP(D91,'BASE DATOS PRECIOS '!B:B,'BASE DATOS PRECIOS '!D:D)</f>
        <v/>
      </c>
      <c r="H91" s="620">
        <f>+_xlfn.XLOOKUP(E91,'BASE DATOS PRECIOS '!C:C,'BASE DATOS PRECIOS '!F:F)</f>
        <v/>
      </c>
      <c r="I91" s="621" t="n"/>
      <c r="J91" s="621" t="n"/>
      <c r="K91" s="620">
        <f>+F91*H91</f>
        <v/>
      </c>
      <c r="L91" s="620">
        <f>+F91*I91</f>
        <v/>
      </c>
      <c r="M91" s="620">
        <f>+F91*J91</f>
        <v/>
      </c>
      <c r="N91" s="620">
        <f>SUM(K91:M91)</f>
        <v/>
      </c>
      <c r="O91" s="622">
        <f>SUM(K91:M91)/tc</f>
        <v/>
      </c>
      <c r="P91" s="639" t="n"/>
      <c r="Q91" s="639" t="n"/>
      <c r="R91" s="640" t="n"/>
    </row>
    <row r="92" outlineLevel="1">
      <c r="A92" s="278" t="inlineStr">
        <is>
          <t>MAT</t>
        </is>
      </c>
      <c r="B92" s="282" t="n"/>
      <c r="C92" s="578">
        <f>_xlfn.XLOOKUP(D92,'INSUMOS MAT '!B:B,'INSUMOS MAT '!C:C,"ERROR",0)</f>
        <v/>
      </c>
      <c r="D92" s="305" t="inlineStr">
        <is>
          <t>MAT19-0088</t>
        </is>
      </c>
      <c r="E92" s="618">
        <f>+_xlfn.XLOOKUP(D92,'BASE DATOS PRECIOS '!B:B,'BASE DATOS PRECIOS '!C:C)</f>
        <v/>
      </c>
      <c r="F92" s="301" t="n">
        <v>4</v>
      </c>
      <c r="G92" s="621">
        <f>+_xlfn.XLOOKUP(D92,'BASE DATOS PRECIOS '!B:B,'BASE DATOS PRECIOS '!D:D)</f>
        <v/>
      </c>
      <c r="H92" s="620">
        <f>+_xlfn.XLOOKUP(E92,'BASE DATOS PRECIOS '!C:C,'BASE DATOS PRECIOS '!F:F)</f>
        <v/>
      </c>
      <c r="I92" s="621" t="n"/>
      <c r="J92" s="621" t="n"/>
      <c r="K92" s="620">
        <f>+F92*H92</f>
        <v/>
      </c>
      <c r="L92" s="620">
        <f>+F92*I92</f>
        <v/>
      </c>
      <c r="M92" s="620">
        <f>+F92*J92</f>
        <v/>
      </c>
      <c r="N92" s="620">
        <f>SUM(K92:M92)</f>
        <v/>
      </c>
      <c r="O92" s="622">
        <f>SUM(K92:M92)/tc</f>
        <v/>
      </c>
      <c r="P92" s="639" t="n"/>
      <c r="Q92" s="639" t="n"/>
      <c r="R92" s="640" t="n"/>
    </row>
    <row r="93" outlineLevel="1">
      <c r="A93" s="278" t="inlineStr">
        <is>
          <t>MAT</t>
        </is>
      </c>
      <c r="B93" s="282" t="n"/>
      <c r="C93" s="578">
        <f>_xlfn.XLOOKUP(D93,'INSUMOS MAT '!B:B,'INSUMOS MAT '!C:C,"ERROR",0)</f>
        <v/>
      </c>
      <c r="D93" s="305" t="inlineStr">
        <is>
          <t>MAT19-0009</t>
        </is>
      </c>
      <c r="E93" s="618">
        <f>+_xlfn.XLOOKUP(D93,'BASE DATOS PRECIOS '!B:B,'BASE DATOS PRECIOS '!C:C)</f>
        <v/>
      </c>
      <c r="F93" s="301" t="n">
        <v>1</v>
      </c>
      <c r="G93" s="621">
        <f>+_xlfn.XLOOKUP(D93,'BASE DATOS PRECIOS '!B:B,'BASE DATOS PRECIOS '!D:D)</f>
        <v/>
      </c>
      <c r="H93" s="620">
        <f>+_xlfn.XLOOKUP(E93,'BASE DATOS PRECIOS '!C:C,'BASE DATOS PRECIOS '!F:F)</f>
        <v/>
      </c>
      <c r="I93" s="621" t="n"/>
      <c r="J93" s="621" t="n"/>
      <c r="K93" s="620">
        <f>+F93*H93</f>
        <v/>
      </c>
      <c r="L93" s="620">
        <f>+F93*I93</f>
        <v/>
      </c>
      <c r="M93" s="620">
        <f>+F93*J93</f>
        <v/>
      </c>
      <c r="N93" s="620">
        <f>SUM(K93:M93)</f>
        <v/>
      </c>
      <c r="O93" s="622">
        <f>SUM(K93:M93)/tc</f>
        <v/>
      </c>
      <c r="P93" s="639" t="n"/>
      <c r="Q93" s="639" t="n"/>
      <c r="R93" s="640" t="n"/>
    </row>
    <row r="94" outlineLevel="1">
      <c r="A94" s="278" t="inlineStr">
        <is>
          <t>MAT</t>
        </is>
      </c>
      <c r="B94" s="282" t="n"/>
      <c r="C94" s="578">
        <f>_xlfn.XLOOKUP(D94,'INSUMOS MAT '!B:B,'INSUMOS MAT '!C:C,"ERROR",0)</f>
        <v/>
      </c>
      <c r="D94" s="305" t="inlineStr">
        <is>
          <t>MAT19-0066</t>
        </is>
      </c>
      <c r="E94" s="618">
        <f>+_xlfn.XLOOKUP(D94,'BASE DATOS PRECIOS '!B:B,'BASE DATOS PRECIOS '!C:C)</f>
        <v/>
      </c>
      <c r="F94" s="301" t="n">
        <v>6</v>
      </c>
      <c r="G94" s="621">
        <f>+_xlfn.XLOOKUP(D94,'BASE DATOS PRECIOS '!B:B,'BASE DATOS PRECIOS '!D:D)</f>
        <v/>
      </c>
      <c r="H94" s="620">
        <f>+_xlfn.XLOOKUP(E94,'BASE DATOS PRECIOS '!C:C,'BASE DATOS PRECIOS '!F:F)</f>
        <v/>
      </c>
      <c r="I94" s="621" t="n"/>
      <c r="J94" s="621" t="n"/>
      <c r="K94" s="620">
        <f>+F94*H94</f>
        <v/>
      </c>
      <c r="L94" s="620">
        <f>+F94*I94</f>
        <v/>
      </c>
      <c r="M94" s="620">
        <f>+F94*J94</f>
        <v/>
      </c>
      <c r="N94" s="620">
        <f>SUM(K94:M94)</f>
        <v/>
      </c>
      <c r="O94" s="622">
        <f>SUM(K94:M94)/tc</f>
        <v/>
      </c>
      <c r="P94" s="639" t="n"/>
      <c r="Q94" s="639" t="n"/>
      <c r="R94" s="640" t="n"/>
    </row>
    <row r="95" outlineLevel="1">
      <c r="A95" s="278" t="n"/>
      <c r="B95" s="282" t="n"/>
      <c r="C95" s="578" t="n"/>
      <c r="D95" s="292" t="n"/>
      <c r="E95" s="293" t="inlineStr">
        <is>
          <t xml:space="preserve">TUBERÍA VENTILACION BAÑO Y PREVISTA PARA LOSA CENITAL </t>
        </is>
      </c>
      <c r="F95" s="294" t="n"/>
      <c r="G95" s="295" t="n"/>
      <c r="H95" s="295" t="n"/>
      <c r="I95" s="295" t="n"/>
      <c r="J95" s="295" t="n"/>
      <c r="K95" s="637" t="n"/>
      <c r="L95" s="637" t="n"/>
      <c r="M95" s="637" t="n"/>
      <c r="N95" s="637" t="n"/>
      <c r="O95" s="638" t="n"/>
      <c r="P95" s="639" t="n"/>
      <c r="Q95" s="639" t="n"/>
      <c r="R95" s="640" t="n"/>
    </row>
    <row r="96" outlineLevel="1">
      <c r="A96" s="278" t="inlineStr">
        <is>
          <t>MAT</t>
        </is>
      </c>
      <c r="B96" s="282" t="n"/>
      <c r="C96" s="578">
        <f>_xlfn.XLOOKUP(D96,'INSUMOS MAT '!B:B,'INSUMOS MAT '!C:C,"ERROR",0)</f>
        <v/>
      </c>
      <c r="D96" s="305" t="inlineStr">
        <is>
          <t>MAT19-0094</t>
        </is>
      </c>
      <c r="E96" s="618">
        <f>+_xlfn.XLOOKUP(D96,'BASE DATOS PRECIOS '!B:B,'BASE DATOS PRECIOS '!C:C)</f>
        <v/>
      </c>
      <c r="F96" s="301" t="n">
        <v>2</v>
      </c>
      <c r="G96" s="621">
        <f>+_xlfn.XLOOKUP(D96,'BASE DATOS PRECIOS '!B:B,'BASE DATOS PRECIOS '!D:D)</f>
        <v/>
      </c>
      <c r="H96" s="620">
        <f>+_xlfn.XLOOKUP(E96,'BASE DATOS PRECIOS '!C:C,'BASE DATOS PRECIOS '!F:F)</f>
        <v/>
      </c>
      <c r="I96" s="621" t="n"/>
      <c r="J96" s="621" t="n"/>
      <c r="K96" s="620">
        <f>+F96*H96</f>
        <v/>
      </c>
      <c r="L96" s="620">
        <f>+F96*I96</f>
        <v/>
      </c>
      <c r="M96" s="620">
        <f>+F96*J96</f>
        <v/>
      </c>
      <c r="N96" s="620">
        <f>SUM(K96:M96)</f>
        <v/>
      </c>
      <c r="O96" s="622">
        <f>SUM(K96:M96)/tc</f>
        <v/>
      </c>
      <c r="P96" s="639" t="n"/>
      <c r="Q96" s="639" t="n"/>
      <c r="R96" s="640" t="n"/>
    </row>
    <row r="97" outlineLevel="1">
      <c r="A97" s="278" t="inlineStr">
        <is>
          <t>MAT</t>
        </is>
      </c>
      <c r="B97" s="282" t="n"/>
      <c r="C97" s="578">
        <f>_xlfn.XLOOKUP(D97,'INSUMOS MAT '!B:B,'INSUMOS MAT '!C:C,"ERROR",0)</f>
        <v/>
      </c>
      <c r="D97" s="305" t="inlineStr">
        <is>
          <t>MAT19-0023</t>
        </is>
      </c>
      <c r="E97" s="618">
        <f>+_xlfn.XLOOKUP(D97,'BASE DATOS PRECIOS '!B:B,'BASE DATOS PRECIOS '!C:C)</f>
        <v/>
      </c>
      <c r="F97" s="301" t="n">
        <v>6</v>
      </c>
      <c r="G97" s="621">
        <f>+_xlfn.XLOOKUP(D97,'BASE DATOS PRECIOS '!B:B,'BASE DATOS PRECIOS '!D:D)</f>
        <v/>
      </c>
      <c r="H97" s="620">
        <f>+_xlfn.XLOOKUP(E97,'BASE DATOS PRECIOS '!C:C,'BASE DATOS PRECIOS '!F:F)</f>
        <v/>
      </c>
      <c r="I97" s="621" t="n"/>
      <c r="J97" s="621" t="n"/>
      <c r="K97" s="620">
        <f>+F97*H97</f>
        <v/>
      </c>
      <c r="L97" s="620">
        <f>+F97*I97</f>
        <v/>
      </c>
      <c r="M97" s="620">
        <f>+F97*J97</f>
        <v/>
      </c>
      <c r="N97" s="620">
        <f>SUM(K97:M97)</f>
        <v/>
      </c>
      <c r="O97" s="622">
        <f>SUM(K97:M97)/tc</f>
        <v/>
      </c>
      <c r="P97" s="639" t="n"/>
      <c r="Q97" s="639" t="n"/>
      <c r="R97" s="640" t="n"/>
    </row>
    <row r="98" outlineLevel="1">
      <c r="A98" s="278" t="inlineStr">
        <is>
          <t>MAT</t>
        </is>
      </c>
      <c r="B98" s="282" t="n"/>
      <c r="C98" s="578">
        <f>_xlfn.XLOOKUP(D98,'INSUMOS MAT '!B:B,'INSUMOS MAT '!C:C,"ERROR",0)</f>
        <v/>
      </c>
      <c r="D98" s="305" t="inlineStr">
        <is>
          <t>MAT19-0038</t>
        </is>
      </c>
      <c r="E98" s="618">
        <f>+_xlfn.XLOOKUP(D98,'BASE DATOS PRECIOS '!B:B,'BASE DATOS PRECIOS '!C:C)</f>
        <v/>
      </c>
      <c r="F98" s="301" t="n">
        <v>6</v>
      </c>
      <c r="G98" s="621">
        <f>+_xlfn.XLOOKUP(D98,'BASE DATOS PRECIOS '!B:B,'BASE DATOS PRECIOS '!D:D)</f>
        <v/>
      </c>
      <c r="H98" s="620">
        <f>+_xlfn.XLOOKUP(E98,'BASE DATOS PRECIOS '!C:C,'BASE DATOS PRECIOS '!F:F)</f>
        <v/>
      </c>
      <c r="I98" s="621" t="n"/>
      <c r="J98" s="621" t="n"/>
      <c r="K98" s="620">
        <f>+F98*H98</f>
        <v/>
      </c>
      <c r="L98" s="620">
        <f>+F98*I98</f>
        <v/>
      </c>
      <c r="M98" s="620">
        <f>+F98*J98</f>
        <v/>
      </c>
      <c r="N98" s="620">
        <f>SUM(K98:M98)</f>
        <v/>
      </c>
      <c r="O98" s="622">
        <f>SUM(K98:M98)/tc</f>
        <v/>
      </c>
      <c r="P98" s="639" t="n"/>
      <c r="Q98" s="639" t="n"/>
      <c r="R98" s="640" t="n"/>
    </row>
    <row r="99" outlineLevel="1">
      <c r="A99" s="278" t="inlineStr">
        <is>
          <t>MAT</t>
        </is>
      </c>
      <c r="B99" s="282" t="n"/>
      <c r="C99" s="578">
        <f>_xlfn.XLOOKUP(D99,'INSUMOS MAT '!B:B,'INSUMOS MAT '!C:C,"ERROR",0)</f>
        <v/>
      </c>
      <c r="D99" s="305" t="inlineStr">
        <is>
          <t>MAT19-0110</t>
        </is>
      </c>
      <c r="E99" s="618">
        <f>+_xlfn.XLOOKUP(D99,'BASE DATOS PRECIOS '!B:B,'BASE DATOS PRECIOS '!C:C)</f>
        <v/>
      </c>
      <c r="F99" s="301" t="n">
        <v>2</v>
      </c>
      <c r="G99" s="621">
        <f>+_xlfn.XLOOKUP(D99,'BASE DATOS PRECIOS '!B:B,'BASE DATOS PRECIOS '!D:D)</f>
        <v/>
      </c>
      <c r="H99" s="620">
        <f>+_xlfn.XLOOKUP(E99,'BASE DATOS PRECIOS '!C:C,'BASE DATOS PRECIOS '!F:F)</f>
        <v/>
      </c>
      <c r="I99" s="621" t="n"/>
      <c r="J99" s="621" t="n"/>
      <c r="K99" s="620">
        <f>+F99*H99</f>
        <v/>
      </c>
      <c r="L99" s="620">
        <f>+F99*I99</f>
        <v/>
      </c>
      <c r="M99" s="620">
        <f>+F99*J99</f>
        <v/>
      </c>
      <c r="N99" s="620">
        <f>SUM(K99:M99)</f>
        <v/>
      </c>
      <c r="O99" s="622">
        <f>SUM(K99:M99)/tc</f>
        <v/>
      </c>
      <c r="P99" s="639" t="n"/>
      <c r="Q99" s="639" t="n"/>
      <c r="R99" s="640" t="n"/>
    </row>
    <row r="100" outlineLevel="1">
      <c r="A100" s="278" t="n"/>
      <c r="B100" s="282" t="n"/>
      <c r="C100" s="578" t="n"/>
      <c r="D100" s="292" t="n"/>
      <c r="E100" s="293" t="inlineStr">
        <is>
          <t xml:space="preserve">TUBERÍA ELÉCTRICA </t>
        </is>
      </c>
      <c r="F100" s="294" t="n"/>
      <c r="G100" s="295" t="n"/>
      <c r="H100" s="295" t="n"/>
      <c r="I100" s="295" t="n"/>
      <c r="J100" s="295" t="n"/>
      <c r="K100" s="637" t="n"/>
      <c r="L100" s="637" t="n"/>
      <c r="M100" s="637" t="n"/>
      <c r="N100" s="637" t="n"/>
      <c r="O100" s="638" t="n"/>
      <c r="P100" s="639" t="n"/>
      <c r="Q100" s="639" t="n"/>
      <c r="R100" s="640" t="n"/>
    </row>
    <row r="101" outlineLevel="1">
      <c r="A101" s="278" t="inlineStr">
        <is>
          <t>MAT</t>
        </is>
      </c>
      <c r="B101" s="282" t="n"/>
      <c r="C101" s="578">
        <f>_xlfn.XLOOKUP(D101,'INSUMOS MAT '!B:B,'INSUMOS MAT '!C:C,"ERROR",0)</f>
        <v/>
      </c>
      <c r="D101" s="305" t="inlineStr">
        <is>
          <t>MAT19-0086</t>
        </is>
      </c>
      <c r="E101" s="618">
        <f>+_xlfn.XLOOKUP(D101,'BASE DATOS PRECIOS '!B:B,'BASE DATOS PRECIOS '!C:C)</f>
        <v/>
      </c>
      <c r="F101" s="287">
        <f>40+6</f>
        <v/>
      </c>
      <c r="G101" s="621">
        <f>+_xlfn.XLOOKUP(D101,'BASE DATOS PRECIOS '!B:B,'BASE DATOS PRECIOS '!D:D)</f>
        <v/>
      </c>
      <c r="H101" s="620">
        <f>+_xlfn.XLOOKUP(E101,'BASE DATOS PRECIOS '!C:C,'BASE DATOS PRECIOS '!F:F)</f>
        <v/>
      </c>
      <c r="I101" s="621" t="n"/>
      <c r="J101" s="621" t="n"/>
      <c r="K101" s="620">
        <f>+F101*H101</f>
        <v/>
      </c>
      <c r="L101" s="620">
        <f>+F101*I101</f>
        <v/>
      </c>
      <c r="M101" s="620">
        <f>+F101*J101</f>
        <v/>
      </c>
      <c r="N101" s="620">
        <f>SUM(K101:M101)</f>
        <v/>
      </c>
      <c r="O101" s="622">
        <f>SUM(K101:M101)/tc</f>
        <v/>
      </c>
      <c r="P101" s="639" t="n"/>
      <c r="Q101" s="639" t="n"/>
      <c r="R101" s="640" t="n"/>
    </row>
    <row r="102" outlineLevel="1">
      <c r="A102" s="278" t="inlineStr">
        <is>
          <t>MAT</t>
        </is>
      </c>
      <c r="B102" s="279" t="n"/>
      <c r="C102" s="578">
        <f>_xlfn.XLOOKUP(D102,'INSUMOS MAT '!B:B,'INSUMOS MAT '!C:C,"ERROR",0)</f>
        <v/>
      </c>
      <c r="D102" s="305" t="inlineStr">
        <is>
          <t>MAT19-0087</t>
        </is>
      </c>
      <c r="E102" s="618">
        <f>+_xlfn.XLOOKUP(D102,'BASE DATOS PRECIOS '!B:B,'BASE DATOS PRECIOS '!C:C)</f>
        <v/>
      </c>
      <c r="F102" s="287">
        <f>20+2</f>
        <v/>
      </c>
      <c r="G102" s="621">
        <f>+_xlfn.XLOOKUP(D102,'BASE DATOS PRECIOS '!B:B,'BASE DATOS PRECIOS '!D:D)</f>
        <v/>
      </c>
      <c r="H102" s="620">
        <f>+_xlfn.XLOOKUP(E102,'BASE DATOS PRECIOS '!C:C,'BASE DATOS PRECIOS '!F:F)</f>
        <v/>
      </c>
      <c r="I102" s="621" t="n"/>
      <c r="J102" s="621" t="n"/>
      <c r="K102" s="620">
        <f>+F102*H102</f>
        <v/>
      </c>
      <c r="L102" s="620">
        <f>+F102*I102</f>
        <v/>
      </c>
      <c r="M102" s="620">
        <f>+F102*J102</f>
        <v/>
      </c>
      <c r="N102" s="620">
        <f>SUM(K102:M102)</f>
        <v/>
      </c>
      <c r="O102" s="622">
        <f>SUM(K102:M102)/tc</f>
        <v/>
      </c>
      <c r="P102" s="639" t="n"/>
      <c r="Q102" s="639" t="n"/>
      <c r="R102" s="640" t="n"/>
    </row>
    <row r="103" outlineLevel="1">
      <c r="A103" s="278" t="inlineStr">
        <is>
          <t>MAT</t>
        </is>
      </c>
      <c r="B103" s="279" t="n"/>
      <c r="C103" s="578">
        <f>_xlfn.XLOOKUP(D103,'INSUMOS MAT '!B:B,'INSUMOS MAT '!C:C,"ERROR",0)</f>
        <v/>
      </c>
      <c r="D103" s="305" t="inlineStr">
        <is>
          <t>MAT19-0085</t>
        </is>
      </c>
      <c r="E103" s="618">
        <f>+_xlfn.XLOOKUP(D103,'BASE DATOS PRECIOS '!B:B,'BASE DATOS PRECIOS '!C:C)</f>
        <v/>
      </c>
      <c r="F103" s="287">
        <f>3+2</f>
        <v/>
      </c>
      <c r="G103" s="621">
        <f>+_xlfn.XLOOKUP(D103,'BASE DATOS PRECIOS '!B:B,'BASE DATOS PRECIOS '!D:D)</f>
        <v/>
      </c>
      <c r="H103" s="620">
        <f>+_xlfn.XLOOKUP(E103,'BASE DATOS PRECIOS '!C:C,'BASE DATOS PRECIOS '!F:F)</f>
        <v/>
      </c>
      <c r="I103" s="621" t="n"/>
      <c r="J103" s="621" t="n"/>
      <c r="K103" s="620">
        <f>+F103*H103</f>
        <v/>
      </c>
      <c r="L103" s="620">
        <f>+F103*I103</f>
        <v/>
      </c>
      <c r="M103" s="620">
        <f>+F103*J103</f>
        <v/>
      </c>
      <c r="N103" s="620">
        <f>SUM(K103:M103)</f>
        <v/>
      </c>
      <c r="O103" s="622">
        <f>SUM(K103:M103)/tc</f>
        <v/>
      </c>
      <c r="P103" s="639" t="n"/>
      <c r="Q103" s="639" t="n"/>
      <c r="R103" s="640" t="n"/>
    </row>
    <row r="104" outlineLevel="1">
      <c r="A104" s="278" t="inlineStr">
        <is>
          <t>MAT</t>
        </is>
      </c>
      <c r="B104" s="279" t="n"/>
      <c r="C104" s="578">
        <f>_xlfn.XLOOKUP(D104,'INSUMOS MAT '!B:B,'INSUMOS MAT '!C:C,"ERROR",0)</f>
        <v/>
      </c>
      <c r="D104" s="305" t="inlineStr">
        <is>
          <t>MAT19-0084</t>
        </is>
      </c>
      <c r="E104" s="618">
        <f>+_xlfn.XLOOKUP(D104,'BASE DATOS PRECIOS '!B:B,'BASE DATOS PRECIOS '!C:C)</f>
        <v/>
      </c>
      <c r="F104" s="287" t="n">
        <v>1</v>
      </c>
      <c r="G104" s="621">
        <f>+_xlfn.XLOOKUP(D104,'BASE DATOS PRECIOS '!B:B,'BASE DATOS PRECIOS '!D:D)</f>
        <v/>
      </c>
      <c r="H104" s="620">
        <f>+_xlfn.XLOOKUP(E104,'BASE DATOS PRECIOS '!C:C,'BASE DATOS PRECIOS '!F:F)</f>
        <v/>
      </c>
      <c r="I104" s="621" t="n"/>
      <c r="J104" s="621" t="n"/>
      <c r="K104" s="620">
        <f>+F104*H104</f>
        <v/>
      </c>
      <c r="L104" s="620">
        <f>+F104*I104</f>
        <v/>
      </c>
      <c r="M104" s="620">
        <f>+F104*J104</f>
        <v/>
      </c>
      <c r="N104" s="620">
        <f>SUM(K104:M104)</f>
        <v/>
      </c>
      <c r="O104" s="622">
        <f>SUM(K104:M104)/tc</f>
        <v/>
      </c>
      <c r="P104" s="639" t="n"/>
      <c r="Q104" s="639" t="n"/>
      <c r="R104" s="640" t="n"/>
    </row>
    <row r="105" outlineLevel="1">
      <c r="A105" s="278" t="inlineStr">
        <is>
          <t>MAT</t>
        </is>
      </c>
      <c r="B105" s="279" t="n"/>
      <c r="C105" s="578">
        <f>_xlfn.XLOOKUP(D105,'INSUMOS MAT '!B:B,'INSUMOS MAT '!C:C,"ERROR",0)</f>
        <v/>
      </c>
      <c r="D105" s="305" t="inlineStr">
        <is>
          <t>MAT19-0033</t>
        </is>
      </c>
      <c r="E105" s="618">
        <f>+_xlfn.XLOOKUP(D105,'BASE DATOS PRECIOS '!B:B,'BASE DATOS PRECIOS '!C:C)</f>
        <v/>
      </c>
      <c r="F105" s="287" t="n">
        <v>38</v>
      </c>
      <c r="G105" s="621">
        <f>+_xlfn.XLOOKUP(D105,'BASE DATOS PRECIOS '!B:B,'BASE DATOS PRECIOS '!D:D)</f>
        <v/>
      </c>
      <c r="H105" s="620">
        <f>+_xlfn.XLOOKUP(E105,'BASE DATOS PRECIOS '!C:C,'BASE DATOS PRECIOS '!F:F)</f>
        <v/>
      </c>
      <c r="I105" s="621" t="n"/>
      <c r="J105" s="621" t="n"/>
      <c r="K105" s="620">
        <f>+F105*H105</f>
        <v/>
      </c>
      <c r="L105" s="620">
        <f>+F105*I105</f>
        <v/>
      </c>
      <c r="M105" s="620">
        <f>+F105*J105</f>
        <v/>
      </c>
      <c r="N105" s="620">
        <f>SUM(K105:M105)</f>
        <v/>
      </c>
      <c r="O105" s="622">
        <f>SUM(K105:M105)/tc</f>
        <v/>
      </c>
      <c r="P105" s="639" t="n"/>
      <c r="Q105" s="639" t="n"/>
      <c r="R105" s="640" t="n"/>
    </row>
    <row r="106" outlineLevel="1">
      <c r="A106" s="278" t="inlineStr">
        <is>
          <t>MAT</t>
        </is>
      </c>
      <c r="B106" s="279" t="n"/>
      <c r="C106" s="578">
        <f>_xlfn.XLOOKUP(D106,'INSUMOS MAT '!B:B,'INSUMOS MAT '!C:C,"ERROR",0)</f>
        <v/>
      </c>
      <c r="D106" s="305" t="inlineStr">
        <is>
          <t>MAT19-0034</t>
        </is>
      </c>
      <c r="E106" s="618">
        <f>+_xlfn.XLOOKUP(D106,'BASE DATOS PRECIOS '!B:B,'BASE DATOS PRECIOS '!C:C)</f>
        <v/>
      </c>
      <c r="F106" s="287">
        <f>12+2</f>
        <v/>
      </c>
      <c r="G106" s="621">
        <f>+_xlfn.XLOOKUP(D106,'BASE DATOS PRECIOS '!B:B,'BASE DATOS PRECIOS '!D:D)</f>
        <v/>
      </c>
      <c r="H106" s="620">
        <f>+_xlfn.XLOOKUP(E106,'BASE DATOS PRECIOS '!C:C,'BASE DATOS PRECIOS '!F:F)</f>
        <v/>
      </c>
      <c r="I106" s="621" t="n"/>
      <c r="J106" s="621" t="n"/>
      <c r="K106" s="620">
        <f>+F106*H106</f>
        <v/>
      </c>
      <c r="L106" s="620">
        <f>+F106*I106</f>
        <v/>
      </c>
      <c r="M106" s="620">
        <f>+F106*J106</f>
        <v/>
      </c>
      <c r="N106" s="620">
        <f>SUM(K106:M106)</f>
        <v/>
      </c>
      <c r="O106" s="622">
        <f>SUM(K106:M106)/tc</f>
        <v/>
      </c>
      <c r="P106" s="639" t="n"/>
      <c r="Q106" s="639" t="n"/>
      <c r="R106" s="640" t="n"/>
    </row>
    <row r="107" outlineLevel="1">
      <c r="A107" s="278" t="inlineStr">
        <is>
          <t>MAT</t>
        </is>
      </c>
      <c r="B107" s="279" t="n"/>
      <c r="C107" s="578">
        <f>_xlfn.XLOOKUP(D107,'INSUMOS MAT '!B:B,'INSUMOS MAT '!C:C,"ERROR",0)</f>
        <v/>
      </c>
      <c r="D107" s="305" t="inlineStr">
        <is>
          <t>MAT19-0030</t>
        </is>
      </c>
      <c r="E107" s="618">
        <f>+_xlfn.XLOOKUP(D107,'BASE DATOS PRECIOS '!B:B,'BASE DATOS PRECIOS '!C:C)</f>
        <v/>
      </c>
      <c r="F107" s="287">
        <f>12+2</f>
        <v/>
      </c>
      <c r="G107" s="621">
        <f>+_xlfn.XLOOKUP(D107,'BASE DATOS PRECIOS '!B:B,'BASE DATOS PRECIOS '!D:D)</f>
        <v/>
      </c>
      <c r="H107" s="620">
        <f>+_xlfn.XLOOKUP(E107,'BASE DATOS PRECIOS '!C:C,'BASE DATOS PRECIOS '!F:F)</f>
        <v/>
      </c>
      <c r="I107" s="621" t="n"/>
      <c r="J107" s="621" t="n"/>
      <c r="K107" s="620">
        <f>+F107*H107</f>
        <v/>
      </c>
      <c r="L107" s="620">
        <f>+F107*I107</f>
        <v/>
      </c>
      <c r="M107" s="620">
        <f>+F107*J107</f>
        <v/>
      </c>
      <c r="N107" s="620">
        <f>SUM(K107:M107)</f>
        <v/>
      </c>
      <c r="O107" s="622">
        <f>SUM(K107:M107)/tc</f>
        <v/>
      </c>
      <c r="P107" s="639" t="n"/>
      <c r="Q107" s="639" t="n"/>
      <c r="R107" s="640" t="n"/>
    </row>
    <row r="108" outlineLevel="1">
      <c r="A108" s="278" t="inlineStr">
        <is>
          <t>MAT</t>
        </is>
      </c>
      <c r="B108" s="279" t="n"/>
      <c r="C108" s="578">
        <f>_xlfn.XLOOKUP(D108,'INSUMOS MAT '!B:B,'INSUMOS MAT '!C:C,"ERROR",0)</f>
        <v/>
      </c>
      <c r="D108" s="305" t="inlineStr">
        <is>
          <t>MAT19-0032</t>
        </is>
      </c>
      <c r="E108" s="618">
        <f>+_xlfn.XLOOKUP(D108,'BASE DATOS PRECIOS '!B:B,'BASE DATOS PRECIOS '!C:C)</f>
        <v/>
      </c>
      <c r="F108" s="287" t="n">
        <v>2</v>
      </c>
      <c r="G108" s="621">
        <f>+_xlfn.XLOOKUP(D108,'BASE DATOS PRECIOS '!B:B,'BASE DATOS PRECIOS '!D:D)</f>
        <v/>
      </c>
      <c r="H108" s="620">
        <f>+_xlfn.XLOOKUP(E108,'BASE DATOS PRECIOS '!C:C,'BASE DATOS PRECIOS '!F:F)</f>
        <v/>
      </c>
      <c r="I108" s="621" t="n"/>
      <c r="J108" s="621" t="n"/>
      <c r="K108" s="620">
        <f>+F108*H108</f>
        <v/>
      </c>
      <c r="L108" s="620">
        <f>+F108*I108</f>
        <v/>
      </c>
      <c r="M108" s="620">
        <f>+F108*J108</f>
        <v/>
      </c>
      <c r="N108" s="620">
        <f>SUM(K108:M108)</f>
        <v/>
      </c>
      <c r="O108" s="622">
        <f>SUM(K108:M108)/tc</f>
        <v/>
      </c>
      <c r="P108" s="639" t="n"/>
      <c r="Q108" s="639" t="n"/>
      <c r="R108" s="640" t="n"/>
    </row>
    <row r="109" outlineLevel="1">
      <c r="A109" s="278" t="inlineStr">
        <is>
          <t>MAT</t>
        </is>
      </c>
      <c r="B109" s="279" t="n"/>
      <c r="C109" s="578">
        <f>_xlfn.XLOOKUP(D109,'INSUMOS MAT '!B:B,'INSUMOS MAT '!C:C,"ERROR",0)</f>
        <v/>
      </c>
      <c r="D109" s="305" t="inlineStr">
        <is>
          <t>MAT19-0107</t>
        </is>
      </c>
      <c r="E109" s="618">
        <f>+_xlfn.XLOOKUP(D109,'BASE DATOS PRECIOS '!B:B,'BASE DATOS PRECIOS '!C:C)</f>
        <v/>
      </c>
      <c r="F109" s="287" t="n">
        <v>8</v>
      </c>
      <c r="G109" s="621">
        <f>+_xlfn.XLOOKUP(D109,'BASE DATOS PRECIOS '!B:B,'BASE DATOS PRECIOS '!D:D)</f>
        <v/>
      </c>
      <c r="H109" s="620">
        <f>+_xlfn.XLOOKUP(E109,'BASE DATOS PRECIOS '!C:C,'BASE DATOS PRECIOS '!F:F)</f>
        <v/>
      </c>
      <c r="I109" s="621" t="n"/>
      <c r="J109" s="621" t="n"/>
      <c r="K109" s="620">
        <f>+F109*H109</f>
        <v/>
      </c>
      <c r="L109" s="620">
        <f>+F109*I109</f>
        <v/>
      </c>
      <c r="M109" s="620">
        <f>+F109*J109</f>
        <v/>
      </c>
      <c r="N109" s="620">
        <f>SUM(K109:M109)</f>
        <v/>
      </c>
      <c r="O109" s="622">
        <f>SUM(K109:M109)/tc</f>
        <v/>
      </c>
      <c r="P109" s="639" t="n"/>
      <c r="Q109" s="639" t="n"/>
      <c r="R109" s="640" t="n"/>
    </row>
    <row r="110" outlineLevel="1">
      <c r="A110" s="278" t="inlineStr">
        <is>
          <t>MAT</t>
        </is>
      </c>
      <c r="B110" s="279" t="n"/>
      <c r="C110" s="578">
        <f>_xlfn.XLOOKUP(D110,'INSUMOS MAT '!B:B,'INSUMOS MAT '!C:C,"ERROR",0)</f>
        <v/>
      </c>
      <c r="D110" s="305" t="inlineStr">
        <is>
          <t>MAT19-0106</t>
        </is>
      </c>
      <c r="E110" s="618">
        <f>+_xlfn.XLOOKUP(D110,'BASE DATOS PRECIOS '!B:B,'BASE DATOS PRECIOS '!C:C)</f>
        <v/>
      </c>
      <c r="F110" s="287" t="n">
        <v>8</v>
      </c>
      <c r="G110" s="621">
        <f>+_xlfn.XLOOKUP(D110,'BASE DATOS PRECIOS '!B:B,'BASE DATOS PRECIOS '!D:D)</f>
        <v/>
      </c>
      <c r="H110" s="620">
        <f>+_xlfn.XLOOKUP(E110,'BASE DATOS PRECIOS '!C:C,'BASE DATOS PRECIOS '!F:F)</f>
        <v/>
      </c>
      <c r="I110" s="621" t="n"/>
      <c r="J110" s="621" t="n"/>
      <c r="K110" s="620">
        <f>+F110*H110</f>
        <v/>
      </c>
      <c r="L110" s="620">
        <f>+F110*I110</f>
        <v/>
      </c>
      <c r="M110" s="620">
        <f>+F110*J110</f>
        <v/>
      </c>
      <c r="N110" s="620">
        <f>SUM(K110:M110)</f>
        <v/>
      </c>
      <c r="O110" s="622">
        <f>SUM(K110:M110)/tc</f>
        <v/>
      </c>
      <c r="P110" s="639" t="n"/>
      <c r="Q110" s="639" t="n"/>
      <c r="R110" s="640" t="n"/>
    </row>
    <row r="111" outlineLevel="1">
      <c r="A111" s="278" t="inlineStr">
        <is>
          <t>MAT</t>
        </is>
      </c>
      <c r="B111" s="279" t="n"/>
      <c r="C111" s="580" t="n"/>
      <c r="D111" s="305" t="inlineStr">
        <is>
          <t>EQU20-0005</t>
        </is>
      </c>
      <c r="E111" s="618">
        <f>+_xlfn.XLOOKUP(D111,'BASE DATOS PRECIOS '!B:B,'BASE DATOS PRECIOS '!C:C)</f>
        <v/>
      </c>
      <c r="F111" s="287" t="n">
        <v>2</v>
      </c>
      <c r="G111" s="621">
        <f>+_xlfn.XLOOKUP(D111,'BASE DATOS PRECIOS '!B:B,'BASE DATOS PRECIOS '!D:D)</f>
        <v/>
      </c>
      <c r="H111" s="620">
        <f>+_xlfn.XLOOKUP(E111,'BASE DATOS PRECIOS '!C:C,'BASE DATOS PRECIOS '!F:F)</f>
        <v/>
      </c>
      <c r="I111" s="621" t="n"/>
      <c r="J111" s="621" t="n"/>
      <c r="K111" s="620">
        <f>+F111*H111</f>
        <v/>
      </c>
      <c r="L111" s="620">
        <f>+F111*I111</f>
        <v/>
      </c>
      <c r="M111" s="620">
        <f>+F111*J111</f>
        <v/>
      </c>
      <c r="N111" s="620">
        <f>SUM(K111:M111)</f>
        <v/>
      </c>
      <c r="O111" s="622">
        <f>SUM(K111:M111)/tc</f>
        <v/>
      </c>
      <c r="P111" s="639" t="n"/>
      <c r="Q111" s="639" t="n"/>
      <c r="R111" s="640" t="n"/>
    </row>
    <row r="112" outlineLevel="1">
      <c r="A112" s="278" t="n"/>
      <c r="B112" s="279" t="n"/>
      <c r="C112" s="578" t="n"/>
      <c r="D112" s="396" t="inlineStr">
        <is>
          <t xml:space="preserve">FORMALETA LOSA   </t>
        </is>
      </c>
      <c r="E112" s="645">
        <f>+_xlfn.XLOOKUP(D112,'BASE DATOS EQUIPOS Y SUBCONTRAT'!A:A,'BASE DATOS EQUIPOS Y SUBCONTRAT'!B:B)</f>
        <v/>
      </c>
      <c r="F112" s="397" t="n">
        <v>1</v>
      </c>
      <c r="G112" s="646">
        <f>+_xlfn.XLOOKUP(D112,'BASE DATOS EQUIPOS Y SUBCONTRAT'!A:A,'BASE DATOS EQUIPOS Y SUBCONTRAT'!C:C)</f>
        <v/>
      </c>
      <c r="H112" s="647" t="n">
        <v>0</v>
      </c>
      <c r="I112" s="646" t="n"/>
      <c r="J112" s="647">
        <f>+_xlfn.XLOOKUP(D112,'BASE DATOS EQUIPOS Y SUBCONTRAT'!A:A,'BASE DATOS EQUIPOS Y SUBCONTRAT'!E:E)</f>
        <v/>
      </c>
      <c r="K112" s="647">
        <f>+F112*H112</f>
        <v/>
      </c>
      <c r="L112" s="647">
        <f>+F112*I112</f>
        <v/>
      </c>
      <c r="M112" s="647">
        <f>+F112*J112</f>
        <v/>
      </c>
      <c r="N112" s="647">
        <f>SUM(K112:M112)</f>
        <v/>
      </c>
      <c r="O112" s="648">
        <f>SUM(K112:M112)/tc</f>
        <v/>
      </c>
      <c r="P112" s="639" t="n"/>
      <c r="Q112" s="639" t="n"/>
      <c r="R112" s="640" t="n"/>
    </row>
    <row r="113" outlineLevel="1">
      <c r="A113" s="278" t="inlineStr">
        <is>
          <t xml:space="preserve">MO </t>
        </is>
      </c>
      <c r="B113" s="282" t="inlineStr">
        <is>
          <t>01-04-01</t>
        </is>
      </c>
      <c r="C113" s="578" t="n"/>
      <c r="D113" s="386" t="inlineStr">
        <is>
          <t xml:space="preserve">OPERARIO </t>
        </is>
      </c>
      <c r="E113" s="632">
        <f>+_xlfn.XLOOKUP(D113,'BASE DATOS MANO DE OBRA'!A:A,'BASE DATOS MANO DE OBRA'!B:B)</f>
        <v/>
      </c>
      <c r="F113" s="388" t="n">
        <v>59.5</v>
      </c>
      <c r="G113" s="633">
        <f>+_xlfn.XLOOKUP(D113,'BASE DATOS MANO DE OBRA'!A:A,'BASE DATOS MANO DE OBRA'!C:C)</f>
        <v/>
      </c>
      <c r="H113" s="634" t="n">
        <v>0</v>
      </c>
      <c r="I113" s="634">
        <f>+_xlfn.XLOOKUP(D113,'BASE DATOS MANO DE OBRA'!A:A,'BASE DATOS MANO DE OBRA'!E:E)</f>
        <v/>
      </c>
      <c r="J113" s="634" t="n">
        <v>0</v>
      </c>
      <c r="K113" s="634">
        <f>+F113*H113</f>
        <v/>
      </c>
      <c r="L113" s="634">
        <f>+F113*I113</f>
        <v/>
      </c>
      <c r="M113" s="634">
        <f>+F113*J113</f>
        <v/>
      </c>
      <c r="N113" s="634">
        <f>SUM(K113:M113)</f>
        <v/>
      </c>
      <c r="O113" s="635">
        <f>SUM(K113:M113)/tc</f>
        <v/>
      </c>
      <c r="P113" s="639" t="n"/>
      <c r="Q113" s="639" t="n"/>
      <c r="R113" s="640" t="n"/>
    </row>
    <row r="114" outlineLevel="1">
      <c r="A114" s="278" t="inlineStr">
        <is>
          <t xml:space="preserve">MO </t>
        </is>
      </c>
      <c r="B114" s="282" t="inlineStr">
        <is>
          <t>01-04-01</t>
        </is>
      </c>
      <c r="C114" s="578" t="n"/>
      <c r="D114" s="386" t="inlineStr">
        <is>
          <t xml:space="preserve">AYUDANTE </t>
        </is>
      </c>
      <c r="E114" s="632">
        <f>+_xlfn.XLOOKUP(D114,'BASE DATOS MANO DE OBRA'!A:A,'BASE DATOS MANO DE OBRA'!B:B)</f>
        <v/>
      </c>
      <c r="F114" s="388" t="n">
        <v>59.5</v>
      </c>
      <c r="G114" s="633">
        <f>+_xlfn.XLOOKUP(D114,'BASE DATOS MANO DE OBRA'!A:A,'BASE DATOS MANO DE OBRA'!C:C)</f>
        <v/>
      </c>
      <c r="H114" s="634" t="n">
        <v>0</v>
      </c>
      <c r="I114" s="634">
        <f>+_xlfn.XLOOKUP(D114,'BASE DATOS MANO DE OBRA'!A:A,'BASE DATOS MANO DE OBRA'!E:E)</f>
        <v/>
      </c>
      <c r="J114" s="634" t="n">
        <v>0</v>
      </c>
      <c r="K114" s="634">
        <f>+F114*H114</f>
        <v/>
      </c>
      <c r="L114" s="634">
        <f>+F114*I114</f>
        <v/>
      </c>
      <c r="M114" s="634">
        <f>+F114*J114</f>
        <v/>
      </c>
      <c r="N114" s="634">
        <f>SUM(K114:M114)</f>
        <v/>
      </c>
      <c r="O114" s="635">
        <f>SUM(K114:M114)/tc</f>
        <v/>
      </c>
      <c r="P114" s="639" t="n"/>
      <c r="Q114" s="639" t="n"/>
      <c r="R114" s="640" t="n"/>
    </row>
    <row r="115" outlineLevel="1">
      <c r="A115" s="278" t="inlineStr">
        <is>
          <t xml:space="preserve">MO </t>
        </is>
      </c>
      <c r="B115" s="282" t="inlineStr">
        <is>
          <t>01-04-02</t>
        </is>
      </c>
      <c r="C115" s="578" t="n"/>
      <c r="D115" s="386" t="inlineStr">
        <is>
          <t xml:space="preserve">OPERARIO </t>
        </is>
      </c>
      <c r="E115" s="632">
        <f>+_xlfn.XLOOKUP(D115,'BASE DATOS MANO DE OBRA'!A:A,'BASE DATOS MANO DE OBRA'!B:B)</f>
        <v/>
      </c>
      <c r="F115" s="388" t="n">
        <v>10.5</v>
      </c>
      <c r="G115" s="633">
        <f>+_xlfn.XLOOKUP(D115,'BASE DATOS MANO DE OBRA'!A:A,'BASE DATOS MANO DE OBRA'!C:C)</f>
        <v/>
      </c>
      <c r="H115" s="634" t="n">
        <v>0</v>
      </c>
      <c r="I115" s="634">
        <f>+_xlfn.XLOOKUP(D115,'BASE DATOS MANO DE OBRA'!A:A,'BASE DATOS MANO DE OBRA'!E:E)</f>
        <v/>
      </c>
      <c r="J115" s="634" t="n">
        <v>0</v>
      </c>
      <c r="K115" s="634">
        <f>+F115*H115</f>
        <v/>
      </c>
      <c r="L115" s="634">
        <f>+F115*I115</f>
        <v/>
      </c>
      <c r="M115" s="634">
        <f>+F115*J115</f>
        <v/>
      </c>
      <c r="N115" s="634">
        <f>SUM(K115:M115)</f>
        <v/>
      </c>
      <c r="O115" s="635">
        <f>SUM(K115:M115)/tc</f>
        <v/>
      </c>
      <c r="P115" s="639" t="n"/>
      <c r="Q115" s="639" t="n"/>
      <c r="R115" s="640" t="n"/>
    </row>
    <row r="116" outlineLevel="1">
      <c r="A116" s="278" t="inlineStr">
        <is>
          <t xml:space="preserve">MO </t>
        </is>
      </c>
      <c r="B116" s="282" t="inlineStr">
        <is>
          <t>01-04-02</t>
        </is>
      </c>
      <c r="C116" s="578" t="n"/>
      <c r="D116" s="386" t="inlineStr">
        <is>
          <t xml:space="preserve">AYUDANTE </t>
        </is>
      </c>
      <c r="E116" s="632">
        <f>+_xlfn.XLOOKUP(D116,'BASE DATOS MANO DE OBRA'!A:A,'BASE DATOS MANO DE OBRA'!B:B)</f>
        <v/>
      </c>
      <c r="F116" s="388" t="n">
        <v>10.5</v>
      </c>
      <c r="G116" s="633">
        <f>+_xlfn.XLOOKUP(D116,'BASE DATOS MANO DE OBRA'!A:A,'BASE DATOS MANO DE OBRA'!C:C)</f>
        <v/>
      </c>
      <c r="H116" s="634" t="n">
        <v>0</v>
      </c>
      <c r="I116" s="634">
        <f>+_xlfn.XLOOKUP(D116,'BASE DATOS MANO DE OBRA'!A:A,'BASE DATOS MANO DE OBRA'!E:E)</f>
        <v/>
      </c>
      <c r="J116" s="634" t="n">
        <v>0</v>
      </c>
      <c r="K116" s="634">
        <f>+F116*H116</f>
        <v/>
      </c>
      <c r="L116" s="634">
        <f>+F116*I116</f>
        <v/>
      </c>
      <c r="M116" s="634">
        <f>+F116*J116</f>
        <v/>
      </c>
      <c r="N116" s="634">
        <f>SUM(K116:M116)</f>
        <v/>
      </c>
      <c r="O116" s="635">
        <f>SUM(K116:M116)/tc</f>
        <v/>
      </c>
      <c r="P116" s="639" t="n"/>
      <c r="Q116" s="639" t="n"/>
      <c r="R116" s="640" t="n"/>
    </row>
    <row r="117" outlineLevel="1">
      <c r="A117" s="278" t="inlineStr">
        <is>
          <t xml:space="preserve">MO </t>
        </is>
      </c>
      <c r="B117" s="282" t="inlineStr">
        <is>
          <t>01-04-03</t>
        </is>
      </c>
      <c r="C117" s="578" t="n"/>
      <c r="D117" s="386" t="inlineStr">
        <is>
          <t xml:space="preserve">OPERARIO </t>
        </is>
      </c>
      <c r="E117" s="632">
        <f>+_xlfn.XLOOKUP(D117,'BASE DATOS MANO DE OBRA'!A:A,'BASE DATOS MANO DE OBRA'!B:B)</f>
        <v/>
      </c>
      <c r="F117" s="388" t="n">
        <v>9</v>
      </c>
      <c r="G117" s="633">
        <f>+_xlfn.XLOOKUP(D117,'BASE DATOS MANO DE OBRA'!A:A,'BASE DATOS MANO DE OBRA'!C:C)</f>
        <v/>
      </c>
      <c r="H117" s="634" t="n">
        <v>0</v>
      </c>
      <c r="I117" s="634">
        <f>+_xlfn.XLOOKUP(D117,'BASE DATOS MANO DE OBRA'!A:A,'BASE DATOS MANO DE OBRA'!E:E)</f>
        <v/>
      </c>
      <c r="J117" s="634" t="n">
        <v>0</v>
      </c>
      <c r="K117" s="634">
        <f>+F117*H117</f>
        <v/>
      </c>
      <c r="L117" s="634">
        <f>+F117*I117</f>
        <v/>
      </c>
      <c r="M117" s="634">
        <f>+F117*J117</f>
        <v/>
      </c>
      <c r="N117" s="634">
        <f>SUM(K117:M117)</f>
        <v/>
      </c>
      <c r="O117" s="635">
        <f>SUM(K117:M117)/tc</f>
        <v/>
      </c>
      <c r="P117" s="639" t="n"/>
      <c r="Q117" s="639" t="n"/>
      <c r="R117" s="640" t="n"/>
    </row>
    <row r="118" outlineLevel="1">
      <c r="A118" s="278" t="inlineStr">
        <is>
          <t xml:space="preserve">MO </t>
        </is>
      </c>
      <c r="B118" s="282" t="inlineStr">
        <is>
          <t>01-04-03</t>
        </is>
      </c>
      <c r="C118" s="578" t="n"/>
      <c r="D118" s="386" t="inlineStr">
        <is>
          <t xml:space="preserve">AYUDANTE </t>
        </is>
      </c>
      <c r="E118" s="632">
        <f>+_xlfn.XLOOKUP(D118,'BASE DATOS MANO DE OBRA'!A:A,'BASE DATOS MANO DE OBRA'!B:B)</f>
        <v/>
      </c>
      <c r="F118" s="388" t="n">
        <v>9</v>
      </c>
      <c r="G118" s="633">
        <f>+_xlfn.XLOOKUP(D118,'BASE DATOS MANO DE OBRA'!A:A,'BASE DATOS MANO DE OBRA'!C:C)</f>
        <v/>
      </c>
      <c r="H118" s="634" t="n">
        <v>0</v>
      </c>
      <c r="I118" s="634">
        <f>+_xlfn.XLOOKUP(D118,'BASE DATOS MANO DE OBRA'!A:A,'BASE DATOS MANO DE OBRA'!E:E)</f>
        <v/>
      </c>
      <c r="J118" s="634" t="n">
        <v>0</v>
      </c>
      <c r="K118" s="634">
        <f>+F118*H118</f>
        <v/>
      </c>
      <c r="L118" s="634">
        <f>+F118*I118</f>
        <v/>
      </c>
      <c r="M118" s="634">
        <f>+F118*J118</f>
        <v/>
      </c>
      <c r="N118" s="634">
        <f>SUM(K118:M118)</f>
        <v/>
      </c>
      <c r="O118" s="635">
        <f>SUM(K118:M118)/tc</f>
        <v/>
      </c>
      <c r="P118" s="639" t="n"/>
      <c r="Q118" s="639" t="n"/>
      <c r="R118" s="640" t="n"/>
    </row>
    <row r="119" outlineLevel="1">
      <c r="A119" s="278" t="inlineStr">
        <is>
          <t xml:space="preserve">MO </t>
        </is>
      </c>
      <c r="B119" s="282" t="inlineStr">
        <is>
          <t>01-04-04</t>
        </is>
      </c>
      <c r="C119" s="578" t="n"/>
      <c r="D119" s="386" t="inlineStr">
        <is>
          <t xml:space="preserve">OPERARIO </t>
        </is>
      </c>
      <c r="E119" s="632">
        <f>+_xlfn.XLOOKUP(D119,'BASE DATOS MANO DE OBRA'!A:A,'BASE DATOS MANO DE OBRA'!B:B)</f>
        <v/>
      </c>
      <c r="F119" s="388" t="n">
        <v>15</v>
      </c>
      <c r="G119" s="633">
        <f>+_xlfn.XLOOKUP(D119,'BASE DATOS MANO DE OBRA'!A:A,'BASE DATOS MANO DE OBRA'!C:C)</f>
        <v/>
      </c>
      <c r="H119" s="634" t="n">
        <v>0</v>
      </c>
      <c r="I119" s="634">
        <f>+_xlfn.XLOOKUP(D119,'BASE DATOS MANO DE OBRA'!A:A,'BASE DATOS MANO DE OBRA'!E:E)</f>
        <v/>
      </c>
      <c r="J119" s="634" t="n">
        <v>0</v>
      </c>
      <c r="K119" s="634">
        <f>+F119*H119</f>
        <v/>
      </c>
      <c r="L119" s="634">
        <f>+F119*I119</f>
        <v/>
      </c>
      <c r="M119" s="634">
        <f>+F119*J119</f>
        <v/>
      </c>
      <c r="N119" s="634">
        <f>SUM(K119:M119)</f>
        <v/>
      </c>
      <c r="O119" s="635">
        <f>SUM(K119:M119)/tc</f>
        <v/>
      </c>
      <c r="P119" s="639" t="n"/>
      <c r="Q119" s="639" t="n"/>
      <c r="R119" s="640" t="n"/>
    </row>
    <row r="120" outlineLevel="1">
      <c r="A120" s="278" t="inlineStr">
        <is>
          <t xml:space="preserve">MO </t>
        </is>
      </c>
      <c r="B120" s="282" t="inlineStr">
        <is>
          <t>01-04-04</t>
        </is>
      </c>
      <c r="C120" s="578" t="n"/>
      <c r="D120" s="386" t="inlineStr">
        <is>
          <t xml:space="preserve">AYUDANTE </t>
        </is>
      </c>
      <c r="E120" s="632">
        <f>+_xlfn.XLOOKUP(D120,'BASE DATOS MANO DE OBRA'!A:A,'BASE DATOS MANO DE OBRA'!B:B)</f>
        <v/>
      </c>
      <c r="F120" s="388" t="n">
        <v>15</v>
      </c>
      <c r="G120" s="633">
        <f>+_xlfn.XLOOKUP(D120,'BASE DATOS MANO DE OBRA'!A:A,'BASE DATOS MANO DE OBRA'!C:C)</f>
        <v/>
      </c>
      <c r="H120" s="634" t="n">
        <v>0</v>
      </c>
      <c r="I120" s="634">
        <f>+_xlfn.XLOOKUP(D120,'BASE DATOS MANO DE OBRA'!A:A,'BASE DATOS MANO DE OBRA'!E:E)</f>
        <v/>
      </c>
      <c r="J120" s="634" t="n">
        <v>0</v>
      </c>
      <c r="K120" s="634">
        <f>+F120*H120</f>
        <v/>
      </c>
      <c r="L120" s="634">
        <f>+F120*I120</f>
        <v/>
      </c>
      <c r="M120" s="634">
        <f>+F120*J120</f>
        <v/>
      </c>
      <c r="N120" s="634">
        <f>SUM(K120:M120)</f>
        <v/>
      </c>
      <c r="O120" s="635">
        <f>SUM(K120:M120)/tc</f>
        <v/>
      </c>
      <c r="P120" s="639" t="n"/>
      <c r="Q120" s="639" t="n"/>
      <c r="R120" s="640" t="n"/>
    </row>
    <row r="121" outlineLevel="1">
      <c r="A121" s="278" t="inlineStr">
        <is>
          <t xml:space="preserve">MO </t>
        </is>
      </c>
      <c r="B121" s="282" t="inlineStr">
        <is>
          <t>01-04-05</t>
        </is>
      </c>
      <c r="C121" s="578" t="n"/>
      <c r="D121" s="386" t="inlineStr">
        <is>
          <t xml:space="preserve">OPERARIO </t>
        </is>
      </c>
      <c r="E121" s="632">
        <f>+_xlfn.XLOOKUP(D121,'BASE DATOS MANO DE OBRA'!A:A,'BASE DATOS MANO DE OBRA'!B:B)</f>
        <v/>
      </c>
      <c r="F121" s="388" t="n">
        <v>6.5</v>
      </c>
      <c r="G121" s="633">
        <f>+_xlfn.XLOOKUP(D121,'BASE DATOS MANO DE OBRA'!A:A,'BASE DATOS MANO DE OBRA'!C:C)</f>
        <v/>
      </c>
      <c r="H121" s="634" t="n">
        <v>0</v>
      </c>
      <c r="I121" s="634">
        <f>+_xlfn.XLOOKUP(D121,'BASE DATOS MANO DE OBRA'!A:A,'BASE DATOS MANO DE OBRA'!E:E)</f>
        <v/>
      </c>
      <c r="J121" s="634" t="n">
        <v>0</v>
      </c>
      <c r="K121" s="634">
        <f>+F121*H121</f>
        <v/>
      </c>
      <c r="L121" s="634">
        <f>+F121*I121</f>
        <v/>
      </c>
      <c r="M121" s="634">
        <f>+F121*J121</f>
        <v/>
      </c>
      <c r="N121" s="634">
        <f>SUM(K121:M121)</f>
        <v/>
      </c>
      <c r="O121" s="635">
        <f>SUM(K121:M121)/tc</f>
        <v/>
      </c>
      <c r="P121" s="639" t="n"/>
      <c r="Q121" s="639" t="n"/>
      <c r="R121" s="640" t="n"/>
    </row>
    <row r="122" outlineLevel="1">
      <c r="A122" s="278" t="inlineStr">
        <is>
          <t xml:space="preserve">MO </t>
        </is>
      </c>
      <c r="B122" s="282" t="inlineStr">
        <is>
          <t>01-04-05</t>
        </is>
      </c>
      <c r="C122" s="578" t="n"/>
      <c r="D122" s="386" t="inlineStr">
        <is>
          <t xml:space="preserve">AYUDANTE </t>
        </is>
      </c>
      <c r="E122" s="632">
        <f>+_xlfn.XLOOKUP(D122,'BASE DATOS MANO DE OBRA'!A:A,'BASE DATOS MANO DE OBRA'!B:B)</f>
        <v/>
      </c>
      <c r="F122" s="388" t="n">
        <v>6.5</v>
      </c>
      <c r="G122" s="633">
        <f>+_xlfn.XLOOKUP(D122,'BASE DATOS MANO DE OBRA'!A:A,'BASE DATOS MANO DE OBRA'!C:C)</f>
        <v/>
      </c>
      <c r="H122" s="634" t="n">
        <v>0</v>
      </c>
      <c r="I122" s="634">
        <f>+_xlfn.XLOOKUP(D122,'BASE DATOS MANO DE OBRA'!A:A,'BASE DATOS MANO DE OBRA'!E:E)</f>
        <v/>
      </c>
      <c r="J122" s="634" t="n">
        <v>0</v>
      </c>
      <c r="K122" s="634">
        <f>+F122*H122</f>
        <v/>
      </c>
      <c r="L122" s="634">
        <f>+F122*I122</f>
        <v/>
      </c>
      <c r="M122" s="634">
        <f>+F122*J122</f>
        <v/>
      </c>
      <c r="N122" s="634">
        <f>SUM(K122:M122)</f>
        <v/>
      </c>
      <c r="O122" s="635">
        <f>SUM(K122:M122)/tc</f>
        <v/>
      </c>
      <c r="P122" s="639" t="n"/>
      <c r="Q122" s="639" t="n"/>
      <c r="R122" s="640" t="n"/>
    </row>
    <row r="123">
      <c r="A123" s="278" t="n"/>
      <c r="B123" s="282" t="inlineStr">
        <is>
          <t>02</t>
        </is>
      </c>
      <c r="C123" s="578" t="n"/>
      <c r="D123" s="372" t="n">
        <v>2</v>
      </c>
      <c r="E123" s="373" t="inlineStr">
        <is>
          <t xml:space="preserve">SUPERESTRUCTURA PRIMER NIVEL </t>
        </is>
      </c>
      <c r="F123" s="374" t="n"/>
      <c r="G123" s="375" t="n"/>
      <c r="H123" s="375" t="n"/>
      <c r="I123" s="375" t="n"/>
      <c r="J123" s="375" t="n"/>
      <c r="K123" s="612">
        <f>K124+K154+K169</f>
        <v/>
      </c>
      <c r="L123" s="612">
        <f>L124+L154+L169</f>
        <v/>
      </c>
      <c r="M123" s="612">
        <f>M124+M154+M169</f>
        <v/>
      </c>
      <c r="N123" s="612">
        <f>N124+N154+N169</f>
        <v/>
      </c>
      <c r="O123" s="612">
        <f>O124+O154+O169</f>
        <v/>
      </c>
      <c r="P123" s="610" t="n"/>
      <c r="Q123" s="610" t="n"/>
      <c r="R123" s="281" t="n"/>
    </row>
    <row r="124">
      <c r="A124" s="278" t="n"/>
      <c r="B124" s="282" t="inlineStr">
        <is>
          <t>02-01</t>
        </is>
      </c>
      <c r="C124" s="578" t="n"/>
      <c r="D124" s="307" t="inlineStr">
        <is>
          <t xml:space="preserve">2.1 </t>
        </is>
      </c>
      <c r="E124" s="308" t="inlineStr">
        <is>
          <t>ACERO EN PAREDES MUROS N1 (ELECTROMECANICO)</t>
        </is>
      </c>
      <c r="F124" s="309" t="n">
        <v>1</v>
      </c>
      <c r="G124" s="310" t="inlineStr">
        <is>
          <t>gb</t>
        </is>
      </c>
      <c r="H124" s="310" t="n"/>
      <c r="I124" s="310" t="n"/>
      <c r="J124" s="310" t="n"/>
      <c r="K124" s="636">
        <f>SUM(K126:K153)</f>
        <v/>
      </c>
      <c r="L124" s="636">
        <f>SUM(L126:L153)</f>
        <v/>
      </c>
      <c r="M124" s="636">
        <f>SUM(M126:M153)</f>
        <v/>
      </c>
      <c r="N124" s="636">
        <f>SUM(N126:N153)</f>
        <v/>
      </c>
      <c r="O124" s="615">
        <f>SUM(O126:O153)</f>
        <v/>
      </c>
      <c r="P124" s="610" t="n"/>
      <c r="Q124" s="610" t="n"/>
    </row>
    <row r="125" outlineLevel="1">
      <c r="A125" s="278" t="n"/>
      <c r="B125" s="282" t="n"/>
      <c r="C125" s="578" t="n"/>
      <c r="D125" s="292" t="n"/>
      <c r="E125" s="293" t="inlineStr">
        <is>
          <t>ACERO</t>
        </is>
      </c>
      <c r="F125" s="294" t="n"/>
      <c r="G125" s="295" t="n"/>
      <c r="H125" s="295" t="n"/>
      <c r="I125" s="295" t="n"/>
      <c r="J125" s="295" t="n"/>
      <c r="K125" s="637" t="n"/>
      <c r="L125" s="637" t="n"/>
      <c r="M125" s="637" t="n"/>
      <c r="N125" s="637" t="n"/>
      <c r="O125" s="638" t="n"/>
      <c r="P125" s="610" t="n"/>
      <c r="Q125" s="610" t="n"/>
    </row>
    <row r="126" outlineLevel="1">
      <c r="A126" s="278" t="inlineStr">
        <is>
          <t>MAT</t>
        </is>
      </c>
      <c r="B126" s="282" t="n"/>
      <c r="C126" s="578">
        <f>_xlfn.XLOOKUP(D126,'INSUMOS MAT '!B:B,'INSUMOS MAT '!C:C,"ERROR",0)</f>
        <v/>
      </c>
      <c r="D126" s="306" t="inlineStr">
        <is>
          <t>MAT02-0025</t>
        </is>
      </c>
      <c r="E126" s="623">
        <f>+_xlfn.XLOOKUP(D126,'BASE DATOS PRECIOS '!B:B,'BASE DATOS PRECIOS '!C:C)</f>
        <v/>
      </c>
      <c r="F126" s="287" t="n">
        <v>40</v>
      </c>
      <c r="G126" s="626">
        <f>+_xlfn.XLOOKUP(D126,'BASE DATOS PRECIOS '!B:B,'BASE DATOS PRECIOS '!D:D)</f>
        <v/>
      </c>
      <c r="H126" s="625">
        <f>+_xlfn.XLOOKUP(E126,'BASE DATOS PRECIOS '!C:C,'BASE DATOS PRECIOS '!F:F)</f>
        <v/>
      </c>
      <c r="I126" s="626" t="n"/>
      <c r="J126" s="626" t="n"/>
      <c r="K126" s="625">
        <f>+F126*H126</f>
        <v/>
      </c>
      <c r="L126" s="625">
        <f>+F126*I126</f>
        <v/>
      </c>
      <c r="M126" s="625">
        <f>+F126*J126</f>
        <v/>
      </c>
      <c r="N126" s="625">
        <f>SUM(K126:M126)</f>
        <v/>
      </c>
      <c r="O126" s="627">
        <f>SUM(K126:M126)/tc</f>
        <v/>
      </c>
    </row>
    <row r="127" outlineLevel="1">
      <c r="A127" s="278" t="inlineStr">
        <is>
          <t>MAT</t>
        </is>
      </c>
      <c r="B127" s="282" t="n"/>
      <c r="C127" s="578">
        <f>_xlfn.XLOOKUP(D127,'INSUMOS MAT '!B:B,'INSUMOS MAT '!C:C,"ERROR",0)</f>
        <v/>
      </c>
      <c r="D127" s="306" t="inlineStr">
        <is>
          <t>MAT02-0026</t>
        </is>
      </c>
      <c r="E127" s="623">
        <f>+_xlfn.XLOOKUP(D127,'BASE DATOS PRECIOS '!B:B,'BASE DATOS PRECIOS '!C:C)</f>
        <v/>
      </c>
      <c r="F127" s="287">
        <f>65+47+10+3</f>
        <v/>
      </c>
      <c r="G127" s="626">
        <f>+_xlfn.XLOOKUP(D127,'BASE DATOS PRECIOS '!B:B,'BASE DATOS PRECIOS '!D:D)</f>
        <v/>
      </c>
      <c r="H127" s="625">
        <f>+_xlfn.XLOOKUP(E127,'BASE DATOS PRECIOS '!C:C,'BASE DATOS PRECIOS '!F:F)</f>
        <v/>
      </c>
      <c r="I127" s="626" t="n"/>
      <c r="J127" s="626" t="n"/>
      <c r="K127" s="625">
        <f>+F127*H127</f>
        <v/>
      </c>
      <c r="L127" s="625">
        <f>+F127*I127</f>
        <v/>
      </c>
      <c r="M127" s="625">
        <f>+F127*J127</f>
        <v/>
      </c>
      <c r="N127" s="625">
        <f>SUM(K127:M127)</f>
        <v/>
      </c>
      <c r="O127" s="627">
        <f>SUM(K127:M127)/tc</f>
        <v/>
      </c>
    </row>
    <row r="128" outlineLevel="1">
      <c r="A128" s="278" t="inlineStr">
        <is>
          <t>MAT</t>
        </is>
      </c>
      <c r="B128" s="282" t="n"/>
      <c r="C128" s="578">
        <f>_xlfn.XLOOKUP(D128,'INSUMOS MAT '!B:B,'INSUMOS MAT '!C:C,"ERROR",0)</f>
        <v/>
      </c>
      <c r="D128" s="306" t="inlineStr">
        <is>
          <t>MAT02-0029</t>
        </is>
      </c>
      <c r="E128" s="623">
        <f>+_xlfn.XLOOKUP(D128,'BASE DATOS PRECIOS '!B:B,'BASE DATOS PRECIOS '!C:C)</f>
        <v/>
      </c>
      <c r="F128" s="287">
        <f>40+3</f>
        <v/>
      </c>
      <c r="G128" s="626">
        <f>+_xlfn.XLOOKUP(D128,'BASE DATOS PRECIOS '!B:B,'BASE DATOS PRECIOS '!D:D)</f>
        <v/>
      </c>
      <c r="H128" s="625">
        <f>+_xlfn.XLOOKUP(E128,'BASE DATOS PRECIOS '!C:C,'BASE DATOS PRECIOS '!F:F)</f>
        <v/>
      </c>
      <c r="I128" s="626" t="n"/>
      <c r="J128" s="626" t="n"/>
      <c r="K128" s="625">
        <f>+F128*H128</f>
        <v/>
      </c>
      <c r="L128" s="625">
        <f>+F128*I128</f>
        <v/>
      </c>
      <c r="M128" s="625">
        <f>+F128*J128</f>
        <v/>
      </c>
      <c r="N128" s="625">
        <f>SUM(K128:M128)</f>
        <v/>
      </c>
      <c r="O128" s="627">
        <f>SUM(K128:M128)/tc</f>
        <v/>
      </c>
    </row>
    <row r="129" outlineLevel="1">
      <c r="A129" s="278" t="inlineStr">
        <is>
          <t>MAT</t>
        </is>
      </c>
      <c r="B129" s="282" t="n"/>
      <c r="C129" s="578">
        <f>_xlfn.XLOOKUP(D129,'INSUMOS MAT '!B:B,'INSUMOS MAT '!C:C,"ERROR",0)</f>
        <v/>
      </c>
      <c r="D129" s="306" t="inlineStr">
        <is>
          <t>MAT02-0001</t>
        </is>
      </c>
      <c r="E129" s="623">
        <f>+_xlfn.XLOOKUP(D129,'BASE DATOS PRECIOS '!B:B,'BASE DATOS PRECIOS '!C:C)</f>
        <v/>
      </c>
      <c r="F129" s="287">
        <f>20+8+10+2</f>
        <v/>
      </c>
      <c r="G129" s="626">
        <f>+_xlfn.XLOOKUP(D129,'BASE DATOS PRECIOS '!B:B,'BASE DATOS PRECIOS '!D:D)</f>
        <v/>
      </c>
      <c r="H129" s="625">
        <f>+_xlfn.XLOOKUP(E129,'BASE DATOS PRECIOS '!C:C,'BASE DATOS PRECIOS '!F:F)</f>
        <v/>
      </c>
      <c r="I129" s="626" t="n"/>
      <c r="J129" s="626" t="n"/>
      <c r="K129" s="625">
        <f>+F129*H129</f>
        <v/>
      </c>
      <c r="L129" s="625">
        <f>+F129*I129</f>
        <v/>
      </c>
      <c r="M129" s="625">
        <f>+F129*J129</f>
        <v/>
      </c>
      <c r="N129" s="625">
        <f>SUM(K129:M129)</f>
        <v/>
      </c>
      <c r="O129" s="627">
        <f>SUM(K129:M129)/tc</f>
        <v/>
      </c>
    </row>
    <row r="130" outlineLevel="1">
      <c r="A130" s="278" t="inlineStr">
        <is>
          <t>MAT</t>
        </is>
      </c>
      <c r="B130" s="282" t="n"/>
      <c r="C130" s="578">
        <f>_xlfn.XLOOKUP(D130,'INSUMOS MAT '!B:B,'INSUMOS MAT '!C:C,"ERROR",0)</f>
        <v/>
      </c>
      <c r="D130" s="306" t="inlineStr">
        <is>
          <t>MAT08-0446</t>
        </is>
      </c>
      <c r="E130" s="623">
        <f>+_xlfn.XLOOKUP(D130,'BASE DATOS PRECIOS '!B:B,'BASE DATOS PRECIOS '!C:C)</f>
        <v/>
      </c>
      <c r="F130" s="301" t="n">
        <v>1</v>
      </c>
      <c r="G130" s="626">
        <f>+_xlfn.XLOOKUP(D130,'BASE DATOS PRECIOS '!B:B,'BASE DATOS PRECIOS '!D:D)</f>
        <v/>
      </c>
      <c r="H130" s="625">
        <f>+_xlfn.XLOOKUP(E130,'BASE DATOS PRECIOS '!C:C,'BASE DATOS PRECIOS '!F:F)</f>
        <v/>
      </c>
      <c r="I130" s="626" t="n"/>
      <c r="J130" s="626" t="n"/>
      <c r="K130" s="625">
        <f>+F130*H130</f>
        <v/>
      </c>
      <c r="L130" s="625">
        <f>+F130*I130</f>
        <v/>
      </c>
      <c r="M130" s="625">
        <f>+F130*J130</f>
        <v/>
      </c>
      <c r="N130" s="625">
        <f>SUM(K130:M130)</f>
        <v/>
      </c>
      <c r="O130" s="627">
        <f>SUM(K130:M130)/tc</f>
        <v/>
      </c>
    </row>
    <row r="131" outlineLevel="1">
      <c r="A131" s="278" t="inlineStr">
        <is>
          <t>MAT</t>
        </is>
      </c>
      <c r="B131" s="282" t="n"/>
      <c r="C131" s="578">
        <f>_xlfn.XLOOKUP(D131,'INSUMOS MAT '!B:B,'INSUMOS MAT '!C:C,"ERROR",0)</f>
        <v/>
      </c>
      <c r="D131" s="306" t="inlineStr">
        <is>
          <t>MAT08-0038</t>
        </is>
      </c>
      <c r="E131" s="623">
        <f>+_xlfn.XLOOKUP(D131,'BASE DATOS PRECIOS '!B:B,'BASE DATOS PRECIOS '!C:C)</f>
        <v/>
      </c>
      <c r="F131" s="301" t="n">
        <v>5</v>
      </c>
      <c r="G131" s="626">
        <f>+_xlfn.XLOOKUP(D131,'BASE DATOS PRECIOS '!B:B,'BASE DATOS PRECIOS '!D:D)</f>
        <v/>
      </c>
      <c r="H131" s="625">
        <f>+_xlfn.XLOOKUP(E131,'BASE DATOS PRECIOS '!C:C,'BASE DATOS PRECIOS '!F:F)</f>
        <v/>
      </c>
      <c r="I131" s="626" t="n"/>
      <c r="J131" s="626" t="n"/>
      <c r="K131" s="625">
        <f>+F131*H131</f>
        <v/>
      </c>
      <c r="L131" s="625">
        <f>+F131*I131</f>
        <v/>
      </c>
      <c r="M131" s="625">
        <f>+F131*J131</f>
        <v/>
      </c>
      <c r="N131" s="625">
        <f>SUM(K131:M131)</f>
        <v/>
      </c>
      <c r="O131" s="627">
        <f>SUM(K131:M131)/tc</f>
        <v/>
      </c>
    </row>
    <row r="132" outlineLevel="1">
      <c r="A132" s="278" t="n"/>
      <c r="B132" s="282" t="n"/>
      <c r="C132" s="578" t="n"/>
      <c r="D132" s="292" t="n"/>
      <c r="E132" s="293" t="inlineStr">
        <is>
          <t>ELECTROMECANICO (MECÁNICO Y ELÉCTRICO)</t>
        </is>
      </c>
      <c r="F132" s="294" t="n"/>
      <c r="G132" s="295" t="n"/>
      <c r="H132" s="295" t="n"/>
      <c r="I132" s="295" t="n"/>
      <c r="J132" s="295" t="n"/>
      <c r="K132" s="637" t="n"/>
      <c r="L132" s="637" t="n"/>
      <c r="M132" s="637" t="n"/>
      <c r="N132" s="637" t="n"/>
      <c r="O132" s="638" t="n"/>
    </row>
    <row r="133" outlineLevel="1">
      <c r="A133" s="278" t="inlineStr">
        <is>
          <t>MAT</t>
        </is>
      </c>
      <c r="B133" s="282" t="n"/>
      <c r="C133" s="578">
        <f>_xlfn.XLOOKUP(D133,'INSUMOS MAT '!B:B,'INSUMOS MAT '!C:C,"ERROR",0)</f>
        <v/>
      </c>
      <c r="D133" s="306" t="inlineStr">
        <is>
          <t>MAT19-0073</t>
        </is>
      </c>
      <c r="E133" s="623">
        <f>+_xlfn.XLOOKUP(D133,'BASE DATOS PRECIOS '!B:B,'BASE DATOS PRECIOS '!C:C)</f>
        <v/>
      </c>
      <c r="F133" s="287" t="n">
        <v>10</v>
      </c>
      <c r="G133" s="626">
        <f>+_xlfn.XLOOKUP(D133,'BASE DATOS PRECIOS '!B:B,'BASE DATOS PRECIOS '!D:D)</f>
        <v/>
      </c>
      <c r="H133" s="625">
        <f>+_xlfn.XLOOKUP(E133,'BASE DATOS PRECIOS '!C:C,'BASE DATOS PRECIOS '!F:F)</f>
        <v/>
      </c>
      <c r="I133" s="626" t="n"/>
      <c r="J133" s="626" t="n"/>
      <c r="K133" s="625">
        <f>+F133*H133</f>
        <v/>
      </c>
      <c r="L133" s="625">
        <f>+F133*I133</f>
        <v/>
      </c>
      <c r="M133" s="625">
        <f>+F133*J133</f>
        <v/>
      </c>
      <c r="N133" s="625">
        <f>SUM(K133:M133)</f>
        <v/>
      </c>
      <c r="O133" s="627">
        <f>SUM(K133:M133)/tc</f>
        <v/>
      </c>
    </row>
    <row r="134" outlineLevel="1">
      <c r="A134" s="278" t="inlineStr">
        <is>
          <t>MAT</t>
        </is>
      </c>
      <c r="B134" s="282" t="n"/>
      <c r="C134" s="578">
        <f>_xlfn.XLOOKUP(D134,'INSUMOS MAT '!B:B,'INSUMOS MAT '!C:C,"ERROR",0)</f>
        <v/>
      </c>
      <c r="D134" s="306" t="inlineStr">
        <is>
          <t>MAT19-0072</t>
        </is>
      </c>
      <c r="E134" s="623">
        <f>+_xlfn.XLOOKUP(D134,'BASE DATOS PRECIOS '!B:B,'BASE DATOS PRECIOS '!C:C)</f>
        <v/>
      </c>
      <c r="F134" s="287" t="n">
        <v>3</v>
      </c>
      <c r="G134" s="626">
        <f>+_xlfn.XLOOKUP(D134,'BASE DATOS PRECIOS '!B:B,'BASE DATOS PRECIOS '!D:D)</f>
        <v/>
      </c>
      <c r="H134" s="625">
        <f>+_xlfn.XLOOKUP(E134,'BASE DATOS PRECIOS '!C:C,'BASE DATOS PRECIOS '!F:F)</f>
        <v/>
      </c>
      <c r="I134" s="626" t="n"/>
      <c r="J134" s="626" t="n"/>
      <c r="K134" s="625">
        <f>+F134*H134</f>
        <v/>
      </c>
      <c r="L134" s="625">
        <f>+F134*I134</f>
        <v/>
      </c>
      <c r="M134" s="625">
        <f>+F134*J134</f>
        <v/>
      </c>
      <c r="N134" s="625">
        <f>SUM(K134:M134)</f>
        <v/>
      </c>
      <c r="O134" s="627">
        <f>SUM(K134:M134)/tc</f>
        <v/>
      </c>
    </row>
    <row r="135" outlineLevel="1">
      <c r="A135" s="278" t="inlineStr">
        <is>
          <t>MAT</t>
        </is>
      </c>
      <c r="B135" s="282" t="n"/>
      <c r="C135" s="578">
        <f>_xlfn.XLOOKUP(D135,'INSUMOS MAT '!B:B,'INSUMOS MAT '!C:C,"ERROR",0)</f>
        <v/>
      </c>
      <c r="D135" s="306" t="inlineStr">
        <is>
          <t>MAT19-0011</t>
        </is>
      </c>
      <c r="E135" s="623">
        <f>+_xlfn.XLOOKUP(D135,'BASE DATOS PRECIOS '!B:B,'BASE DATOS PRECIOS '!C:C)</f>
        <v/>
      </c>
      <c r="F135" s="287" t="n">
        <v>14</v>
      </c>
      <c r="G135" s="626">
        <f>+_xlfn.XLOOKUP(D135,'BASE DATOS PRECIOS '!B:B,'BASE DATOS PRECIOS '!D:D)</f>
        <v/>
      </c>
      <c r="H135" s="625">
        <f>+_xlfn.XLOOKUP(E135,'BASE DATOS PRECIOS '!C:C,'BASE DATOS PRECIOS '!F:F)</f>
        <v/>
      </c>
      <c r="I135" s="626" t="n"/>
      <c r="J135" s="626" t="n"/>
      <c r="K135" s="625">
        <f>+F135*H135</f>
        <v/>
      </c>
      <c r="L135" s="625">
        <f>+F135*I135</f>
        <v/>
      </c>
      <c r="M135" s="625">
        <f>+F135*J135</f>
        <v/>
      </c>
      <c r="N135" s="625">
        <f>SUM(K135:M135)</f>
        <v/>
      </c>
      <c r="O135" s="627">
        <f>SUM(K135:M135)/tc</f>
        <v/>
      </c>
    </row>
    <row r="136" outlineLevel="1">
      <c r="A136" s="278" t="inlineStr">
        <is>
          <t>MAT</t>
        </is>
      </c>
      <c r="B136" s="282" t="n"/>
      <c r="C136" s="578">
        <f>_xlfn.XLOOKUP(D136,'INSUMOS MAT '!B:B,'INSUMOS MAT '!C:C,"ERROR",0)</f>
        <v/>
      </c>
      <c r="D136" s="306" t="inlineStr">
        <is>
          <t>MAT19-0009</t>
        </is>
      </c>
      <c r="E136" s="623">
        <f>+_xlfn.XLOOKUP(D136,'BASE DATOS PRECIOS '!B:B,'BASE DATOS PRECIOS '!C:C)</f>
        <v/>
      </c>
      <c r="F136" s="287" t="n">
        <v>6</v>
      </c>
      <c r="G136" s="626">
        <f>+_xlfn.XLOOKUP(D136,'BASE DATOS PRECIOS '!B:B,'BASE DATOS PRECIOS '!D:D)</f>
        <v/>
      </c>
      <c r="H136" s="625">
        <f>+_xlfn.XLOOKUP(E136,'BASE DATOS PRECIOS '!C:C,'BASE DATOS PRECIOS '!F:F)</f>
        <v/>
      </c>
      <c r="I136" s="626" t="n"/>
      <c r="J136" s="626" t="n"/>
      <c r="K136" s="625">
        <f>+F136*H136</f>
        <v/>
      </c>
      <c r="L136" s="625">
        <f>+F136*I136</f>
        <v/>
      </c>
      <c r="M136" s="625">
        <f>+F136*J136</f>
        <v/>
      </c>
      <c r="N136" s="625">
        <f>SUM(K136:M136)</f>
        <v/>
      </c>
      <c r="O136" s="627">
        <f>SUM(K136:M136)/tc</f>
        <v/>
      </c>
    </row>
    <row r="137" outlineLevel="1">
      <c r="A137" s="278" t="inlineStr">
        <is>
          <t>MAT</t>
        </is>
      </c>
      <c r="B137" s="282" t="n"/>
      <c r="C137" s="578">
        <f>_xlfn.XLOOKUP(D137,'INSUMOS MAT '!B:B,'INSUMOS MAT '!C:C,"ERROR",0)</f>
        <v/>
      </c>
      <c r="D137" s="306" t="inlineStr">
        <is>
          <t>MAT19-0061</t>
        </is>
      </c>
      <c r="E137" s="623">
        <f>+_xlfn.XLOOKUP(D137,'BASE DATOS PRECIOS '!B:B,'BASE DATOS PRECIOS '!C:C)</f>
        <v/>
      </c>
      <c r="F137" s="287" t="n">
        <v>10</v>
      </c>
      <c r="G137" s="626">
        <f>+_xlfn.XLOOKUP(D137,'BASE DATOS PRECIOS '!B:B,'BASE DATOS PRECIOS '!D:D)</f>
        <v/>
      </c>
      <c r="H137" s="625">
        <f>+_xlfn.XLOOKUP(E137,'BASE DATOS PRECIOS '!C:C,'BASE DATOS PRECIOS '!F:F)</f>
        <v/>
      </c>
      <c r="I137" s="626" t="n"/>
      <c r="J137" s="626" t="n"/>
      <c r="K137" s="625">
        <f>+F137*H137</f>
        <v/>
      </c>
      <c r="L137" s="625">
        <f>+F137*I137</f>
        <v/>
      </c>
      <c r="M137" s="625">
        <f>+F137*J137</f>
        <v/>
      </c>
      <c r="N137" s="625">
        <f>SUM(K137:M137)</f>
        <v/>
      </c>
      <c r="O137" s="627">
        <f>SUM(K137:M137)/tc</f>
        <v/>
      </c>
    </row>
    <row r="138" outlineLevel="1">
      <c r="A138" s="278" t="inlineStr">
        <is>
          <t>MAT</t>
        </is>
      </c>
      <c r="B138" s="282" t="n"/>
      <c r="C138" s="578">
        <f>_xlfn.XLOOKUP(D138,'INSUMOS MAT '!B:B,'INSUMOS MAT '!C:C,"ERROR",0)</f>
        <v/>
      </c>
      <c r="D138" s="306" t="inlineStr">
        <is>
          <t>MAT19-0066</t>
        </is>
      </c>
      <c r="E138" s="623">
        <f>+_xlfn.XLOOKUP(D138,'BASE DATOS PRECIOS '!B:B,'BASE DATOS PRECIOS '!C:C)</f>
        <v/>
      </c>
      <c r="F138" s="287" t="n">
        <v>9</v>
      </c>
      <c r="G138" s="626">
        <f>+_xlfn.XLOOKUP(D138,'BASE DATOS PRECIOS '!B:B,'BASE DATOS PRECIOS '!D:D)</f>
        <v/>
      </c>
      <c r="H138" s="625">
        <f>+_xlfn.XLOOKUP(E138,'BASE DATOS PRECIOS '!C:C,'BASE DATOS PRECIOS '!F:F)</f>
        <v/>
      </c>
      <c r="I138" s="626" t="n"/>
      <c r="J138" s="626" t="n"/>
      <c r="K138" s="625">
        <f>+F138*H138</f>
        <v/>
      </c>
      <c r="L138" s="625">
        <f>+F138*I138</f>
        <v/>
      </c>
      <c r="M138" s="625">
        <f>+F138*J138</f>
        <v/>
      </c>
      <c r="N138" s="625">
        <f>SUM(K138:M138)</f>
        <v/>
      </c>
      <c r="O138" s="627">
        <f>SUM(K138:M138)/tc</f>
        <v/>
      </c>
    </row>
    <row r="139" outlineLevel="1">
      <c r="A139" s="278" t="inlineStr">
        <is>
          <t>MAT</t>
        </is>
      </c>
      <c r="B139" s="282" t="n"/>
      <c r="C139" s="578">
        <f>_xlfn.XLOOKUP(D139,'INSUMOS MAT '!B:B,'INSUMOS MAT '!C:C,"ERROR",0)</f>
        <v/>
      </c>
      <c r="D139" s="306" t="inlineStr">
        <is>
          <t>MAT19-0088</t>
        </is>
      </c>
      <c r="E139" s="623">
        <f>+_xlfn.XLOOKUP(D139,'BASE DATOS PRECIOS '!B:B,'BASE DATOS PRECIOS '!C:C)</f>
        <v/>
      </c>
      <c r="F139" s="287" t="n">
        <v>1</v>
      </c>
      <c r="G139" s="626">
        <f>+_xlfn.XLOOKUP(D139,'BASE DATOS PRECIOS '!B:B,'BASE DATOS PRECIOS '!D:D)</f>
        <v/>
      </c>
      <c r="H139" s="625">
        <f>+_xlfn.XLOOKUP(E139,'BASE DATOS PRECIOS '!C:C,'BASE DATOS PRECIOS '!F:F)</f>
        <v/>
      </c>
      <c r="I139" s="626" t="n"/>
      <c r="J139" s="626" t="n"/>
      <c r="K139" s="625">
        <f>+F139*H139</f>
        <v/>
      </c>
      <c r="L139" s="625">
        <f>+F139*I139</f>
        <v/>
      </c>
      <c r="M139" s="625">
        <f>+F139*J139</f>
        <v/>
      </c>
      <c r="N139" s="625">
        <f>SUM(K139:M139)</f>
        <v/>
      </c>
      <c r="O139" s="627">
        <f>SUM(K139:M139)/tc</f>
        <v/>
      </c>
    </row>
    <row r="140" outlineLevel="1">
      <c r="A140" s="278" t="inlineStr">
        <is>
          <t>MAT</t>
        </is>
      </c>
      <c r="B140" s="282" t="n"/>
      <c r="C140" s="578">
        <f>_xlfn.XLOOKUP(D140,'INSUMOS MAT '!B:B,'INSUMOS MAT '!C:C,"ERROR",0)</f>
        <v/>
      </c>
      <c r="D140" s="314" t="inlineStr">
        <is>
          <t>MAT19-0094</t>
        </is>
      </c>
      <c r="E140" s="649">
        <f>+_xlfn.XLOOKUP(D140,'BASE DATOS PRECIOS '!B:B,'BASE DATOS PRECIOS '!C:C)</f>
        <v/>
      </c>
      <c r="F140" s="316" t="n">
        <v>1</v>
      </c>
      <c r="G140" s="650">
        <f>+_xlfn.XLOOKUP(D140,'BASE DATOS PRECIOS '!B:B,'BASE DATOS PRECIOS '!D:D)</f>
        <v/>
      </c>
      <c r="H140" s="651">
        <f>+_xlfn.XLOOKUP(E140,'BASE DATOS PRECIOS '!C:C,'BASE DATOS PRECIOS '!F:F)</f>
        <v/>
      </c>
      <c r="I140" s="650" t="n"/>
      <c r="J140" s="650" t="n"/>
      <c r="K140" s="651">
        <f>+F140*H140</f>
        <v/>
      </c>
      <c r="L140" s="651">
        <f>+F140*I140</f>
        <v/>
      </c>
      <c r="M140" s="651">
        <f>+F140*J140</f>
        <v/>
      </c>
      <c r="N140" s="651">
        <f>SUM(K140:M140)</f>
        <v/>
      </c>
      <c r="O140" s="652">
        <f>SUM(K140:M140)/tc</f>
        <v/>
      </c>
    </row>
    <row r="141" outlineLevel="1">
      <c r="A141" s="278" t="inlineStr">
        <is>
          <t>MAT</t>
        </is>
      </c>
      <c r="B141" s="282" t="n"/>
      <c r="C141" s="578">
        <f>_xlfn.XLOOKUP(D141,'INSUMOS MAT '!B:B,'INSUMOS MAT '!C:C,"ERROR",0)</f>
        <v/>
      </c>
      <c r="D141" s="314" t="inlineStr">
        <is>
          <t>MAT19-0124</t>
        </is>
      </c>
      <c r="E141" s="649">
        <f>+_xlfn.XLOOKUP(D141,'BASE DATOS PRECIOS '!B:B,'BASE DATOS PRECIOS '!C:C)</f>
        <v/>
      </c>
      <c r="F141" s="316" t="n">
        <v>3</v>
      </c>
      <c r="G141" s="650">
        <f>+_xlfn.XLOOKUP(D141,'BASE DATOS PRECIOS '!B:B,'BASE DATOS PRECIOS '!D:D)</f>
        <v/>
      </c>
      <c r="H141" s="651">
        <f>+_xlfn.XLOOKUP(E141,'BASE DATOS PRECIOS '!C:C,'BASE DATOS PRECIOS '!F:F)</f>
        <v/>
      </c>
      <c r="I141" s="650" t="n"/>
      <c r="J141" s="650" t="n"/>
      <c r="K141" s="651">
        <f>+F141*H141</f>
        <v/>
      </c>
      <c r="L141" s="651">
        <f>+F141*I141</f>
        <v/>
      </c>
      <c r="M141" s="651">
        <f>+F141*J141</f>
        <v/>
      </c>
      <c r="N141" s="651">
        <f>SUM(K141:M141)</f>
        <v/>
      </c>
      <c r="O141" s="652">
        <f>SUM(K141:M141)/tc</f>
        <v/>
      </c>
    </row>
    <row r="142" outlineLevel="1">
      <c r="A142" s="278" t="inlineStr">
        <is>
          <t>MAT</t>
        </is>
      </c>
      <c r="B142" s="282" t="n"/>
      <c r="C142" s="578">
        <f>_xlfn.XLOOKUP(D142,'INSUMOS MAT '!B:B,'INSUMOS MAT '!C:C,"ERROR",0)</f>
        <v/>
      </c>
      <c r="D142" s="314" t="inlineStr">
        <is>
          <t>MAT08-0065</t>
        </is>
      </c>
      <c r="E142" s="649">
        <f>+_xlfn.XLOOKUP(D142,'BASE DATOS PRECIOS '!B:B,'BASE DATOS PRECIOS '!C:C)</f>
        <v/>
      </c>
      <c r="F142" s="316" t="n">
        <v>0.5</v>
      </c>
      <c r="G142" s="650">
        <f>+_xlfn.XLOOKUP(D142,'BASE DATOS PRECIOS '!B:B,'BASE DATOS PRECIOS '!D:D)</f>
        <v/>
      </c>
      <c r="H142" s="651">
        <f>+_xlfn.XLOOKUP(E142,'BASE DATOS PRECIOS '!C:C,'BASE DATOS PRECIOS '!F:F)</f>
        <v/>
      </c>
      <c r="I142" s="650" t="n"/>
      <c r="J142" s="650" t="n"/>
      <c r="K142" s="651">
        <f>+F142*H142</f>
        <v/>
      </c>
      <c r="L142" s="651">
        <f>+F142*I142</f>
        <v/>
      </c>
      <c r="M142" s="651">
        <f>+F142*J142</f>
        <v/>
      </c>
      <c r="N142" s="651">
        <f>SUM(K142:M142)</f>
        <v/>
      </c>
      <c r="O142" s="652">
        <f>SUM(K142:M142)/tc</f>
        <v/>
      </c>
    </row>
    <row r="143" outlineLevel="1">
      <c r="A143" s="278" t="inlineStr">
        <is>
          <t>MAT</t>
        </is>
      </c>
      <c r="B143" s="282" t="n"/>
      <c r="C143" s="578">
        <f>_xlfn.XLOOKUP(D143,'INSUMOS MAT '!B:B,'INSUMOS MAT '!C:C,"ERROR",0)</f>
        <v/>
      </c>
      <c r="D143" s="314" t="inlineStr">
        <is>
          <t>MAT08-0018</t>
        </is>
      </c>
      <c r="E143" s="649">
        <f>+_xlfn.XLOOKUP(D143,'BASE DATOS PRECIOS '!B:B,'BASE DATOS PRECIOS '!C:C)</f>
        <v/>
      </c>
      <c r="F143" s="316" t="n">
        <v>2</v>
      </c>
      <c r="G143" s="650">
        <f>+_xlfn.XLOOKUP(D143,'BASE DATOS PRECIOS '!B:B,'BASE DATOS PRECIOS '!D:D)</f>
        <v/>
      </c>
      <c r="H143" s="651">
        <f>+_xlfn.XLOOKUP(E143,'BASE DATOS PRECIOS '!C:C,'BASE DATOS PRECIOS '!F:F)</f>
        <v/>
      </c>
      <c r="I143" s="650" t="n"/>
      <c r="J143" s="650" t="n"/>
      <c r="K143" s="651">
        <f>+F143*H143</f>
        <v/>
      </c>
      <c r="L143" s="651">
        <f>+F143*I143</f>
        <v/>
      </c>
      <c r="M143" s="651">
        <f>+F143*J143</f>
        <v/>
      </c>
      <c r="N143" s="651">
        <f>SUM(K143:M143)</f>
        <v/>
      </c>
      <c r="O143" s="652">
        <f>SUM(K143:M143)/tc</f>
        <v/>
      </c>
    </row>
    <row r="144" outlineLevel="1">
      <c r="A144" s="278" t="inlineStr">
        <is>
          <t>MAT</t>
        </is>
      </c>
      <c r="B144" s="282" t="n"/>
      <c r="C144" s="578">
        <f>_xlfn.XLOOKUP(D144,'INSUMOS MAT '!B:B,'INSUMOS MAT '!C:C,"ERROR",0)</f>
        <v/>
      </c>
      <c r="D144" s="314" t="inlineStr">
        <is>
          <t>MAT16-0005</t>
        </is>
      </c>
      <c r="E144" s="649">
        <f>+_xlfn.XLOOKUP(D144,'BASE DATOS PRECIOS '!B:B,'BASE DATOS PRECIOS '!C:C)</f>
        <v/>
      </c>
      <c r="F144" s="316" t="n">
        <v>2</v>
      </c>
      <c r="G144" s="650">
        <f>+_xlfn.XLOOKUP(D144,'BASE DATOS PRECIOS '!B:B,'BASE DATOS PRECIOS '!D:D)</f>
        <v/>
      </c>
      <c r="H144" s="651">
        <f>+_xlfn.XLOOKUP(E144,'BASE DATOS PRECIOS '!C:C,'BASE DATOS PRECIOS '!F:F)</f>
        <v/>
      </c>
      <c r="I144" s="650" t="n"/>
      <c r="J144" s="650" t="n"/>
      <c r="K144" s="651">
        <f>+F144*H144</f>
        <v/>
      </c>
      <c r="L144" s="651">
        <f>+F144*I144</f>
        <v/>
      </c>
      <c r="M144" s="651">
        <f>+F144*J144</f>
        <v/>
      </c>
      <c r="N144" s="651">
        <f>SUM(K144:M144)</f>
        <v/>
      </c>
      <c r="O144" s="652">
        <f>SUM(K144:M144)/tc</f>
        <v/>
      </c>
    </row>
    <row r="145" outlineLevel="1">
      <c r="A145" s="278" t="inlineStr">
        <is>
          <t>MAT</t>
        </is>
      </c>
      <c r="B145" s="282" t="n"/>
      <c r="C145" s="578">
        <f>_xlfn.XLOOKUP(D145,'INSUMOS MAT '!B:B,'INSUMOS MAT '!C:C,"ERROR",0)</f>
        <v/>
      </c>
      <c r="D145" s="314" t="inlineStr">
        <is>
          <t>MAT21-0009</t>
        </is>
      </c>
      <c r="E145" s="649">
        <f>+_xlfn.XLOOKUP(D145,'BASE DATOS PRECIOS '!B:B,'BASE DATOS PRECIOS '!C:C)</f>
        <v/>
      </c>
      <c r="F145" s="316" t="n">
        <v>1</v>
      </c>
      <c r="G145" s="650">
        <f>+_xlfn.XLOOKUP(D145,'BASE DATOS PRECIOS '!B:B,'BASE DATOS PRECIOS '!D:D)</f>
        <v/>
      </c>
      <c r="H145" s="651">
        <f>+_xlfn.XLOOKUP(E145,'BASE DATOS PRECIOS '!C:C,'BASE DATOS PRECIOS '!F:F)</f>
        <v/>
      </c>
      <c r="I145" s="650" t="n"/>
      <c r="J145" s="650" t="n"/>
      <c r="K145" s="651">
        <f>+F145*H145</f>
        <v/>
      </c>
      <c r="L145" s="651">
        <f>+F145*I145</f>
        <v/>
      </c>
      <c r="M145" s="651">
        <f>+F145*J145</f>
        <v/>
      </c>
      <c r="N145" s="651">
        <f>SUM(K145:M145)</f>
        <v/>
      </c>
      <c r="O145" s="652">
        <f>SUM(K145:M145)/tc</f>
        <v/>
      </c>
    </row>
    <row r="146" outlineLevel="1">
      <c r="A146" s="278" t="inlineStr">
        <is>
          <t>MAT</t>
        </is>
      </c>
      <c r="B146" s="282" t="n"/>
      <c r="C146" s="578">
        <f>_xlfn.XLOOKUP(D146,'INSUMOS MAT '!B:B,'INSUMOS MAT '!C:C,"ERROR",0)</f>
        <v/>
      </c>
      <c r="D146" s="314" t="inlineStr">
        <is>
          <t>MAT06-0110</t>
        </is>
      </c>
      <c r="E146" s="649">
        <f>+_xlfn.XLOOKUP(D146,'BASE DATOS PRECIOS '!B:B,'BASE DATOS PRECIOS '!C:C)</f>
        <v/>
      </c>
      <c r="F146" s="316" t="n">
        <v>35</v>
      </c>
      <c r="G146" s="650">
        <f>+_xlfn.XLOOKUP(D146,'BASE DATOS PRECIOS '!B:B,'BASE DATOS PRECIOS '!D:D)</f>
        <v/>
      </c>
      <c r="H146" s="651">
        <f>+_xlfn.XLOOKUP(E146,'BASE DATOS PRECIOS '!C:C,'BASE DATOS PRECIOS '!F:F)</f>
        <v/>
      </c>
      <c r="I146" s="650" t="n"/>
      <c r="J146" s="650" t="n"/>
      <c r="K146" s="651">
        <f>+F146*H146</f>
        <v/>
      </c>
      <c r="L146" s="651">
        <f>+F146*I146</f>
        <v/>
      </c>
      <c r="M146" s="651">
        <f>+F146*J146</f>
        <v/>
      </c>
      <c r="N146" s="651">
        <f>SUM(K146:M146)</f>
        <v/>
      </c>
      <c r="O146" s="652">
        <f>SUM(K146:M146)/tc</f>
        <v/>
      </c>
    </row>
    <row r="147" outlineLevel="1">
      <c r="A147" s="278" t="inlineStr">
        <is>
          <t>MAT</t>
        </is>
      </c>
      <c r="B147" s="282" t="n"/>
      <c r="C147" s="578">
        <f>_xlfn.XLOOKUP(D147,'INSUMOS MAT '!B:B,'INSUMOS MAT '!C:C,"ERROR",0)</f>
        <v/>
      </c>
      <c r="D147" s="314" t="inlineStr">
        <is>
          <t>MAT19-0029</t>
        </is>
      </c>
      <c r="E147" s="649">
        <f>+_xlfn.XLOOKUP(D147,'BASE DATOS PRECIOS '!B:B,'BASE DATOS PRECIOS '!C:C)</f>
        <v/>
      </c>
      <c r="F147" s="316" t="n">
        <v>37</v>
      </c>
      <c r="G147" s="650">
        <f>+_xlfn.XLOOKUP(D147,'BASE DATOS PRECIOS '!B:B,'BASE DATOS PRECIOS '!D:D)</f>
        <v/>
      </c>
      <c r="H147" s="651">
        <f>+_xlfn.XLOOKUP(E147,'BASE DATOS PRECIOS '!C:C,'BASE DATOS PRECIOS '!F:F)</f>
        <v/>
      </c>
      <c r="I147" s="650" t="n"/>
      <c r="J147" s="650" t="n"/>
      <c r="K147" s="651">
        <f>+F147*H147</f>
        <v/>
      </c>
      <c r="L147" s="651">
        <f>+F147*I147</f>
        <v/>
      </c>
      <c r="M147" s="651">
        <f>+F147*J147</f>
        <v/>
      </c>
      <c r="N147" s="651">
        <f>SUM(K147:M147)</f>
        <v/>
      </c>
      <c r="O147" s="652">
        <f>SUM(K147:M147)/tc</f>
        <v/>
      </c>
    </row>
    <row r="148" outlineLevel="1">
      <c r="A148" s="278" t="inlineStr">
        <is>
          <t xml:space="preserve">MO </t>
        </is>
      </c>
      <c r="B148" s="282" t="inlineStr">
        <is>
          <t>02-01-01</t>
        </is>
      </c>
      <c r="C148" s="578" t="n"/>
      <c r="D148" s="386" t="inlineStr">
        <is>
          <t xml:space="preserve">OPERARIO </t>
        </is>
      </c>
      <c r="E148" s="632">
        <f>+_xlfn.XLOOKUP(D148,'BASE DATOS MANO DE OBRA'!A:A,'BASE DATOS MANO DE OBRA'!B:B)</f>
        <v/>
      </c>
      <c r="F148" s="388" t="n">
        <v>54</v>
      </c>
      <c r="G148" s="633">
        <f>+_xlfn.XLOOKUP(D148,'BASE DATOS MANO DE OBRA'!A:A,'BASE DATOS MANO DE OBRA'!C:C)</f>
        <v/>
      </c>
      <c r="H148" s="634" t="n">
        <v>0</v>
      </c>
      <c r="I148" s="634">
        <f>+_xlfn.XLOOKUP(D148,'BASE DATOS MANO DE OBRA'!A:A,'BASE DATOS MANO DE OBRA'!E:E)</f>
        <v/>
      </c>
      <c r="J148" s="634" t="n">
        <v>0</v>
      </c>
      <c r="K148" s="634">
        <f>+F148*H148</f>
        <v/>
      </c>
      <c r="L148" s="634">
        <f>+F148*I148</f>
        <v/>
      </c>
      <c r="M148" s="634">
        <f>+F148*J148</f>
        <v/>
      </c>
      <c r="N148" s="634">
        <f>SUM(K148:M148)</f>
        <v/>
      </c>
      <c r="O148" s="635">
        <f>SUM(K148:M148)/tc</f>
        <v/>
      </c>
    </row>
    <row r="149" outlineLevel="1">
      <c r="A149" s="278" t="inlineStr">
        <is>
          <t xml:space="preserve">MO </t>
        </is>
      </c>
      <c r="B149" s="282" t="inlineStr">
        <is>
          <t>02-01-01</t>
        </is>
      </c>
      <c r="C149" s="578" t="n"/>
      <c r="D149" s="386" t="inlineStr">
        <is>
          <t xml:space="preserve">AYUDANTE </t>
        </is>
      </c>
      <c r="E149" s="632">
        <f>+_xlfn.XLOOKUP(D149,'BASE DATOS MANO DE OBRA'!A:A,'BASE DATOS MANO DE OBRA'!B:B)</f>
        <v/>
      </c>
      <c r="F149" s="388" t="n">
        <v>54</v>
      </c>
      <c r="G149" s="633">
        <f>+_xlfn.XLOOKUP(D149,'BASE DATOS MANO DE OBRA'!A:A,'BASE DATOS MANO DE OBRA'!C:C)</f>
        <v/>
      </c>
      <c r="H149" s="634" t="n">
        <v>0</v>
      </c>
      <c r="I149" s="634">
        <f>+_xlfn.XLOOKUP(D149,'BASE DATOS MANO DE OBRA'!A:A,'BASE DATOS MANO DE OBRA'!E:E)</f>
        <v/>
      </c>
      <c r="J149" s="634" t="n">
        <v>0</v>
      </c>
      <c r="K149" s="634">
        <f>+F149*H149</f>
        <v/>
      </c>
      <c r="L149" s="634">
        <f>+F149*I149</f>
        <v/>
      </c>
      <c r="M149" s="634">
        <f>+F149*J149</f>
        <v/>
      </c>
      <c r="N149" s="634">
        <f>SUM(K149:M149)</f>
        <v/>
      </c>
      <c r="O149" s="635">
        <f>SUM(K149:M149)/tc</f>
        <v/>
      </c>
    </row>
    <row r="150" outlineLevel="1">
      <c r="A150" s="278" t="inlineStr">
        <is>
          <t xml:space="preserve">MO </t>
        </is>
      </c>
      <c r="B150" s="282" t="inlineStr">
        <is>
          <t>02-01-02</t>
        </is>
      </c>
      <c r="C150" s="578" t="n"/>
      <c r="D150" s="386" t="inlineStr">
        <is>
          <t xml:space="preserve">OPERARIO </t>
        </is>
      </c>
      <c r="E150" s="632">
        <f>+_xlfn.XLOOKUP(D150,'BASE DATOS MANO DE OBRA'!A:A,'BASE DATOS MANO DE OBRA'!B:B)</f>
        <v/>
      </c>
      <c r="F150" s="388" t="n">
        <v>61</v>
      </c>
      <c r="G150" s="633">
        <f>+_xlfn.XLOOKUP(D150,'BASE DATOS MANO DE OBRA'!A:A,'BASE DATOS MANO DE OBRA'!C:C)</f>
        <v/>
      </c>
      <c r="H150" s="634" t="n">
        <v>0</v>
      </c>
      <c r="I150" s="634">
        <f>+_xlfn.XLOOKUP(D150,'BASE DATOS MANO DE OBRA'!A:A,'BASE DATOS MANO DE OBRA'!E:E)</f>
        <v/>
      </c>
      <c r="J150" s="634" t="n">
        <v>0</v>
      </c>
      <c r="K150" s="634">
        <f>+F150*H150</f>
        <v/>
      </c>
      <c r="L150" s="634">
        <f>+F150*I150</f>
        <v/>
      </c>
      <c r="M150" s="634">
        <f>+F150*J150</f>
        <v/>
      </c>
      <c r="N150" s="634">
        <f>SUM(K150:M150)</f>
        <v/>
      </c>
      <c r="O150" s="635">
        <f>SUM(K150:M150)/tc</f>
        <v/>
      </c>
    </row>
    <row r="151" outlineLevel="1">
      <c r="A151" s="278" t="inlineStr">
        <is>
          <t xml:space="preserve">MO </t>
        </is>
      </c>
      <c r="B151" s="282" t="inlineStr">
        <is>
          <t>02-01-02</t>
        </is>
      </c>
      <c r="C151" s="578" t="n"/>
      <c r="D151" s="386" t="inlineStr">
        <is>
          <t xml:space="preserve">AYUDANTE </t>
        </is>
      </c>
      <c r="E151" s="632">
        <f>+_xlfn.XLOOKUP(D151,'BASE DATOS MANO DE OBRA'!A:A,'BASE DATOS MANO DE OBRA'!B:B)</f>
        <v/>
      </c>
      <c r="F151" s="388" t="n">
        <v>61</v>
      </c>
      <c r="G151" s="633">
        <f>+_xlfn.XLOOKUP(D151,'BASE DATOS MANO DE OBRA'!A:A,'BASE DATOS MANO DE OBRA'!C:C)</f>
        <v/>
      </c>
      <c r="H151" s="634" t="n">
        <v>0</v>
      </c>
      <c r="I151" s="634">
        <f>+_xlfn.XLOOKUP(D151,'BASE DATOS MANO DE OBRA'!A:A,'BASE DATOS MANO DE OBRA'!E:E)</f>
        <v/>
      </c>
      <c r="J151" s="634" t="n">
        <v>0</v>
      </c>
      <c r="K151" s="634">
        <f>+F151*H151</f>
        <v/>
      </c>
      <c r="L151" s="634">
        <f>+F151*I151</f>
        <v/>
      </c>
      <c r="M151" s="634">
        <f>+F151*J151</f>
        <v/>
      </c>
      <c r="N151" s="634">
        <f>SUM(K151:M151)</f>
        <v/>
      </c>
      <c r="O151" s="635">
        <f>SUM(K151:M151)/tc</f>
        <v/>
      </c>
    </row>
    <row r="152" outlineLevel="1">
      <c r="A152" s="278" t="inlineStr">
        <is>
          <t xml:space="preserve">MO </t>
        </is>
      </c>
      <c r="B152" s="282" t="inlineStr">
        <is>
          <t>02-01-03</t>
        </is>
      </c>
      <c r="C152" s="578" t="n"/>
      <c r="D152" s="386" t="inlineStr">
        <is>
          <t xml:space="preserve">OPERARIO </t>
        </is>
      </c>
      <c r="E152" s="632">
        <f>+_xlfn.XLOOKUP(D152,'BASE DATOS MANO DE OBRA'!A:A,'BASE DATOS MANO DE OBRA'!B:B)</f>
        <v/>
      </c>
      <c r="F152" s="388" t="n">
        <v>2.5</v>
      </c>
      <c r="G152" s="633">
        <f>+_xlfn.XLOOKUP(D152,'BASE DATOS MANO DE OBRA'!A:A,'BASE DATOS MANO DE OBRA'!C:C)</f>
        <v/>
      </c>
      <c r="H152" s="634" t="n">
        <v>0</v>
      </c>
      <c r="I152" s="634">
        <f>+_xlfn.XLOOKUP(D152,'BASE DATOS MANO DE OBRA'!A:A,'BASE DATOS MANO DE OBRA'!E:E)</f>
        <v/>
      </c>
      <c r="J152" s="634" t="n">
        <v>0</v>
      </c>
      <c r="K152" s="634">
        <f>+F152*H152</f>
        <v/>
      </c>
      <c r="L152" s="634">
        <f>+F152*I152</f>
        <v/>
      </c>
      <c r="M152" s="634">
        <f>+F152*J152</f>
        <v/>
      </c>
      <c r="N152" s="634">
        <f>SUM(K152:M152)</f>
        <v/>
      </c>
      <c r="O152" s="635">
        <f>SUM(K152:M152)/tc</f>
        <v/>
      </c>
    </row>
    <row r="153" outlineLevel="1">
      <c r="A153" s="278" t="inlineStr">
        <is>
          <t xml:space="preserve">MO </t>
        </is>
      </c>
      <c r="B153" s="282" t="inlineStr">
        <is>
          <t>02-01-03</t>
        </is>
      </c>
      <c r="C153" s="578" t="n"/>
      <c r="D153" s="386" t="inlineStr">
        <is>
          <t xml:space="preserve">AYUDANTE </t>
        </is>
      </c>
      <c r="E153" s="632">
        <f>+_xlfn.XLOOKUP(D153,'BASE DATOS MANO DE OBRA'!A:A,'BASE DATOS MANO DE OBRA'!B:B)</f>
        <v/>
      </c>
      <c r="F153" s="388" t="n">
        <v>2.5</v>
      </c>
      <c r="G153" s="633">
        <f>+_xlfn.XLOOKUP(D153,'BASE DATOS MANO DE OBRA'!A:A,'BASE DATOS MANO DE OBRA'!C:C)</f>
        <v/>
      </c>
      <c r="H153" s="634" t="n">
        <v>0</v>
      </c>
      <c r="I153" s="634">
        <f>+_xlfn.XLOOKUP(D153,'BASE DATOS MANO DE OBRA'!A:A,'BASE DATOS MANO DE OBRA'!E:E)</f>
        <v/>
      </c>
      <c r="J153" s="634" t="n">
        <v>0</v>
      </c>
      <c r="K153" s="634">
        <f>+F153*H153</f>
        <v/>
      </c>
      <c r="L153" s="634">
        <f>+F153*I153</f>
        <v/>
      </c>
      <c r="M153" s="634">
        <f>+F153*J153</f>
        <v/>
      </c>
      <c r="N153" s="634">
        <f>SUM(K153:M153)</f>
        <v/>
      </c>
      <c r="O153" s="635">
        <f>SUM(K153:M153)/tc</f>
        <v/>
      </c>
    </row>
    <row r="154">
      <c r="A154" s="278" t="n"/>
      <c r="B154" s="282" t="inlineStr">
        <is>
          <t>02-02</t>
        </is>
      </c>
      <c r="C154" s="578" t="n"/>
      <c r="D154" s="307" t="inlineStr">
        <is>
          <t>2.2</t>
        </is>
      </c>
      <c r="E154" s="308" t="inlineStr">
        <is>
          <t>PAREDES, MUROS, ENTREPISO N1 (FORMALETA, CONCRETO, DESENCOFRADO)</t>
        </is>
      </c>
      <c r="F154" s="309" t="n">
        <v>1</v>
      </c>
      <c r="G154" s="310" t="inlineStr">
        <is>
          <t>gb</t>
        </is>
      </c>
      <c r="H154" s="310" t="n"/>
      <c r="I154" s="310" t="n"/>
      <c r="J154" s="310" t="n"/>
      <c r="K154" s="636">
        <f>SUM(K155:K168)</f>
        <v/>
      </c>
      <c r="L154" s="636">
        <f>SUM(L155:L168)</f>
        <v/>
      </c>
      <c r="M154" s="636">
        <f>SUM(M155:M168)</f>
        <v/>
      </c>
      <c r="N154" s="636">
        <f>SUM(N155:N168)</f>
        <v/>
      </c>
      <c r="O154" s="615">
        <f>SUM(O155:O168)</f>
        <v/>
      </c>
    </row>
    <row r="155" outlineLevel="1">
      <c r="A155" s="278" t="inlineStr">
        <is>
          <t>MAT</t>
        </is>
      </c>
      <c r="B155" s="282" t="n"/>
      <c r="C155" s="578">
        <f>_xlfn.XLOOKUP(D155,'INSUMOS MAT '!B:B,'INSUMOS MAT '!C:C,"ERROR",0)</f>
        <v/>
      </c>
      <c r="D155" s="305" t="inlineStr">
        <is>
          <t>MAT04-0062</t>
        </is>
      </c>
      <c r="E155" s="623">
        <f>+_xlfn.XLOOKUP(D155,'BASE DATOS PRECIOS '!B:B,'BASE DATOS PRECIOS '!C:C)</f>
        <v/>
      </c>
      <c r="F155" s="287" t="n">
        <v>4193</v>
      </c>
      <c r="G155" s="621">
        <f>+_xlfn.XLOOKUP(D155,'BASE DATOS PRECIOS '!B:B,'BASE DATOS PRECIOS '!D:D)</f>
        <v/>
      </c>
      <c r="H155" s="620">
        <f>+_xlfn.XLOOKUP(E155,'BASE DATOS PRECIOS '!C:C,'BASE DATOS PRECIOS '!F:F)</f>
        <v/>
      </c>
      <c r="I155" s="621" t="n"/>
      <c r="J155" s="621" t="n"/>
      <c r="K155" s="620">
        <f>+F155*H155</f>
        <v/>
      </c>
      <c r="L155" s="620">
        <f>+F155*I155</f>
        <v/>
      </c>
      <c r="M155" s="620">
        <f>+F155*J155</f>
        <v/>
      </c>
      <c r="N155" s="620">
        <f>SUM(K155:M155)</f>
        <v/>
      </c>
      <c r="O155" s="622">
        <f>SUM(K155:M155)/tc</f>
        <v/>
      </c>
    </row>
    <row r="156" outlineLevel="1">
      <c r="A156" s="278" t="inlineStr">
        <is>
          <t>MAT</t>
        </is>
      </c>
      <c r="B156" s="282" t="n"/>
      <c r="C156" s="578">
        <f>_xlfn.XLOOKUP(D156,'INSUMOS MAT '!B:B,'INSUMOS MAT '!C:C,"ERROR",0)</f>
        <v/>
      </c>
      <c r="D156" s="305" t="inlineStr">
        <is>
          <t>MAT03-0006</t>
        </is>
      </c>
      <c r="E156" s="623">
        <f>+_xlfn.XLOOKUP(D156,'BASE DATOS PRECIOS '!B:B,'BASE DATOS PRECIOS '!C:C)</f>
        <v/>
      </c>
      <c r="F156" s="287" t="n">
        <v>7.5</v>
      </c>
      <c r="G156" s="621">
        <f>+_xlfn.XLOOKUP(D156,'BASE DATOS PRECIOS '!B:B,'BASE DATOS PRECIOS '!D:D)</f>
        <v/>
      </c>
      <c r="H156" s="620">
        <f>+_xlfn.XLOOKUP(E156,'BASE DATOS PRECIOS '!C:C,'BASE DATOS PRECIOS '!F:F)</f>
        <v/>
      </c>
      <c r="I156" s="621" t="n"/>
      <c r="J156" s="621" t="n"/>
      <c r="K156" s="620">
        <f>+F156*H156</f>
        <v/>
      </c>
      <c r="L156" s="620">
        <f>+F156*I156</f>
        <v/>
      </c>
      <c r="M156" s="620">
        <f>+F156*J156</f>
        <v/>
      </c>
      <c r="N156" s="620">
        <f>SUM(K156:M156)</f>
        <v/>
      </c>
      <c r="O156" s="622">
        <f>SUM(K156:M156)/tc</f>
        <v/>
      </c>
    </row>
    <row r="157" outlineLevel="1">
      <c r="A157" s="278" t="inlineStr">
        <is>
          <t>MAT</t>
        </is>
      </c>
      <c r="B157" s="282" t="n"/>
      <c r="C157" s="578">
        <f>_xlfn.XLOOKUP(D157,'INSUMOS MAT '!B:B,'INSUMOS MAT '!C:C,"ERROR",0)</f>
        <v/>
      </c>
      <c r="D157" s="305" t="inlineStr">
        <is>
          <t>MAT03-0002</t>
        </is>
      </c>
      <c r="E157" s="623">
        <f>+_xlfn.XLOOKUP(D157,'BASE DATOS PRECIOS '!B:B,'BASE DATOS PRECIOS '!C:C)</f>
        <v/>
      </c>
      <c r="F157" s="287" t="n">
        <v>9</v>
      </c>
      <c r="G157" s="621">
        <f>+_xlfn.XLOOKUP(D157,'BASE DATOS PRECIOS '!B:B,'BASE DATOS PRECIOS '!D:D)</f>
        <v/>
      </c>
      <c r="H157" s="620">
        <f>+_xlfn.XLOOKUP(E157,'BASE DATOS PRECIOS '!C:C,'BASE DATOS PRECIOS '!F:F)</f>
        <v/>
      </c>
      <c r="I157" s="621" t="n"/>
      <c r="J157" s="621" t="n"/>
      <c r="K157" s="620">
        <f>+F157*H157</f>
        <v/>
      </c>
      <c r="L157" s="620">
        <f>+F157*I157</f>
        <v/>
      </c>
      <c r="M157" s="620">
        <f>+F157*J157</f>
        <v/>
      </c>
      <c r="N157" s="620">
        <f>SUM(K157:M157)</f>
        <v/>
      </c>
      <c r="O157" s="622">
        <f>SUM(K157:M157)/tc</f>
        <v/>
      </c>
      <c r="P157" s="639" t="n"/>
      <c r="Q157" s="639" t="n"/>
      <c r="R157" s="640" t="n"/>
    </row>
    <row r="158" outlineLevel="1">
      <c r="A158" s="278" t="inlineStr">
        <is>
          <t>MAT</t>
        </is>
      </c>
      <c r="B158" s="282" t="n"/>
      <c r="C158" s="578">
        <f>_xlfn.XLOOKUP(D158,'INSUMOS MAT '!B:B,'INSUMOS MAT '!C:C,"ERROR",0)</f>
        <v/>
      </c>
      <c r="D158" s="305" t="inlineStr">
        <is>
          <t>MAT21-0029</t>
        </is>
      </c>
      <c r="E158" s="623">
        <f>+_xlfn.XLOOKUP(D158,'BASE DATOS PRECIOS '!B:B,'BASE DATOS PRECIOS '!C:C)</f>
        <v/>
      </c>
      <c r="F158" s="287" t="n">
        <v>24</v>
      </c>
      <c r="G158" s="621">
        <f>+_xlfn.XLOOKUP(D158,'BASE DATOS PRECIOS '!B:B,'BASE DATOS PRECIOS '!D:D)</f>
        <v/>
      </c>
      <c r="H158" s="620">
        <f>(+_xlfn.XLOOKUP(E158,'BASE DATOS PRECIOS '!C:C,'BASE DATOS PRECIOS '!F:F))/18.9</f>
        <v/>
      </c>
      <c r="I158" s="621" t="n"/>
      <c r="J158" s="621" t="n"/>
      <c r="K158" s="620">
        <f>+F158*H158</f>
        <v/>
      </c>
      <c r="L158" s="620">
        <f>+F158*I158</f>
        <v/>
      </c>
      <c r="M158" s="620">
        <f>+F158*J158</f>
        <v/>
      </c>
      <c r="N158" s="620">
        <f>SUM(K158:M158)</f>
        <v/>
      </c>
      <c r="O158" s="622">
        <f>SUM(K158:M158)/tc</f>
        <v/>
      </c>
      <c r="P158" s="639" t="n"/>
      <c r="Q158" s="639" t="n"/>
      <c r="R158" s="640" t="n"/>
    </row>
    <row r="159" outlineLevel="1">
      <c r="A159" s="278" t="inlineStr">
        <is>
          <t>MAT</t>
        </is>
      </c>
      <c r="B159" s="282" t="n"/>
      <c r="C159" s="578">
        <f>_xlfn.XLOOKUP(D159,'INSUMOS MAT '!B:B,'INSUMOS MAT '!C:C,"ERROR",0)</f>
        <v/>
      </c>
      <c r="D159" s="305" t="inlineStr">
        <is>
          <t>MAT21-0028</t>
        </is>
      </c>
      <c r="E159" s="623">
        <f>+_xlfn.XLOOKUP(D159,'BASE DATOS PRECIOS '!B:B,'BASE DATOS PRECIOS '!C:C)</f>
        <v/>
      </c>
      <c r="F159" s="287" t="n">
        <v>23</v>
      </c>
      <c r="G159" s="621">
        <f>+_xlfn.XLOOKUP(D159,'BASE DATOS PRECIOS '!B:B,'BASE DATOS PRECIOS '!D:D)</f>
        <v/>
      </c>
      <c r="H159" s="620">
        <f>(+_xlfn.XLOOKUP(E159,'BASE DATOS PRECIOS '!C:C,'BASE DATOS PRECIOS '!F:F))/18.9</f>
        <v/>
      </c>
      <c r="I159" s="621" t="n"/>
      <c r="J159" s="621" t="n"/>
      <c r="K159" s="620">
        <f>+F159*H159</f>
        <v/>
      </c>
      <c r="L159" s="620">
        <f>+F159*I159</f>
        <v/>
      </c>
      <c r="M159" s="620">
        <f>+F159*J159</f>
        <v/>
      </c>
      <c r="N159" s="620">
        <f>SUM(K159:M159)</f>
        <v/>
      </c>
      <c r="O159" s="622">
        <f>SUM(K159:M159)/tc</f>
        <v/>
      </c>
      <c r="P159" s="639" t="n"/>
      <c r="Q159" s="639" t="n"/>
      <c r="R159" s="640" t="n"/>
    </row>
    <row r="160" outlineLevel="1">
      <c r="A160" s="278" t="inlineStr">
        <is>
          <t>MAT</t>
        </is>
      </c>
      <c r="B160" s="282" t="n"/>
      <c r="C160" s="578">
        <f>_xlfn.XLOOKUP(D160,'INSUMOS MAT '!B:B,'INSUMOS MAT '!C:C,"ERROR",0)</f>
        <v/>
      </c>
      <c r="D160" s="305" t="inlineStr">
        <is>
          <t>MAT04-0061</t>
        </is>
      </c>
      <c r="E160" s="623">
        <f>+_xlfn.XLOOKUP(D160,'BASE DATOS PRECIOS '!B:B,'BASE DATOS PRECIOS '!C:C)</f>
        <v/>
      </c>
      <c r="F160" s="287" t="n">
        <v>10</v>
      </c>
      <c r="G160" s="621">
        <f>+_xlfn.XLOOKUP(D160,'BASE DATOS PRECIOS '!B:B,'BASE DATOS PRECIOS '!D:D)</f>
        <v/>
      </c>
      <c r="H160" s="620">
        <f>+_xlfn.XLOOKUP(E160,'BASE DATOS PRECIOS '!C:C,'BASE DATOS PRECIOS '!F:F)</f>
        <v/>
      </c>
      <c r="I160" s="621" t="n"/>
      <c r="J160" s="621" t="n"/>
      <c r="K160" s="620">
        <f>+F160*H160</f>
        <v/>
      </c>
      <c r="L160" s="620">
        <f>+F160*I160</f>
        <v/>
      </c>
      <c r="M160" s="620">
        <f>+F160*J160</f>
        <v/>
      </c>
      <c r="N160" s="620">
        <f>SUM(K160:M160)</f>
        <v/>
      </c>
      <c r="O160" s="622">
        <f>SUM(K160:M160)/tc</f>
        <v/>
      </c>
      <c r="P160" s="639" t="n"/>
      <c r="Q160" s="639" t="n"/>
      <c r="R160" s="640" t="n"/>
    </row>
    <row r="161" outlineLevel="1">
      <c r="A161" s="278" t="inlineStr">
        <is>
          <t>MAT</t>
        </is>
      </c>
      <c r="B161" s="282" t="n"/>
      <c r="C161" s="578">
        <f>_xlfn.XLOOKUP(D161,'INSUMOS MAT '!B:B,'INSUMOS MAT '!C:C,"ERROR",0)</f>
        <v/>
      </c>
      <c r="D161" s="305" t="inlineStr">
        <is>
          <t>MAT08-0046</t>
        </is>
      </c>
      <c r="E161" s="623">
        <f>+_xlfn.XLOOKUP(D161,'BASE DATOS PRECIOS '!B:B,'BASE DATOS PRECIOS '!C:C)</f>
        <v/>
      </c>
      <c r="F161" s="287" t="n">
        <v>5</v>
      </c>
      <c r="G161" s="621">
        <f>+_xlfn.XLOOKUP(D161,'BASE DATOS PRECIOS '!B:B,'BASE DATOS PRECIOS '!D:D)</f>
        <v/>
      </c>
      <c r="H161" s="620">
        <f>+_xlfn.XLOOKUP(E161,'BASE DATOS PRECIOS '!C:C,'BASE DATOS PRECIOS '!F:F)</f>
        <v/>
      </c>
      <c r="I161" s="621" t="n"/>
      <c r="J161" s="621" t="n"/>
      <c r="K161" s="620">
        <f>+F161*H161</f>
        <v/>
      </c>
      <c r="L161" s="620">
        <f>+F161*I161</f>
        <v/>
      </c>
      <c r="M161" s="620">
        <f>+F161*J161</f>
        <v/>
      </c>
      <c r="N161" s="620">
        <f>SUM(K161:M161)</f>
        <v/>
      </c>
      <c r="O161" s="622">
        <f>SUM(K161:M161)/tc</f>
        <v/>
      </c>
      <c r="P161" s="639" t="n"/>
      <c r="Q161" s="639" t="n"/>
      <c r="R161" s="640" t="n"/>
    </row>
    <row r="162" outlineLevel="1">
      <c r="A162" s="278" t="inlineStr">
        <is>
          <t>MAT</t>
        </is>
      </c>
      <c r="C162" s="578" t="n"/>
      <c r="D162" s="396" t="inlineStr">
        <is>
          <t>FORMALETA MUROS</t>
        </is>
      </c>
      <c r="E162" s="645">
        <f>+_xlfn.XLOOKUP(D162,'BASE DATOS EQUIPOS Y SUBCONTRAT'!A:A,'BASE DATOS EQUIPOS Y SUBCONTRAT'!B:B)</f>
        <v/>
      </c>
      <c r="F162" s="397" t="n">
        <v>1</v>
      </c>
      <c r="G162" s="646">
        <f>+_xlfn.XLOOKUP(D162,'BASE DATOS EQUIPOS Y SUBCONTRAT'!A:A,'BASE DATOS EQUIPOS Y SUBCONTRAT'!C:C)</f>
        <v/>
      </c>
      <c r="H162" s="647" t="n">
        <v>0</v>
      </c>
      <c r="I162" s="646" t="n"/>
      <c r="J162" s="647">
        <f>+_xlfn.XLOOKUP(D162,'BASE DATOS EQUIPOS Y SUBCONTRAT'!A:A,'BASE DATOS EQUIPOS Y SUBCONTRAT'!E:E)</f>
        <v/>
      </c>
      <c r="K162" s="647">
        <f>+F162*H162</f>
        <v/>
      </c>
      <c r="L162" s="647">
        <f>+F162*I162</f>
        <v/>
      </c>
      <c r="M162" s="647">
        <f>+F162*J162</f>
        <v/>
      </c>
      <c r="N162" s="647">
        <f>SUM(K162:M162)</f>
        <v/>
      </c>
      <c r="O162" s="648">
        <f>SUM(K162:M162)/tc</f>
        <v/>
      </c>
      <c r="P162" s="639" t="n"/>
      <c r="Q162" s="639" t="n"/>
      <c r="R162" s="640" t="n"/>
    </row>
    <row r="163" outlineLevel="1">
      <c r="A163" s="278" t="inlineStr">
        <is>
          <t xml:space="preserve">MO </t>
        </is>
      </c>
      <c r="B163" s="282" t="inlineStr">
        <is>
          <t>02-02-01</t>
        </is>
      </c>
      <c r="C163" s="578" t="n"/>
      <c r="D163" s="386" t="inlineStr">
        <is>
          <t xml:space="preserve">OPERARIO </t>
        </is>
      </c>
      <c r="E163" s="632">
        <f>+_xlfn.XLOOKUP(D163,'BASE DATOS MANO DE OBRA'!A:A,'BASE DATOS MANO DE OBRA'!B:B)</f>
        <v/>
      </c>
      <c r="F163" s="388" t="n">
        <v>17.5</v>
      </c>
      <c r="G163" s="633">
        <f>+_xlfn.XLOOKUP(D163,'BASE DATOS MANO DE OBRA'!A:A,'BASE DATOS MANO DE OBRA'!C:C)</f>
        <v/>
      </c>
      <c r="H163" s="634" t="n">
        <v>0</v>
      </c>
      <c r="I163" s="634">
        <f>+_xlfn.XLOOKUP(D163,'BASE DATOS MANO DE OBRA'!A:A,'BASE DATOS MANO DE OBRA'!E:E)</f>
        <v/>
      </c>
      <c r="J163" s="634" t="n">
        <v>0</v>
      </c>
      <c r="K163" s="634">
        <f>+F163*H163</f>
        <v/>
      </c>
      <c r="L163" s="634">
        <f>+F163*I163</f>
        <v/>
      </c>
      <c r="M163" s="634">
        <f>+F163*J163</f>
        <v/>
      </c>
      <c r="N163" s="634">
        <f>SUM(K163:M163)</f>
        <v/>
      </c>
      <c r="O163" s="635">
        <f>SUM(K163:M163)/tc</f>
        <v/>
      </c>
      <c r="P163" s="639" t="n"/>
      <c r="Q163" s="639" t="n"/>
      <c r="R163" s="640" t="n"/>
    </row>
    <row r="164" outlineLevel="1">
      <c r="A164" s="278" t="inlineStr">
        <is>
          <t xml:space="preserve">MO </t>
        </is>
      </c>
      <c r="B164" s="282" t="inlineStr">
        <is>
          <t>02-02-01</t>
        </is>
      </c>
      <c r="C164" s="578" t="n"/>
      <c r="D164" s="386" t="inlineStr">
        <is>
          <t xml:space="preserve">AYUDANTE </t>
        </is>
      </c>
      <c r="E164" s="632">
        <f>+_xlfn.XLOOKUP(D164,'BASE DATOS MANO DE OBRA'!A:A,'BASE DATOS MANO DE OBRA'!B:B)</f>
        <v/>
      </c>
      <c r="F164" s="388" t="n">
        <v>17.5</v>
      </c>
      <c r="G164" s="633">
        <f>+_xlfn.XLOOKUP(D164,'BASE DATOS MANO DE OBRA'!A:A,'BASE DATOS MANO DE OBRA'!C:C)</f>
        <v/>
      </c>
      <c r="H164" s="634" t="n">
        <v>0</v>
      </c>
      <c r="I164" s="634">
        <f>+_xlfn.XLOOKUP(D164,'BASE DATOS MANO DE OBRA'!A:A,'BASE DATOS MANO DE OBRA'!E:E)</f>
        <v/>
      </c>
      <c r="J164" s="634" t="n">
        <v>0</v>
      </c>
      <c r="K164" s="634">
        <f>+F164*H164</f>
        <v/>
      </c>
      <c r="L164" s="634">
        <f>+F164*I164</f>
        <v/>
      </c>
      <c r="M164" s="634">
        <f>+F164*J164</f>
        <v/>
      </c>
      <c r="N164" s="634">
        <f>SUM(K164:M164)</f>
        <v/>
      </c>
      <c r="O164" s="635">
        <f>SUM(K164:M164)/tc</f>
        <v/>
      </c>
      <c r="P164" s="639" t="n"/>
      <c r="Q164" s="639" t="n"/>
      <c r="R164" s="640" t="n"/>
    </row>
    <row r="165" outlineLevel="1">
      <c r="A165" s="278" t="inlineStr">
        <is>
          <t xml:space="preserve">MO </t>
        </is>
      </c>
      <c r="B165" s="282" t="inlineStr">
        <is>
          <t>02-02-02</t>
        </is>
      </c>
      <c r="C165" s="578" t="n"/>
      <c r="D165" s="386" t="inlineStr">
        <is>
          <t xml:space="preserve">OPERARIO </t>
        </is>
      </c>
      <c r="E165" s="632">
        <f>+_xlfn.XLOOKUP(D165,'BASE DATOS MANO DE OBRA'!A:A,'BASE DATOS MANO DE OBRA'!B:B)</f>
        <v/>
      </c>
      <c r="F165" s="388" t="n">
        <v>5.5</v>
      </c>
      <c r="G165" s="633">
        <f>+_xlfn.XLOOKUP(D165,'BASE DATOS MANO DE OBRA'!A:A,'BASE DATOS MANO DE OBRA'!C:C)</f>
        <v/>
      </c>
      <c r="H165" s="634" t="n">
        <v>0</v>
      </c>
      <c r="I165" s="634">
        <f>+_xlfn.XLOOKUP(D165,'BASE DATOS MANO DE OBRA'!A:A,'BASE DATOS MANO DE OBRA'!E:E)</f>
        <v/>
      </c>
      <c r="J165" s="634" t="n">
        <v>0</v>
      </c>
      <c r="K165" s="634">
        <f>+F165*H165</f>
        <v/>
      </c>
      <c r="L165" s="634">
        <f>+F165*I165</f>
        <v/>
      </c>
      <c r="M165" s="634">
        <f>+F165*J165</f>
        <v/>
      </c>
      <c r="N165" s="634">
        <f>SUM(K165:M165)</f>
        <v/>
      </c>
      <c r="O165" s="635">
        <f>SUM(K165:M165)/tc</f>
        <v/>
      </c>
      <c r="P165" s="639" t="n"/>
      <c r="Q165" s="639" t="n"/>
      <c r="R165" s="640" t="n"/>
    </row>
    <row r="166" outlineLevel="1">
      <c r="A166" s="278" t="inlineStr">
        <is>
          <t xml:space="preserve">MO </t>
        </is>
      </c>
      <c r="B166" s="282" t="inlineStr">
        <is>
          <t>02-02-02</t>
        </is>
      </c>
      <c r="C166" s="578" t="n"/>
      <c r="D166" s="386" t="inlineStr">
        <is>
          <t xml:space="preserve">AYUDANTE </t>
        </is>
      </c>
      <c r="E166" s="632">
        <f>+_xlfn.XLOOKUP(D166,'BASE DATOS MANO DE OBRA'!A:A,'BASE DATOS MANO DE OBRA'!B:B)</f>
        <v/>
      </c>
      <c r="F166" s="388" t="n">
        <v>5.5</v>
      </c>
      <c r="G166" s="633">
        <f>+_xlfn.XLOOKUP(D166,'BASE DATOS MANO DE OBRA'!A:A,'BASE DATOS MANO DE OBRA'!C:C)</f>
        <v/>
      </c>
      <c r="H166" s="634" t="n">
        <v>0</v>
      </c>
      <c r="I166" s="634">
        <f>+_xlfn.XLOOKUP(D166,'BASE DATOS MANO DE OBRA'!A:A,'BASE DATOS MANO DE OBRA'!E:E)</f>
        <v/>
      </c>
      <c r="J166" s="634" t="n">
        <v>0</v>
      </c>
      <c r="K166" s="634">
        <f>+F166*H166</f>
        <v/>
      </c>
      <c r="L166" s="634">
        <f>+F166*I166</f>
        <v/>
      </c>
      <c r="M166" s="634">
        <f>+F166*J166</f>
        <v/>
      </c>
      <c r="N166" s="634">
        <f>SUM(K166:M166)</f>
        <v/>
      </c>
      <c r="O166" s="635">
        <f>SUM(K166:M166)/tc</f>
        <v/>
      </c>
      <c r="P166" s="639" t="n"/>
      <c r="Q166" s="639" t="n"/>
      <c r="R166" s="640" t="n"/>
    </row>
    <row r="167" outlineLevel="1">
      <c r="A167" s="278" t="inlineStr">
        <is>
          <t xml:space="preserve">MO </t>
        </is>
      </c>
      <c r="B167" s="282" t="inlineStr">
        <is>
          <t>02-02-03</t>
        </is>
      </c>
      <c r="C167" s="578" t="n"/>
      <c r="D167" s="386" t="inlineStr">
        <is>
          <t xml:space="preserve">OPERARIO </t>
        </is>
      </c>
      <c r="E167" s="632">
        <f>+_xlfn.XLOOKUP(D167,'BASE DATOS MANO DE OBRA'!A:A,'BASE DATOS MANO DE OBRA'!B:B)</f>
        <v/>
      </c>
      <c r="F167" s="388" t="n">
        <v>27</v>
      </c>
      <c r="G167" s="633">
        <f>+_xlfn.XLOOKUP(D167,'BASE DATOS MANO DE OBRA'!A:A,'BASE DATOS MANO DE OBRA'!C:C)</f>
        <v/>
      </c>
      <c r="H167" s="634" t="n">
        <v>0</v>
      </c>
      <c r="I167" s="634">
        <f>+_xlfn.XLOOKUP(D167,'BASE DATOS MANO DE OBRA'!A:A,'BASE DATOS MANO DE OBRA'!E:E)</f>
        <v/>
      </c>
      <c r="J167" s="634" t="n">
        <v>0</v>
      </c>
      <c r="K167" s="634">
        <f>+F167*H167</f>
        <v/>
      </c>
      <c r="L167" s="634">
        <f>+F167*I167</f>
        <v/>
      </c>
      <c r="M167" s="634">
        <f>+F167*J167</f>
        <v/>
      </c>
      <c r="N167" s="634">
        <f>SUM(K167:M167)</f>
        <v/>
      </c>
      <c r="O167" s="635">
        <f>SUM(K167:M167)/tc</f>
        <v/>
      </c>
      <c r="P167" s="639" t="n"/>
      <c r="Q167" s="639" t="n"/>
      <c r="R167" s="640" t="n"/>
    </row>
    <row r="168" outlineLevel="1">
      <c r="A168" s="278" t="inlineStr">
        <is>
          <t xml:space="preserve">MO </t>
        </is>
      </c>
      <c r="B168" s="282" t="inlineStr">
        <is>
          <t>02-02-03</t>
        </is>
      </c>
      <c r="C168" s="578" t="n"/>
      <c r="D168" s="386" t="inlineStr">
        <is>
          <t xml:space="preserve">AYUDANTE </t>
        </is>
      </c>
      <c r="E168" s="632">
        <f>+_xlfn.XLOOKUP(D168,'BASE DATOS MANO DE OBRA'!A:A,'BASE DATOS MANO DE OBRA'!B:B)</f>
        <v/>
      </c>
      <c r="F168" s="388" t="n">
        <v>27</v>
      </c>
      <c r="G168" s="633">
        <f>+_xlfn.XLOOKUP(D168,'BASE DATOS MANO DE OBRA'!A:A,'BASE DATOS MANO DE OBRA'!C:C)</f>
        <v/>
      </c>
      <c r="H168" s="634" t="n">
        <v>0</v>
      </c>
      <c r="I168" s="634">
        <f>+_xlfn.XLOOKUP(D168,'BASE DATOS MANO DE OBRA'!A:A,'BASE DATOS MANO DE OBRA'!E:E)</f>
        <v/>
      </c>
      <c r="J168" s="634" t="n">
        <v>0</v>
      </c>
      <c r="K168" s="634">
        <f>+F168*H168</f>
        <v/>
      </c>
      <c r="L168" s="634">
        <f>+F168*I168</f>
        <v/>
      </c>
      <c r="M168" s="634">
        <f>+F168*J168</f>
        <v/>
      </c>
      <c r="N168" s="634">
        <f>SUM(K168:M168)</f>
        <v/>
      </c>
      <c r="O168" s="635">
        <f>SUM(K168:M168)/tc</f>
        <v/>
      </c>
      <c r="P168" s="639" t="n"/>
      <c r="Q168" s="639" t="n"/>
      <c r="R168" s="640" t="n"/>
    </row>
    <row r="169">
      <c r="A169" s="278" t="n"/>
      <c r="B169" s="282" t="inlineStr">
        <is>
          <t>02-03</t>
        </is>
      </c>
      <c r="C169" s="578" t="n"/>
      <c r="D169" s="307" t="inlineStr">
        <is>
          <t xml:space="preserve">2.3 </t>
        </is>
      </c>
      <c r="E169" s="308" t="inlineStr">
        <is>
          <t xml:space="preserve">MAMPOSTERIA </t>
        </is>
      </c>
      <c r="F169" s="309" t="n">
        <v>1</v>
      </c>
      <c r="G169" s="310" t="inlineStr">
        <is>
          <t>gb</t>
        </is>
      </c>
      <c r="H169" s="310" t="n"/>
      <c r="I169" s="310" t="n"/>
      <c r="J169" s="310" t="n"/>
      <c r="K169" s="636">
        <f>SUM(K170:K181)</f>
        <v/>
      </c>
      <c r="L169" s="636">
        <f>SUM(L170:L181)</f>
        <v/>
      </c>
      <c r="M169" s="636">
        <f>SUM(M170:M181)</f>
        <v/>
      </c>
      <c r="N169" s="636">
        <f>SUM(N170:N181)</f>
        <v/>
      </c>
      <c r="O169" s="615">
        <f>SUM(O170:O181)</f>
        <v/>
      </c>
      <c r="P169" s="639" t="n"/>
      <c r="Q169" s="639" t="n"/>
      <c r="R169" s="640" t="n"/>
    </row>
    <row r="170" outlineLevel="1">
      <c r="A170" s="278" t="inlineStr">
        <is>
          <t>MAT</t>
        </is>
      </c>
      <c r="B170" s="282" t="n"/>
      <c r="C170" s="578" t="n"/>
      <c r="D170" s="401" t="n"/>
      <c r="E170" s="653" t="n"/>
      <c r="F170" s="322" t="n"/>
      <c r="G170" s="654" t="n"/>
      <c r="H170" s="654" t="n"/>
      <c r="I170" s="654" t="n"/>
      <c r="J170" s="654" t="n"/>
      <c r="K170" s="655" t="n"/>
      <c r="L170" s="655" t="n"/>
      <c r="M170" s="655" t="n"/>
      <c r="N170" s="655" t="n"/>
      <c r="O170" s="656" t="n"/>
      <c r="P170" s="639" t="n"/>
      <c r="Q170" s="639" t="n"/>
      <c r="R170" s="640" t="n"/>
    </row>
    <row r="171" outlineLevel="1">
      <c r="A171" s="278" t="inlineStr">
        <is>
          <t>MAT</t>
        </is>
      </c>
      <c r="B171" s="282" t="n"/>
      <c r="C171" s="578" t="n"/>
      <c r="D171" s="401" t="n"/>
      <c r="E171" s="653" t="n"/>
      <c r="F171" s="322" t="n"/>
      <c r="G171" s="654" t="n"/>
      <c r="H171" s="654" t="n"/>
      <c r="I171" s="654" t="n"/>
      <c r="J171" s="654" t="n"/>
      <c r="K171" s="655" t="n"/>
      <c r="L171" s="655" t="n"/>
      <c r="M171" s="655" t="n"/>
      <c r="N171" s="655" t="n"/>
      <c r="O171" s="656" t="n"/>
      <c r="P171" s="639" t="n"/>
      <c r="Q171" s="639" t="n"/>
      <c r="R171" s="640" t="n"/>
    </row>
    <row r="172" outlineLevel="1">
      <c r="A172" s="278" t="inlineStr">
        <is>
          <t>MAT</t>
        </is>
      </c>
      <c r="B172" s="282" t="n"/>
      <c r="C172" s="578" t="n"/>
      <c r="D172" s="401" t="n"/>
      <c r="E172" s="653" t="n"/>
      <c r="F172" s="322" t="n"/>
      <c r="G172" s="654" t="n"/>
      <c r="H172" s="657" t="n"/>
      <c r="I172" s="654" t="n"/>
      <c r="J172" s="654" t="n"/>
      <c r="K172" s="655" t="n"/>
      <c r="L172" s="655" t="n"/>
      <c r="M172" s="655" t="n"/>
      <c r="N172" s="655" t="n"/>
      <c r="O172" s="656" t="n"/>
      <c r="P172" s="639" t="n"/>
      <c r="Q172" s="639" t="n"/>
      <c r="R172" s="640" t="n"/>
    </row>
    <row r="173" outlineLevel="1">
      <c r="A173" s="278" t="inlineStr">
        <is>
          <t>MAT</t>
        </is>
      </c>
      <c r="B173" s="282" t="n"/>
      <c r="C173" s="578" t="n"/>
      <c r="D173" s="401" t="n"/>
      <c r="E173" s="653" t="n"/>
      <c r="F173" s="322" t="n"/>
      <c r="G173" s="654" t="n"/>
      <c r="H173" s="657" t="n"/>
      <c r="I173" s="654" t="n"/>
      <c r="J173" s="654" t="n"/>
      <c r="K173" s="655" t="n"/>
      <c r="L173" s="655" t="n"/>
      <c r="M173" s="655" t="n"/>
      <c r="N173" s="655" t="n"/>
      <c r="O173" s="656" t="n"/>
      <c r="P173" s="639" t="n"/>
      <c r="Q173" s="639" t="n"/>
      <c r="R173" s="640" t="n"/>
    </row>
    <row r="174" outlineLevel="1">
      <c r="A174" s="278" t="inlineStr">
        <is>
          <t>MAT</t>
        </is>
      </c>
      <c r="B174" s="282" t="n"/>
      <c r="C174" s="578" t="n"/>
      <c r="D174" s="401" t="n"/>
      <c r="E174" s="653" t="n"/>
      <c r="F174" s="322" t="n"/>
      <c r="G174" s="654" t="n"/>
      <c r="H174" s="657" t="n"/>
      <c r="I174" s="654" t="n"/>
      <c r="J174" s="654" t="n"/>
      <c r="K174" s="655" t="n"/>
      <c r="L174" s="655" t="n"/>
      <c r="M174" s="655" t="n"/>
      <c r="N174" s="655" t="n"/>
      <c r="O174" s="656" t="n"/>
      <c r="P174" s="639" t="n"/>
      <c r="Q174" s="639" t="n"/>
      <c r="R174" s="640" t="n"/>
    </row>
    <row r="175" outlineLevel="1">
      <c r="A175" s="278" t="inlineStr">
        <is>
          <t>MAT</t>
        </is>
      </c>
      <c r="B175" s="282" t="n"/>
      <c r="C175" s="578" t="n"/>
      <c r="D175" s="401" t="n"/>
      <c r="E175" s="653" t="n"/>
      <c r="F175" s="322" t="n"/>
      <c r="G175" s="654" t="n"/>
      <c r="H175" s="657" t="n"/>
      <c r="I175" s="654" t="n"/>
      <c r="J175" s="654" t="n"/>
      <c r="K175" s="655" t="n"/>
      <c r="L175" s="655" t="n"/>
      <c r="M175" s="655" t="n"/>
      <c r="N175" s="655" t="n"/>
      <c r="O175" s="656" t="n"/>
      <c r="P175" s="639" t="n"/>
      <c r="Q175" s="639" t="n"/>
      <c r="R175" s="640" t="n"/>
    </row>
    <row r="176" outlineLevel="1">
      <c r="A176" s="278" t="inlineStr">
        <is>
          <t>MAT</t>
        </is>
      </c>
      <c r="B176" s="282" t="n"/>
      <c r="C176" s="578" t="n"/>
      <c r="D176" s="401" t="n"/>
      <c r="E176" s="653" t="n"/>
      <c r="F176" s="322" t="n"/>
      <c r="G176" s="654" t="n"/>
      <c r="H176" s="657" t="n"/>
      <c r="I176" s="654" t="n"/>
      <c r="J176" s="654" t="n"/>
      <c r="K176" s="655" t="n"/>
      <c r="L176" s="655" t="n"/>
      <c r="M176" s="655" t="n"/>
      <c r="N176" s="655" t="n"/>
      <c r="O176" s="656" t="n"/>
      <c r="P176" s="639" t="n"/>
      <c r="Q176" s="639" t="n"/>
      <c r="R176" s="640" t="n"/>
    </row>
    <row r="177" outlineLevel="1">
      <c r="A177" s="278" t="inlineStr">
        <is>
          <t>MAT</t>
        </is>
      </c>
      <c r="B177" s="282" t="n"/>
      <c r="C177" s="578" t="n"/>
      <c r="D177" s="401" t="n"/>
      <c r="E177" s="653" t="n"/>
      <c r="F177" s="322" t="n"/>
      <c r="G177" s="654" t="n"/>
      <c r="H177" s="657" t="n"/>
      <c r="I177" s="654" t="n"/>
      <c r="J177" s="654" t="n"/>
      <c r="K177" s="655" t="n"/>
      <c r="L177" s="655" t="n"/>
      <c r="M177" s="655" t="n"/>
      <c r="N177" s="655" t="n"/>
      <c r="O177" s="656" t="n"/>
      <c r="P177" s="639" t="n"/>
      <c r="Q177" s="639" t="n"/>
      <c r="R177" s="640" t="n"/>
    </row>
    <row r="178" outlineLevel="1">
      <c r="A178" s="278" t="inlineStr">
        <is>
          <t>MAT</t>
        </is>
      </c>
      <c r="B178" s="282" t="n"/>
      <c r="C178" s="578" t="n"/>
      <c r="D178" s="401" t="n"/>
      <c r="E178" s="653" t="n"/>
      <c r="F178" s="322" t="n"/>
      <c r="G178" s="654" t="n"/>
      <c r="H178" s="657" t="n"/>
      <c r="I178" s="654" t="n"/>
      <c r="J178" s="654" t="n"/>
      <c r="K178" s="655" t="n"/>
      <c r="L178" s="655" t="n"/>
      <c r="M178" s="655" t="n"/>
      <c r="N178" s="655" t="n"/>
      <c r="O178" s="656" t="n"/>
      <c r="P178" s="639" t="n"/>
      <c r="Q178" s="639" t="n"/>
      <c r="R178" s="640" t="n"/>
    </row>
    <row r="179" outlineLevel="1">
      <c r="A179" s="278" t="inlineStr">
        <is>
          <t>MAT</t>
        </is>
      </c>
      <c r="B179" s="282" t="n"/>
      <c r="C179" s="578" t="n"/>
      <c r="D179" s="401" t="n"/>
      <c r="E179" s="653" t="n"/>
      <c r="F179" s="322" t="n"/>
      <c r="G179" s="654" t="n"/>
      <c r="H179" s="657" t="n"/>
      <c r="I179" s="654" t="n"/>
      <c r="J179" s="654" t="n"/>
      <c r="K179" s="655" t="n"/>
      <c r="L179" s="655" t="n"/>
      <c r="M179" s="655" t="n"/>
      <c r="N179" s="655" t="n"/>
      <c r="O179" s="656" t="n"/>
      <c r="P179" s="639" t="n"/>
      <c r="Q179" s="639" t="n"/>
      <c r="R179" s="640" t="n"/>
    </row>
    <row r="180" outlineLevel="1">
      <c r="A180" s="278" t="inlineStr">
        <is>
          <t xml:space="preserve">MO </t>
        </is>
      </c>
      <c r="B180" s="282" t="inlineStr">
        <is>
          <t>02-03-01</t>
        </is>
      </c>
      <c r="C180" s="578" t="n"/>
      <c r="D180" s="386" t="inlineStr">
        <is>
          <t xml:space="preserve">OPERARIO </t>
        </is>
      </c>
      <c r="E180" s="632">
        <f>+_xlfn.XLOOKUP(D180,'BASE DATOS MANO DE OBRA'!A:A,'BASE DATOS MANO DE OBRA'!B:B)</f>
        <v/>
      </c>
      <c r="F180" s="388" t="n">
        <v>0</v>
      </c>
      <c r="G180" s="633">
        <f>+_xlfn.XLOOKUP(D180,'BASE DATOS MANO DE OBRA'!A:A,'BASE DATOS MANO DE OBRA'!C:C)</f>
        <v/>
      </c>
      <c r="H180" s="634" t="n">
        <v>0</v>
      </c>
      <c r="I180" s="634">
        <f>+_xlfn.XLOOKUP(D180,'BASE DATOS MANO DE OBRA'!A:A,'BASE DATOS MANO DE OBRA'!E:E)</f>
        <v/>
      </c>
      <c r="J180" s="634" t="n">
        <v>0</v>
      </c>
      <c r="K180" s="634">
        <f>+F180*H180</f>
        <v/>
      </c>
      <c r="L180" s="634">
        <f>+F180*I180</f>
        <v/>
      </c>
      <c r="M180" s="634">
        <f>+F180*J180</f>
        <v/>
      </c>
      <c r="N180" s="634">
        <f>SUM(K180:M180)</f>
        <v/>
      </c>
      <c r="O180" s="635">
        <f>SUM(K180:M180)/tc</f>
        <v/>
      </c>
      <c r="P180" s="639" t="n"/>
      <c r="Q180" s="639" t="n"/>
      <c r="R180" s="640" t="n"/>
    </row>
    <row r="181" outlineLevel="1">
      <c r="A181" s="278" t="inlineStr">
        <is>
          <t xml:space="preserve">MO </t>
        </is>
      </c>
      <c r="B181" s="282" t="inlineStr">
        <is>
          <t>02-03-01</t>
        </is>
      </c>
      <c r="C181" s="578" t="n"/>
      <c r="D181" s="386" t="inlineStr">
        <is>
          <t xml:space="preserve">AYUDANTE </t>
        </is>
      </c>
      <c r="E181" s="632">
        <f>+_xlfn.XLOOKUP(D181,'BASE DATOS MANO DE OBRA'!A:A,'BASE DATOS MANO DE OBRA'!B:B)</f>
        <v/>
      </c>
      <c r="F181" s="388" t="n">
        <v>0</v>
      </c>
      <c r="G181" s="633">
        <f>+_xlfn.XLOOKUP(D181,'BASE DATOS MANO DE OBRA'!A:A,'BASE DATOS MANO DE OBRA'!C:C)</f>
        <v/>
      </c>
      <c r="H181" s="634" t="n">
        <v>0</v>
      </c>
      <c r="I181" s="634">
        <f>+_xlfn.XLOOKUP(D181,'BASE DATOS MANO DE OBRA'!A:A,'BASE DATOS MANO DE OBRA'!E:E)</f>
        <v/>
      </c>
      <c r="J181" s="634" t="n">
        <v>0</v>
      </c>
      <c r="K181" s="634">
        <f>+F181*H181</f>
        <v/>
      </c>
      <c r="L181" s="634">
        <f>+F181*I181</f>
        <v/>
      </c>
      <c r="M181" s="634">
        <f>+F181*J181</f>
        <v/>
      </c>
      <c r="N181" s="634">
        <f>SUM(K181:M181)</f>
        <v/>
      </c>
      <c r="O181" s="635">
        <f>SUM(K181:M181)/tc</f>
        <v/>
      </c>
      <c r="P181" s="639" t="n"/>
      <c r="Q181" s="639" t="n"/>
      <c r="R181" s="640" t="n"/>
    </row>
    <row r="182">
      <c r="A182" s="278" t="n"/>
      <c r="B182" s="282" t="inlineStr">
        <is>
          <t>03</t>
        </is>
      </c>
      <c r="C182" s="578" t="n"/>
      <c r="D182" s="372" t="n">
        <v>3</v>
      </c>
      <c r="E182" s="373" t="inlineStr">
        <is>
          <t xml:space="preserve">SUPERESTRUCTURA SEGUNDO NIVEL </t>
        </is>
      </c>
      <c r="F182" s="374" t="n"/>
      <c r="G182" s="375" t="n"/>
      <c r="H182" s="375" t="n"/>
      <c r="I182" s="375" t="n"/>
      <c r="J182" s="375" t="n"/>
      <c r="K182" s="612">
        <f>K183+K201</f>
        <v/>
      </c>
      <c r="L182" s="612">
        <f>L183+L201</f>
        <v/>
      </c>
      <c r="M182" s="612">
        <f>M183+M201</f>
        <v/>
      </c>
      <c r="N182" s="612">
        <f>N183+N201</f>
        <v/>
      </c>
      <c r="O182" s="613">
        <f>O183+O201</f>
        <v/>
      </c>
      <c r="P182" s="639" t="n"/>
      <c r="Q182" s="639" t="n"/>
      <c r="R182" s="640" t="n"/>
    </row>
    <row r="183">
      <c r="A183" s="278" t="n"/>
      <c r="B183" s="282" t="inlineStr">
        <is>
          <t>03-01</t>
        </is>
      </c>
      <c r="C183" s="578" t="n"/>
      <c r="D183" s="307" t="inlineStr">
        <is>
          <t xml:space="preserve">3.1 </t>
        </is>
      </c>
      <c r="E183" s="308" t="inlineStr">
        <is>
          <t>ACERO EN PAREDES MUROS N2 (ELECTROMECANICO)</t>
        </is>
      </c>
      <c r="F183" s="309" t="n">
        <v>1</v>
      </c>
      <c r="G183" s="310" t="inlineStr">
        <is>
          <t>gb</t>
        </is>
      </c>
      <c r="H183" s="310" t="n"/>
      <c r="I183" s="310" t="n"/>
      <c r="J183" s="310" t="n"/>
      <c r="K183" s="636">
        <f>SUM(K184:K200)</f>
        <v/>
      </c>
      <c r="L183" s="636">
        <f>SUM(L184:L200)</f>
        <v/>
      </c>
      <c r="M183" s="636">
        <f>SUM(M184:M200)</f>
        <v/>
      </c>
      <c r="N183" s="636">
        <f>SUM(N184:N200)</f>
        <v/>
      </c>
      <c r="O183" s="615">
        <f>SUM(O184:O200)</f>
        <v/>
      </c>
      <c r="P183" s="639" t="n"/>
      <c r="Q183" s="639" t="n"/>
      <c r="R183" s="640" t="n"/>
    </row>
    <row r="184" outlineLevel="1">
      <c r="A184" s="278" t="inlineStr">
        <is>
          <t>MAT</t>
        </is>
      </c>
      <c r="B184" s="282" t="n"/>
      <c r="C184" s="578" t="n"/>
      <c r="D184" s="401" t="n"/>
      <c r="E184" s="653" t="n"/>
      <c r="F184" s="322" t="n"/>
      <c r="G184" s="654" t="n"/>
      <c r="H184" s="654" t="n"/>
      <c r="I184" s="654" t="n"/>
      <c r="J184" s="654" t="n"/>
      <c r="K184" s="655" t="n"/>
      <c r="L184" s="655" t="n"/>
      <c r="M184" s="655" t="n"/>
      <c r="N184" s="655" t="n"/>
      <c r="O184" s="656" t="n"/>
      <c r="P184" s="639" t="n"/>
      <c r="Q184" s="639" t="n"/>
      <c r="R184" s="640" t="n"/>
    </row>
    <row r="185" outlineLevel="1">
      <c r="A185" s="278" t="inlineStr">
        <is>
          <t>MAT</t>
        </is>
      </c>
      <c r="B185" s="282" t="n"/>
      <c r="C185" s="578" t="n"/>
      <c r="D185" s="401" t="n"/>
      <c r="E185" s="653" t="n"/>
      <c r="F185" s="322" t="n"/>
      <c r="G185" s="654" t="n"/>
      <c r="H185" s="654" t="n"/>
      <c r="I185" s="654" t="n"/>
      <c r="J185" s="654" t="n"/>
      <c r="K185" s="655" t="n"/>
      <c r="L185" s="655" t="n"/>
      <c r="M185" s="655" t="n"/>
      <c r="N185" s="655" t="n"/>
      <c r="O185" s="656" t="n"/>
      <c r="P185" s="639" t="n"/>
      <c r="Q185" s="639" t="n"/>
      <c r="R185" s="640" t="n"/>
    </row>
    <row r="186" outlineLevel="1">
      <c r="A186" s="278" t="inlineStr">
        <is>
          <t>MAT</t>
        </is>
      </c>
      <c r="B186" s="282" t="n"/>
      <c r="C186" s="578" t="n"/>
      <c r="D186" s="401" t="n"/>
      <c r="E186" s="653" t="n"/>
      <c r="F186" s="322" t="n"/>
      <c r="G186" s="654" t="n"/>
      <c r="H186" s="654" t="n"/>
      <c r="I186" s="654" t="n"/>
      <c r="J186" s="654" t="n"/>
      <c r="K186" s="655" t="n"/>
      <c r="L186" s="655" t="n"/>
      <c r="M186" s="655" t="n"/>
      <c r="N186" s="655" t="n"/>
      <c r="O186" s="656" t="n"/>
      <c r="P186" s="639" t="n"/>
      <c r="Q186" s="639" t="n"/>
      <c r="R186" s="640" t="n"/>
    </row>
    <row r="187" outlineLevel="1">
      <c r="A187" s="278" t="inlineStr">
        <is>
          <t>MAT</t>
        </is>
      </c>
      <c r="B187" s="282" t="n"/>
      <c r="C187" s="578" t="n"/>
      <c r="D187" s="401" t="n"/>
      <c r="E187" s="653" t="n"/>
      <c r="F187" s="322" t="n"/>
      <c r="G187" s="654" t="n"/>
      <c r="H187" s="654" t="n"/>
      <c r="I187" s="654" t="n"/>
      <c r="J187" s="654" t="n"/>
      <c r="K187" s="655" t="n"/>
      <c r="L187" s="655" t="n"/>
      <c r="M187" s="655" t="n"/>
      <c r="N187" s="655" t="n"/>
      <c r="O187" s="656" t="n"/>
      <c r="P187" s="639" t="n"/>
      <c r="Q187" s="639" t="n"/>
      <c r="R187" s="640" t="n"/>
    </row>
    <row r="188" outlineLevel="1">
      <c r="A188" s="278" t="inlineStr">
        <is>
          <t>MAT</t>
        </is>
      </c>
      <c r="B188" s="282" t="n"/>
      <c r="C188" s="578" t="n"/>
      <c r="D188" s="401" t="n"/>
      <c r="E188" s="653" t="n"/>
      <c r="F188" s="322" t="n"/>
      <c r="G188" s="654" t="n"/>
      <c r="H188" s="654" t="n"/>
      <c r="I188" s="654" t="n"/>
      <c r="J188" s="654" t="n"/>
      <c r="K188" s="655" t="n"/>
      <c r="L188" s="655" t="n"/>
      <c r="M188" s="655" t="n"/>
      <c r="N188" s="655" t="n"/>
      <c r="O188" s="656" t="n"/>
      <c r="P188" s="639" t="n"/>
      <c r="Q188" s="639" t="n"/>
      <c r="R188" s="640" t="n"/>
    </row>
    <row r="189" outlineLevel="1">
      <c r="A189" s="278" t="inlineStr">
        <is>
          <t>MAT</t>
        </is>
      </c>
      <c r="B189" s="282" t="n"/>
      <c r="C189" s="578" t="n"/>
      <c r="D189" s="401" t="n"/>
      <c r="E189" s="653" t="n"/>
      <c r="F189" s="322" t="n"/>
      <c r="G189" s="654" t="n"/>
      <c r="H189" s="654" t="n"/>
      <c r="I189" s="654" t="n"/>
      <c r="J189" s="654" t="n"/>
      <c r="K189" s="655" t="n"/>
      <c r="L189" s="655" t="n"/>
      <c r="M189" s="655" t="n"/>
      <c r="N189" s="655" t="n"/>
      <c r="O189" s="656" t="n"/>
      <c r="P189" s="639" t="n"/>
      <c r="Q189" s="639" t="n"/>
      <c r="R189" s="640" t="n"/>
    </row>
    <row r="190" outlineLevel="1">
      <c r="A190" s="278" t="inlineStr">
        <is>
          <t>MAT</t>
        </is>
      </c>
      <c r="B190" s="282" t="n"/>
      <c r="C190" s="578" t="n"/>
      <c r="D190" s="401" t="n"/>
      <c r="E190" s="653" t="n"/>
      <c r="F190" s="322" t="n"/>
      <c r="G190" s="654" t="n"/>
      <c r="H190" s="654" t="n"/>
      <c r="I190" s="654" t="n"/>
      <c r="J190" s="654" t="n"/>
      <c r="K190" s="655" t="n"/>
      <c r="L190" s="655" t="n"/>
      <c r="M190" s="655" t="n"/>
      <c r="N190" s="655" t="n"/>
      <c r="O190" s="656" t="n"/>
      <c r="P190" s="639" t="n"/>
      <c r="Q190" s="639" t="n"/>
      <c r="R190" s="640" t="n"/>
    </row>
    <row r="191" outlineLevel="1">
      <c r="A191" s="278" t="inlineStr">
        <is>
          <t>MAT</t>
        </is>
      </c>
      <c r="B191" s="282" t="n"/>
      <c r="C191" s="578" t="n"/>
      <c r="D191" s="401" t="n"/>
      <c r="E191" s="653" t="n"/>
      <c r="F191" s="322" t="n"/>
      <c r="G191" s="654" t="n"/>
      <c r="H191" s="654" t="n"/>
      <c r="I191" s="654" t="n"/>
      <c r="J191" s="654" t="n"/>
      <c r="K191" s="655" t="n"/>
      <c r="L191" s="655" t="n"/>
      <c r="M191" s="655" t="n"/>
      <c r="N191" s="655" t="n"/>
      <c r="O191" s="656" t="n"/>
      <c r="P191" s="639" t="n"/>
      <c r="Q191" s="639" t="n"/>
      <c r="R191" s="640" t="n"/>
    </row>
    <row r="192" outlineLevel="1">
      <c r="A192" s="278" t="inlineStr">
        <is>
          <t>MAT</t>
        </is>
      </c>
      <c r="B192" s="282" t="n"/>
      <c r="C192" s="578" t="n"/>
      <c r="D192" s="401" t="n"/>
      <c r="E192" s="653" t="n"/>
      <c r="F192" s="322" t="n"/>
      <c r="G192" s="654" t="n"/>
      <c r="H192" s="654" t="n"/>
      <c r="I192" s="654" t="n"/>
      <c r="J192" s="654" t="n"/>
      <c r="K192" s="655" t="n"/>
      <c r="L192" s="655" t="n"/>
      <c r="M192" s="655" t="n"/>
      <c r="N192" s="655" t="n"/>
      <c r="O192" s="656" t="n"/>
      <c r="P192" s="639" t="n"/>
      <c r="Q192" s="639" t="n"/>
      <c r="R192" s="640" t="n"/>
    </row>
    <row r="193" outlineLevel="1">
      <c r="A193" s="278" t="inlineStr">
        <is>
          <t>MAT</t>
        </is>
      </c>
      <c r="B193" s="282" t="n"/>
      <c r="C193" s="578" t="n"/>
      <c r="D193" s="401" t="n"/>
      <c r="E193" s="653" t="n"/>
      <c r="F193" s="322" t="n"/>
      <c r="G193" s="654" t="n"/>
      <c r="H193" s="654" t="n"/>
      <c r="I193" s="654" t="n"/>
      <c r="J193" s="654" t="n"/>
      <c r="K193" s="655" t="n"/>
      <c r="L193" s="655" t="n"/>
      <c r="M193" s="655" t="n"/>
      <c r="N193" s="655" t="n"/>
      <c r="O193" s="656" t="n"/>
      <c r="P193" s="639" t="n"/>
      <c r="Q193" s="639" t="n"/>
      <c r="R193" s="640" t="n"/>
    </row>
    <row r="194" outlineLevel="1">
      <c r="A194" s="278" t="inlineStr">
        <is>
          <t>MAT</t>
        </is>
      </c>
      <c r="B194" s="282" t="n"/>
      <c r="C194" s="578" t="n"/>
      <c r="D194" s="401" t="n"/>
      <c r="E194" s="653" t="n"/>
      <c r="F194" s="322" t="n"/>
      <c r="G194" s="654" t="n"/>
      <c r="H194" s="654" t="n"/>
      <c r="I194" s="654" t="n"/>
      <c r="J194" s="654" t="n"/>
      <c r="K194" s="655" t="n"/>
      <c r="L194" s="655" t="n"/>
      <c r="M194" s="655" t="n"/>
      <c r="N194" s="655" t="n"/>
      <c r="O194" s="656" t="n"/>
      <c r="P194" s="639" t="n"/>
      <c r="Q194" s="639" t="n"/>
      <c r="R194" s="640" t="n"/>
    </row>
    <row r="195" outlineLevel="1">
      <c r="A195" s="278" t="inlineStr">
        <is>
          <t xml:space="preserve">MO </t>
        </is>
      </c>
      <c r="B195" s="282" t="inlineStr">
        <is>
          <t>03-01-01</t>
        </is>
      </c>
      <c r="C195" s="578" t="n"/>
      <c r="D195" s="386" t="inlineStr">
        <is>
          <t xml:space="preserve">OPERARIO </t>
        </is>
      </c>
      <c r="E195" s="632">
        <f>+_xlfn.XLOOKUP(D195,'BASE DATOS MANO DE OBRA'!A:A,'BASE DATOS MANO DE OBRA'!B:B)</f>
        <v/>
      </c>
      <c r="F195" s="388" t="n">
        <v>0</v>
      </c>
      <c r="G195" s="633">
        <f>+_xlfn.XLOOKUP(D195,'BASE DATOS MANO DE OBRA'!A:A,'BASE DATOS MANO DE OBRA'!C:C)</f>
        <v/>
      </c>
      <c r="H195" s="634" t="n">
        <v>0</v>
      </c>
      <c r="I195" s="634">
        <f>+_xlfn.XLOOKUP(D195,'BASE DATOS MANO DE OBRA'!A:A,'BASE DATOS MANO DE OBRA'!E:E)</f>
        <v/>
      </c>
      <c r="J195" s="634" t="n">
        <v>0</v>
      </c>
      <c r="K195" s="634">
        <f>+F195*H195</f>
        <v/>
      </c>
      <c r="L195" s="634">
        <f>+F195*I195</f>
        <v/>
      </c>
      <c r="M195" s="634">
        <f>+F195*J195</f>
        <v/>
      </c>
      <c r="N195" s="634">
        <f>SUM(K195:M195)</f>
        <v/>
      </c>
      <c r="O195" s="635">
        <f>SUM(K195:M195)/tc</f>
        <v/>
      </c>
      <c r="P195" s="639" t="n"/>
      <c r="Q195" s="639" t="n"/>
      <c r="R195" s="640" t="n"/>
    </row>
    <row r="196" outlineLevel="1">
      <c r="A196" s="278" t="inlineStr">
        <is>
          <t xml:space="preserve">MO </t>
        </is>
      </c>
      <c r="B196" s="282" t="inlineStr">
        <is>
          <t>03-01-01</t>
        </is>
      </c>
      <c r="C196" s="578" t="n"/>
      <c r="D196" s="386" t="inlineStr">
        <is>
          <t xml:space="preserve">AYUDANTE </t>
        </is>
      </c>
      <c r="E196" s="632">
        <f>+_xlfn.XLOOKUP(D196,'BASE DATOS MANO DE OBRA'!A:A,'BASE DATOS MANO DE OBRA'!B:B)</f>
        <v/>
      </c>
      <c r="F196" s="388" t="n">
        <v>0</v>
      </c>
      <c r="G196" s="633">
        <f>+_xlfn.XLOOKUP(D196,'BASE DATOS MANO DE OBRA'!A:A,'BASE DATOS MANO DE OBRA'!C:C)</f>
        <v/>
      </c>
      <c r="H196" s="634" t="n">
        <v>0</v>
      </c>
      <c r="I196" s="634">
        <f>+_xlfn.XLOOKUP(D196,'BASE DATOS MANO DE OBRA'!A:A,'BASE DATOS MANO DE OBRA'!E:E)</f>
        <v/>
      </c>
      <c r="J196" s="634" t="n">
        <v>0</v>
      </c>
      <c r="K196" s="634">
        <f>+F196*H196</f>
        <v/>
      </c>
      <c r="L196" s="634">
        <f>+F196*I196</f>
        <v/>
      </c>
      <c r="M196" s="634">
        <f>+F196*J196</f>
        <v/>
      </c>
      <c r="N196" s="634">
        <f>SUM(K196:M196)</f>
        <v/>
      </c>
      <c r="O196" s="635">
        <f>SUM(K196:M196)/tc</f>
        <v/>
      </c>
      <c r="P196" s="639" t="n"/>
      <c r="Q196" s="639" t="n"/>
      <c r="R196" s="640" t="n"/>
    </row>
    <row r="197" outlineLevel="1">
      <c r="A197" s="278" t="inlineStr">
        <is>
          <t xml:space="preserve">MO </t>
        </is>
      </c>
      <c r="B197" s="282" t="inlineStr">
        <is>
          <t>03-01-02</t>
        </is>
      </c>
      <c r="C197" s="578" t="n"/>
      <c r="D197" s="386" t="inlineStr">
        <is>
          <t xml:space="preserve">OPERARIO </t>
        </is>
      </c>
      <c r="E197" s="632">
        <f>+_xlfn.XLOOKUP(D197,'BASE DATOS MANO DE OBRA'!A:A,'BASE DATOS MANO DE OBRA'!B:B)</f>
        <v/>
      </c>
      <c r="F197" s="388" t="n">
        <v>0</v>
      </c>
      <c r="G197" s="633">
        <f>+_xlfn.XLOOKUP(D197,'BASE DATOS MANO DE OBRA'!A:A,'BASE DATOS MANO DE OBRA'!C:C)</f>
        <v/>
      </c>
      <c r="H197" s="634" t="n">
        <v>0</v>
      </c>
      <c r="I197" s="634">
        <f>+_xlfn.XLOOKUP(D197,'BASE DATOS MANO DE OBRA'!A:A,'BASE DATOS MANO DE OBRA'!E:E)</f>
        <v/>
      </c>
      <c r="J197" s="634" t="n">
        <v>0</v>
      </c>
      <c r="K197" s="634">
        <f>+F197*H197</f>
        <v/>
      </c>
      <c r="L197" s="634">
        <f>+F197*I197</f>
        <v/>
      </c>
      <c r="M197" s="634">
        <f>+F197*J197</f>
        <v/>
      </c>
      <c r="N197" s="634">
        <f>SUM(K197:M197)</f>
        <v/>
      </c>
      <c r="O197" s="635">
        <f>SUM(K197:M197)/tc</f>
        <v/>
      </c>
      <c r="P197" s="639" t="n"/>
      <c r="Q197" s="639" t="n"/>
      <c r="R197" s="640" t="n"/>
    </row>
    <row r="198" outlineLevel="1">
      <c r="A198" s="278" t="inlineStr">
        <is>
          <t xml:space="preserve">MO </t>
        </is>
      </c>
      <c r="B198" s="282" t="inlineStr">
        <is>
          <t>03-01-02</t>
        </is>
      </c>
      <c r="C198" s="578" t="n"/>
      <c r="D198" s="386" t="inlineStr">
        <is>
          <t xml:space="preserve">AYUDANTE </t>
        </is>
      </c>
      <c r="E198" s="632">
        <f>+_xlfn.XLOOKUP(D198,'BASE DATOS MANO DE OBRA'!A:A,'BASE DATOS MANO DE OBRA'!B:B)</f>
        <v/>
      </c>
      <c r="F198" s="388" t="n">
        <v>0</v>
      </c>
      <c r="G198" s="633">
        <f>+_xlfn.XLOOKUP(D198,'BASE DATOS MANO DE OBRA'!A:A,'BASE DATOS MANO DE OBRA'!C:C)</f>
        <v/>
      </c>
      <c r="H198" s="634" t="n">
        <v>0</v>
      </c>
      <c r="I198" s="634">
        <f>+_xlfn.XLOOKUP(D198,'BASE DATOS MANO DE OBRA'!A:A,'BASE DATOS MANO DE OBRA'!E:E)</f>
        <v/>
      </c>
      <c r="J198" s="634" t="n">
        <v>0</v>
      </c>
      <c r="K198" s="634">
        <f>+F198*H198</f>
        <v/>
      </c>
      <c r="L198" s="634">
        <f>+F198*I198</f>
        <v/>
      </c>
      <c r="M198" s="634">
        <f>+F198*J198</f>
        <v/>
      </c>
      <c r="N198" s="634">
        <f>SUM(K198:M198)</f>
        <v/>
      </c>
      <c r="O198" s="635">
        <f>SUM(K198:M198)/tc</f>
        <v/>
      </c>
      <c r="P198" s="639" t="n"/>
      <c r="Q198" s="639" t="n"/>
      <c r="R198" s="640" t="n"/>
    </row>
    <row r="199" outlineLevel="1">
      <c r="A199" s="278" t="inlineStr">
        <is>
          <t xml:space="preserve">MO </t>
        </is>
      </c>
      <c r="B199" s="282" t="inlineStr">
        <is>
          <t>03-01-03</t>
        </is>
      </c>
      <c r="C199" s="578" t="n"/>
      <c r="D199" s="386" t="inlineStr">
        <is>
          <t xml:space="preserve">OPERARIO </t>
        </is>
      </c>
      <c r="E199" s="632">
        <f>+_xlfn.XLOOKUP(D199,'BASE DATOS MANO DE OBRA'!A:A,'BASE DATOS MANO DE OBRA'!B:B)</f>
        <v/>
      </c>
      <c r="F199" s="388" t="n">
        <v>0</v>
      </c>
      <c r="G199" s="633">
        <f>+_xlfn.XLOOKUP(D199,'BASE DATOS MANO DE OBRA'!A:A,'BASE DATOS MANO DE OBRA'!C:C)</f>
        <v/>
      </c>
      <c r="H199" s="634" t="n">
        <v>0</v>
      </c>
      <c r="I199" s="634">
        <f>+_xlfn.XLOOKUP(D199,'BASE DATOS MANO DE OBRA'!A:A,'BASE DATOS MANO DE OBRA'!E:E)</f>
        <v/>
      </c>
      <c r="J199" s="634" t="n">
        <v>0</v>
      </c>
      <c r="K199" s="634">
        <f>+F199*H199</f>
        <v/>
      </c>
      <c r="L199" s="634">
        <f>+F199*I199</f>
        <v/>
      </c>
      <c r="M199" s="634">
        <f>+F199*J199</f>
        <v/>
      </c>
      <c r="N199" s="634">
        <f>SUM(K199:M199)</f>
        <v/>
      </c>
      <c r="O199" s="635">
        <f>SUM(K199:M199)/tc</f>
        <v/>
      </c>
      <c r="P199" s="639" t="n"/>
      <c r="Q199" s="639" t="n"/>
      <c r="R199" s="640" t="n"/>
    </row>
    <row r="200" outlineLevel="1" ht="15" customHeight="1">
      <c r="A200" s="278" t="inlineStr">
        <is>
          <t xml:space="preserve">MO </t>
        </is>
      </c>
      <c r="B200" s="282" t="inlineStr">
        <is>
          <t>03-01-03</t>
        </is>
      </c>
      <c r="C200" s="578" t="n"/>
      <c r="D200" s="386" t="inlineStr">
        <is>
          <t xml:space="preserve">AYUDANTE </t>
        </is>
      </c>
      <c r="E200" s="632">
        <f>+_xlfn.XLOOKUP(D200,'BASE DATOS MANO DE OBRA'!A:A,'BASE DATOS MANO DE OBRA'!B:B)</f>
        <v/>
      </c>
      <c r="F200" s="388" t="n">
        <v>0</v>
      </c>
      <c r="G200" s="633">
        <f>+_xlfn.XLOOKUP(D200,'BASE DATOS MANO DE OBRA'!A:A,'BASE DATOS MANO DE OBRA'!C:C)</f>
        <v/>
      </c>
      <c r="H200" s="634" t="n">
        <v>0</v>
      </c>
      <c r="I200" s="634">
        <f>+_xlfn.XLOOKUP(D200,'BASE DATOS MANO DE OBRA'!A:A,'BASE DATOS MANO DE OBRA'!E:E)</f>
        <v/>
      </c>
      <c r="J200" s="634" t="n">
        <v>0</v>
      </c>
      <c r="K200" s="634">
        <f>+F200*H200</f>
        <v/>
      </c>
      <c r="L200" s="634">
        <f>+F200*I200</f>
        <v/>
      </c>
      <c r="M200" s="634">
        <f>+F200*J200</f>
        <v/>
      </c>
      <c r="N200" s="634">
        <f>SUM(K200:M200)</f>
        <v/>
      </c>
      <c r="O200" s="635">
        <f>SUM(K200:M200)/tc</f>
        <v/>
      </c>
      <c r="P200" s="639" t="n"/>
      <c r="Q200" s="639" t="n"/>
      <c r="R200" s="640" t="n"/>
    </row>
    <row r="201" ht="14.1" customHeight="1">
      <c r="A201" s="278" t="n"/>
      <c r="B201" s="282" t="inlineStr">
        <is>
          <t>03-02</t>
        </is>
      </c>
      <c r="C201" s="578" t="n"/>
      <c r="D201" s="307" t="inlineStr">
        <is>
          <t>3.2</t>
        </is>
      </c>
      <c r="E201" s="308" t="inlineStr">
        <is>
          <t>PAREDES, MUROS, ENTREPISO N2 (FORMALETA, CONCRETO, DESENCOFRADO)</t>
        </is>
      </c>
      <c r="F201" s="309" t="n">
        <v>1</v>
      </c>
      <c r="G201" s="310" t="inlineStr">
        <is>
          <t>gb</t>
        </is>
      </c>
      <c r="H201" s="310" t="n"/>
      <c r="I201" s="310" t="n"/>
      <c r="J201" s="310" t="n"/>
      <c r="K201" s="636">
        <f>SUM(K202:K213)</f>
        <v/>
      </c>
      <c r="L201" s="636">
        <f>SUM(L202:L213)</f>
        <v/>
      </c>
      <c r="M201" s="636">
        <f>SUM(M202:M213)</f>
        <v/>
      </c>
      <c r="N201" s="636">
        <f>SUM(N202:N213)</f>
        <v/>
      </c>
      <c r="O201" s="615">
        <f>SUM(O202:O213)</f>
        <v/>
      </c>
      <c r="P201" s="639" t="n"/>
      <c r="Q201" s="639" t="n"/>
      <c r="R201" s="640" t="n"/>
    </row>
    <row r="202" outlineLevel="1" ht="15" customHeight="1">
      <c r="A202" s="278" t="inlineStr">
        <is>
          <t>MAT</t>
        </is>
      </c>
      <c r="B202" s="282" t="n"/>
      <c r="C202" s="578" t="n"/>
      <c r="D202" s="403" t="n"/>
      <c r="E202" s="649" t="n"/>
      <c r="F202" s="316" t="n"/>
      <c r="G202" s="650" t="n"/>
      <c r="H202" s="650" t="n"/>
      <c r="I202" s="650" t="n"/>
      <c r="J202" s="650" t="n"/>
      <c r="K202" s="651" t="n"/>
      <c r="L202" s="651" t="n"/>
      <c r="M202" s="651" t="n"/>
      <c r="N202" s="651" t="n"/>
      <c r="O202" s="652" t="n"/>
      <c r="P202" s="639" t="n"/>
      <c r="Q202" s="639" t="n"/>
      <c r="R202" s="640" t="n"/>
    </row>
    <row r="203" outlineLevel="1" ht="15" customHeight="1">
      <c r="A203" s="278" t="inlineStr">
        <is>
          <t>MAT</t>
        </is>
      </c>
      <c r="B203" s="282" t="n"/>
      <c r="C203" s="578" t="n"/>
      <c r="D203" s="403" t="n"/>
      <c r="E203" s="649" t="n"/>
      <c r="F203" s="316" t="n"/>
      <c r="G203" s="650" t="n"/>
      <c r="H203" s="650" t="n"/>
      <c r="I203" s="650" t="n"/>
      <c r="J203" s="650" t="n"/>
      <c r="K203" s="651" t="n"/>
      <c r="L203" s="651" t="n"/>
      <c r="M203" s="651" t="n"/>
      <c r="N203" s="651" t="n"/>
      <c r="O203" s="652" t="n"/>
      <c r="P203" s="639" t="n"/>
      <c r="Q203" s="639" t="n"/>
      <c r="R203" s="640" t="n"/>
    </row>
    <row r="204" outlineLevel="1" ht="15" customHeight="1">
      <c r="A204" s="278" t="inlineStr">
        <is>
          <t>MAT</t>
        </is>
      </c>
      <c r="B204" s="282" t="n"/>
      <c r="C204" s="578" t="n"/>
      <c r="D204" s="403" t="n"/>
      <c r="E204" s="649" t="n"/>
      <c r="F204" s="316" t="n"/>
      <c r="G204" s="650" t="n"/>
      <c r="H204" s="650" t="n"/>
      <c r="I204" s="650" t="n"/>
      <c r="J204" s="650" t="n"/>
      <c r="K204" s="651" t="n"/>
      <c r="L204" s="651" t="n"/>
      <c r="M204" s="651" t="n"/>
      <c r="N204" s="651" t="n"/>
      <c r="O204" s="652" t="n"/>
      <c r="P204" s="639" t="n"/>
      <c r="Q204" s="639" t="n"/>
      <c r="R204" s="640" t="n"/>
    </row>
    <row r="205" outlineLevel="1" ht="15.6" customHeight="1">
      <c r="A205" s="278" t="inlineStr">
        <is>
          <t>MAT</t>
        </is>
      </c>
      <c r="B205" s="282" t="n"/>
      <c r="C205" s="578" t="n"/>
      <c r="D205" s="403" t="n"/>
      <c r="E205" s="649" t="n"/>
      <c r="F205" s="316" t="n"/>
      <c r="G205" s="650" t="n"/>
      <c r="H205" s="650" t="n"/>
      <c r="I205" s="650" t="n"/>
      <c r="J205" s="650" t="n"/>
      <c r="K205" s="651" t="n"/>
      <c r="L205" s="651" t="n"/>
      <c r="M205" s="651" t="n"/>
      <c r="N205" s="651" t="n"/>
      <c r="O205" s="652" t="n"/>
      <c r="P205" s="639" t="n"/>
      <c r="Q205" s="639" t="n"/>
      <c r="R205" s="640" t="n"/>
    </row>
    <row r="206" outlineLevel="1" ht="15.6" customHeight="1">
      <c r="A206" s="278" t="inlineStr">
        <is>
          <t>MAT</t>
        </is>
      </c>
      <c r="B206" s="282" t="n"/>
      <c r="C206" s="578" t="n"/>
      <c r="D206" s="403" t="n"/>
      <c r="E206" s="649" t="n"/>
      <c r="F206" s="316" t="n"/>
      <c r="G206" s="650" t="n"/>
      <c r="H206" s="650" t="n"/>
      <c r="I206" s="650" t="n"/>
      <c r="J206" s="650" t="n"/>
      <c r="K206" s="651" t="n"/>
      <c r="L206" s="651" t="n"/>
      <c r="M206" s="651" t="n"/>
      <c r="N206" s="651" t="n"/>
      <c r="O206" s="652" t="n"/>
      <c r="P206" s="639" t="n"/>
      <c r="Q206" s="639" t="n"/>
      <c r="R206" s="640" t="n"/>
    </row>
    <row r="207" outlineLevel="1" ht="15" customHeight="1">
      <c r="A207" s="278" t="inlineStr">
        <is>
          <t>MAT</t>
        </is>
      </c>
      <c r="B207" s="282" t="n"/>
      <c r="C207" s="578" t="n"/>
      <c r="D207" s="403" t="n"/>
      <c r="E207" s="649" t="n"/>
      <c r="F207" s="316" t="n"/>
      <c r="G207" s="650" t="n"/>
      <c r="H207" s="650" t="n"/>
      <c r="I207" s="650" t="n"/>
      <c r="J207" s="650" t="n"/>
      <c r="K207" s="651" t="n"/>
      <c r="L207" s="651" t="n"/>
      <c r="M207" s="651" t="n"/>
      <c r="N207" s="651" t="n"/>
      <c r="O207" s="652" t="n"/>
    </row>
    <row r="208" outlineLevel="1" ht="15" customHeight="1">
      <c r="A208" s="278" t="inlineStr">
        <is>
          <t xml:space="preserve">MO </t>
        </is>
      </c>
      <c r="B208" s="282" t="inlineStr">
        <is>
          <t>03-02-01</t>
        </is>
      </c>
      <c r="C208" s="578" t="n"/>
      <c r="D208" s="386" t="inlineStr">
        <is>
          <t xml:space="preserve">OPERARIO </t>
        </is>
      </c>
      <c r="E208" s="632">
        <f>+_xlfn.XLOOKUP(D208,'BASE DATOS MANO DE OBRA'!A:A,'BASE DATOS MANO DE OBRA'!B:B)</f>
        <v/>
      </c>
      <c r="F208" s="388" t="n">
        <v>0</v>
      </c>
      <c r="G208" s="633">
        <f>+_xlfn.XLOOKUP(D208,'BASE DATOS MANO DE OBRA'!A:A,'BASE DATOS MANO DE OBRA'!C:C)</f>
        <v/>
      </c>
      <c r="H208" s="634" t="n">
        <v>0</v>
      </c>
      <c r="I208" s="634">
        <f>+_xlfn.XLOOKUP(D208,'BASE DATOS MANO DE OBRA'!A:A,'BASE DATOS MANO DE OBRA'!E:E)</f>
        <v/>
      </c>
      <c r="J208" s="634" t="n">
        <v>0</v>
      </c>
      <c r="K208" s="634">
        <f>+F208*H208</f>
        <v/>
      </c>
      <c r="L208" s="634">
        <f>+F208*I208</f>
        <v/>
      </c>
      <c r="M208" s="634">
        <f>+F208*J208</f>
        <v/>
      </c>
      <c r="N208" s="634">
        <f>SUM(K208:M208)</f>
        <v/>
      </c>
      <c r="O208" s="635">
        <f>SUM(K208:M208)/tc</f>
        <v/>
      </c>
    </row>
    <row r="209" outlineLevel="1" ht="15" customHeight="1">
      <c r="A209" s="278" t="inlineStr">
        <is>
          <t xml:space="preserve">MO </t>
        </is>
      </c>
      <c r="B209" s="282" t="inlineStr">
        <is>
          <t>03-02-01</t>
        </is>
      </c>
      <c r="C209" s="578" t="n"/>
      <c r="D209" s="386" t="inlineStr">
        <is>
          <t xml:space="preserve">AYUDANTE </t>
        </is>
      </c>
      <c r="E209" s="632">
        <f>+_xlfn.XLOOKUP(D209,'BASE DATOS MANO DE OBRA'!A:A,'BASE DATOS MANO DE OBRA'!B:B)</f>
        <v/>
      </c>
      <c r="F209" s="388" t="n">
        <v>0</v>
      </c>
      <c r="G209" s="633">
        <f>+_xlfn.XLOOKUP(D209,'BASE DATOS MANO DE OBRA'!A:A,'BASE DATOS MANO DE OBRA'!C:C)</f>
        <v/>
      </c>
      <c r="H209" s="634" t="n">
        <v>0</v>
      </c>
      <c r="I209" s="634">
        <f>+_xlfn.XLOOKUP(D209,'BASE DATOS MANO DE OBRA'!A:A,'BASE DATOS MANO DE OBRA'!E:E)</f>
        <v/>
      </c>
      <c r="J209" s="634" t="n">
        <v>0</v>
      </c>
      <c r="K209" s="634">
        <f>+F209*H209</f>
        <v/>
      </c>
      <c r="L209" s="634">
        <f>+F209*I209</f>
        <v/>
      </c>
      <c r="M209" s="634">
        <f>+F209*J209</f>
        <v/>
      </c>
      <c r="N209" s="634">
        <f>SUM(K209:M209)</f>
        <v/>
      </c>
      <c r="O209" s="635">
        <f>SUM(K209:M209)/tc</f>
        <v/>
      </c>
    </row>
    <row r="210" outlineLevel="1" ht="15" customHeight="1">
      <c r="A210" s="278" t="inlineStr">
        <is>
          <t xml:space="preserve">MO </t>
        </is>
      </c>
      <c r="B210" s="282" t="inlineStr">
        <is>
          <t>03-02-02</t>
        </is>
      </c>
      <c r="C210" s="578" t="n"/>
      <c r="D210" s="386" t="inlineStr">
        <is>
          <t xml:space="preserve">OPERARIO </t>
        </is>
      </c>
      <c r="E210" s="632">
        <f>+_xlfn.XLOOKUP(D210,'BASE DATOS MANO DE OBRA'!A:A,'BASE DATOS MANO DE OBRA'!B:B)</f>
        <v/>
      </c>
      <c r="F210" s="388" t="n">
        <v>0</v>
      </c>
      <c r="G210" s="633">
        <f>+_xlfn.XLOOKUP(D210,'BASE DATOS MANO DE OBRA'!A:A,'BASE DATOS MANO DE OBRA'!C:C)</f>
        <v/>
      </c>
      <c r="H210" s="634" t="n">
        <v>0</v>
      </c>
      <c r="I210" s="634">
        <f>+_xlfn.XLOOKUP(D210,'BASE DATOS MANO DE OBRA'!A:A,'BASE DATOS MANO DE OBRA'!E:E)</f>
        <v/>
      </c>
      <c r="J210" s="634" t="n">
        <v>0</v>
      </c>
      <c r="K210" s="634">
        <f>+F210*H210</f>
        <v/>
      </c>
      <c r="L210" s="634">
        <f>+F210*I210</f>
        <v/>
      </c>
      <c r="M210" s="634">
        <f>+F210*J210</f>
        <v/>
      </c>
      <c r="N210" s="634">
        <f>SUM(K210:M210)</f>
        <v/>
      </c>
      <c r="O210" s="635">
        <f>SUM(K210:M210)/tc</f>
        <v/>
      </c>
    </row>
    <row r="211" outlineLevel="1" ht="15" customHeight="1">
      <c r="A211" s="278" t="inlineStr">
        <is>
          <t xml:space="preserve">MO </t>
        </is>
      </c>
      <c r="B211" s="282" t="inlineStr">
        <is>
          <t>03-02-02</t>
        </is>
      </c>
      <c r="C211" s="578" t="n"/>
      <c r="D211" s="386" t="inlineStr">
        <is>
          <t xml:space="preserve">AYUDANTE </t>
        </is>
      </c>
      <c r="E211" s="632">
        <f>+_xlfn.XLOOKUP(D211,'BASE DATOS MANO DE OBRA'!A:A,'BASE DATOS MANO DE OBRA'!B:B)</f>
        <v/>
      </c>
      <c r="F211" s="388" t="n">
        <v>0</v>
      </c>
      <c r="G211" s="633">
        <f>+_xlfn.XLOOKUP(D211,'BASE DATOS MANO DE OBRA'!A:A,'BASE DATOS MANO DE OBRA'!C:C)</f>
        <v/>
      </c>
      <c r="H211" s="634" t="n">
        <v>0</v>
      </c>
      <c r="I211" s="634">
        <f>+_xlfn.XLOOKUP(D211,'BASE DATOS MANO DE OBRA'!A:A,'BASE DATOS MANO DE OBRA'!E:E)</f>
        <v/>
      </c>
      <c r="J211" s="634" t="n">
        <v>0</v>
      </c>
      <c r="K211" s="634">
        <f>+F211*H211</f>
        <v/>
      </c>
      <c r="L211" s="634">
        <f>+F211*I211</f>
        <v/>
      </c>
      <c r="M211" s="634">
        <f>+F211*J211</f>
        <v/>
      </c>
      <c r="N211" s="634">
        <f>SUM(K211:M211)</f>
        <v/>
      </c>
      <c r="O211" s="635">
        <f>SUM(K211:M211)/tc</f>
        <v/>
      </c>
    </row>
    <row r="212" outlineLevel="1" ht="15" customHeight="1">
      <c r="A212" s="278" t="inlineStr">
        <is>
          <t xml:space="preserve">MO </t>
        </is>
      </c>
      <c r="B212" s="282" t="inlineStr">
        <is>
          <t>03-02-03</t>
        </is>
      </c>
      <c r="C212" s="578" t="n"/>
      <c r="D212" s="386" t="inlineStr">
        <is>
          <t xml:space="preserve">OPERARIO </t>
        </is>
      </c>
      <c r="E212" s="632">
        <f>+_xlfn.XLOOKUP(D212,'BASE DATOS MANO DE OBRA'!A:A,'BASE DATOS MANO DE OBRA'!B:B)</f>
        <v/>
      </c>
      <c r="F212" s="388" t="n">
        <v>0</v>
      </c>
      <c r="G212" s="633">
        <f>+_xlfn.XLOOKUP(D212,'BASE DATOS MANO DE OBRA'!A:A,'BASE DATOS MANO DE OBRA'!C:C)</f>
        <v/>
      </c>
      <c r="H212" s="634" t="n">
        <v>0</v>
      </c>
      <c r="I212" s="634">
        <f>+_xlfn.XLOOKUP(D212,'BASE DATOS MANO DE OBRA'!A:A,'BASE DATOS MANO DE OBRA'!E:E)</f>
        <v/>
      </c>
      <c r="J212" s="634" t="n">
        <v>0</v>
      </c>
      <c r="K212" s="634">
        <f>+F212*H212</f>
        <v/>
      </c>
      <c r="L212" s="634">
        <f>+F212*I212</f>
        <v/>
      </c>
      <c r="M212" s="634">
        <f>+F212*J212</f>
        <v/>
      </c>
      <c r="N212" s="634">
        <f>SUM(K212:M212)</f>
        <v/>
      </c>
      <c r="O212" s="635">
        <f>SUM(K212:M212)/tc</f>
        <v/>
      </c>
    </row>
    <row r="213" outlineLevel="1" ht="15" customHeight="1">
      <c r="A213" s="278" t="inlineStr">
        <is>
          <t xml:space="preserve">MO </t>
        </is>
      </c>
      <c r="B213" s="282" t="inlineStr">
        <is>
          <t>03-02-03</t>
        </is>
      </c>
      <c r="C213" s="578" t="n"/>
      <c r="D213" s="386" t="inlineStr">
        <is>
          <t xml:space="preserve">AYUDANTE </t>
        </is>
      </c>
      <c r="E213" s="632">
        <f>+_xlfn.XLOOKUP(D213,'BASE DATOS MANO DE OBRA'!A:A,'BASE DATOS MANO DE OBRA'!B:B)</f>
        <v/>
      </c>
      <c r="F213" s="388" t="n">
        <v>0</v>
      </c>
      <c r="G213" s="633">
        <f>+_xlfn.XLOOKUP(D213,'BASE DATOS MANO DE OBRA'!A:A,'BASE DATOS MANO DE OBRA'!C:C)</f>
        <v/>
      </c>
      <c r="H213" s="634" t="n">
        <v>0</v>
      </c>
      <c r="I213" s="634">
        <f>+_xlfn.XLOOKUP(D213,'BASE DATOS MANO DE OBRA'!A:A,'BASE DATOS MANO DE OBRA'!E:E)</f>
        <v/>
      </c>
      <c r="J213" s="634" t="n">
        <v>0</v>
      </c>
      <c r="K213" s="634">
        <f>+F213*H213</f>
        <v/>
      </c>
      <c r="L213" s="634">
        <f>+F213*I213</f>
        <v/>
      </c>
      <c r="M213" s="634">
        <f>+F213*J213</f>
        <v/>
      </c>
      <c r="N213" s="634">
        <f>SUM(K213:M213)</f>
        <v/>
      </c>
      <c r="O213" s="635">
        <f>SUM(K213:M213)/tc</f>
        <v/>
      </c>
    </row>
    <row r="214" ht="15" customHeight="1">
      <c r="A214" s="278" t="n"/>
      <c r="B214" s="282" t="inlineStr">
        <is>
          <t>04</t>
        </is>
      </c>
      <c r="C214" s="578" t="n"/>
      <c r="D214" s="372" t="n">
        <v>4</v>
      </c>
      <c r="E214" s="373" t="inlineStr">
        <is>
          <t xml:space="preserve">OTROS GRIS </t>
        </is>
      </c>
      <c r="F214" s="374" t="n"/>
      <c r="G214" s="375" t="n"/>
      <c r="H214" s="375" t="n"/>
      <c r="I214" s="375" t="n"/>
      <c r="J214" s="375" t="n"/>
      <c r="K214" s="612">
        <f>K215+K253+K288</f>
        <v/>
      </c>
      <c r="L214" s="612">
        <f>L215+L253+L288</f>
        <v/>
      </c>
      <c r="M214" s="612">
        <f>M215+M253+M288</f>
        <v/>
      </c>
      <c r="N214" s="612">
        <f>N215+N253+N288</f>
        <v/>
      </c>
      <c r="O214" s="613">
        <f>O215+O253+O288</f>
        <v/>
      </c>
    </row>
    <row r="215" ht="14.25" customHeight="1">
      <c r="A215" s="278" t="n"/>
      <c r="B215" s="282" t="inlineStr">
        <is>
          <t>04-01</t>
        </is>
      </c>
      <c r="C215" s="578" t="n"/>
      <c r="D215" s="307" t="inlineStr">
        <is>
          <t xml:space="preserve">4.1 </t>
        </is>
      </c>
      <c r="E215" s="308" t="inlineStr">
        <is>
          <t xml:space="preserve">GRADAS EN CONCRETO </t>
        </is>
      </c>
      <c r="F215" s="309" t="n">
        <v>1</v>
      </c>
      <c r="G215" s="310" t="inlineStr">
        <is>
          <t>gb</t>
        </is>
      </c>
      <c r="H215" s="310" t="n"/>
      <c r="I215" s="310" t="n"/>
      <c r="J215" s="310" t="n"/>
      <c r="K215" s="658">
        <f>SUM(K216:K252)</f>
        <v/>
      </c>
      <c r="L215" s="658">
        <f>SUM(L216:L252)</f>
        <v/>
      </c>
      <c r="M215" s="658">
        <f>SUM(M216:M252)</f>
        <v/>
      </c>
      <c r="N215" s="658">
        <f>SUM(N216:N252)</f>
        <v/>
      </c>
      <c r="O215" s="658">
        <f>SUM(O216:O252)</f>
        <v/>
      </c>
    </row>
    <row r="216" outlineLevel="1" ht="15" customHeight="1">
      <c r="A216" s="278" t="inlineStr">
        <is>
          <t>MAT</t>
        </is>
      </c>
      <c r="B216" s="282" t="n"/>
      <c r="C216" s="578" t="n"/>
      <c r="D216" s="401" t="n"/>
      <c r="E216" s="653" t="n"/>
      <c r="F216" s="322" t="n"/>
      <c r="G216" s="654" t="n"/>
      <c r="H216" s="654" t="n"/>
      <c r="I216" s="654" t="n"/>
      <c r="J216" s="654" t="n"/>
      <c r="K216" s="659" t="n"/>
      <c r="L216" s="659" t="n"/>
      <c r="M216" s="659" t="n"/>
      <c r="N216" s="659" t="n"/>
      <c r="O216" s="656" t="n"/>
    </row>
    <row r="217" outlineLevel="1" ht="15" customHeight="1">
      <c r="A217" s="278" t="inlineStr">
        <is>
          <t>MAT</t>
        </is>
      </c>
      <c r="B217" s="282" t="n"/>
      <c r="C217" s="578" t="n"/>
      <c r="D217" s="401" t="n"/>
      <c r="E217" s="653" t="n"/>
      <c r="F217" s="322" t="n"/>
      <c r="G217" s="654" t="n"/>
      <c r="H217" s="654" t="n"/>
      <c r="I217" s="654" t="n"/>
      <c r="J217" s="654" t="n"/>
      <c r="K217" s="659" t="n"/>
      <c r="L217" s="659" t="n"/>
      <c r="M217" s="659" t="n"/>
      <c r="N217" s="659" t="n"/>
      <c r="O217" s="656" t="n"/>
    </row>
    <row r="218" outlineLevel="1" ht="15" customHeight="1">
      <c r="A218" s="278" t="inlineStr">
        <is>
          <t>MAT</t>
        </is>
      </c>
      <c r="B218" s="282" t="n"/>
      <c r="C218" s="578" t="n"/>
      <c r="D218" s="401" t="n"/>
      <c r="E218" s="653" t="n"/>
      <c r="F218" s="322" t="n"/>
      <c r="G218" s="654" t="n"/>
      <c r="H218" s="654" t="n"/>
      <c r="I218" s="654" t="n"/>
      <c r="J218" s="654" t="n"/>
      <c r="K218" s="659" t="n"/>
      <c r="L218" s="659" t="n"/>
      <c r="M218" s="659" t="n"/>
      <c r="N218" s="659" t="n"/>
      <c r="O218" s="656" t="n"/>
    </row>
    <row r="219" outlineLevel="1" ht="15" customHeight="1">
      <c r="A219" s="278" t="inlineStr">
        <is>
          <t>MAT</t>
        </is>
      </c>
      <c r="B219" s="282" t="n"/>
      <c r="C219" s="578" t="n"/>
      <c r="D219" s="401" t="n"/>
      <c r="E219" s="653" t="n"/>
      <c r="F219" s="322" t="n"/>
      <c r="G219" s="654" t="n"/>
      <c r="H219" s="654" t="n"/>
      <c r="I219" s="654" t="n"/>
      <c r="J219" s="654" t="n"/>
      <c r="K219" s="659" t="n"/>
      <c r="L219" s="659" t="n"/>
      <c r="M219" s="659" t="n"/>
      <c r="N219" s="659" t="n"/>
      <c r="O219" s="656" t="n"/>
    </row>
    <row r="220" outlineLevel="1" ht="15" customHeight="1">
      <c r="A220" s="278" t="inlineStr">
        <is>
          <t>MAT</t>
        </is>
      </c>
      <c r="B220" s="282" t="n"/>
      <c r="C220" s="578" t="n"/>
      <c r="D220" s="401" t="n"/>
      <c r="E220" s="653" t="n"/>
      <c r="F220" s="322" t="n"/>
      <c r="G220" s="654" t="n"/>
      <c r="H220" s="654" t="n"/>
      <c r="I220" s="654" t="n"/>
      <c r="J220" s="654" t="n"/>
      <c r="K220" s="659" t="n"/>
      <c r="L220" s="659" t="n"/>
      <c r="M220" s="659" t="n"/>
      <c r="N220" s="659" t="n"/>
      <c r="O220" s="656" t="n"/>
    </row>
    <row r="221" outlineLevel="1" ht="15" customHeight="1">
      <c r="A221" s="278" t="inlineStr">
        <is>
          <t>MAT</t>
        </is>
      </c>
      <c r="B221" s="282" t="n"/>
      <c r="C221" s="578" t="n"/>
      <c r="D221" s="401" t="n"/>
      <c r="E221" s="653" t="n"/>
      <c r="F221" s="322" t="n"/>
      <c r="G221" s="654" t="n"/>
      <c r="H221" s="654" t="n"/>
      <c r="I221" s="654" t="n"/>
      <c r="J221" s="654" t="n"/>
      <c r="K221" s="659" t="n"/>
      <c r="L221" s="659" t="n"/>
      <c r="M221" s="659" t="n"/>
      <c r="N221" s="659" t="n"/>
      <c r="O221" s="656" t="n"/>
    </row>
    <row r="222" outlineLevel="1" ht="15" customHeight="1">
      <c r="A222" s="278" t="inlineStr">
        <is>
          <t>MAT</t>
        </is>
      </c>
      <c r="B222" s="282" t="n"/>
      <c r="C222" s="578" t="n"/>
      <c r="D222" s="401" t="n"/>
      <c r="E222" s="653" t="n"/>
      <c r="F222" s="322" t="n"/>
      <c r="G222" s="654" t="n"/>
      <c r="H222" s="654" t="n"/>
      <c r="I222" s="654" t="n"/>
      <c r="J222" s="654" t="n"/>
      <c r="K222" s="659" t="n"/>
      <c r="L222" s="659" t="n"/>
      <c r="M222" s="659" t="n"/>
      <c r="N222" s="659" t="n"/>
      <c r="O222" s="656" t="n"/>
    </row>
    <row r="223" outlineLevel="1" ht="15" customHeight="1">
      <c r="A223" s="278" t="inlineStr">
        <is>
          <t>MAT</t>
        </is>
      </c>
      <c r="B223" s="282" t="n"/>
      <c r="C223" s="578" t="n"/>
      <c r="D223" s="401" t="n"/>
      <c r="E223" s="653" t="n"/>
      <c r="F223" s="322" t="n"/>
      <c r="G223" s="654" t="n"/>
      <c r="H223" s="654" t="n"/>
      <c r="I223" s="654" t="n"/>
      <c r="J223" s="654" t="n"/>
      <c r="K223" s="659" t="n"/>
      <c r="L223" s="659" t="n"/>
      <c r="M223" s="659" t="n"/>
      <c r="N223" s="659" t="n"/>
      <c r="O223" s="656" t="n"/>
    </row>
    <row r="224" outlineLevel="1" ht="15" customHeight="1">
      <c r="A224" s="278" t="inlineStr">
        <is>
          <t>MAT</t>
        </is>
      </c>
      <c r="B224" s="282" t="n"/>
      <c r="C224" s="578" t="n"/>
      <c r="D224" s="401" t="n"/>
      <c r="E224" s="653" t="n"/>
      <c r="F224" s="322" t="n"/>
      <c r="G224" s="654" t="n"/>
      <c r="H224" s="654" t="n"/>
      <c r="I224" s="654" t="n"/>
      <c r="J224" s="654" t="n"/>
      <c r="K224" s="659" t="n"/>
      <c r="L224" s="659" t="n"/>
      <c r="M224" s="659" t="n"/>
      <c r="N224" s="659" t="n"/>
      <c r="O224" s="656" t="n"/>
    </row>
    <row r="225" outlineLevel="1" ht="15" customHeight="1">
      <c r="A225" s="278" t="inlineStr">
        <is>
          <t>MAT</t>
        </is>
      </c>
      <c r="B225" s="282" t="n"/>
      <c r="C225" s="578" t="n"/>
      <c r="D225" s="401" t="n"/>
      <c r="E225" s="653" t="n"/>
      <c r="F225" s="322" t="n"/>
      <c r="G225" s="654" t="n"/>
      <c r="H225" s="654" t="n"/>
      <c r="I225" s="654" t="n"/>
      <c r="J225" s="654" t="n"/>
      <c r="K225" s="659" t="n"/>
      <c r="L225" s="659" t="n"/>
      <c r="M225" s="659" t="n"/>
      <c r="N225" s="659" t="n"/>
      <c r="O225" s="656" t="n"/>
    </row>
    <row r="226" outlineLevel="1" ht="15" customHeight="1">
      <c r="A226" s="278" t="inlineStr">
        <is>
          <t>MAT</t>
        </is>
      </c>
      <c r="B226" s="282" t="n"/>
      <c r="C226" s="578" t="n"/>
      <c r="D226" s="401" t="n"/>
      <c r="E226" s="653" t="n"/>
      <c r="F226" s="322" t="n"/>
      <c r="G226" s="654" t="n"/>
      <c r="H226" s="654" t="n"/>
      <c r="I226" s="654" t="n"/>
      <c r="J226" s="654" t="n"/>
      <c r="K226" s="659" t="n"/>
      <c r="L226" s="659" t="n"/>
      <c r="M226" s="659" t="n"/>
      <c r="N226" s="659" t="n"/>
      <c r="O226" s="656" t="n"/>
    </row>
    <row r="227" outlineLevel="1" ht="15" customHeight="1">
      <c r="A227" s="278" t="inlineStr">
        <is>
          <t>MAT</t>
        </is>
      </c>
      <c r="B227" s="282" t="n"/>
      <c r="C227" s="578" t="n"/>
      <c r="D227" s="401" t="n"/>
      <c r="E227" s="653" t="n"/>
      <c r="F227" s="322" t="n"/>
      <c r="G227" s="654" t="n"/>
      <c r="H227" s="654" t="n"/>
      <c r="I227" s="654" t="n"/>
      <c r="J227" s="654" t="n"/>
      <c r="K227" s="659" t="n"/>
      <c r="L227" s="659" t="n"/>
      <c r="M227" s="659" t="n"/>
      <c r="N227" s="659" t="n"/>
      <c r="O227" s="656" t="n"/>
    </row>
    <row r="228" outlineLevel="1" ht="15" customHeight="1">
      <c r="A228" s="278" t="inlineStr">
        <is>
          <t>MAT</t>
        </is>
      </c>
      <c r="B228" s="282" t="n"/>
      <c r="C228" s="578" t="n"/>
      <c r="D228" s="401" t="n"/>
      <c r="E228" s="653" t="n"/>
      <c r="F228" s="322" t="n"/>
      <c r="G228" s="654" t="n"/>
      <c r="H228" s="654" t="n"/>
      <c r="I228" s="654" t="n"/>
      <c r="J228" s="654" t="n"/>
      <c r="K228" s="659" t="n"/>
      <c r="L228" s="659" t="n"/>
      <c r="M228" s="659" t="n"/>
      <c r="N228" s="659" t="n"/>
      <c r="O228" s="656" t="n"/>
    </row>
    <row r="229" outlineLevel="1" ht="15" customHeight="1">
      <c r="A229" s="278" t="inlineStr">
        <is>
          <t>MAT</t>
        </is>
      </c>
      <c r="B229" s="282" t="n"/>
      <c r="C229" s="578" t="n"/>
      <c r="D229" s="401" t="n"/>
      <c r="E229" s="653" t="n"/>
      <c r="F229" s="322" t="n"/>
      <c r="G229" s="654" t="n"/>
      <c r="H229" s="654" t="n"/>
      <c r="I229" s="654" t="n"/>
      <c r="J229" s="654" t="n"/>
      <c r="K229" s="659" t="n"/>
      <c r="L229" s="659" t="n"/>
      <c r="M229" s="659" t="n"/>
      <c r="N229" s="659" t="n"/>
      <c r="O229" s="656" t="n"/>
    </row>
    <row r="230" outlineLevel="1" ht="15" customHeight="1">
      <c r="A230" s="278" t="inlineStr">
        <is>
          <t>MAT</t>
        </is>
      </c>
      <c r="B230" s="282" t="n"/>
      <c r="C230" s="578" t="n"/>
      <c r="D230" s="401" t="n"/>
      <c r="E230" s="653" t="n"/>
      <c r="F230" s="322" t="n"/>
      <c r="G230" s="654" t="n"/>
      <c r="H230" s="654" t="n"/>
      <c r="I230" s="654" t="n"/>
      <c r="J230" s="654" t="n"/>
      <c r="K230" s="659" t="n"/>
      <c r="L230" s="659" t="n"/>
      <c r="M230" s="659" t="n"/>
      <c r="N230" s="659" t="n"/>
      <c r="O230" s="656" t="n"/>
    </row>
    <row r="231" outlineLevel="1" ht="15" customHeight="1">
      <c r="A231" s="278" t="inlineStr">
        <is>
          <t>MAT</t>
        </is>
      </c>
      <c r="B231" s="282" t="n"/>
      <c r="C231" s="578" t="n"/>
      <c r="D231" s="401" t="n"/>
      <c r="E231" s="653" t="n"/>
      <c r="F231" s="322" t="n"/>
      <c r="G231" s="654" t="n"/>
      <c r="H231" s="654" t="n"/>
      <c r="I231" s="654" t="n"/>
      <c r="J231" s="654" t="n"/>
      <c r="K231" s="659" t="n"/>
      <c r="L231" s="659" t="n"/>
      <c r="M231" s="659" t="n"/>
      <c r="N231" s="659" t="n"/>
      <c r="O231" s="656" t="n"/>
    </row>
    <row r="232" outlineLevel="1" ht="15" customHeight="1">
      <c r="A232" s="278" t="inlineStr">
        <is>
          <t>MAT</t>
        </is>
      </c>
      <c r="B232" s="282" t="n"/>
      <c r="C232" s="578" t="n"/>
      <c r="D232" s="401" t="n"/>
      <c r="E232" s="653" t="n"/>
      <c r="F232" s="322" t="n"/>
      <c r="G232" s="654" t="n"/>
      <c r="H232" s="654" t="n"/>
      <c r="I232" s="654" t="n"/>
      <c r="J232" s="654" t="n"/>
      <c r="K232" s="659" t="n"/>
      <c r="L232" s="659" t="n"/>
      <c r="M232" s="659" t="n"/>
      <c r="N232" s="659" t="n"/>
      <c r="O232" s="656" t="n"/>
    </row>
    <row r="233" outlineLevel="1" ht="15" customHeight="1">
      <c r="A233" s="278" t="inlineStr">
        <is>
          <t>MAT</t>
        </is>
      </c>
      <c r="B233" s="282" t="n"/>
      <c r="C233" s="578" t="n"/>
      <c r="D233" s="401" t="n"/>
      <c r="E233" s="653" t="n"/>
      <c r="F233" s="322" t="n"/>
      <c r="G233" s="654" t="n"/>
      <c r="H233" s="654" t="n"/>
      <c r="I233" s="654" t="n"/>
      <c r="J233" s="654" t="n"/>
      <c r="K233" s="659" t="n"/>
      <c r="L233" s="659" t="n"/>
      <c r="M233" s="659" t="n"/>
      <c r="N233" s="659" t="n"/>
      <c r="O233" s="656" t="n"/>
    </row>
    <row r="234" outlineLevel="1" ht="15" customHeight="1">
      <c r="A234" s="278" t="inlineStr">
        <is>
          <t>MAT</t>
        </is>
      </c>
      <c r="B234" s="282" t="n"/>
      <c r="C234" s="578" t="n"/>
      <c r="D234" s="401" t="n"/>
      <c r="E234" s="653" t="n"/>
      <c r="F234" s="322" t="n"/>
      <c r="G234" s="654" t="n"/>
      <c r="H234" s="654" t="n"/>
      <c r="I234" s="654" t="n"/>
      <c r="J234" s="654" t="n"/>
      <c r="K234" s="659" t="n"/>
      <c r="L234" s="659" t="n"/>
      <c r="M234" s="659" t="n"/>
      <c r="N234" s="659" t="n"/>
      <c r="O234" s="656" t="n"/>
    </row>
    <row r="235" outlineLevel="1" ht="15" customHeight="1">
      <c r="A235" s="278" t="inlineStr">
        <is>
          <t>MAT</t>
        </is>
      </c>
      <c r="B235" s="282" t="n"/>
      <c r="C235" s="578" t="n"/>
      <c r="D235" s="401" t="n"/>
      <c r="E235" s="653" t="n"/>
      <c r="F235" s="322" t="n"/>
      <c r="G235" s="654" t="n"/>
      <c r="H235" s="654" t="n"/>
      <c r="I235" s="654" t="n"/>
      <c r="J235" s="654" t="n"/>
      <c r="K235" s="659" t="n"/>
      <c r="L235" s="659" t="n"/>
      <c r="M235" s="659" t="n"/>
      <c r="N235" s="659" t="n"/>
      <c r="O235" s="656" t="n"/>
    </row>
    <row r="236" outlineLevel="1" ht="15" customHeight="1">
      <c r="A236" s="278" t="inlineStr">
        <is>
          <t>MAT</t>
        </is>
      </c>
      <c r="B236" s="282" t="n"/>
      <c r="C236" s="578" t="n"/>
      <c r="D236" s="401" t="n"/>
      <c r="E236" s="653" t="n"/>
      <c r="F236" s="322" t="n"/>
      <c r="G236" s="654" t="n"/>
      <c r="H236" s="654" t="n"/>
      <c r="I236" s="654" t="n"/>
      <c r="J236" s="654" t="n"/>
      <c r="K236" s="659" t="n"/>
      <c r="L236" s="659" t="n"/>
      <c r="M236" s="659" t="n"/>
      <c r="N236" s="659" t="n"/>
      <c r="O236" s="656" t="n"/>
    </row>
    <row r="237" outlineLevel="1" ht="15" customHeight="1">
      <c r="A237" s="278" t="inlineStr">
        <is>
          <t xml:space="preserve">MO </t>
        </is>
      </c>
      <c r="B237" s="282" t="inlineStr">
        <is>
          <t>04-01-01</t>
        </is>
      </c>
      <c r="C237" s="578" t="n"/>
      <c r="D237" s="386" t="inlineStr">
        <is>
          <t xml:space="preserve">OPERARIO </t>
        </is>
      </c>
      <c r="E237" s="632">
        <f>+_xlfn.XLOOKUP(D237,'BASE DATOS MANO DE OBRA'!A:A,'BASE DATOS MANO DE OBRA'!B:B)</f>
        <v/>
      </c>
      <c r="F237" s="388" t="n">
        <v>0</v>
      </c>
      <c r="G237" s="633">
        <f>+_xlfn.XLOOKUP(D237,'BASE DATOS MANO DE OBRA'!A:A,'BASE DATOS MANO DE OBRA'!C:C)</f>
        <v/>
      </c>
      <c r="H237" s="634" t="n">
        <v>0</v>
      </c>
      <c r="I237" s="634">
        <f>+_xlfn.XLOOKUP(D237,'BASE DATOS MANO DE OBRA'!A:A,'BASE DATOS MANO DE OBRA'!E:E)</f>
        <v/>
      </c>
      <c r="J237" s="634" t="n">
        <v>0</v>
      </c>
      <c r="K237" s="634">
        <f>+F237*H237</f>
        <v/>
      </c>
      <c r="L237" s="634">
        <f>+F237*I237</f>
        <v/>
      </c>
      <c r="M237" s="634">
        <f>+F237*J237</f>
        <v/>
      </c>
      <c r="N237" s="634">
        <f>SUM(K237:M237)</f>
        <v/>
      </c>
      <c r="O237" s="635">
        <f>SUM(K237:M237)/tc</f>
        <v/>
      </c>
    </row>
    <row r="238" outlineLevel="1" ht="15" customHeight="1">
      <c r="A238" s="278" t="inlineStr">
        <is>
          <t xml:space="preserve">MO </t>
        </is>
      </c>
      <c r="B238" s="282" t="inlineStr">
        <is>
          <t>04-01-01</t>
        </is>
      </c>
      <c r="C238" s="578" t="n"/>
      <c r="D238" s="386" t="inlineStr">
        <is>
          <t xml:space="preserve">AYUDANTE </t>
        </is>
      </c>
      <c r="E238" s="632">
        <f>+_xlfn.XLOOKUP(D238,'BASE DATOS MANO DE OBRA'!A:A,'BASE DATOS MANO DE OBRA'!B:B)</f>
        <v/>
      </c>
      <c r="F238" s="388" t="n">
        <v>0</v>
      </c>
      <c r="G238" s="633">
        <f>+_xlfn.XLOOKUP(D238,'BASE DATOS MANO DE OBRA'!A:A,'BASE DATOS MANO DE OBRA'!C:C)</f>
        <v/>
      </c>
      <c r="H238" s="634" t="n">
        <v>0</v>
      </c>
      <c r="I238" s="634">
        <f>+_xlfn.XLOOKUP(D238,'BASE DATOS MANO DE OBRA'!A:A,'BASE DATOS MANO DE OBRA'!E:E)</f>
        <v/>
      </c>
      <c r="J238" s="634" t="n">
        <v>0</v>
      </c>
      <c r="K238" s="634">
        <f>+F238*H238</f>
        <v/>
      </c>
      <c r="L238" s="634">
        <f>+F238*I238</f>
        <v/>
      </c>
      <c r="M238" s="634">
        <f>+F238*J238</f>
        <v/>
      </c>
      <c r="N238" s="634">
        <f>SUM(K238:M238)</f>
        <v/>
      </c>
      <c r="O238" s="635">
        <f>SUM(K238:M238)/tc</f>
        <v/>
      </c>
    </row>
    <row r="239" outlineLevel="1" ht="15" customHeight="1">
      <c r="A239" s="278" t="inlineStr">
        <is>
          <t xml:space="preserve">MO </t>
        </is>
      </c>
      <c r="B239" s="282" t="inlineStr">
        <is>
          <t>04-01-02</t>
        </is>
      </c>
      <c r="C239" s="578" t="n"/>
      <c r="D239" s="386" t="inlineStr">
        <is>
          <t xml:space="preserve">OPERARIO </t>
        </is>
      </c>
      <c r="E239" s="632">
        <f>+_xlfn.XLOOKUP(D239,'BASE DATOS MANO DE OBRA'!A:A,'BASE DATOS MANO DE OBRA'!B:B)</f>
        <v/>
      </c>
      <c r="F239" s="388" t="n">
        <v>0</v>
      </c>
      <c r="G239" s="633">
        <f>+_xlfn.XLOOKUP(D239,'BASE DATOS MANO DE OBRA'!A:A,'BASE DATOS MANO DE OBRA'!C:C)</f>
        <v/>
      </c>
      <c r="H239" s="634" t="n">
        <v>0</v>
      </c>
      <c r="I239" s="634">
        <f>+_xlfn.XLOOKUP(D239,'BASE DATOS MANO DE OBRA'!A:A,'BASE DATOS MANO DE OBRA'!E:E)</f>
        <v/>
      </c>
      <c r="J239" s="634" t="n">
        <v>0</v>
      </c>
      <c r="K239" s="634">
        <f>+F239*H239</f>
        <v/>
      </c>
      <c r="L239" s="634">
        <f>+F239*I239</f>
        <v/>
      </c>
      <c r="M239" s="634">
        <f>+F239*J239</f>
        <v/>
      </c>
      <c r="N239" s="634">
        <f>SUM(K239:M239)</f>
        <v/>
      </c>
      <c r="O239" s="635">
        <f>SUM(K239:M239)/tc</f>
        <v/>
      </c>
    </row>
    <row r="240" outlineLevel="1" ht="15" customHeight="1">
      <c r="A240" s="278" t="inlineStr">
        <is>
          <t xml:space="preserve">MO </t>
        </is>
      </c>
      <c r="B240" s="282" t="inlineStr">
        <is>
          <t>04-01-02</t>
        </is>
      </c>
      <c r="C240" s="578" t="n"/>
      <c r="D240" s="386" t="inlineStr">
        <is>
          <t xml:space="preserve">AYUDANTE </t>
        </is>
      </c>
      <c r="E240" s="632">
        <f>+_xlfn.XLOOKUP(D240,'BASE DATOS MANO DE OBRA'!A:A,'BASE DATOS MANO DE OBRA'!B:B)</f>
        <v/>
      </c>
      <c r="F240" s="388" t="n">
        <v>0</v>
      </c>
      <c r="G240" s="633">
        <f>+_xlfn.XLOOKUP(D240,'BASE DATOS MANO DE OBRA'!A:A,'BASE DATOS MANO DE OBRA'!C:C)</f>
        <v/>
      </c>
      <c r="H240" s="634" t="n">
        <v>0</v>
      </c>
      <c r="I240" s="634">
        <f>+_xlfn.XLOOKUP(D240,'BASE DATOS MANO DE OBRA'!A:A,'BASE DATOS MANO DE OBRA'!E:E)</f>
        <v/>
      </c>
      <c r="J240" s="634" t="n">
        <v>0</v>
      </c>
      <c r="K240" s="634">
        <f>+F240*H240</f>
        <v/>
      </c>
      <c r="L240" s="634">
        <f>+F240*I240</f>
        <v/>
      </c>
      <c r="M240" s="634">
        <f>+F240*J240</f>
        <v/>
      </c>
      <c r="N240" s="634">
        <f>SUM(K240:M240)</f>
        <v/>
      </c>
      <c r="O240" s="635">
        <f>SUM(K240:M240)/tc</f>
        <v/>
      </c>
    </row>
    <row r="241" outlineLevel="1" ht="15" customHeight="1">
      <c r="A241" s="278" t="inlineStr">
        <is>
          <t xml:space="preserve">MO </t>
        </is>
      </c>
      <c r="B241" s="282" t="inlineStr">
        <is>
          <t>04-01-03</t>
        </is>
      </c>
      <c r="C241" s="578" t="n"/>
      <c r="D241" s="386" t="inlineStr">
        <is>
          <t xml:space="preserve">OPERARIO </t>
        </is>
      </c>
      <c r="E241" s="632">
        <f>+_xlfn.XLOOKUP(D241,'BASE DATOS MANO DE OBRA'!A:A,'BASE DATOS MANO DE OBRA'!B:B)</f>
        <v/>
      </c>
      <c r="F241" s="388" t="n">
        <v>0</v>
      </c>
      <c r="G241" s="633">
        <f>+_xlfn.XLOOKUP(D241,'BASE DATOS MANO DE OBRA'!A:A,'BASE DATOS MANO DE OBRA'!C:C)</f>
        <v/>
      </c>
      <c r="H241" s="634" t="n">
        <v>0</v>
      </c>
      <c r="I241" s="634">
        <f>+_xlfn.XLOOKUP(D241,'BASE DATOS MANO DE OBRA'!A:A,'BASE DATOS MANO DE OBRA'!E:E)</f>
        <v/>
      </c>
      <c r="J241" s="634" t="n">
        <v>0</v>
      </c>
      <c r="K241" s="634">
        <f>+F241*H241</f>
        <v/>
      </c>
      <c r="L241" s="634">
        <f>+F241*I241</f>
        <v/>
      </c>
      <c r="M241" s="634">
        <f>+F241*J241</f>
        <v/>
      </c>
      <c r="N241" s="634">
        <f>SUM(K241:M241)</f>
        <v/>
      </c>
      <c r="O241" s="635">
        <f>SUM(K241:M241)/tc</f>
        <v/>
      </c>
    </row>
    <row r="242" outlineLevel="1" ht="15" customHeight="1">
      <c r="A242" s="278" t="inlineStr">
        <is>
          <t xml:space="preserve">MO </t>
        </is>
      </c>
      <c r="B242" s="282" t="inlineStr">
        <is>
          <t>04-01-03</t>
        </is>
      </c>
      <c r="C242" s="578" t="n"/>
      <c r="D242" s="386" t="inlineStr">
        <is>
          <t xml:space="preserve">AYUDANTE </t>
        </is>
      </c>
      <c r="E242" s="632">
        <f>+_xlfn.XLOOKUP(D242,'BASE DATOS MANO DE OBRA'!A:A,'BASE DATOS MANO DE OBRA'!B:B)</f>
        <v/>
      </c>
      <c r="F242" s="388" t="n">
        <v>0</v>
      </c>
      <c r="G242" s="633">
        <f>+_xlfn.XLOOKUP(D242,'BASE DATOS MANO DE OBRA'!A:A,'BASE DATOS MANO DE OBRA'!C:C)</f>
        <v/>
      </c>
      <c r="H242" s="634" t="n">
        <v>0</v>
      </c>
      <c r="I242" s="634">
        <f>+_xlfn.XLOOKUP(D242,'BASE DATOS MANO DE OBRA'!A:A,'BASE DATOS MANO DE OBRA'!E:E)</f>
        <v/>
      </c>
      <c r="J242" s="634" t="n">
        <v>0</v>
      </c>
      <c r="K242" s="634">
        <f>+F242*H242</f>
        <v/>
      </c>
      <c r="L242" s="634">
        <f>+F242*I242</f>
        <v/>
      </c>
      <c r="M242" s="634">
        <f>+F242*J242</f>
        <v/>
      </c>
      <c r="N242" s="634">
        <f>SUM(K242:M242)</f>
        <v/>
      </c>
      <c r="O242" s="635">
        <f>SUM(K242:M242)/tc</f>
        <v/>
      </c>
    </row>
    <row r="243" outlineLevel="1" ht="15" customHeight="1">
      <c r="A243" s="278" t="inlineStr">
        <is>
          <t xml:space="preserve">MO </t>
        </is>
      </c>
      <c r="B243" s="282" t="inlineStr">
        <is>
          <t>04-01-04</t>
        </is>
      </c>
      <c r="C243" s="578" t="n"/>
      <c r="D243" s="386" t="inlineStr">
        <is>
          <t xml:space="preserve">OPERARIO </t>
        </is>
      </c>
      <c r="E243" s="632">
        <f>+_xlfn.XLOOKUP(D243,'BASE DATOS MANO DE OBRA'!A:A,'BASE DATOS MANO DE OBRA'!B:B)</f>
        <v/>
      </c>
      <c r="F243" s="388" t="n">
        <v>0</v>
      </c>
      <c r="G243" s="633">
        <f>+_xlfn.XLOOKUP(D243,'BASE DATOS MANO DE OBRA'!A:A,'BASE DATOS MANO DE OBRA'!C:C)</f>
        <v/>
      </c>
      <c r="H243" s="634" t="n">
        <v>0</v>
      </c>
      <c r="I243" s="634">
        <f>+_xlfn.XLOOKUP(D243,'BASE DATOS MANO DE OBRA'!A:A,'BASE DATOS MANO DE OBRA'!E:E)</f>
        <v/>
      </c>
      <c r="J243" s="634" t="n">
        <v>0</v>
      </c>
      <c r="K243" s="634">
        <f>+F243*H243</f>
        <v/>
      </c>
      <c r="L243" s="634">
        <f>+F243*I243</f>
        <v/>
      </c>
      <c r="M243" s="634">
        <f>+F243*J243</f>
        <v/>
      </c>
      <c r="N243" s="634">
        <f>SUM(K243:M243)</f>
        <v/>
      </c>
      <c r="O243" s="635">
        <f>SUM(K243:M243)/tc</f>
        <v/>
      </c>
    </row>
    <row r="244" outlineLevel="1" ht="15" customHeight="1">
      <c r="A244" s="278" t="inlineStr">
        <is>
          <t xml:space="preserve">MO </t>
        </is>
      </c>
      <c r="B244" s="282" t="inlineStr">
        <is>
          <t>04-01-04</t>
        </is>
      </c>
      <c r="C244" s="578" t="n"/>
      <c r="D244" s="386" t="inlineStr">
        <is>
          <t xml:space="preserve">AYUDANTE </t>
        </is>
      </c>
      <c r="E244" s="632">
        <f>+_xlfn.XLOOKUP(D244,'BASE DATOS MANO DE OBRA'!A:A,'BASE DATOS MANO DE OBRA'!B:B)</f>
        <v/>
      </c>
      <c r="F244" s="388" t="n">
        <v>0</v>
      </c>
      <c r="G244" s="633">
        <f>+_xlfn.XLOOKUP(D244,'BASE DATOS MANO DE OBRA'!A:A,'BASE DATOS MANO DE OBRA'!C:C)</f>
        <v/>
      </c>
      <c r="H244" s="634" t="n">
        <v>0</v>
      </c>
      <c r="I244" s="634">
        <f>+_xlfn.XLOOKUP(D244,'BASE DATOS MANO DE OBRA'!A:A,'BASE DATOS MANO DE OBRA'!E:E)</f>
        <v/>
      </c>
      <c r="J244" s="634" t="n">
        <v>0</v>
      </c>
      <c r="K244" s="634">
        <f>+F244*H244</f>
        <v/>
      </c>
      <c r="L244" s="634">
        <f>+F244*I244</f>
        <v/>
      </c>
      <c r="M244" s="634">
        <f>+F244*J244</f>
        <v/>
      </c>
      <c r="N244" s="634">
        <f>SUM(K244:M244)</f>
        <v/>
      </c>
      <c r="O244" s="635">
        <f>SUM(K244:M244)/tc</f>
        <v/>
      </c>
    </row>
    <row r="245" outlineLevel="1" ht="15" customHeight="1">
      <c r="A245" s="278" t="inlineStr">
        <is>
          <t xml:space="preserve">MO </t>
        </is>
      </c>
      <c r="B245" s="282" t="inlineStr">
        <is>
          <t>04-01-05</t>
        </is>
      </c>
      <c r="C245" s="578" t="n"/>
      <c r="D245" s="386" t="inlineStr">
        <is>
          <t xml:space="preserve">OPERARIO </t>
        </is>
      </c>
      <c r="E245" s="632">
        <f>+_xlfn.XLOOKUP(D245,'BASE DATOS MANO DE OBRA'!A:A,'BASE DATOS MANO DE OBRA'!B:B)</f>
        <v/>
      </c>
      <c r="F245" s="388" t="n">
        <v>0</v>
      </c>
      <c r="G245" s="633">
        <f>+_xlfn.XLOOKUP(D245,'BASE DATOS MANO DE OBRA'!A:A,'BASE DATOS MANO DE OBRA'!C:C)</f>
        <v/>
      </c>
      <c r="H245" s="634" t="n">
        <v>0</v>
      </c>
      <c r="I245" s="634">
        <f>+_xlfn.XLOOKUP(D245,'BASE DATOS MANO DE OBRA'!A:A,'BASE DATOS MANO DE OBRA'!E:E)</f>
        <v/>
      </c>
      <c r="J245" s="634" t="n">
        <v>0</v>
      </c>
      <c r="K245" s="634">
        <f>+F245*H245</f>
        <v/>
      </c>
      <c r="L245" s="634">
        <f>+F245*I245</f>
        <v/>
      </c>
      <c r="M245" s="634">
        <f>+F245*J245</f>
        <v/>
      </c>
      <c r="N245" s="634">
        <f>SUM(K245:M245)</f>
        <v/>
      </c>
      <c r="O245" s="635">
        <f>SUM(K245:M245)/tc</f>
        <v/>
      </c>
    </row>
    <row r="246" outlineLevel="1" ht="15" customHeight="1">
      <c r="A246" s="278" t="inlineStr">
        <is>
          <t xml:space="preserve">MO </t>
        </is>
      </c>
      <c r="B246" s="282" t="inlineStr">
        <is>
          <t>04-01-05</t>
        </is>
      </c>
      <c r="C246" s="578" t="n"/>
      <c r="D246" s="386" t="inlineStr">
        <is>
          <t xml:space="preserve">AYUDANTE </t>
        </is>
      </c>
      <c r="E246" s="632">
        <f>+_xlfn.XLOOKUP(D246,'BASE DATOS MANO DE OBRA'!A:A,'BASE DATOS MANO DE OBRA'!B:B)</f>
        <v/>
      </c>
      <c r="F246" s="388" t="n">
        <v>0</v>
      </c>
      <c r="G246" s="633">
        <f>+_xlfn.XLOOKUP(D246,'BASE DATOS MANO DE OBRA'!A:A,'BASE DATOS MANO DE OBRA'!C:C)</f>
        <v/>
      </c>
      <c r="H246" s="634" t="n">
        <v>0</v>
      </c>
      <c r="I246" s="634">
        <f>+_xlfn.XLOOKUP(D246,'BASE DATOS MANO DE OBRA'!A:A,'BASE DATOS MANO DE OBRA'!E:E)</f>
        <v/>
      </c>
      <c r="J246" s="634" t="n">
        <v>0</v>
      </c>
      <c r="K246" s="634">
        <f>+F246*H246</f>
        <v/>
      </c>
      <c r="L246" s="634">
        <f>+F246*I246</f>
        <v/>
      </c>
      <c r="M246" s="634">
        <f>+F246*J246</f>
        <v/>
      </c>
      <c r="N246" s="634">
        <f>SUM(K246:M246)</f>
        <v/>
      </c>
      <c r="O246" s="635">
        <f>SUM(K246:M246)/tc</f>
        <v/>
      </c>
    </row>
    <row r="247" outlineLevel="1" ht="15" customHeight="1">
      <c r="A247" s="278" t="inlineStr">
        <is>
          <t xml:space="preserve">MO </t>
        </is>
      </c>
      <c r="B247" s="282" t="inlineStr">
        <is>
          <t>04-01-06</t>
        </is>
      </c>
      <c r="C247" s="578" t="n"/>
      <c r="D247" s="386" t="inlineStr">
        <is>
          <t xml:space="preserve">OPERARIO </t>
        </is>
      </c>
      <c r="E247" s="632">
        <f>+_xlfn.XLOOKUP(D247,'BASE DATOS MANO DE OBRA'!A:A,'BASE DATOS MANO DE OBRA'!B:B)</f>
        <v/>
      </c>
      <c r="F247" s="388" t="n">
        <v>0</v>
      </c>
      <c r="G247" s="633">
        <f>+_xlfn.XLOOKUP(D247,'BASE DATOS MANO DE OBRA'!A:A,'BASE DATOS MANO DE OBRA'!C:C)</f>
        <v/>
      </c>
      <c r="H247" s="634" t="n">
        <v>0</v>
      </c>
      <c r="I247" s="634">
        <f>+_xlfn.XLOOKUP(D247,'BASE DATOS MANO DE OBRA'!A:A,'BASE DATOS MANO DE OBRA'!E:E)</f>
        <v/>
      </c>
      <c r="J247" s="634" t="n">
        <v>0</v>
      </c>
      <c r="K247" s="634">
        <f>+F247*H247</f>
        <v/>
      </c>
      <c r="L247" s="634">
        <f>+F247*I247</f>
        <v/>
      </c>
      <c r="M247" s="634">
        <f>+F247*J247</f>
        <v/>
      </c>
      <c r="N247" s="634">
        <f>SUM(K247:M247)</f>
        <v/>
      </c>
      <c r="O247" s="635">
        <f>SUM(K247:M247)/tc</f>
        <v/>
      </c>
    </row>
    <row r="248" outlineLevel="1" ht="15" customHeight="1">
      <c r="A248" s="278" t="inlineStr">
        <is>
          <t xml:space="preserve">MO </t>
        </is>
      </c>
      <c r="B248" s="282" t="inlineStr">
        <is>
          <t>04-01-06</t>
        </is>
      </c>
      <c r="C248" s="578" t="n"/>
      <c r="D248" s="386" t="inlineStr">
        <is>
          <t xml:space="preserve">AYUDANTE </t>
        </is>
      </c>
      <c r="E248" s="632">
        <f>+_xlfn.XLOOKUP(D248,'BASE DATOS MANO DE OBRA'!A:A,'BASE DATOS MANO DE OBRA'!B:B)</f>
        <v/>
      </c>
      <c r="F248" s="388" t="n">
        <v>0</v>
      </c>
      <c r="G248" s="633">
        <f>+_xlfn.XLOOKUP(D248,'BASE DATOS MANO DE OBRA'!A:A,'BASE DATOS MANO DE OBRA'!C:C)</f>
        <v/>
      </c>
      <c r="H248" s="634" t="n">
        <v>0</v>
      </c>
      <c r="I248" s="634">
        <f>+_xlfn.XLOOKUP(D248,'BASE DATOS MANO DE OBRA'!A:A,'BASE DATOS MANO DE OBRA'!E:E)</f>
        <v/>
      </c>
      <c r="J248" s="634" t="n">
        <v>0</v>
      </c>
      <c r="K248" s="634">
        <f>+F248*H248</f>
        <v/>
      </c>
      <c r="L248" s="634">
        <f>+F248*I248</f>
        <v/>
      </c>
      <c r="M248" s="634">
        <f>+F248*J248</f>
        <v/>
      </c>
      <c r="N248" s="634">
        <f>SUM(K248:M248)</f>
        <v/>
      </c>
      <c r="O248" s="635">
        <f>SUM(K248:M248)/tc</f>
        <v/>
      </c>
    </row>
    <row r="249" outlineLevel="1" ht="15" customHeight="1">
      <c r="A249" s="278" t="inlineStr">
        <is>
          <t xml:space="preserve">MO </t>
        </is>
      </c>
      <c r="B249" s="282" t="inlineStr">
        <is>
          <t>04-01-07</t>
        </is>
      </c>
      <c r="C249" s="578" t="n"/>
      <c r="D249" s="386" t="inlineStr">
        <is>
          <t xml:space="preserve">OPERARIO </t>
        </is>
      </c>
      <c r="E249" s="632">
        <f>+_xlfn.XLOOKUP(D249,'BASE DATOS MANO DE OBRA'!A:A,'BASE DATOS MANO DE OBRA'!B:B)</f>
        <v/>
      </c>
      <c r="F249" s="388" t="n">
        <v>0</v>
      </c>
      <c r="G249" s="633">
        <f>+_xlfn.XLOOKUP(D249,'BASE DATOS MANO DE OBRA'!A:A,'BASE DATOS MANO DE OBRA'!C:C)</f>
        <v/>
      </c>
      <c r="H249" s="634" t="n">
        <v>0</v>
      </c>
      <c r="I249" s="634">
        <f>+_xlfn.XLOOKUP(D249,'BASE DATOS MANO DE OBRA'!A:A,'BASE DATOS MANO DE OBRA'!E:E)</f>
        <v/>
      </c>
      <c r="J249" s="634" t="n">
        <v>0</v>
      </c>
      <c r="K249" s="634">
        <f>+F249*H249</f>
        <v/>
      </c>
      <c r="L249" s="634">
        <f>+F249*I249</f>
        <v/>
      </c>
      <c r="M249" s="634">
        <f>+F249*J249</f>
        <v/>
      </c>
      <c r="N249" s="634">
        <f>SUM(K249:M249)</f>
        <v/>
      </c>
      <c r="O249" s="635">
        <f>SUM(K249:M249)/tc</f>
        <v/>
      </c>
    </row>
    <row r="250" outlineLevel="1" ht="15" customHeight="1">
      <c r="A250" s="278" t="inlineStr">
        <is>
          <t xml:space="preserve">MO </t>
        </is>
      </c>
      <c r="B250" s="282" t="inlineStr">
        <is>
          <t>04-01-07</t>
        </is>
      </c>
      <c r="C250" s="578" t="n"/>
      <c r="D250" s="386" t="inlineStr">
        <is>
          <t xml:space="preserve">AYUDANTE </t>
        </is>
      </c>
      <c r="E250" s="632">
        <f>+_xlfn.XLOOKUP(D250,'BASE DATOS MANO DE OBRA'!A:A,'BASE DATOS MANO DE OBRA'!B:B)</f>
        <v/>
      </c>
      <c r="F250" s="388" t="n">
        <v>0</v>
      </c>
      <c r="G250" s="633">
        <f>+_xlfn.XLOOKUP(D250,'BASE DATOS MANO DE OBRA'!A:A,'BASE DATOS MANO DE OBRA'!C:C)</f>
        <v/>
      </c>
      <c r="H250" s="634" t="n">
        <v>0</v>
      </c>
      <c r="I250" s="634">
        <f>+_xlfn.XLOOKUP(D250,'BASE DATOS MANO DE OBRA'!A:A,'BASE DATOS MANO DE OBRA'!E:E)</f>
        <v/>
      </c>
      <c r="J250" s="634" t="n">
        <v>0</v>
      </c>
      <c r="K250" s="634">
        <f>+F250*H250</f>
        <v/>
      </c>
      <c r="L250" s="634">
        <f>+F250*I250</f>
        <v/>
      </c>
      <c r="M250" s="634">
        <f>+F250*J250</f>
        <v/>
      </c>
      <c r="N250" s="634">
        <f>SUM(K250:M250)</f>
        <v/>
      </c>
      <c r="O250" s="635">
        <f>SUM(K250:M250)/tc</f>
        <v/>
      </c>
    </row>
    <row r="251" outlineLevel="1" ht="15" customHeight="1">
      <c r="A251" s="278" t="inlineStr">
        <is>
          <t xml:space="preserve">MO </t>
        </is>
      </c>
      <c r="B251" s="282" t="inlineStr">
        <is>
          <t>04-01-08</t>
        </is>
      </c>
      <c r="C251" s="578" t="n"/>
      <c r="D251" s="386" t="inlineStr">
        <is>
          <t xml:space="preserve">OPERARIO </t>
        </is>
      </c>
      <c r="E251" s="632">
        <f>+_xlfn.XLOOKUP(D251,'BASE DATOS MANO DE OBRA'!A:A,'BASE DATOS MANO DE OBRA'!B:B)</f>
        <v/>
      </c>
      <c r="F251" s="388" t="n">
        <v>0</v>
      </c>
      <c r="G251" s="633">
        <f>+_xlfn.XLOOKUP(D251,'BASE DATOS MANO DE OBRA'!A:A,'BASE DATOS MANO DE OBRA'!C:C)</f>
        <v/>
      </c>
      <c r="H251" s="634" t="n">
        <v>0</v>
      </c>
      <c r="I251" s="634">
        <f>+_xlfn.XLOOKUP(D251,'BASE DATOS MANO DE OBRA'!A:A,'BASE DATOS MANO DE OBRA'!E:E)</f>
        <v/>
      </c>
      <c r="J251" s="634" t="n">
        <v>0</v>
      </c>
      <c r="K251" s="634">
        <f>+F251*H251</f>
        <v/>
      </c>
      <c r="L251" s="634">
        <f>+F251*I251</f>
        <v/>
      </c>
      <c r="M251" s="634">
        <f>+F251*J251</f>
        <v/>
      </c>
      <c r="N251" s="634">
        <f>SUM(K251:M251)</f>
        <v/>
      </c>
      <c r="O251" s="635">
        <f>SUM(K251:M251)/tc</f>
        <v/>
      </c>
    </row>
    <row r="252" outlineLevel="1" ht="14.1" customHeight="1">
      <c r="A252" s="278" t="inlineStr">
        <is>
          <t xml:space="preserve">MO </t>
        </is>
      </c>
      <c r="B252" s="282" t="inlineStr">
        <is>
          <t>04-01-08</t>
        </is>
      </c>
      <c r="C252" s="578" t="n"/>
      <c r="D252" s="386" t="inlineStr">
        <is>
          <t xml:space="preserve">AYUDANTE </t>
        </is>
      </c>
      <c r="E252" s="632">
        <f>+_xlfn.XLOOKUP(D252,'BASE DATOS MANO DE OBRA'!A:A,'BASE DATOS MANO DE OBRA'!B:B)</f>
        <v/>
      </c>
      <c r="F252" s="388" t="n">
        <v>0</v>
      </c>
      <c r="G252" s="633">
        <f>+_xlfn.XLOOKUP(D252,'BASE DATOS MANO DE OBRA'!A:A,'BASE DATOS MANO DE OBRA'!C:C)</f>
        <v/>
      </c>
      <c r="H252" s="634" t="n">
        <v>0</v>
      </c>
      <c r="I252" s="634">
        <f>+_xlfn.XLOOKUP(D252,'BASE DATOS MANO DE OBRA'!A:A,'BASE DATOS MANO DE OBRA'!E:E)</f>
        <v/>
      </c>
      <c r="J252" s="634" t="n">
        <v>0</v>
      </c>
      <c r="K252" s="634">
        <f>+F252*H252</f>
        <v/>
      </c>
      <c r="L252" s="634">
        <f>+F252*I252</f>
        <v/>
      </c>
      <c r="M252" s="634">
        <f>+F252*J252</f>
        <v/>
      </c>
      <c r="N252" s="634">
        <f>SUM(K252:M252)</f>
        <v/>
      </c>
      <c r="O252" s="635">
        <f>SUM(K252:M252)/tc</f>
        <v/>
      </c>
      <c r="P252" s="610" t="n"/>
      <c r="Q252" s="610" t="n"/>
    </row>
    <row r="253" ht="15" customHeight="1">
      <c r="A253" s="278" t="n"/>
      <c r="B253" s="282" t="inlineStr">
        <is>
          <t>04-02</t>
        </is>
      </c>
      <c r="C253" s="578" t="n"/>
      <c r="D253" s="307" t="inlineStr">
        <is>
          <t>4.2</t>
        </is>
      </c>
      <c r="E253" s="308" t="inlineStr">
        <is>
          <t>COLUMNAS (MEDIDOR)</t>
        </is>
      </c>
      <c r="F253" s="309" t="n">
        <v>1</v>
      </c>
      <c r="G253" s="310" t="inlineStr">
        <is>
          <t>gb</t>
        </is>
      </c>
      <c r="H253" s="310" t="n"/>
      <c r="I253" s="310" t="n"/>
      <c r="J253" s="310" t="n"/>
      <c r="K253" s="658">
        <f>SUM(K254:K287)</f>
        <v/>
      </c>
      <c r="L253" s="658">
        <f>SUM(L254:L287)</f>
        <v/>
      </c>
      <c r="M253" s="658">
        <f>SUM(M254:M287)</f>
        <v/>
      </c>
      <c r="N253" s="658">
        <f>SUM(N254:N287)</f>
        <v/>
      </c>
      <c r="O253" s="615">
        <f>SUM(O254:O287)</f>
        <v/>
      </c>
    </row>
    <row r="254" outlineLevel="1" ht="15" customHeight="1">
      <c r="A254" s="278" t="inlineStr">
        <is>
          <t>MAT</t>
        </is>
      </c>
      <c r="B254" s="282" t="n"/>
      <c r="C254" s="578">
        <f>_xlfn.XLOOKUP(D254,'INSUMOS MAT '!B:B,'INSUMOS MAT '!C:C,"ERROR",0)</f>
        <v/>
      </c>
      <c r="D254" s="305" t="inlineStr">
        <is>
          <t>MAT04-0062</t>
        </is>
      </c>
      <c r="E254" s="623">
        <f>+_xlfn.XLOOKUP(D254,'BASE DATOS PRECIOS '!B:B,'BASE DATOS PRECIOS '!C:C)</f>
        <v/>
      </c>
      <c r="F254" s="287" t="n">
        <v>333</v>
      </c>
      <c r="G254" s="621">
        <f>+_xlfn.XLOOKUP(D254,'BASE DATOS PRECIOS '!B:B,'BASE DATOS PRECIOS '!D:D)</f>
        <v/>
      </c>
      <c r="H254" s="620">
        <f>+_xlfn.XLOOKUP(E254,'BASE DATOS PRECIOS '!C:C,'BASE DATOS PRECIOS '!F:F)</f>
        <v/>
      </c>
      <c r="I254" s="621" t="n"/>
      <c r="J254" s="621" t="n"/>
      <c r="K254" s="620">
        <f>+F254*H254</f>
        <v/>
      </c>
      <c r="L254" s="620">
        <f>+F254*I254</f>
        <v/>
      </c>
      <c r="M254" s="620">
        <f>+F254*J254</f>
        <v/>
      </c>
      <c r="N254" s="620">
        <f>SUM(K254:M254)</f>
        <v/>
      </c>
      <c r="O254" s="622">
        <f>SUM(K254:M254)/tc</f>
        <v/>
      </c>
    </row>
    <row r="255" outlineLevel="1" ht="15" customHeight="1">
      <c r="A255" s="278" t="inlineStr">
        <is>
          <t>MAT</t>
        </is>
      </c>
      <c r="B255" s="282" t="n"/>
      <c r="C255" s="578">
        <f>_xlfn.XLOOKUP(D255,'INSUMOS MAT '!B:B,'INSUMOS MAT '!C:C,"ERROR",0)</f>
        <v/>
      </c>
      <c r="D255" s="305" t="inlineStr">
        <is>
          <t>MAT03-0006</t>
        </is>
      </c>
      <c r="E255" s="623">
        <f>+_xlfn.XLOOKUP(D255,'BASE DATOS PRECIOS '!B:B,'BASE DATOS PRECIOS '!C:C)</f>
        <v/>
      </c>
      <c r="F255" s="287" t="n">
        <v>1</v>
      </c>
      <c r="G255" s="621">
        <f>+_xlfn.XLOOKUP(D255,'BASE DATOS PRECIOS '!B:B,'BASE DATOS PRECIOS '!D:D)</f>
        <v/>
      </c>
      <c r="H255" s="620">
        <f>+_xlfn.XLOOKUP(E255,'BASE DATOS PRECIOS '!C:C,'BASE DATOS PRECIOS '!F:F)</f>
        <v/>
      </c>
      <c r="I255" s="621" t="n"/>
      <c r="J255" s="621" t="n"/>
      <c r="K255" s="620">
        <f>+F255*H255</f>
        <v/>
      </c>
      <c r="L255" s="620">
        <f>+F255*I255</f>
        <v/>
      </c>
      <c r="M255" s="620">
        <f>+F255*J255</f>
        <v/>
      </c>
      <c r="N255" s="620">
        <f>SUM(K255:M255)</f>
        <v/>
      </c>
      <c r="O255" s="622">
        <f>SUM(K255:M255)/tc</f>
        <v/>
      </c>
    </row>
    <row r="256" outlineLevel="1" ht="15" customHeight="1">
      <c r="A256" s="278" t="inlineStr">
        <is>
          <t>MAT</t>
        </is>
      </c>
      <c r="B256" s="282" t="n"/>
      <c r="C256" s="578">
        <f>_xlfn.XLOOKUP(D256,'INSUMOS MAT '!B:B,'INSUMOS MAT '!C:C,"ERROR",0)</f>
        <v/>
      </c>
      <c r="D256" s="305" t="inlineStr">
        <is>
          <t>MAT03-0002</t>
        </is>
      </c>
      <c r="E256" s="623">
        <f>+_xlfn.XLOOKUP(D256,'BASE DATOS PRECIOS '!B:B,'BASE DATOS PRECIOS '!C:C)</f>
        <v/>
      </c>
      <c r="F256" s="287" t="n">
        <v>1</v>
      </c>
      <c r="G256" s="621">
        <f>+_xlfn.XLOOKUP(D256,'BASE DATOS PRECIOS '!B:B,'BASE DATOS PRECIOS '!D:D)</f>
        <v/>
      </c>
      <c r="H256" s="620">
        <f>+_xlfn.XLOOKUP(E256,'BASE DATOS PRECIOS '!C:C,'BASE DATOS PRECIOS '!F:F)</f>
        <v/>
      </c>
      <c r="I256" s="621" t="n"/>
      <c r="J256" s="621" t="n"/>
      <c r="K256" s="620">
        <f>+F256*H256</f>
        <v/>
      </c>
      <c r="L256" s="620">
        <f>+F256*I256</f>
        <v/>
      </c>
      <c r="M256" s="620">
        <f>+F256*J256</f>
        <v/>
      </c>
      <c r="N256" s="620">
        <f>SUM(K256:M256)</f>
        <v/>
      </c>
      <c r="O256" s="622">
        <f>SUM(K256:M256)/tc</f>
        <v/>
      </c>
    </row>
    <row r="257" outlineLevel="1" ht="15" customHeight="1">
      <c r="A257" s="278" t="inlineStr">
        <is>
          <t>MAT</t>
        </is>
      </c>
      <c r="B257" s="282" t="n"/>
      <c r="C257" s="578">
        <f>_xlfn.XLOOKUP(D257,'INSUMOS MAT '!B:B,'INSUMOS MAT '!C:C,"ERROR",0)</f>
        <v/>
      </c>
      <c r="D257" s="305" t="inlineStr">
        <is>
          <t>MAT02-0025</t>
        </is>
      </c>
      <c r="E257" s="623">
        <f>+_xlfn.XLOOKUP(D257,'BASE DATOS PRECIOS '!B:B,'BASE DATOS PRECIOS '!C:C)</f>
        <v/>
      </c>
      <c r="F257" s="287">
        <f>2+2</f>
        <v/>
      </c>
      <c r="G257" s="621">
        <f>+_xlfn.XLOOKUP(D257,'BASE DATOS PRECIOS '!B:B,'BASE DATOS PRECIOS '!D:D)</f>
        <v/>
      </c>
      <c r="H257" s="620">
        <f>+_xlfn.XLOOKUP(E257,'BASE DATOS PRECIOS '!C:C,'BASE DATOS PRECIOS '!F:F)</f>
        <v/>
      </c>
      <c r="I257" s="621" t="n"/>
      <c r="J257" s="621" t="n"/>
      <c r="K257" s="620">
        <f>+F257*H257</f>
        <v/>
      </c>
      <c r="L257" s="620">
        <f>+F257*I257</f>
        <v/>
      </c>
      <c r="M257" s="620">
        <f>+F257*J257</f>
        <v/>
      </c>
      <c r="N257" s="620">
        <f>SUM(K257:M257)</f>
        <v/>
      </c>
      <c r="O257" s="622">
        <f>SUM(K257:M257)/tc</f>
        <v/>
      </c>
    </row>
    <row r="258" outlineLevel="1" ht="15" customHeight="1">
      <c r="A258" s="278" t="inlineStr">
        <is>
          <t>MAT</t>
        </is>
      </c>
      <c r="B258" s="282" t="n"/>
      <c r="C258" s="578">
        <f>_xlfn.XLOOKUP(D258,'INSUMOS MAT '!B:B,'INSUMOS MAT '!C:C,"ERROR",0)</f>
        <v/>
      </c>
      <c r="D258" s="306" t="inlineStr">
        <is>
          <t>MAT02-0026</t>
        </is>
      </c>
      <c r="E258" s="623">
        <f>+_xlfn.XLOOKUP(D258,'BASE DATOS PRECIOS '!B:B,'BASE DATOS PRECIOS '!C:C)</f>
        <v/>
      </c>
      <c r="F258" s="287">
        <f>4+4+5+3</f>
        <v/>
      </c>
      <c r="G258" s="626">
        <f>+_xlfn.XLOOKUP(D258,'BASE DATOS PRECIOS '!B:B,'BASE DATOS PRECIOS '!D:D)</f>
        <v/>
      </c>
      <c r="H258" s="625">
        <f>+_xlfn.XLOOKUP(E258,'BASE DATOS PRECIOS '!C:C,'BASE DATOS PRECIOS '!F:F)</f>
        <v/>
      </c>
      <c r="I258" s="626" t="n"/>
      <c r="J258" s="626" t="n"/>
      <c r="K258" s="625">
        <f>+F258*H258</f>
        <v/>
      </c>
      <c r="L258" s="625">
        <f>+F258*I258</f>
        <v/>
      </c>
      <c r="M258" s="625">
        <f>+F258*J258</f>
        <v/>
      </c>
      <c r="N258" s="625">
        <f>SUM(K258:M258)</f>
        <v/>
      </c>
      <c r="O258" s="627">
        <f>SUM(K258:M258)/tc</f>
        <v/>
      </c>
    </row>
    <row r="259" outlineLevel="1" ht="15" customHeight="1">
      <c r="A259" s="278" t="inlineStr">
        <is>
          <t>MAT</t>
        </is>
      </c>
      <c r="B259" s="282" t="n"/>
      <c r="C259" s="578">
        <f>_xlfn.XLOOKUP(D259,'INSUMOS MAT '!B:B,'INSUMOS MAT '!C:C,"ERROR",0)</f>
        <v/>
      </c>
      <c r="D259" s="306" t="inlineStr">
        <is>
          <t>MAT02-0001</t>
        </is>
      </c>
      <c r="E259" s="623">
        <f>+_xlfn.XLOOKUP(D259,'BASE DATOS PRECIOS '!B:B,'BASE DATOS PRECIOS '!C:C)</f>
        <v/>
      </c>
      <c r="F259" s="287">
        <f>1+1+1</f>
        <v/>
      </c>
      <c r="G259" s="626">
        <f>+_xlfn.XLOOKUP(D259,'BASE DATOS PRECIOS '!B:B,'BASE DATOS PRECIOS '!D:D)</f>
        <v/>
      </c>
      <c r="H259" s="625">
        <f>+_xlfn.XLOOKUP(E259,'BASE DATOS PRECIOS '!C:C,'BASE DATOS PRECIOS '!F:F)</f>
        <v/>
      </c>
      <c r="I259" s="626" t="n"/>
      <c r="J259" s="626" t="n"/>
      <c r="K259" s="625">
        <f>+F259*H259</f>
        <v/>
      </c>
      <c r="L259" s="625">
        <f>+F259*I259</f>
        <v/>
      </c>
      <c r="M259" s="625">
        <f>+F259*J259</f>
        <v/>
      </c>
      <c r="N259" s="625">
        <f>SUM(K259:M259)</f>
        <v/>
      </c>
      <c r="O259" s="627">
        <f>SUM(K259:M259)/tc</f>
        <v/>
      </c>
    </row>
    <row r="260" outlineLevel="1" ht="15" customHeight="1">
      <c r="A260" s="278" t="n"/>
      <c r="B260" s="282" t="n"/>
      <c r="C260" s="578" t="n"/>
      <c r="D260" s="292" t="n"/>
      <c r="E260" s="293" t="inlineStr">
        <is>
          <t xml:space="preserve">MATERIAL ELÉCTRICO ACOMETICA </t>
        </is>
      </c>
      <c r="F260" s="294" t="n"/>
      <c r="G260" s="295" t="n"/>
      <c r="H260" s="295" t="n"/>
      <c r="I260" s="295" t="n"/>
      <c r="J260" s="295" t="n"/>
      <c r="K260" s="637" t="n"/>
      <c r="L260" s="637" t="n"/>
      <c r="M260" s="637" t="n"/>
      <c r="N260" s="637" t="n"/>
      <c r="O260" s="638" t="n"/>
    </row>
    <row r="261" outlineLevel="1" ht="15" customHeight="1">
      <c r="A261" s="278" t="inlineStr">
        <is>
          <t>MAT</t>
        </is>
      </c>
      <c r="B261" s="282" t="n"/>
      <c r="C261" s="578">
        <f>_xlfn.XLOOKUP(D261,'INSUMOS MAT '!B:B,'INSUMOS MAT '!C:C,"ERROR",0)</f>
        <v/>
      </c>
      <c r="D261" s="306" t="inlineStr">
        <is>
          <t>MAT06-0055</t>
        </is>
      </c>
      <c r="E261" s="623">
        <f>+_xlfn.XLOOKUP(D261,'BASE DATOS PRECIOS '!B:B,'BASE DATOS PRECIOS '!C:C)</f>
        <v/>
      </c>
      <c r="F261" s="287" t="n">
        <v>1</v>
      </c>
      <c r="G261" s="626">
        <f>+_xlfn.XLOOKUP(D261,'BASE DATOS PRECIOS '!B:B,'BASE DATOS PRECIOS '!D:D)</f>
        <v/>
      </c>
      <c r="H261" s="625">
        <f>+_xlfn.XLOOKUP(E261,'BASE DATOS PRECIOS '!C:C,'BASE DATOS PRECIOS '!F:F)</f>
        <v/>
      </c>
      <c r="I261" s="626" t="n"/>
      <c r="J261" s="626" t="n"/>
      <c r="K261" s="625">
        <f>+F261*H261</f>
        <v/>
      </c>
      <c r="L261" s="625">
        <f>+F261*I261</f>
        <v/>
      </c>
      <c r="M261" s="625">
        <f>+F261*J261</f>
        <v/>
      </c>
      <c r="N261" s="625">
        <f>SUM(K261:M261)</f>
        <v/>
      </c>
      <c r="O261" s="627">
        <f>SUM(K261:M261)/tc</f>
        <v/>
      </c>
    </row>
    <row r="262" outlineLevel="1" ht="15" customHeight="1">
      <c r="A262" s="278" t="inlineStr">
        <is>
          <t>MAT</t>
        </is>
      </c>
      <c r="B262" s="282" t="n"/>
      <c r="C262" s="578">
        <f>_xlfn.XLOOKUP(D262,'INSUMOS MAT '!B:B,'INSUMOS MAT '!C:C,"ERROR",0)</f>
        <v/>
      </c>
      <c r="D262" s="306" t="inlineStr">
        <is>
          <t>MAT06-0056</t>
        </is>
      </c>
      <c r="E262" s="623">
        <f>+_xlfn.XLOOKUP(D262,'BASE DATOS PRECIOS '!B:B,'BASE DATOS PRECIOS '!C:C)</f>
        <v/>
      </c>
      <c r="F262" s="287" t="n">
        <v>1</v>
      </c>
      <c r="G262" s="626">
        <f>+_xlfn.XLOOKUP(D262,'BASE DATOS PRECIOS '!B:B,'BASE DATOS PRECIOS '!D:D)</f>
        <v/>
      </c>
      <c r="H262" s="625">
        <f>+_xlfn.XLOOKUP(E262,'BASE DATOS PRECIOS '!C:C,'BASE DATOS PRECIOS '!F:F)</f>
        <v/>
      </c>
      <c r="I262" s="626" t="n"/>
      <c r="J262" s="626" t="n"/>
      <c r="K262" s="625">
        <f>+F262*H262</f>
        <v/>
      </c>
      <c r="L262" s="625">
        <f>+F262*I262</f>
        <v/>
      </c>
      <c r="M262" s="625">
        <f>+F262*J262</f>
        <v/>
      </c>
      <c r="N262" s="625">
        <f>SUM(K262:M262)</f>
        <v/>
      </c>
      <c r="O262" s="627">
        <f>SUM(K262:M262)/tc</f>
        <v/>
      </c>
    </row>
    <row r="263" outlineLevel="1" ht="15" customHeight="1">
      <c r="A263" s="278" t="inlineStr">
        <is>
          <t>MAT</t>
        </is>
      </c>
      <c r="B263" s="282" t="n"/>
      <c r="C263" s="578">
        <f>_xlfn.XLOOKUP(D263,'INSUMOS MAT '!B:B,'INSUMOS MAT '!C:C,"ERROR",0)</f>
        <v/>
      </c>
      <c r="D263" s="306" t="inlineStr">
        <is>
          <t>MAT06-0120</t>
        </is>
      </c>
      <c r="E263" s="623">
        <f>+_xlfn.XLOOKUP(D263,'BASE DATOS PRECIOS '!B:B,'BASE DATOS PRECIOS '!C:C)</f>
        <v/>
      </c>
      <c r="F263" s="287" t="n">
        <v>1</v>
      </c>
      <c r="G263" s="626">
        <f>+_xlfn.XLOOKUP(D263,'BASE DATOS PRECIOS '!B:B,'BASE DATOS PRECIOS '!D:D)</f>
        <v/>
      </c>
      <c r="H263" s="625">
        <f>+_xlfn.XLOOKUP(E263,'BASE DATOS PRECIOS '!C:C,'BASE DATOS PRECIOS '!F:F)</f>
        <v/>
      </c>
      <c r="I263" s="626" t="n"/>
      <c r="J263" s="626" t="n"/>
      <c r="K263" s="625">
        <f>+F263*H263</f>
        <v/>
      </c>
      <c r="L263" s="625">
        <f>+F263*I263</f>
        <v/>
      </c>
      <c r="M263" s="625">
        <f>+F263*J263</f>
        <v/>
      </c>
      <c r="N263" s="625">
        <f>SUM(K263:M263)</f>
        <v/>
      </c>
      <c r="O263" s="627">
        <f>SUM(K263:M263)/tc</f>
        <v/>
      </c>
    </row>
    <row r="264" outlineLevel="1" ht="15" customHeight="1">
      <c r="A264" s="278" t="inlineStr">
        <is>
          <t>MAT</t>
        </is>
      </c>
      <c r="B264" s="282" t="n"/>
      <c r="C264" s="578">
        <f>_xlfn.XLOOKUP(D264,'INSUMOS MAT '!B:B,'INSUMOS MAT '!C:C,"ERROR",0)</f>
        <v/>
      </c>
      <c r="D264" s="306" t="inlineStr">
        <is>
          <t>MAT06-0098</t>
        </is>
      </c>
      <c r="E264" s="623">
        <f>+_xlfn.XLOOKUP(D264,'BASE DATOS PRECIOS '!B:B,'BASE DATOS PRECIOS '!C:C)</f>
        <v/>
      </c>
      <c r="F264" s="287" t="n">
        <v>1</v>
      </c>
      <c r="G264" s="626">
        <f>+_xlfn.XLOOKUP(D264,'BASE DATOS PRECIOS '!B:B,'BASE DATOS PRECIOS '!D:D)</f>
        <v/>
      </c>
      <c r="H264" s="625">
        <f>+_xlfn.XLOOKUP(E264,'BASE DATOS PRECIOS '!C:C,'BASE DATOS PRECIOS '!F:F)</f>
        <v/>
      </c>
      <c r="I264" s="626" t="n"/>
      <c r="J264" s="626" t="n"/>
      <c r="K264" s="625">
        <f>+F264*H264</f>
        <v/>
      </c>
      <c r="L264" s="625">
        <f>+F264*I264</f>
        <v/>
      </c>
      <c r="M264" s="625">
        <f>+F264*J264</f>
        <v/>
      </c>
      <c r="N264" s="625">
        <f>SUM(K264:M264)</f>
        <v/>
      </c>
      <c r="O264" s="627">
        <f>SUM(K264:M264)/tc</f>
        <v/>
      </c>
    </row>
    <row r="265" outlineLevel="1" ht="15" customHeight="1">
      <c r="A265" s="278" t="inlineStr">
        <is>
          <t>MAT</t>
        </is>
      </c>
      <c r="B265" s="282" t="n"/>
      <c r="C265" s="578">
        <f>_xlfn.XLOOKUP(D265,'INSUMOS MAT '!B:B,'INSUMOS MAT '!C:C,"ERROR",0)</f>
        <v/>
      </c>
      <c r="D265" s="306" t="inlineStr">
        <is>
          <t>MAT06-0119</t>
        </is>
      </c>
      <c r="E265" s="623">
        <f>+_xlfn.XLOOKUP(D265,'BASE DATOS PRECIOS '!B:B,'BASE DATOS PRECIOS '!C:C)</f>
        <v/>
      </c>
      <c r="F265" s="287" t="n">
        <v>2</v>
      </c>
      <c r="G265" s="626">
        <f>+_xlfn.XLOOKUP(D265,'BASE DATOS PRECIOS '!B:B,'BASE DATOS PRECIOS '!D:D)</f>
        <v/>
      </c>
      <c r="H265" s="625">
        <f>+_xlfn.XLOOKUP(E265,'BASE DATOS PRECIOS '!C:C,'BASE DATOS PRECIOS '!F:F)</f>
        <v/>
      </c>
      <c r="I265" s="626" t="n"/>
      <c r="J265" s="626" t="n"/>
      <c r="K265" s="625">
        <f>+F265*H265</f>
        <v/>
      </c>
      <c r="L265" s="625">
        <f>+F265*I265</f>
        <v/>
      </c>
      <c r="M265" s="625">
        <f>+F265*J265</f>
        <v/>
      </c>
      <c r="N265" s="625">
        <f>SUM(K265:M265)</f>
        <v/>
      </c>
      <c r="O265" s="627">
        <f>SUM(K265:M265)/tc</f>
        <v/>
      </c>
    </row>
    <row r="266" outlineLevel="1" ht="15" customHeight="1">
      <c r="A266" s="278" t="inlineStr">
        <is>
          <t>MAT</t>
        </is>
      </c>
      <c r="B266" s="282" t="n"/>
      <c r="C266" s="578">
        <f>_xlfn.XLOOKUP(D266,'INSUMOS MAT '!B:B,'INSUMOS MAT '!C:C,"ERROR",0)</f>
        <v/>
      </c>
      <c r="D266" s="306" t="inlineStr">
        <is>
          <t>MAT06-0069</t>
        </is>
      </c>
      <c r="E266" s="623">
        <f>+_xlfn.XLOOKUP(D266,'BASE DATOS PRECIOS '!B:B,'BASE DATOS PRECIOS '!C:C)</f>
        <v/>
      </c>
      <c r="F266" s="287" t="n">
        <v>2</v>
      </c>
      <c r="G266" s="626">
        <f>+_xlfn.XLOOKUP(D266,'BASE DATOS PRECIOS '!B:B,'BASE DATOS PRECIOS '!D:D)</f>
        <v/>
      </c>
      <c r="H266" s="625">
        <f>+_xlfn.XLOOKUP(E266,'BASE DATOS PRECIOS '!C:C,'BASE DATOS PRECIOS '!F:F)</f>
        <v/>
      </c>
      <c r="I266" s="626" t="n"/>
      <c r="J266" s="626" t="n"/>
      <c r="K266" s="625">
        <f>+F266*H266</f>
        <v/>
      </c>
      <c r="L266" s="625">
        <f>+F266*I266</f>
        <v/>
      </c>
      <c r="M266" s="625">
        <f>+F266*J266</f>
        <v/>
      </c>
      <c r="N266" s="625">
        <f>SUM(K266:M266)</f>
        <v/>
      </c>
      <c r="O266" s="627">
        <f>SUM(K266:M266)/tc</f>
        <v/>
      </c>
    </row>
    <row r="267" outlineLevel="1" ht="15" customHeight="1">
      <c r="A267" s="278" t="inlineStr">
        <is>
          <t>MAT</t>
        </is>
      </c>
      <c r="B267" s="282" t="n"/>
      <c r="C267" s="578">
        <f>_xlfn.XLOOKUP(D267,'INSUMOS MAT '!B:B,'INSUMOS MAT '!C:C,"ERROR",0)</f>
        <v/>
      </c>
      <c r="D267" s="306" t="inlineStr">
        <is>
          <t>MAT06-0017</t>
        </is>
      </c>
      <c r="E267" s="623">
        <f>+_xlfn.XLOOKUP(D267,'BASE DATOS PRECIOS '!B:B,'BASE DATOS PRECIOS '!C:C)</f>
        <v/>
      </c>
      <c r="F267" s="287" t="n">
        <v>1</v>
      </c>
      <c r="G267" s="626">
        <f>+_xlfn.XLOOKUP(D267,'BASE DATOS PRECIOS '!B:B,'BASE DATOS PRECIOS '!D:D)</f>
        <v/>
      </c>
      <c r="H267" s="625">
        <f>+_xlfn.XLOOKUP(E267,'BASE DATOS PRECIOS '!C:C,'BASE DATOS PRECIOS '!F:F)</f>
        <v/>
      </c>
      <c r="I267" s="626" t="n"/>
      <c r="J267" s="626" t="n"/>
      <c r="K267" s="625">
        <f>+F267*H267</f>
        <v/>
      </c>
      <c r="L267" s="625">
        <f>+F267*I267</f>
        <v/>
      </c>
      <c r="M267" s="625">
        <f>+F267*J267</f>
        <v/>
      </c>
      <c r="N267" s="625">
        <f>SUM(K267:M267)</f>
        <v/>
      </c>
      <c r="O267" s="627">
        <f>SUM(K267:M267)/tc</f>
        <v/>
      </c>
    </row>
    <row r="268" outlineLevel="1" ht="15" customHeight="1">
      <c r="A268" s="278" t="inlineStr">
        <is>
          <t>MAT</t>
        </is>
      </c>
      <c r="B268" s="282" t="n"/>
      <c r="C268" s="578">
        <f>_xlfn.XLOOKUP(D268,'INSUMOS MAT '!B:B,'INSUMOS MAT '!C:C,"ERROR",0)</f>
        <v/>
      </c>
      <c r="D268" s="306" t="inlineStr">
        <is>
          <t>MAT19-0029</t>
        </is>
      </c>
      <c r="E268" s="623">
        <f>+_xlfn.XLOOKUP(D268,'BASE DATOS PRECIOS '!B:B,'BASE DATOS PRECIOS '!C:C)</f>
        <v/>
      </c>
      <c r="F268" s="287" t="n">
        <v>1</v>
      </c>
      <c r="G268" s="626">
        <f>+_xlfn.XLOOKUP(D268,'BASE DATOS PRECIOS '!B:B,'BASE DATOS PRECIOS '!D:D)</f>
        <v/>
      </c>
      <c r="H268" s="625">
        <f>+_xlfn.XLOOKUP(E268,'BASE DATOS PRECIOS '!C:C,'BASE DATOS PRECIOS '!F:F)</f>
        <v/>
      </c>
      <c r="I268" s="626" t="n"/>
      <c r="J268" s="626" t="n"/>
      <c r="K268" s="625">
        <f>+F268*H268</f>
        <v/>
      </c>
      <c r="L268" s="625">
        <f>+F268*I268</f>
        <v/>
      </c>
      <c r="M268" s="625">
        <f>+F268*J268</f>
        <v/>
      </c>
      <c r="N268" s="625">
        <f>SUM(K268:M268)</f>
        <v/>
      </c>
      <c r="O268" s="627">
        <f>SUM(K268:M268)/tc</f>
        <v/>
      </c>
    </row>
    <row r="269" outlineLevel="1" ht="15" customHeight="1">
      <c r="A269" s="278" t="inlineStr">
        <is>
          <t>MAT</t>
        </is>
      </c>
      <c r="B269" s="282" t="n"/>
      <c r="C269" s="578">
        <f>_xlfn.XLOOKUP(D269,'INSUMOS MAT '!B:B,'INSUMOS MAT '!C:C,"ERROR",0)</f>
        <v/>
      </c>
      <c r="D269" s="306" t="inlineStr">
        <is>
          <t>MAT19-0027</t>
        </is>
      </c>
      <c r="E269" s="623">
        <f>+_xlfn.XLOOKUP(D269,'BASE DATOS PRECIOS '!B:B,'BASE DATOS PRECIOS '!C:C)</f>
        <v/>
      </c>
      <c r="F269" s="287" t="n">
        <v>1</v>
      </c>
      <c r="G269" s="626">
        <f>+_xlfn.XLOOKUP(D269,'BASE DATOS PRECIOS '!B:B,'BASE DATOS PRECIOS '!D:D)</f>
        <v/>
      </c>
      <c r="H269" s="625">
        <f>+_xlfn.XLOOKUP(E269,'BASE DATOS PRECIOS '!C:C,'BASE DATOS PRECIOS '!F:F)</f>
        <v/>
      </c>
      <c r="I269" s="626" t="n"/>
      <c r="J269" s="626" t="n"/>
      <c r="K269" s="625">
        <f>+F269*H269</f>
        <v/>
      </c>
      <c r="L269" s="625">
        <f>+F269*I269</f>
        <v/>
      </c>
      <c r="M269" s="625">
        <f>+F269*J269</f>
        <v/>
      </c>
      <c r="N269" s="625">
        <f>SUM(K269:M269)</f>
        <v/>
      </c>
      <c r="O269" s="627">
        <f>SUM(K269:M269)/tc</f>
        <v/>
      </c>
    </row>
    <row r="270" outlineLevel="1" ht="15" customHeight="1">
      <c r="A270" s="278" t="inlineStr">
        <is>
          <t>MAT</t>
        </is>
      </c>
      <c r="B270" s="282" t="n"/>
      <c r="C270" s="578">
        <f>_xlfn.XLOOKUP(D270,'INSUMOS MAT '!B:B,'INSUMOS MAT '!C:C,"ERROR",0)</f>
        <v/>
      </c>
      <c r="D270" s="306" t="inlineStr">
        <is>
          <t>MAT19-0084</t>
        </is>
      </c>
      <c r="E270" s="623">
        <f>+_xlfn.XLOOKUP(D270,'BASE DATOS PRECIOS '!B:B,'BASE DATOS PRECIOS '!C:C)</f>
        <v/>
      </c>
      <c r="F270" s="287" t="n">
        <v>1</v>
      </c>
      <c r="G270" s="626">
        <f>+_xlfn.XLOOKUP(D270,'BASE DATOS PRECIOS '!B:B,'BASE DATOS PRECIOS '!D:D)</f>
        <v/>
      </c>
      <c r="H270" s="625">
        <f>+_xlfn.XLOOKUP(E270,'BASE DATOS PRECIOS '!C:C,'BASE DATOS PRECIOS '!F:F)</f>
        <v/>
      </c>
      <c r="I270" s="626" t="n"/>
      <c r="J270" s="626" t="n"/>
      <c r="K270" s="625">
        <f>+F270*H270</f>
        <v/>
      </c>
      <c r="L270" s="625">
        <f>+F270*I270</f>
        <v/>
      </c>
      <c r="M270" s="625">
        <f>+F270*J270</f>
        <v/>
      </c>
      <c r="N270" s="625">
        <f>SUM(K270:M270)</f>
        <v/>
      </c>
      <c r="O270" s="627">
        <f>SUM(K270:M270)/tc</f>
        <v/>
      </c>
    </row>
    <row r="271" outlineLevel="1" ht="15" customHeight="1">
      <c r="A271" s="278" t="inlineStr">
        <is>
          <t>MAT</t>
        </is>
      </c>
      <c r="B271" s="282" t="n"/>
      <c r="C271" s="578">
        <f>_xlfn.XLOOKUP(D271,'INSUMOS MAT '!B:B,'INSUMOS MAT '!C:C,"ERROR",0)</f>
        <v/>
      </c>
      <c r="D271" s="306" t="inlineStr">
        <is>
          <t>MAT19-0085</t>
        </is>
      </c>
      <c r="E271" s="623">
        <f>+_xlfn.XLOOKUP(D271,'BASE DATOS PRECIOS '!B:B,'BASE DATOS PRECIOS '!C:C)</f>
        <v/>
      </c>
      <c r="F271" s="287" t="n">
        <v>1</v>
      </c>
      <c r="G271" s="626">
        <f>+_xlfn.XLOOKUP(D271,'BASE DATOS PRECIOS '!B:B,'BASE DATOS PRECIOS '!D:D)</f>
        <v/>
      </c>
      <c r="H271" s="625">
        <f>+_xlfn.XLOOKUP(E271,'BASE DATOS PRECIOS '!C:C,'BASE DATOS PRECIOS '!F:F)</f>
        <v/>
      </c>
      <c r="I271" s="626" t="n"/>
      <c r="J271" s="626" t="n"/>
      <c r="K271" s="625">
        <f>+F271*H271</f>
        <v/>
      </c>
      <c r="L271" s="625">
        <f>+F271*I271</f>
        <v/>
      </c>
      <c r="M271" s="625">
        <f>+F271*J271</f>
        <v/>
      </c>
      <c r="N271" s="625">
        <f>SUM(K271:M271)</f>
        <v/>
      </c>
      <c r="O271" s="627">
        <f>SUM(K271:M271)/tc</f>
        <v/>
      </c>
    </row>
    <row r="272" outlineLevel="1" ht="15" customHeight="1">
      <c r="A272" s="278" t="inlineStr">
        <is>
          <t>MAT</t>
        </is>
      </c>
      <c r="B272" s="282" t="n"/>
      <c r="C272" s="578">
        <f>_xlfn.XLOOKUP(D272,'INSUMOS MAT '!B:B,'INSUMOS MAT '!C:C,"ERROR",0)</f>
        <v/>
      </c>
      <c r="D272" s="306" t="inlineStr">
        <is>
          <t>MAT19-0086</t>
        </is>
      </c>
      <c r="E272" s="623">
        <f>+_xlfn.XLOOKUP(D272,'BASE DATOS PRECIOS '!B:B,'BASE DATOS PRECIOS '!C:C)</f>
        <v/>
      </c>
      <c r="F272" s="287" t="n">
        <v>1</v>
      </c>
      <c r="G272" s="626">
        <f>+_xlfn.XLOOKUP(D272,'BASE DATOS PRECIOS '!B:B,'BASE DATOS PRECIOS '!D:D)</f>
        <v/>
      </c>
      <c r="H272" s="625">
        <f>+_xlfn.XLOOKUP(E272,'BASE DATOS PRECIOS '!C:C,'BASE DATOS PRECIOS '!F:F)</f>
        <v/>
      </c>
      <c r="I272" s="626" t="n"/>
      <c r="J272" s="626" t="n"/>
      <c r="K272" s="625">
        <f>+F272*H272</f>
        <v/>
      </c>
      <c r="L272" s="625">
        <f>+F272*I272</f>
        <v/>
      </c>
      <c r="M272" s="625">
        <f>+F272*J272</f>
        <v/>
      </c>
      <c r="N272" s="625">
        <f>SUM(K272:M272)</f>
        <v/>
      </c>
      <c r="O272" s="627">
        <f>SUM(K272:M272)/tc</f>
        <v/>
      </c>
    </row>
    <row r="273" outlineLevel="1" ht="15" customHeight="1">
      <c r="A273" s="278" t="inlineStr">
        <is>
          <t>MAT</t>
        </is>
      </c>
      <c r="B273" s="282" t="n"/>
      <c r="C273" s="578">
        <f>_xlfn.XLOOKUP(D273,'INSUMOS MAT '!B:B,'INSUMOS MAT '!C:C,"ERROR",0)</f>
        <v/>
      </c>
      <c r="D273" s="306" t="inlineStr">
        <is>
          <t>MAT19-0032</t>
        </is>
      </c>
      <c r="E273" s="623">
        <f>+_xlfn.XLOOKUP(D273,'BASE DATOS PRECIOS '!B:B,'BASE DATOS PRECIOS '!C:C)</f>
        <v/>
      </c>
      <c r="F273" s="287" t="n">
        <v>1</v>
      </c>
      <c r="G273" s="626">
        <f>+_xlfn.XLOOKUP(D273,'BASE DATOS PRECIOS '!B:B,'BASE DATOS PRECIOS '!D:D)</f>
        <v/>
      </c>
      <c r="H273" s="625">
        <f>+_xlfn.XLOOKUP(E273,'BASE DATOS PRECIOS '!C:C,'BASE DATOS PRECIOS '!F:F)</f>
        <v/>
      </c>
      <c r="I273" s="626" t="n"/>
      <c r="J273" s="626" t="n"/>
      <c r="K273" s="625">
        <f>+F273*H273</f>
        <v/>
      </c>
      <c r="L273" s="625">
        <f>+F273*I273</f>
        <v/>
      </c>
      <c r="M273" s="625">
        <f>+F273*J273</f>
        <v/>
      </c>
      <c r="N273" s="625">
        <f>SUM(K273:M273)</f>
        <v/>
      </c>
      <c r="O273" s="627">
        <f>SUM(K273:M273)/tc</f>
        <v/>
      </c>
    </row>
    <row r="274" outlineLevel="1" ht="15" customHeight="1">
      <c r="A274" s="278" t="inlineStr">
        <is>
          <t>MAT</t>
        </is>
      </c>
      <c r="B274" s="282" t="n"/>
      <c r="C274" s="578">
        <f>_xlfn.XLOOKUP(D274,'INSUMOS MAT '!B:B,'INSUMOS MAT '!C:C,"ERROR",0)</f>
        <v/>
      </c>
      <c r="D274" s="306" t="inlineStr">
        <is>
          <t>MAT19-0031</t>
        </is>
      </c>
      <c r="E274" s="623">
        <f>+_xlfn.XLOOKUP(D274,'BASE DATOS PRECIOS '!B:B,'BASE DATOS PRECIOS '!C:C)</f>
        <v/>
      </c>
      <c r="F274" s="287" t="n">
        <v>1</v>
      </c>
      <c r="G274" s="626">
        <f>+_xlfn.XLOOKUP(D274,'BASE DATOS PRECIOS '!B:B,'BASE DATOS PRECIOS '!D:D)</f>
        <v/>
      </c>
      <c r="H274" s="625">
        <f>+_xlfn.XLOOKUP(E274,'BASE DATOS PRECIOS '!C:C,'BASE DATOS PRECIOS '!F:F)</f>
        <v/>
      </c>
      <c r="I274" s="626" t="n"/>
      <c r="J274" s="626" t="n"/>
      <c r="K274" s="625">
        <f>+F274*H274</f>
        <v/>
      </c>
      <c r="L274" s="625">
        <f>+F274*I274</f>
        <v/>
      </c>
      <c r="M274" s="625">
        <f>+F274*J274</f>
        <v/>
      </c>
      <c r="N274" s="625">
        <f>SUM(K274:M274)</f>
        <v/>
      </c>
      <c r="O274" s="627">
        <f>SUM(K274:M274)/tc</f>
        <v/>
      </c>
    </row>
    <row r="275" outlineLevel="1" ht="15" customHeight="1">
      <c r="A275" s="278" t="inlineStr">
        <is>
          <t>MAT</t>
        </is>
      </c>
      <c r="B275" s="282" t="n"/>
      <c r="C275" s="578">
        <f>_xlfn.XLOOKUP(D275,'INSUMOS MAT '!B:B,'INSUMOS MAT '!C:C,"ERROR",0)</f>
        <v/>
      </c>
      <c r="D275" s="306" t="inlineStr">
        <is>
          <t>MAT19-0033</t>
        </is>
      </c>
      <c r="E275" s="623">
        <f>+_xlfn.XLOOKUP(D275,'BASE DATOS PRECIOS '!B:B,'BASE DATOS PRECIOS '!C:C)</f>
        <v/>
      </c>
      <c r="F275" s="287" t="n">
        <v>1</v>
      </c>
      <c r="G275" s="626">
        <f>+_xlfn.XLOOKUP(D275,'BASE DATOS PRECIOS '!B:B,'BASE DATOS PRECIOS '!D:D)</f>
        <v/>
      </c>
      <c r="H275" s="625">
        <f>+_xlfn.XLOOKUP(E275,'BASE DATOS PRECIOS '!C:C,'BASE DATOS PRECIOS '!F:F)</f>
        <v/>
      </c>
      <c r="I275" s="626" t="n"/>
      <c r="J275" s="626" t="n"/>
      <c r="K275" s="625">
        <f>+F275*H275</f>
        <v/>
      </c>
      <c r="L275" s="625">
        <f>+F275*I275</f>
        <v/>
      </c>
      <c r="M275" s="625">
        <f>+F275*J275</f>
        <v/>
      </c>
      <c r="N275" s="625">
        <f>SUM(K275:M275)</f>
        <v/>
      </c>
      <c r="O275" s="627">
        <f>SUM(K275:M275)/tc</f>
        <v/>
      </c>
    </row>
    <row r="276" outlineLevel="1" ht="15" customHeight="1">
      <c r="A276" s="278" t="inlineStr">
        <is>
          <t>MAT</t>
        </is>
      </c>
      <c r="B276" s="282" t="n"/>
      <c r="C276" s="578">
        <f>_xlfn.XLOOKUP(D276,'INSUMOS MAT '!B:B,'INSUMOS MAT '!C:C,"ERROR",0)</f>
        <v/>
      </c>
      <c r="D276" s="306" t="inlineStr">
        <is>
          <t>MAT06-0104</t>
        </is>
      </c>
      <c r="E276" s="623">
        <f>+_xlfn.XLOOKUP(D276,'BASE DATOS PRECIOS '!B:B,'BASE DATOS PRECIOS '!C:C)</f>
        <v/>
      </c>
      <c r="F276" s="287" t="n">
        <v>1</v>
      </c>
      <c r="G276" s="626">
        <f>+_xlfn.XLOOKUP(D276,'BASE DATOS PRECIOS '!B:B,'BASE DATOS PRECIOS '!D:D)</f>
        <v/>
      </c>
      <c r="H276" s="625">
        <f>+_xlfn.XLOOKUP(E276,'BASE DATOS PRECIOS '!C:C,'BASE DATOS PRECIOS '!F:F)</f>
        <v/>
      </c>
      <c r="I276" s="626" t="n"/>
      <c r="J276" s="626" t="n"/>
      <c r="K276" s="625">
        <f>+F276*H276</f>
        <v/>
      </c>
      <c r="L276" s="625">
        <f>+F276*I276</f>
        <v/>
      </c>
      <c r="M276" s="625">
        <f>+F276*J276</f>
        <v/>
      </c>
      <c r="N276" s="625">
        <f>SUM(K276:M276)</f>
        <v/>
      </c>
      <c r="O276" s="627">
        <f>SUM(K276:M276)/tc</f>
        <v/>
      </c>
    </row>
    <row r="277" outlineLevel="1" ht="15" customHeight="1">
      <c r="A277" s="278" t="inlineStr">
        <is>
          <t>MAT</t>
        </is>
      </c>
      <c r="B277" s="282" t="n"/>
      <c r="C277" s="578">
        <f>_xlfn.XLOOKUP(D277,'INSUMOS MAT '!B:B,'INSUMOS MAT '!C:C,"ERROR",0)</f>
        <v/>
      </c>
      <c r="D277" s="306" t="inlineStr">
        <is>
          <t>MAT04-0002</t>
        </is>
      </c>
      <c r="E277" s="623">
        <f>+_xlfn.XLOOKUP(D277,'BASE DATOS PRECIOS '!B:B,'BASE DATOS PRECIOS '!C:C)</f>
        <v/>
      </c>
      <c r="F277" s="287" t="n">
        <v>1</v>
      </c>
      <c r="G277" s="626">
        <f>+_xlfn.XLOOKUP(D277,'BASE DATOS PRECIOS '!B:B,'BASE DATOS PRECIOS '!D:D)</f>
        <v/>
      </c>
      <c r="H277" s="625">
        <f>+_xlfn.XLOOKUP(E277,'BASE DATOS PRECIOS '!C:C,'BASE DATOS PRECIOS '!F:F)</f>
        <v/>
      </c>
      <c r="I277" s="626" t="n"/>
      <c r="J277" s="626" t="n"/>
      <c r="K277" s="625">
        <f>+F277*H277</f>
        <v/>
      </c>
      <c r="L277" s="625">
        <f>+F277*I277</f>
        <v/>
      </c>
      <c r="M277" s="625">
        <f>+F277*J277</f>
        <v/>
      </c>
      <c r="N277" s="625">
        <f>SUM(K277:M277)</f>
        <v/>
      </c>
      <c r="O277" s="627">
        <f>SUM(K277:M277)/tc</f>
        <v/>
      </c>
    </row>
    <row r="278" outlineLevel="1" ht="15" customHeight="1">
      <c r="A278" s="278" t="inlineStr">
        <is>
          <t>MAT</t>
        </is>
      </c>
      <c r="B278" s="282" t="n"/>
      <c r="C278" s="578">
        <f>_xlfn.XLOOKUP(D278,'INSUMOS MAT '!B:B,'INSUMOS MAT '!C:C,"ERROR",0)</f>
        <v/>
      </c>
      <c r="D278" s="306" t="inlineStr">
        <is>
          <t>MAT06-0077</t>
        </is>
      </c>
      <c r="E278" s="623">
        <f>+_xlfn.XLOOKUP(D278,'BASE DATOS PRECIOS '!B:B,'BASE DATOS PRECIOS '!C:C)</f>
        <v/>
      </c>
      <c r="F278" s="287" t="n">
        <v>1</v>
      </c>
      <c r="G278" s="626">
        <f>+_xlfn.XLOOKUP(D278,'BASE DATOS PRECIOS '!B:B,'BASE DATOS PRECIOS '!D:D)</f>
        <v/>
      </c>
      <c r="H278" s="625">
        <f>+_xlfn.XLOOKUP(E278,'BASE DATOS PRECIOS '!C:C,'BASE DATOS PRECIOS '!F:F)</f>
        <v/>
      </c>
      <c r="I278" s="626" t="n"/>
      <c r="J278" s="626" t="n"/>
      <c r="K278" s="625">
        <f>+F278*H278</f>
        <v/>
      </c>
      <c r="L278" s="625">
        <f>+F278*I278</f>
        <v/>
      </c>
      <c r="M278" s="625">
        <f>+F278*J278</f>
        <v/>
      </c>
      <c r="N278" s="625">
        <f>SUM(K278:M278)</f>
        <v/>
      </c>
      <c r="O278" s="627">
        <f>SUM(K278:M278)/tc</f>
        <v/>
      </c>
    </row>
    <row r="279" outlineLevel="1" ht="15" customHeight="1">
      <c r="A279" s="278" t="inlineStr">
        <is>
          <t>MAT</t>
        </is>
      </c>
      <c r="B279" s="282" t="n"/>
      <c r="C279" s="578">
        <f>_xlfn.XLOOKUP(D279,'INSUMOS MAT '!B:B,'INSUMOS MAT '!C:C,"ERROR",0)</f>
        <v/>
      </c>
      <c r="D279" s="306" t="inlineStr">
        <is>
          <t>MAT06-0040</t>
        </is>
      </c>
      <c r="E279" s="623">
        <f>+_xlfn.XLOOKUP(D279,'BASE DATOS PRECIOS '!B:B,'BASE DATOS PRECIOS '!C:C)</f>
        <v/>
      </c>
      <c r="F279" s="287" t="n">
        <v>12</v>
      </c>
      <c r="G279" s="626">
        <f>+_xlfn.XLOOKUP(D279,'BASE DATOS PRECIOS '!B:B,'BASE DATOS PRECIOS '!D:D)</f>
        <v/>
      </c>
      <c r="H279" s="625">
        <f>+_xlfn.XLOOKUP(E279,'BASE DATOS PRECIOS '!C:C,'BASE DATOS PRECIOS '!F:F)</f>
        <v/>
      </c>
      <c r="I279" s="626" t="n"/>
      <c r="J279" s="626" t="n"/>
      <c r="K279" s="625">
        <f>+F279*H279</f>
        <v/>
      </c>
      <c r="L279" s="625">
        <f>+F279*I279</f>
        <v/>
      </c>
      <c r="M279" s="625">
        <f>+F279*J279</f>
        <v/>
      </c>
      <c r="N279" s="625">
        <f>SUM(K279:M279)</f>
        <v/>
      </c>
      <c r="O279" s="627">
        <f>SUM(K279:M279)/tc</f>
        <v/>
      </c>
    </row>
    <row r="280" outlineLevel="1" ht="15" customHeight="1">
      <c r="A280" s="278" t="inlineStr">
        <is>
          <t>MAT</t>
        </is>
      </c>
      <c r="B280" s="282" t="n"/>
      <c r="C280" s="578">
        <f>_xlfn.XLOOKUP(D280,'INSUMOS MAT '!B:B,'INSUMOS MAT '!C:C,"ERROR",0)</f>
        <v/>
      </c>
      <c r="D280" s="306" t="inlineStr">
        <is>
          <t>MAT06-0090</t>
        </is>
      </c>
      <c r="E280" s="623">
        <f>+_xlfn.XLOOKUP(D280,'BASE DATOS PRECIOS '!B:B,'BASE DATOS PRECIOS '!C:C)</f>
        <v/>
      </c>
      <c r="F280" s="287" t="n">
        <v>1</v>
      </c>
      <c r="G280" s="626">
        <f>+_xlfn.XLOOKUP(D280,'BASE DATOS PRECIOS '!B:B,'BASE DATOS PRECIOS '!D:D)</f>
        <v/>
      </c>
      <c r="H280" s="625">
        <f>+_xlfn.XLOOKUP(E280,'BASE DATOS PRECIOS '!C:C,'BASE DATOS PRECIOS '!F:F)</f>
        <v/>
      </c>
      <c r="I280" s="626" t="n"/>
      <c r="J280" s="626" t="n"/>
      <c r="K280" s="625">
        <f>+F280*H280</f>
        <v/>
      </c>
      <c r="L280" s="625">
        <f>+F280*I280</f>
        <v/>
      </c>
      <c r="M280" s="625">
        <f>+F280*J280</f>
        <v/>
      </c>
      <c r="N280" s="625">
        <f>SUM(K280:M280)</f>
        <v/>
      </c>
      <c r="O280" s="627">
        <f>SUM(K280:M280)/tc</f>
        <v/>
      </c>
    </row>
    <row r="281" outlineLevel="1" ht="15" customHeight="1">
      <c r="A281" s="278" t="inlineStr">
        <is>
          <t>MAT</t>
        </is>
      </c>
      <c r="B281" s="282" t="n"/>
      <c r="C281" s="578">
        <f>_xlfn.XLOOKUP(D281,'INSUMOS MAT '!B:B,'INSUMOS MAT '!C:C,"ERROR",0)</f>
        <v/>
      </c>
      <c r="D281" s="306" t="inlineStr">
        <is>
          <t>MAT06-0039</t>
        </is>
      </c>
      <c r="E281" s="623">
        <f>+_xlfn.XLOOKUP(D281,'BASE DATOS PRECIOS '!B:B,'BASE DATOS PRECIOS '!C:C)</f>
        <v/>
      </c>
      <c r="F281" s="287" t="n">
        <v>4</v>
      </c>
      <c r="G281" s="626">
        <f>+_xlfn.XLOOKUP(D281,'BASE DATOS PRECIOS '!B:B,'BASE DATOS PRECIOS '!D:D)</f>
        <v/>
      </c>
      <c r="H281" s="625">
        <f>+_xlfn.XLOOKUP(E281,'BASE DATOS PRECIOS '!C:C,'BASE DATOS PRECIOS '!F:F)</f>
        <v/>
      </c>
      <c r="I281" s="626" t="n"/>
      <c r="J281" s="626" t="n"/>
      <c r="K281" s="625">
        <f>+F281*H281</f>
        <v/>
      </c>
      <c r="L281" s="625">
        <f>+F281*I281</f>
        <v/>
      </c>
      <c r="M281" s="625">
        <f>+F281*J281</f>
        <v/>
      </c>
      <c r="N281" s="625">
        <f>SUM(K281:M281)</f>
        <v/>
      </c>
      <c r="O281" s="627">
        <f>SUM(K281:M281)/tc</f>
        <v/>
      </c>
    </row>
    <row r="282" outlineLevel="1" ht="15" customHeight="1">
      <c r="A282" s="278" t="inlineStr">
        <is>
          <t>MAT</t>
        </is>
      </c>
      <c r="B282" s="282" t="n"/>
      <c r="C282" s="578">
        <f>_xlfn.XLOOKUP(D282,'INSUMOS MAT '!B:B,'INSUMOS MAT '!C:C,"ERROR",0)</f>
        <v/>
      </c>
      <c r="D282" s="306" t="inlineStr">
        <is>
          <t>MAT06-0060</t>
        </is>
      </c>
      <c r="E282" s="623">
        <f>+_xlfn.XLOOKUP(D282,'BASE DATOS PRECIOS '!B:B,'BASE DATOS PRECIOS '!C:C)</f>
        <v/>
      </c>
      <c r="F282" s="287" t="n">
        <v>1</v>
      </c>
      <c r="G282" s="626">
        <f>+_xlfn.XLOOKUP(D282,'BASE DATOS PRECIOS '!B:B,'BASE DATOS PRECIOS '!D:D)</f>
        <v/>
      </c>
      <c r="H282" s="625">
        <f>+_xlfn.XLOOKUP(E282,'BASE DATOS PRECIOS '!C:C,'BASE DATOS PRECIOS '!F:F)</f>
        <v/>
      </c>
      <c r="I282" s="626" t="n"/>
      <c r="J282" s="626" t="n"/>
      <c r="K282" s="625">
        <f>+F282*H282</f>
        <v/>
      </c>
      <c r="L282" s="625">
        <f>+F282*I282</f>
        <v/>
      </c>
      <c r="M282" s="625">
        <f>+F282*J282</f>
        <v/>
      </c>
      <c r="N282" s="625">
        <f>SUM(K282:M282)</f>
        <v/>
      </c>
      <c r="O282" s="627">
        <f>SUM(K282:M282)/tc</f>
        <v/>
      </c>
    </row>
    <row r="283" outlineLevel="1" ht="15" customHeight="1">
      <c r="A283" s="278" t="n"/>
      <c r="B283" s="282" t="n"/>
      <c r="C283" s="578" t="n"/>
      <c r="D283" s="396" t="inlineStr">
        <is>
          <t>FORMALETA COLUMNAS</t>
        </is>
      </c>
      <c r="E283" s="645">
        <f>+_xlfn.XLOOKUP(D283,'BASE DATOS EQUIPOS Y SUBCONTRAT'!A:A,'BASE DATOS EQUIPOS Y SUBCONTRAT'!B:B)</f>
        <v/>
      </c>
      <c r="F283" s="397" t="n">
        <v>1</v>
      </c>
      <c r="G283" s="646">
        <f>+_xlfn.XLOOKUP(D283,'BASE DATOS EQUIPOS Y SUBCONTRAT'!A:A,'BASE DATOS EQUIPOS Y SUBCONTRAT'!C:C)</f>
        <v/>
      </c>
      <c r="H283" s="647" t="n">
        <v>0</v>
      </c>
      <c r="I283" s="646" t="n"/>
      <c r="J283" s="647">
        <f>+_xlfn.XLOOKUP(D283,'BASE DATOS EQUIPOS Y SUBCONTRAT'!A:A,'BASE DATOS EQUIPOS Y SUBCONTRAT'!E:E)</f>
        <v/>
      </c>
      <c r="K283" s="647">
        <f>+F283*H283</f>
        <v/>
      </c>
      <c r="L283" s="647">
        <f>+F283*I283</f>
        <v/>
      </c>
      <c r="M283" s="647">
        <f>+F283*J283</f>
        <v/>
      </c>
      <c r="N283" s="647">
        <f>SUM(K283:M283)</f>
        <v/>
      </c>
      <c r="O283" s="648">
        <f>SUM(K283:M283)/tc</f>
        <v/>
      </c>
    </row>
    <row r="284" outlineLevel="1" ht="15" customHeight="1">
      <c r="A284" s="278" t="inlineStr">
        <is>
          <t xml:space="preserve">MO </t>
        </is>
      </c>
      <c r="B284" s="282" t="inlineStr">
        <is>
          <t>04-02-01</t>
        </is>
      </c>
      <c r="C284" s="578" t="n"/>
      <c r="D284" s="386" t="inlineStr">
        <is>
          <t xml:space="preserve">OPERARIO </t>
        </is>
      </c>
      <c r="E284" s="632">
        <f>+_xlfn.XLOOKUP(D284,'BASE DATOS MANO DE OBRA'!A:A,'BASE DATOS MANO DE OBRA'!B:B)</f>
        <v/>
      </c>
      <c r="F284" s="388" t="n">
        <v>24.5</v>
      </c>
      <c r="G284" s="633">
        <f>+_xlfn.XLOOKUP(D284,'BASE DATOS MANO DE OBRA'!A:A,'BASE DATOS MANO DE OBRA'!C:C)</f>
        <v/>
      </c>
      <c r="H284" s="634" t="n">
        <v>0</v>
      </c>
      <c r="I284" s="634">
        <f>+_xlfn.XLOOKUP(D284,'BASE DATOS MANO DE OBRA'!A:A,'BASE DATOS MANO DE OBRA'!E:E)</f>
        <v/>
      </c>
      <c r="J284" s="634" t="n">
        <v>0</v>
      </c>
      <c r="K284" s="634">
        <f>+F284*H284</f>
        <v/>
      </c>
      <c r="L284" s="634">
        <f>+F284*I284</f>
        <v/>
      </c>
      <c r="M284" s="634">
        <f>+F284*J284</f>
        <v/>
      </c>
      <c r="N284" s="634">
        <f>SUM(K284:M284)</f>
        <v/>
      </c>
      <c r="O284" s="635">
        <f>SUM(K284:M284)/tc</f>
        <v/>
      </c>
    </row>
    <row r="285" outlineLevel="1" ht="15" customHeight="1">
      <c r="A285" s="278" t="inlineStr">
        <is>
          <t xml:space="preserve">MO </t>
        </is>
      </c>
      <c r="B285" s="282" t="inlineStr">
        <is>
          <t>04-02-01</t>
        </is>
      </c>
      <c r="C285" s="578" t="n"/>
      <c r="D285" s="386" t="inlineStr">
        <is>
          <t xml:space="preserve">AYUDANTE </t>
        </is>
      </c>
      <c r="E285" s="632">
        <f>+_xlfn.XLOOKUP(D285,'BASE DATOS MANO DE OBRA'!A:A,'BASE DATOS MANO DE OBRA'!B:B)</f>
        <v/>
      </c>
      <c r="F285" s="388" t="n">
        <v>24.5</v>
      </c>
      <c r="G285" s="633">
        <f>+_xlfn.XLOOKUP(D285,'BASE DATOS MANO DE OBRA'!A:A,'BASE DATOS MANO DE OBRA'!C:C)</f>
        <v/>
      </c>
      <c r="H285" s="634" t="n">
        <v>0</v>
      </c>
      <c r="I285" s="634">
        <f>+_xlfn.XLOOKUP(D285,'BASE DATOS MANO DE OBRA'!A:A,'BASE DATOS MANO DE OBRA'!E:E)</f>
        <v/>
      </c>
      <c r="J285" s="634" t="n">
        <v>0</v>
      </c>
      <c r="K285" s="634">
        <f>+F285*H285</f>
        <v/>
      </c>
      <c r="L285" s="634">
        <f>+F285*I285</f>
        <v/>
      </c>
      <c r="M285" s="634">
        <f>+F285*J285</f>
        <v/>
      </c>
      <c r="N285" s="634">
        <f>SUM(K285:M285)</f>
        <v/>
      </c>
      <c r="O285" s="635">
        <f>SUM(K285:M285)/tc</f>
        <v/>
      </c>
    </row>
    <row r="286" outlineLevel="1" ht="15" customHeight="1">
      <c r="A286" s="278" t="inlineStr">
        <is>
          <t xml:space="preserve">MO </t>
        </is>
      </c>
      <c r="B286" s="282" t="inlineStr">
        <is>
          <t>04-02-02</t>
        </is>
      </c>
      <c r="C286" s="578" t="n"/>
      <c r="D286" s="386" t="inlineStr">
        <is>
          <t xml:space="preserve">OPERARIO </t>
        </is>
      </c>
      <c r="E286" s="632">
        <f>+_xlfn.XLOOKUP(D286,'BASE DATOS MANO DE OBRA'!A:A,'BASE DATOS MANO DE OBRA'!B:B)</f>
        <v/>
      </c>
      <c r="F286" s="388" t="n">
        <v>14</v>
      </c>
      <c r="G286" s="633">
        <f>+_xlfn.XLOOKUP(D286,'BASE DATOS MANO DE OBRA'!A:A,'BASE DATOS MANO DE OBRA'!C:C)</f>
        <v/>
      </c>
      <c r="H286" s="634" t="n">
        <v>0</v>
      </c>
      <c r="I286" s="634">
        <f>+_xlfn.XLOOKUP(D286,'BASE DATOS MANO DE OBRA'!A:A,'BASE DATOS MANO DE OBRA'!E:E)</f>
        <v/>
      </c>
      <c r="J286" s="634" t="n">
        <v>0</v>
      </c>
      <c r="K286" s="634">
        <f>+F286*H286</f>
        <v/>
      </c>
      <c r="L286" s="634">
        <f>+F286*I286</f>
        <v/>
      </c>
      <c r="M286" s="634">
        <f>+F286*J286</f>
        <v/>
      </c>
      <c r="N286" s="634">
        <f>SUM(K286:M286)</f>
        <v/>
      </c>
      <c r="O286" s="635">
        <f>SUM(K286:M286)/tc</f>
        <v/>
      </c>
    </row>
    <row r="287" outlineLevel="1" ht="15" customHeight="1">
      <c r="A287" s="278" t="inlineStr">
        <is>
          <t xml:space="preserve">MO </t>
        </is>
      </c>
      <c r="B287" s="282" t="inlineStr">
        <is>
          <t>04-02-02</t>
        </is>
      </c>
      <c r="C287" s="578" t="n"/>
      <c r="D287" s="386" t="inlineStr">
        <is>
          <t xml:space="preserve">AYUDANTE </t>
        </is>
      </c>
      <c r="E287" s="632">
        <f>+_xlfn.XLOOKUP(D287,'BASE DATOS MANO DE OBRA'!A:A,'BASE DATOS MANO DE OBRA'!B:B)</f>
        <v/>
      </c>
      <c r="F287" s="388" t="n">
        <v>14</v>
      </c>
      <c r="G287" s="633">
        <f>+_xlfn.XLOOKUP(D287,'BASE DATOS MANO DE OBRA'!A:A,'BASE DATOS MANO DE OBRA'!C:C)</f>
        <v/>
      </c>
      <c r="H287" s="634" t="n">
        <v>0</v>
      </c>
      <c r="I287" s="634">
        <f>+_xlfn.XLOOKUP(D287,'BASE DATOS MANO DE OBRA'!A:A,'BASE DATOS MANO DE OBRA'!E:E)</f>
        <v/>
      </c>
      <c r="J287" s="634" t="n">
        <v>0</v>
      </c>
      <c r="K287" s="634">
        <f>+F287*H287</f>
        <v/>
      </c>
      <c r="L287" s="634">
        <f>+F287*I287</f>
        <v/>
      </c>
      <c r="M287" s="634">
        <f>+F287*J287</f>
        <v/>
      </c>
      <c r="N287" s="634">
        <f>SUM(K287:M287)</f>
        <v/>
      </c>
      <c r="O287" s="635">
        <f>SUM(K287:M287)/tc</f>
        <v/>
      </c>
    </row>
    <row r="288" ht="15" customHeight="1">
      <c r="A288" s="278" t="n"/>
      <c r="B288" s="282" t="inlineStr">
        <is>
          <t>04-03</t>
        </is>
      </c>
      <c r="C288" s="578" t="n"/>
      <c r="D288" s="307" t="inlineStr">
        <is>
          <t>4.3</t>
        </is>
      </c>
      <c r="E288" s="308" t="inlineStr">
        <is>
          <t xml:space="preserve">CHORREA DE COCHERAS Y PILAS </t>
        </is>
      </c>
      <c r="F288" s="309" t="n">
        <v>34.98</v>
      </c>
      <c r="G288" s="310" t="inlineStr">
        <is>
          <t>m2</t>
        </is>
      </c>
      <c r="H288" s="310" t="n"/>
      <c r="I288" s="310" t="n"/>
      <c r="J288" s="310" t="n"/>
      <c r="K288" s="658">
        <f>SUM(K289:K308)</f>
        <v/>
      </c>
      <c r="L288" s="658">
        <f>SUM(L289:L308)</f>
        <v/>
      </c>
      <c r="M288" s="658">
        <f>SUM(M289:M308)</f>
        <v/>
      </c>
      <c r="N288" s="658">
        <f>SUM(N289:N308)</f>
        <v/>
      </c>
      <c r="O288" s="615">
        <f>SUM(O289:O308)</f>
        <v/>
      </c>
    </row>
    <row r="289" outlineLevel="1" ht="15" customHeight="1">
      <c r="A289" s="278" t="inlineStr">
        <is>
          <t>MAT</t>
        </is>
      </c>
      <c r="B289" s="282" t="n"/>
      <c r="C289" s="578">
        <f>_xlfn.XLOOKUP(D289,'INSUMOS MAT '!B:B,'INSUMOS MAT '!C:C,"ERROR",0)</f>
        <v/>
      </c>
      <c r="D289" s="305" t="inlineStr">
        <is>
          <t>MAT03-0014</t>
        </is>
      </c>
      <c r="E289" s="623">
        <f>+_xlfn.XLOOKUP(D289,'BASE DATOS PRECIOS '!B:B,'BASE DATOS PRECIOS '!C:C)</f>
        <v/>
      </c>
      <c r="F289" s="287" t="n">
        <v>4.55</v>
      </c>
      <c r="G289" s="621">
        <f>+_xlfn.XLOOKUP(D289,'BASE DATOS PRECIOS '!B:B,'BASE DATOS PRECIOS '!D:D)</f>
        <v/>
      </c>
      <c r="H289" s="620">
        <f>+_xlfn.XLOOKUP(E289,'BASE DATOS PRECIOS '!C:C,'BASE DATOS PRECIOS '!F:F)</f>
        <v/>
      </c>
      <c r="I289" s="621" t="n"/>
      <c r="J289" s="621" t="n"/>
      <c r="K289" s="620">
        <f>+F289*H289</f>
        <v/>
      </c>
      <c r="L289" s="620">
        <f>+F289*I289</f>
        <v/>
      </c>
      <c r="M289" s="620">
        <f>+F289*J289</f>
        <v/>
      </c>
      <c r="N289" s="620">
        <f>SUM(K289:M289)</f>
        <v/>
      </c>
      <c r="O289" s="622">
        <f>SUM(K289:M289)/tc</f>
        <v/>
      </c>
    </row>
    <row r="290" outlineLevel="1" ht="15" customHeight="1">
      <c r="A290" s="278" t="inlineStr">
        <is>
          <t>MAT</t>
        </is>
      </c>
      <c r="B290" s="282" t="n"/>
      <c r="C290" s="578">
        <f>_xlfn.XLOOKUP(D290,'INSUMOS MAT '!B:B,'INSUMOS MAT '!C:C,"ERROR",0)</f>
        <v/>
      </c>
      <c r="D290" s="305" t="inlineStr">
        <is>
          <t>MAT04-0062</t>
        </is>
      </c>
      <c r="E290" s="623">
        <f>+_xlfn.XLOOKUP(D290,'BASE DATOS PRECIOS '!B:B,'BASE DATOS PRECIOS '!C:C)</f>
        <v/>
      </c>
      <c r="F290" s="287" t="n">
        <v>1224</v>
      </c>
      <c r="G290" s="621">
        <f>+_xlfn.XLOOKUP(D290,'BASE DATOS PRECIOS '!B:B,'BASE DATOS PRECIOS '!D:D)</f>
        <v/>
      </c>
      <c r="H290" s="620">
        <f>+_xlfn.XLOOKUP(E290,'BASE DATOS PRECIOS '!C:C,'BASE DATOS PRECIOS '!F:F)</f>
        <v/>
      </c>
      <c r="I290" s="621" t="n"/>
      <c r="J290" s="621" t="n"/>
      <c r="K290" s="620">
        <f>+F290*H290</f>
        <v/>
      </c>
      <c r="L290" s="620">
        <f>+F290*I290</f>
        <v/>
      </c>
      <c r="M290" s="620">
        <f>+F290*J290</f>
        <v/>
      </c>
      <c r="N290" s="620">
        <f>SUM(K290:M290)</f>
        <v/>
      </c>
      <c r="O290" s="622">
        <f>SUM(K290:M290)/tc</f>
        <v/>
      </c>
    </row>
    <row r="291" outlineLevel="1" ht="15" customHeight="1">
      <c r="A291" s="278" t="inlineStr">
        <is>
          <t>MAT</t>
        </is>
      </c>
      <c r="B291" s="282" t="n"/>
      <c r="C291" s="578">
        <f>_xlfn.XLOOKUP(D291,'INSUMOS MAT '!B:B,'INSUMOS MAT '!C:C,"ERROR",0)</f>
        <v/>
      </c>
      <c r="D291" s="305" t="inlineStr">
        <is>
          <t>MAT03-0006</t>
        </is>
      </c>
      <c r="E291" s="623">
        <f>+_xlfn.XLOOKUP(D291,'BASE DATOS PRECIOS '!B:B,'BASE DATOS PRECIOS '!C:C)</f>
        <v/>
      </c>
      <c r="F291" s="287" t="n">
        <v>2.5</v>
      </c>
      <c r="G291" s="621">
        <f>+_xlfn.XLOOKUP(D291,'BASE DATOS PRECIOS '!B:B,'BASE DATOS PRECIOS '!D:D)</f>
        <v/>
      </c>
      <c r="H291" s="620">
        <f>+_xlfn.XLOOKUP(E291,'BASE DATOS PRECIOS '!C:C,'BASE DATOS PRECIOS '!F:F)</f>
        <v/>
      </c>
      <c r="I291" s="621" t="n"/>
      <c r="J291" s="621" t="n"/>
      <c r="K291" s="620">
        <f>+F291*H291</f>
        <v/>
      </c>
      <c r="L291" s="620">
        <f>+F291*I291</f>
        <v/>
      </c>
      <c r="M291" s="620">
        <f>+F291*J291</f>
        <v/>
      </c>
      <c r="N291" s="620">
        <f>SUM(K291:M291)</f>
        <v/>
      </c>
      <c r="O291" s="622">
        <f>SUM(K291:M291)/tc</f>
        <v/>
      </c>
    </row>
    <row r="292" outlineLevel="1" ht="15" customHeight="1">
      <c r="A292" s="278" t="inlineStr">
        <is>
          <t>MAT</t>
        </is>
      </c>
      <c r="B292" s="282" t="n"/>
      <c r="C292" s="578">
        <f>_xlfn.XLOOKUP(D292,'INSUMOS MAT '!B:B,'INSUMOS MAT '!C:C,"ERROR",0)</f>
        <v/>
      </c>
      <c r="D292" s="305" t="inlineStr">
        <is>
          <t>MAT03-0002</t>
        </is>
      </c>
      <c r="E292" s="623">
        <f>+_xlfn.XLOOKUP(D292,'BASE DATOS PRECIOS '!B:B,'BASE DATOS PRECIOS '!C:C)</f>
        <v/>
      </c>
      <c r="F292" s="287" t="n">
        <v>2.5</v>
      </c>
      <c r="G292" s="621">
        <f>+_xlfn.XLOOKUP(D292,'BASE DATOS PRECIOS '!B:B,'BASE DATOS PRECIOS '!D:D)</f>
        <v/>
      </c>
      <c r="H292" s="620">
        <f>+_xlfn.XLOOKUP(E292,'BASE DATOS PRECIOS '!C:C,'BASE DATOS PRECIOS '!F:F)</f>
        <v/>
      </c>
      <c r="I292" s="621" t="n"/>
      <c r="J292" s="621" t="n"/>
      <c r="K292" s="620">
        <f>+F292*H292</f>
        <v/>
      </c>
      <c r="L292" s="620">
        <f>+F292*I292</f>
        <v/>
      </c>
      <c r="M292" s="620">
        <f>+F292*J292</f>
        <v/>
      </c>
      <c r="N292" s="620">
        <f>SUM(K292:M292)</f>
        <v/>
      </c>
      <c r="O292" s="622">
        <f>SUM(K292:M292)/tc</f>
        <v/>
      </c>
    </row>
    <row r="293" outlineLevel="1" ht="15" customHeight="1">
      <c r="A293" s="278" t="inlineStr">
        <is>
          <t>MAT</t>
        </is>
      </c>
      <c r="B293" s="282" t="n"/>
      <c r="C293" s="578">
        <f>_xlfn.XLOOKUP(D293,'INSUMOS MAT '!B:B,'INSUMOS MAT '!C:C,"ERROR",0)</f>
        <v/>
      </c>
      <c r="D293" s="306" t="inlineStr">
        <is>
          <t>MAT08-0099</t>
        </is>
      </c>
      <c r="E293" s="623">
        <f>+_xlfn.XLOOKUP(D293,'BASE DATOS PRECIOS '!B:B,'BASE DATOS PRECIOS '!C:C)</f>
        <v/>
      </c>
      <c r="F293" s="287" t="n">
        <v>0.25</v>
      </c>
      <c r="G293" s="626">
        <f>+_xlfn.XLOOKUP(D293,'BASE DATOS PRECIOS '!B:B,'BASE DATOS PRECIOS '!D:D)</f>
        <v/>
      </c>
      <c r="H293" s="625">
        <f>+_xlfn.XLOOKUP(E293,'BASE DATOS PRECIOS '!C:C,'BASE DATOS PRECIOS '!F:F)</f>
        <v/>
      </c>
      <c r="I293" s="626" t="n"/>
      <c r="J293" s="626" t="n"/>
      <c r="K293" s="625">
        <f>+F293*H293</f>
        <v/>
      </c>
      <c r="L293" s="625">
        <f>+F293*I293</f>
        <v/>
      </c>
      <c r="M293" s="625">
        <f>+F293*J293</f>
        <v/>
      </c>
      <c r="N293" s="625">
        <f>SUM(K293:M293)</f>
        <v/>
      </c>
      <c r="O293" s="627">
        <f>SUM(K293:M293)/tc</f>
        <v/>
      </c>
    </row>
    <row r="294" outlineLevel="1" ht="15" customHeight="1">
      <c r="A294" s="278" t="inlineStr">
        <is>
          <t>MAT</t>
        </is>
      </c>
      <c r="B294" s="282" t="n"/>
      <c r="C294" s="578">
        <f>_xlfn.XLOOKUP(D294,'INSUMOS MAT '!B:B,'INSUMOS MAT '!C:C,"ERROR",0)</f>
        <v/>
      </c>
      <c r="D294" s="305" t="inlineStr">
        <is>
          <t>MAT03-0012</t>
        </is>
      </c>
      <c r="E294" s="618">
        <f>+_xlfn.XLOOKUP(D294,'BASE DATOS PRECIOS '!B:B,'BASE DATOS PRECIOS '!C:C)</f>
        <v/>
      </c>
      <c r="F294" s="301" t="n">
        <v>10</v>
      </c>
      <c r="G294" s="621">
        <f>+_xlfn.XLOOKUP(D294,'BASE DATOS PRECIOS '!B:B,'BASE DATOS PRECIOS '!D:D)</f>
        <v/>
      </c>
      <c r="H294" s="620">
        <f>+_xlfn.XLOOKUP(E294,'BASE DATOS PRECIOS '!C:C,'BASE DATOS PRECIOS '!F:F)</f>
        <v/>
      </c>
      <c r="I294" s="621" t="n"/>
      <c r="J294" s="621" t="n"/>
      <c r="K294" s="619">
        <f>+F294*H294</f>
        <v/>
      </c>
      <c r="L294" s="619">
        <f>+F294*I294</f>
        <v/>
      </c>
      <c r="M294" s="619">
        <f>+F294*J294</f>
        <v/>
      </c>
      <c r="N294" s="619">
        <f>SUM(K294:M294)</f>
        <v/>
      </c>
      <c r="O294" s="622">
        <f>SUM(K294:M294)/tc</f>
        <v/>
      </c>
    </row>
    <row r="295" outlineLevel="1" ht="15" customHeight="1">
      <c r="A295" s="278" t="inlineStr">
        <is>
          <t>EQUIP</t>
        </is>
      </c>
      <c r="B295" s="282" t="n"/>
      <c r="C295" s="578" t="n"/>
      <c r="D295" s="380" t="inlineStr">
        <is>
          <t xml:space="preserve">BACK HOE </t>
        </is>
      </c>
      <c r="E295" s="628">
        <f>+_xlfn.XLOOKUP(D295,'BASE DATOS EQUIPOS Y SUBCONTRAT'!A:A,'BASE DATOS EQUIPOS Y SUBCONTRAT'!B:B)</f>
        <v/>
      </c>
      <c r="F295" s="382" t="n">
        <v>1</v>
      </c>
      <c r="G295" s="629">
        <f>+_xlfn.XLOOKUP(D295,'BASE DATOS EQUIPOS Y SUBCONTRAT'!A:A,'BASE DATOS EQUIPOS Y SUBCONTRAT'!C:C)</f>
        <v/>
      </c>
      <c r="H295" s="630" t="n">
        <v>0</v>
      </c>
      <c r="I295" s="629" t="n"/>
      <c r="J295" s="630">
        <f>+_xlfn.XLOOKUP(D295,'BASE DATOS EQUIPOS Y SUBCONTRAT'!A:A,'BASE DATOS EQUIPOS Y SUBCONTRAT'!E:E)</f>
        <v/>
      </c>
      <c r="K295" s="630">
        <f>+F295*H295</f>
        <v/>
      </c>
      <c r="L295" s="630">
        <f>+F295*I295</f>
        <v/>
      </c>
      <c r="M295" s="630">
        <f>+F295*J295</f>
        <v/>
      </c>
      <c r="N295" s="630">
        <f>SUM(K295:M295)</f>
        <v/>
      </c>
      <c r="O295" s="631">
        <f>SUM(K295:M295)/tc</f>
        <v/>
      </c>
    </row>
    <row r="296" outlineLevel="1" ht="15" customHeight="1">
      <c r="A296" s="278" t="inlineStr">
        <is>
          <t>EQUIP</t>
        </is>
      </c>
      <c r="B296" s="282" t="n"/>
      <c r="C296" s="578" t="n"/>
      <c r="D296" s="380" t="inlineStr">
        <is>
          <t xml:space="preserve">COMPACTADOR </t>
        </is>
      </c>
      <c r="E296" s="628">
        <f>+_xlfn.XLOOKUP(D296,'BASE DATOS EQUIPOS Y SUBCONTRAT'!A:A,'BASE DATOS EQUIPOS Y SUBCONTRAT'!B:B)</f>
        <v/>
      </c>
      <c r="F296" s="382" t="n">
        <v>3</v>
      </c>
      <c r="G296" s="629">
        <f>+_xlfn.XLOOKUP(D296,'BASE DATOS EQUIPOS Y SUBCONTRAT'!A:A,'BASE DATOS EQUIPOS Y SUBCONTRAT'!C:C)</f>
        <v/>
      </c>
      <c r="H296" s="630" t="n">
        <v>0</v>
      </c>
      <c r="I296" s="629" t="n"/>
      <c r="J296" s="630">
        <f>+_xlfn.XLOOKUP(D296,'BASE DATOS EQUIPOS Y SUBCONTRAT'!A:A,'BASE DATOS EQUIPOS Y SUBCONTRAT'!E:E)</f>
        <v/>
      </c>
      <c r="K296" s="630">
        <f>+F296*H296</f>
        <v/>
      </c>
      <c r="L296" s="630">
        <f>+F296*I296</f>
        <v/>
      </c>
      <c r="M296" s="630">
        <f>+F296*J296</f>
        <v/>
      </c>
      <c r="N296" s="630">
        <f>SUM(K296:M296)</f>
        <v/>
      </c>
      <c r="O296" s="631">
        <f>SUM(K296:M296)/tc</f>
        <v/>
      </c>
    </row>
    <row r="297" outlineLevel="1" ht="15" customHeight="1">
      <c r="A297" s="278" t="inlineStr">
        <is>
          <t xml:space="preserve">MO </t>
        </is>
      </c>
      <c r="B297" s="282" t="inlineStr">
        <is>
          <t>04-03-01</t>
        </is>
      </c>
      <c r="C297" s="578" t="n"/>
      <c r="D297" s="386" t="inlineStr">
        <is>
          <t xml:space="preserve">OPERARIO </t>
        </is>
      </c>
      <c r="E297" s="632">
        <f>+_xlfn.XLOOKUP(D297,'BASE DATOS MANO DE OBRA'!A:A,'BASE DATOS MANO DE OBRA'!B:B)</f>
        <v/>
      </c>
      <c r="F297" s="388" t="n">
        <v>2.5</v>
      </c>
      <c r="G297" s="633">
        <f>+_xlfn.XLOOKUP(D297,'BASE DATOS MANO DE OBRA'!A:A,'BASE DATOS MANO DE OBRA'!C:C)</f>
        <v/>
      </c>
      <c r="H297" s="634" t="n">
        <v>0</v>
      </c>
      <c r="I297" s="634">
        <f>+_xlfn.XLOOKUP(D297,'BASE DATOS MANO DE OBRA'!A:A,'BASE DATOS MANO DE OBRA'!E:E)</f>
        <v/>
      </c>
      <c r="J297" s="634" t="n">
        <v>0</v>
      </c>
      <c r="K297" s="634">
        <f>+F297*H297</f>
        <v/>
      </c>
      <c r="L297" s="634">
        <f>+F297*I297</f>
        <v/>
      </c>
      <c r="M297" s="634">
        <f>+F297*J297</f>
        <v/>
      </c>
      <c r="N297" s="634">
        <f>SUM(K297:M297)</f>
        <v/>
      </c>
      <c r="O297" s="635">
        <f>SUM(K297:M297)/tc</f>
        <v/>
      </c>
    </row>
    <row r="298" outlineLevel="1" ht="15" customHeight="1">
      <c r="A298" s="278" t="inlineStr">
        <is>
          <t xml:space="preserve">MO </t>
        </is>
      </c>
      <c r="B298" s="282" t="inlineStr">
        <is>
          <t>04-03-01</t>
        </is>
      </c>
      <c r="C298" s="578" t="n"/>
      <c r="D298" s="386" t="inlineStr">
        <is>
          <t xml:space="preserve">AYUDANTE </t>
        </is>
      </c>
      <c r="E298" s="632">
        <f>+_xlfn.XLOOKUP(D298,'BASE DATOS MANO DE OBRA'!A:A,'BASE DATOS MANO DE OBRA'!B:B)</f>
        <v/>
      </c>
      <c r="F298" s="388" t="n">
        <v>2.5</v>
      </c>
      <c r="G298" s="633">
        <f>+_xlfn.XLOOKUP(D298,'BASE DATOS MANO DE OBRA'!A:A,'BASE DATOS MANO DE OBRA'!C:C)</f>
        <v/>
      </c>
      <c r="H298" s="634" t="n">
        <v>0</v>
      </c>
      <c r="I298" s="634">
        <f>+_xlfn.XLOOKUP(D298,'BASE DATOS MANO DE OBRA'!A:A,'BASE DATOS MANO DE OBRA'!E:E)</f>
        <v/>
      </c>
      <c r="J298" s="634" t="n">
        <v>0</v>
      </c>
      <c r="K298" s="634">
        <f>+F298*H298</f>
        <v/>
      </c>
      <c r="L298" s="634">
        <f>+F298*I298</f>
        <v/>
      </c>
      <c r="M298" s="634">
        <f>+F298*J298</f>
        <v/>
      </c>
      <c r="N298" s="634">
        <f>SUM(K298:M298)</f>
        <v/>
      </c>
      <c r="O298" s="635">
        <f>SUM(K298:M298)/tc</f>
        <v/>
      </c>
    </row>
    <row r="299" outlineLevel="1" ht="15" customHeight="1">
      <c r="A299" s="278" t="inlineStr">
        <is>
          <t xml:space="preserve">MO </t>
        </is>
      </c>
      <c r="B299" s="282" t="inlineStr">
        <is>
          <t>04-03-02</t>
        </is>
      </c>
      <c r="C299" s="578" t="n"/>
      <c r="D299" s="386" t="inlineStr">
        <is>
          <t xml:space="preserve">OPERARIO </t>
        </is>
      </c>
      <c r="E299" s="632">
        <f>+_xlfn.XLOOKUP(D299,'BASE DATOS MANO DE OBRA'!A:A,'BASE DATOS MANO DE OBRA'!B:B)</f>
        <v/>
      </c>
      <c r="F299" s="388" t="n">
        <v>20</v>
      </c>
      <c r="G299" s="633">
        <f>+_xlfn.XLOOKUP(D299,'BASE DATOS MANO DE OBRA'!A:A,'BASE DATOS MANO DE OBRA'!C:C)</f>
        <v/>
      </c>
      <c r="H299" s="634" t="n">
        <v>0</v>
      </c>
      <c r="I299" s="634">
        <f>+_xlfn.XLOOKUP(D299,'BASE DATOS MANO DE OBRA'!A:A,'BASE DATOS MANO DE OBRA'!E:E)</f>
        <v/>
      </c>
      <c r="J299" s="634" t="n">
        <v>0</v>
      </c>
      <c r="K299" s="634">
        <f>+F299*H299</f>
        <v/>
      </c>
      <c r="L299" s="634">
        <f>+F299*I299</f>
        <v/>
      </c>
      <c r="M299" s="634">
        <f>+F299*J299</f>
        <v/>
      </c>
      <c r="N299" s="634">
        <f>SUM(K299:M299)</f>
        <v/>
      </c>
      <c r="O299" s="635">
        <f>SUM(K299:M299)/tc</f>
        <v/>
      </c>
    </row>
    <row r="300" outlineLevel="1" ht="15" customHeight="1">
      <c r="A300" s="278" t="inlineStr">
        <is>
          <t xml:space="preserve">MO </t>
        </is>
      </c>
      <c r="B300" s="282" t="inlineStr">
        <is>
          <t>04-03-02</t>
        </is>
      </c>
      <c r="C300" s="578" t="n"/>
      <c r="D300" s="386" t="inlineStr">
        <is>
          <t xml:space="preserve">AYUDANTE </t>
        </is>
      </c>
      <c r="E300" s="632">
        <f>+_xlfn.XLOOKUP(D300,'BASE DATOS MANO DE OBRA'!A:A,'BASE DATOS MANO DE OBRA'!B:B)</f>
        <v/>
      </c>
      <c r="F300" s="388" t="n">
        <v>20</v>
      </c>
      <c r="G300" s="633">
        <f>+_xlfn.XLOOKUP(D300,'BASE DATOS MANO DE OBRA'!A:A,'BASE DATOS MANO DE OBRA'!C:C)</f>
        <v/>
      </c>
      <c r="H300" s="634" t="n">
        <v>0</v>
      </c>
      <c r="I300" s="634">
        <f>+_xlfn.XLOOKUP(D300,'BASE DATOS MANO DE OBRA'!A:A,'BASE DATOS MANO DE OBRA'!E:E)</f>
        <v/>
      </c>
      <c r="J300" s="634" t="n">
        <v>0</v>
      </c>
      <c r="K300" s="634">
        <f>+F300*H300</f>
        <v/>
      </c>
      <c r="L300" s="634">
        <f>+F300*I300</f>
        <v/>
      </c>
      <c r="M300" s="634">
        <f>+F300*J300</f>
        <v/>
      </c>
      <c r="N300" s="634">
        <f>SUM(K300:M300)</f>
        <v/>
      </c>
      <c r="O300" s="635">
        <f>SUM(K300:M300)/tc</f>
        <v/>
      </c>
    </row>
    <row r="301" outlineLevel="1" ht="15" customHeight="1">
      <c r="A301" s="278" t="inlineStr">
        <is>
          <t xml:space="preserve">MO </t>
        </is>
      </c>
      <c r="B301" s="282" t="inlineStr">
        <is>
          <t>04-03-03</t>
        </is>
      </c>
      <c r="C301" s="578" t="n"/>
      <c r="D301" s="386" t="inlineStr">
        <is>
          <t xml:space="preserve">OPERARIO </t>
        </is>
      </c>
      <c r="E301" s="632">
        <f>+_xlfn.XLOOKUP(D301,'BASE DATOS MANO DE OBRA'!A:A,'BASE DATOS MANO DE OBRA'!B:B)</f>
        <v/>
      </c>
      <c r="F301" s="388" t="n">
        <v>10</v>
      </c>
      <c r="G301" s="633">
        <f>+_xlfn.XLOOKUP(D301,'BASE DATOS MANO DE OBRA'!A:A,'BASE DATOS MANO DE OBRA'!C:C)</f>
        <v/>
      </c>
      <c r="H301" s="634" t="n">
        <v>0</v>
      </c>
      <c r="I301" s="634">
        <f>+_xlfn.XLOOKUP(D301,'BASE DATOS MANO DE OBRA'!A:A,'BASE DATOS MANO DE OBRA'!E:E)</f>
        <v/>
      </c>
      <c r="J301" s="634" t="n">
        <v>0</v>
      </c>
      <c r="K301" s="634">
        <f>+F301*H301</f>
        <v/>
      </c>
      <c r="L301" s="634">
        <f>+F301*I301</f>
        <v/>
      </c>
      <c r="M301" s="634">
        <f>+F301*J301</f>
        <v/>
      </c>
      <c r="N301" s="634">
        <f>SUM(K301:M301)</f>
        <v/>
      </c>
      <c r="O301" s="635">
        <f>SUM(K301:M301)/tc</f>
        <v/>
      </c>
    </row>
    <row r="302" outlineLevel="1" ht="15" customHeight="1">
      <c r="A302" s="278" t="inlineStr">
        <is>
          <t xml:space="preserve">MO </t>
        </is>
      </c>
      <c r="B302" s="282" t="inlineStr">
        <is>
          <t>04-03-03</t>
        </is>
      </c>
      <c r="C302" s="578" t="n"/>
      <c r="D302" s="386" t="inlineStr">
        <is>
          <t xml:space="preserve">AYUDANTE </t>
        </is>
      </c>
      <c r="E302" s="632">
        <f>+_xlfn.XLOOKUP(D302,'BASE DATOS MANO DE OBRA'!A:A,'BASE DATOS MANO DE OBRA'!B:B)</f>
        <v/>
      </c>
      <c r="F302" s="388" t="n">
        <v>10</v>
      </c>
      <c r="G302" s="633">
        <f>+_xlfn.XLOOKUP(D302,'BASE DATOS MANO DE OBRA'!A:A,'BASE DATOS MANO DE OBRA'!C:C)</f>
        <v/>
      </c>
      <c r="H302" s="634" t="n">
        <v>0</v>
      </c>
      <c r="I302" s="634">
        <f>+_xlfn.XLOOKUP(D302,'BASE DATOS MANO DE OBRA'!A:A,'BASE DATOS MANO DE OBRA'!E:E)</f>
        <v/>
      </c>
      <c r="J302" s="634" t="n">
        <v>0</v>
      </c>
      <c r="K302" s="634">
        <f>+F302*H302</f>
        <v/>
      </c>
      <c r="L302" s="634">
        <f>+F302*I302</f>
        <v/>
      </c>
      <c r="M302" s="634">
        <f>+F302*J302</f>
        <v/>
      </c>
      <c r="N302" s="634">
        <f>SUM(K302:M302)</f>
        <v/>
      </c>
      <c r="O302" s="635">
        <f>SUM(K302:M302)/tc</f>
        <v/>
      </c>
    </row>
    <row r="303" outlineLevel="1" ht="15" customHeight="1">
      <c r="A303" s="278" t="inlineStr">
        <is>
          <t xml:space="preserve">MO </t>
        </is>
      </c>
      <c r="B303" s="282" t="inlineStr">
        <is>
          <t>04-03-04</t>
        </is>
      </c>
      <c r="C303" s="578" t="n"/>
      <c r="D303" s="386" t="inlineStr">
        <is>
          <t xml:space="preserve">OPERARIO </t>
        </is>
      </c>
      <c r="E303" s="632">
        <f>+_xlfn.XLOOKUP(D303,'BASE DATOS MANO DE OBRA'!A:A,'BASE DATOS MANO DE OBRA'!B:B)</f>
        <v/>
      </c>
      <c r="F303" s="388" t="n">
        <v>0</v>
      </c>
      <c r="G303" s="633">
        <f>+_xlfn.XLOOKUP(D303,'BASE DATOS MANO DE OBRA'!A:A,'BASE DATOS MANO DE OBRA'!C:C)</f>
        <v/>
      </c>
      <c r="H303" s="634" t="n">
        <v>0</v>
      </c>
      <c r="I303" s="634">
        <f>+_xlfn.XLOOKUP(D303,'BASE DATOS MANO DE OBRA'!A:A,'BASE DATOS MANO DE OBRA'!E:E)</f>
        <v/>
      </c>
      <c r="J303" s="634" t="n">
        <v>0</v>
      </c>
      <c r="K303" s="634">
        <f>+F303*H303</f>
        <v/>
      </c>
      <c r="L303" s="634">
        <f>+F303*I303</f>
        <v/>
      </c>
      <c r="M303" s="634">
        <f>+F303*J303</f>
        <v/>
      </c>
      <c r="N303" s="634">
        <f>SUM(K303:M303)</f>
        <v/>
      </c>
      <c r="O303" s="635">
        <f>SUM(K303:M303)/tc</f>
        <v/>
      </c>
    </row>
    <row r="304" outlineLevel="1" ht="15" customHeight="1">
      <c r="A304" s="278" t="inlineStr">
        <is>
          <t xml:space="preserve">MO </t>
        </is>
      </c>
      <c r="B304" s="282" t="inlineStr">
        <is>
          <t>04-03-04</t>
        </is>
      </c>
      <c r="C304" s="578" t="n"/>
      <c r="D304" s="386" t="inlineStr">
        <is>
          <t xml:space="preserve">AYUDANTE </t>
        </is>
      </c>
      <c r="E304" s="632">
        <f>+_xlfn.XLOOKUP(D304,'BASE DATOS MANO DE OBRA'!A:A,'BASE DATOS MANO DE OBRA'!B:B)</f>
        <v/>
      </c>
      <c r="F304" s="388" t="n">
        <v>0</v>
      </c>
      <c r="G304" s="633">
        <f>+_xlfn.XLOOKUP(D304,'BASE DATOS MANO DE OBRA'!A:A,'BASE DATOS MANO DE OBRA'!C:C)</f>
        <v/>
      </c>
      <c r="H304" s="634" t="n">
        <v>0</v>
      </c>
      <c r="I304" s="634">
        <f>+_xlfn.XLOOKUP(D304,'BASE DATOS MANO DE OBRA'!A:A,'BASE DATOS MANO DE OBRA'!E:E)</f>
        <v/>
      </c>
      <c r="J304" s="634" t="n">
        <v>0</v>
      </c>
      <c r="K304" s="634">
        <f>+F304*H304</f>
        <v/>
      </c>
      <c r="L304" s="634">
        <f>+F304*I304</f>
        <v/>
      </c>
      <c r="M304" s="634">
        <f>+F304*J304</f>
        <v/>
      </c>
      <c r="N304" s="634">
        <f>SUM(K304:M304)</f>
        <v/>
      </c>
      <c r="O304" s="635">
        <f>SUM(K304:M304)/tc</f>
        <v/>
      </c>
    </row>
    <row r="305" outlineLevel="1" ht="15" customHeight="1">
      <c r="A305" s="278" t="inlineStr">
        <is>
          <t xml:space="preserve">MO </t>
        </is>
      </c>
      <c r="B305" s="282" t="inlineStr">
        <is>
          <t>04-03-05</t>
        </is>
      </c>
      <c r="C305" s="578" t="n"/>
      <c r="D305" s="386" t="inlineStr">
        <is>
          <t xml:space="preserve">OPERARIO </t>
        </is>
      </c>
      <c r="E305" s="632">
        <f>+_xlfn.XLOOKUP(D305,'BASE DATOS MANO DE OBRA'!A:A,'BASE DATOS MANO DE OBRA'!B:B)</f>
        <v/>
      </c>
      <c r="F305" s="388" t="n">
        <v>5</v>
      </c>
      <c r="G305" s="633">
        <f>+_xlfn.XLOOKUP(D305,'BASE DATOS MANO DE OBRA'!A:A,'BASE DATOS MANO DE OBRA'!C:C)</f>
        <v/>
      </c>
      <c r="H305" s="634" t="n">
        <v>0</v>
      </c>
      <c r="I305" s="634">
        <f>+_xlfn.XLOOKUP(D305,'BASE DATOS MANO DE OBRA'!A:A,'BASE DATOS MANO DE OBRA'!E:E)</f>
        <v/>
      </c>
      <c r="J305" s="634" t="n">
        <v>0</v>
      </c>
      <c r="K305" s="634">
        <f>+F305*H305</f>
        <v/>
      </c>
      <c r="L305" s="634">
        <f>+F305*I305</f>
        <v/>
      </c>
      <c r="M305" s="634">
        <f>+F305*J305</f>
        <v/>
      </c>
      <c r="N305" s="634">
        <f>SUM(K305:M305)</f>
        <v/>
      </c>
      <c r="O305" s="635">
        <f>SUM(K305:M305)/tc</f>
        <v/>
      </c>
    </row>
    <row r="306" outlineLevel="1" ht="15" customHeight="1">
      <c r="A306" s="278" t="inlineStr">
        <is>
          <t xml:space="preserve">MO </t>
        </is>
      </c>
      <c r="B306" s="282" t="inlineStr">
        <is>
          <t>04-03-05</t>
        </is>
      </c>
      <c r="C306" s="578" t="n"/>
      <c r="D306" s="386" t="inlineStr">
        <is>
          <t xml:space="preserve">AYUDANTE </t>
        </is>
      </c>
      <c r="E306" s="632">
        <f>+_xlfn.XLOOKUP(D306,'BASE DATOS MANO DE OBRA'!A:A,'BASE DATOS MANO DE OBRA'!B:B)</f>
        <v/>
      </c>
      <c r="F306" s="388" t="n">
        <v>5</v>
      </c>
      <c r="G306" s="633">
        <f>+_xlfn.XLOOKUP(D306,'BASE DATOS MANO DE OBRA'!A:A,'BASE DATOS MANO DE OBRA'!C:C)</f>
        <v/>
      </c>
      <c r="H306" s="634" t="n">
        <v>0</v>
      </c>
      <c r="I306" s="634">
        <f>+_xlfn.XLOOKUP(D306,'BASE DATOS MANO DE OBRA'!A:A,'BASE DATOS MANO DE OBRA'!E:E)</f>
        <v/>
      </c>
      <c r="J306" s="634" t="n">
        <v>0</v>
      </c>
      <c r="K306" s="634">
        <f>+F306*H306</f>
        <v/>
      </c>
      <c r="L306" s="634">
        <f>+F306*I306</f>
        <v/>
      </c>
      <c r="M306" s="634">
        <f>+F306*J306</f>
        <v/>
      </c>
      <c r="N306" s="634">
        <f>SUM(K306:M306)</f>
        <v/>
      </c>
      <c r="O306" s="635">
        <f>SUM(K306:M306)/tc</f>
        <v/>
      </c>
    </row>
    <row r="307" outlineLevel="1" ht="15" customHeight="1">
      <c r="A307" s="278" t="inlineStr">
        <is>
          <t xml:space="preserve">MO </t>
        </is>
      </c>
      <c r="B307" s="282" t="inlineStr">
        <is>
          <t>04-03-06</t>
        </is>
      </c>
      <c r="C307" s="578" t="n"/>
      <c r="D307" s="386" t="inlineStr">
        <is>
          <t xml:space="preserve">OPERARIO </t>
        </is>
      </c>
      <c r="E307" s="632">
        <f>+_xlfn.XLOOKUP(D307,'BASE DATOS MANO DE OBRA'!A:A,'BASE DATOS MANO DE OBRA'!B:B)</f>
        <v/>
      </c>
      <c r="F307" s="388" t="n">
        <v>2.5</v>
      </c>
      <c r="G307" s="633">
        <f>+_xlfn.XLOOKUP(D307,'BASE DATOS MANO DE OBRA'!A:A,'BASE DATOS MANO DE OBRA'!C:C)</f>
        <v/>
      </c>
      <c r="H307" s="634" t="n">
        <v>0</v>
      </c>
      <c r="I307" s="634">
        <f>+_xlfn.XLOOKUP(D307,'BASE DATOS MANO DE OBRA'!A:A,'BASE DATOS MANO DE OBRA'!E:E)</f>
        <v/>
      </c>
      <c r="J307" s="634" t="n">
        <v>0</v>
      </c>
      <c r="K307" s="634">
        <f>+F307*H307</f>
        <v/>
      </c>
      <c r="L307" s="634">
        <f>+F307*I307</f>
        <v/>
      </c>
      <c r="M307" s="634">
        <f>+F307*J307</f>
        <v/>
      </c>
      <c r="N307" s="634">
        <f>SUM(K307:M307)</f>
        <v/>
      </c>
      <c r="O307" s="635">
        <f>SUM(K307:M307)/tc</f>
        <v/>
      </c>
    </row>
    <row r="308" outlineLevel="1" ht="15" customHeight="1">
      <c r="A308" s="278" t="inlineStr">
        <is>
          <t xml:space="preserve">MO </t>
        </is>
      </c>
      <c r="B308" s="282" t="inlineStr">
        <is>
          <t>04-03-06</t>
        </is>
      </c>
      <c r="C308" s="578" t="n"/>
      <c r="D308" s="386" t="inlineStr">
        <is>
          <t xml:space="preserve">AYUDANTE </t>
        </is>
      </c>
      <c r="E308" s="632">
        <f>+_xlfn.XLOOKUP(D308,'BASE DATOS MANO DE OBRA'!A:A,'BASE DATOS MANO DE OBRA'!B:B)</f>
        <v/>
      </c>
      <c r="F308" s="388" t="n">
        <v>2.5</v>
      </c>
      <c r="G308" s="633">
        <f>+_xlfn.XLOOKUP(D308,'BASE DATOS MANO DE OBRA'!A:A,'BASE DATOS MANO DE OBRA'!C:C)</f>
        <v/>
      </c>
      <c r="H308" s="634" t="n">
        <v>0</v>
      </c>
      <c r="I308" s="634">
        <f>+_xlfn.XLOOKUP(D308,'BASE DATOS MANO DE OBRA'!A:A,'BASE DATOS MANO DE OBRA'!E:E)</f>
        <v/>
      </c>
      <c r="J308" s="634" t="n">
        <v>0</v>
      </c>
      <c r="K308" s="634">
        <f>+F308*H308</f>
        <v/>
      </c>
      <c r="L308" s="634">
        <f>+F308*I308</f>
        <v/>
      </c>
      <c r="M308" s="634">
        <f>+F308*J308</f>
        <v/>
      </c>
      <c r="N308" s="634">
        <f>SUM(K308:M308)</f>
        <v/>
      </c>
      <c r="O308" s="635">
        <f>SUM(K308:M308)/tc</f>
        <v/>
      </c>
    </row>
    <row r="309" ht="15" customHeight="1">
      <c r="A309" s="278" t="n"/>
      <c r="B309" s="282" t="inlineStr">
        <is>
          <t>05</t>
        </is>
      </c>
      <c r="C309" s="578" t="n"/>
      <c r="D309" s="372" t="n">
        <v>5</v>
      </c>
      <c r="E309" s="373" t="inlineStr">
        <is>
          <t xml:space="preserve">ESTRUCTURA METÁLICA Y CUBIERTAS </t>
        </is>
      </c>
      <c r="F309" s="374" t="n"/>
      <c r="G309" s="375" t="n"/>
      <c r="H309" s="375" t="n"/>
      <c r="I309" s="375" t="n"/>
      <c r="J309" s="375" t="n"/>
      <c r="K309" s="612">
        <f>K310+K327+K348+K356+K368+K380+K394+K408</f>
        <v/>
      </c>
      <c r="L309" s="612">
        <f>L310+L327+L348+L356+L368+L380+L394+L408</f>
        <v/>
      </c>
      <c r="M309" s="612">
        <f>M310+M327+M348+M356+M368+M380+M394+M408</f>
        <v/>
      </c>
      <c r="N309" s="612">
        <f>N310+N327+N348+N356+N368+N380+N394+N408</f>
        <v/>
      </c>
      <c r="O309" s="612">
        <f>O310+O327+O348+O356+O368+O380+O394+O408</f>
        <v/>
      </c>
    </row>
    <row r="310" ht="15" customHeight="1">
      <c r="A310" s="278" t="n"/>
      <c r="B310" s="282" t="inlineStr">
        <is>
          <t>05-01</t>
        </is>
      </c>
      <c r="C310" s="578" t="n"/>
      <c r="D310" s="307" t="inlineStr">
        <is>
          <t>5.1</t>
        </is>
      </c>
      <c r="E310" s="308" t="inlineStr">
        <is>
          <t xml:space="preserve">ESTRUCTURA TECHO CASA </t>
        </is>
      </c>
      <c r="F310" s="309" t="n">
        <v>1</v>
      </c>
      <c r="G310" s="310" t="inlineStr">
        <is>
          <t>gb</t>
        </is>
      </c>
      <c r="H310" s="310" t="n"/>
      <c r="I310" s="310" t="n"/>
      <c r="J310" s="310" t="n"/>
      <c r="K310" s="636">
        <f>SUM(K311:K326)</f>
        <v/>
      </c>
      <c r="L310" s="636">
        <f>SUM(L311:L326)</f>
        <v/>
      </c>
      <c r="M310" s="636">
        <f>SUM(M311:M326)</f>
        <v/>
      </c>
      <c r="N310" s="636">
        <f>SUM(N311:N326)</f>
        <v/>
      </c>
      <c r="O310" s="615">
        <f>SUM(O311:O326)</f>
        <v/>
      </c>
    </row>
    <row r="311" outlineLevel="2" ht="15.6" customHeight="1">
      <c r="A311" s="278" t="inlineStr">
        <is>
          <t>MAT</t>
        </is>
      </c>
      <c r="B311" s="282" t="n"/>
      <c r="C311" s="578">
        <f>_xlfn.XLOOKUP(D311,'INSUMOS MAT '!B:B,'INSUMOS MAT '!C:C,"ERROR",0)</f>
        <v/>
      </c>
      <c r="D311" s="305" t="inlineStr">
        <is>
          <t>MAT02-0125</t>
        </is>
      </c>
      <c r="E311" s="623">
        <f>+_xlfn.XLOOKUP(D311,'BASE DATOS PRECIOS '!B:B,'BASE DATOS PRECIOS '!C:C)</f>
        <v/>
      </c>
      <c r="F311" s="287" t="n">
        <v>8</v>
      </c>
      <c r="G311" s="621">
        <f>+_xlfn.XLOOKUP(D311,'BASE DATOS PRECIOS '!B:B,'BASE DATOS PRECIOS '!D:D)</f>
        <v/>
      </c>
      <c r="H311" s="620">
        <f>+_xlfn.XLOOKUP(E311,'BASE DATOS PRECIOS '!C:C,'BASE DATOS PRECIOS '!F:F)</f>
        <v/>
      </c>
      <c r="I311" s="621" t="n"/>
      <c r="J311" s="621" t="n"/>
      <c r="K311" s="620">
        <f>+F311*H311</f>
        <v/>
      </c>
      <c r="L311" s="620">
        <f>+F311*I311</f>
        <v/>
      </c>
      <c r="M311" s="620">
        <f>+F311*J311</f>
        <v/>
      </c>
      <c r="N311" s="620">
        <f>SUM(K311:M311)</f>
        <v/>
      </c>
      <c r="O311" s="622">
        <f>SUM(K311:M311)/tc</f>
        <v/>
      </c>
    </row>
    <row r="312" outlineLevel="2" ht="15" customHeight="1">
      <c r="A312" s="278" t="inlineStr">
        <is>
          <t>MAT</t>
        </is>
      </c>
      <c r="B312" s="282" t="n"/>
      <c r="C312" s="578">
        <f>_xlfn.XLOOKUP(D312,'INSUMOS MAT '!B:B,'INSUMOS MAT '!C:C,"ERROR",0)</f>
        <v/>
      </c>
      <c r="D312" s="305" t="inlineStr">
        <is>
          <t>MAT02-0124</t>
        </is>
      </c>
      <c r="E312" s="623">
        <f>+_xlfn.XLOOKUP(D312,'BASE DATOS PRECIOS '!B:B,'BASE DATOS PRECIOS '!C:C)</f>
        <v/>
      </c>
      <c r="F312" s="287">
        <f>11+3+8+3</f>
        <v/>
      </c>
      <c r="G312" s="621">
        <f>+_xlfn.XLOOKUP(D312,'BASE DATOS PRECIOS '!B:B,'BASE DATOS PRECIOS '!D:D)</f>
        <v/>
      </c>
      <c r="H312" s="620">
        <f>+_xlfn.XLOOKUP(E312,'BASE DATOS PRECIOS '!C:C,'BASE DATOS PRECIOS '!F:F)</f>
        <v/>
      </c>
      <c r="I312" s="621" t="n"/>
      <c r="J312" s="621" t="n"/>
      <c r="K312" s="620">
        <f>+F312*H312</f>
        <v/>
      </c>
      <c r="L312" s="620">
        <f>+F312*I312</f>
        <v/>
      </c>
      <c r="M312" s="620">
        <f>+F312*J312</f>
        <v/>
      </c>
      <c r="N312" s="620">
        <f>SUM(K312:M312)</f>
        <v/>
      </c>
      <c r="O312" s="622">
        <f>SUM(K312:M312)/tc</f>
        <v/>
      </c>
    </row>
    <row r="313" outlineLevel="2" ht="15" customHeight="1">
      <c r="A313" s="278" t="inlineStr">
        <is>
          <t>MAT</t>
        </is>
      </c>
      <c r="B313" s="282" t="n"/>
      <c r="C313" s="578">
        <f>_xlfn.XLOOKUP(D313,'INSUMOS MAT '!B:B,'INSUMOS MAT '!C:C,"ERROR",0)</f>
        <v/>
      </c>
      <c r="D313" s="305" t="inlineStr">
        <is>
          <t>MAT02-0123</t>
        </is>
      </c>
      <c r="E313" s="623">
        <f>+_xlfn.XLOOKUP(D313,'BASE DATOS PRECIOS '!B:B,'BASE DATOS PRECIOS '!C:C)</f>
        <v/>
      </c>
      <c r="F313" s="287" t="n">
        <v>5</v>
      </c>
      <c r="G313" s="621">
        <f>+_xlfn.XLOOKUP(D313,'BASE DATOS PRECIOS '!B:B,'BASE DATOS PRECIOS '!D:D)</f>
        <v/>
      </c>
      <c r="H313" s="620">
        <f>+_xlfn.XLOOKUP(E313,'BASE DATOS PRECIOS '!C:C,'BASE DATOS PRECIOS '!F:F)</f>
        <v/>
      </c>
      <c r="I313" s="621" t="n"/>
      <c r="J313" s="621" t="n"/>
      <c r="K313" s="620">
        <f>+F313*H313</f>
        <v/>
      </c>
      <c r="L313" s="620">
        <f>+F313*I313</f>
        <v/>
      </c>
      <c r="M313" s="620">
        <f>+F313*J313</f>
        <v/>
      </c>
      <c r="N313" s="620">
        <f>SUM(K313:M313)</f>
        <v/>
      </c>
      <c r="O313" s="622">
        <f>SUM(K313:M313)/tc</f>
        <v/>
      </c>
    </row>
    <row r="314" outlineLevel="2" ht="14.1" customHeight="1">
      <c r="A314" s="278" t="inlineStr">
        <is>
          <t>MAT</t>
        </is>
      </c>
      <c r="B314" s="282" t="n"/>
      <c r="C314" s="578">
        <f>_xlfn.XLOOKUP(D314,'INSUMOS MAT '!B:B,'INSUMOS MAT '!C:C,"ERROR",0)</f>
        <v/>
      </c>
      <c r="D314" s="305" t="inlineStr">
        <is>
          <t>MAT08-0013</t>
        </is>
      </c>
      <c r="E314" s="623">
        <f>+_xlfn.XLOOKUP(D314,'BASE DATOS PRECIOS '!B:B,'BASE DATOS PRECIOS '!C:C)</f>
        <v/>
      </c>
      <c r="F314" s="287" t="n">
        <v>1</v>
      </c>
      <c r="G314" s="621">
        <f>+_xlfn.XLOOKUP(D314,'BASE DATOS PRECIOS '!B:B,'BASE DATOS PRECIOS '!D:D)</f>
        <v/>
      </c>
      <c r="H314" s="620">
        <f>+_xlfn.XLOOKUP(E314,'BASE DATOS PRECIOS '!C:C,'BASE DATOS PRECIOS '!F:F)</f>
        <v/>
      </c>
      <c r="I314" s="621" t="n"/>
      <c r="J314" s="621" t="n"/>
      <c r="K314" s="620">
        <f>+F314*H314</f>
        <v/>
      </c>
      <c r="L314" s="620">
        <f>+F314*I314</f>
        <v/>
      </c>
      <c r="M314" s="620">
        <f>+F314*J314</f>
        <v/>
      </c>
      <c r="N314" s="620">
        <f>SUM(K314:M314)</f>
        <v/>
      </c>
      <c r="O314" s="622">
        <f>SUM(K314:M314)/tc</f>
        <v/>
      </c>
      <c r="P314" s="610" t="n"/>
      <c r="Q314" s="610" t="n"/>
    </row>
    <row r="315" outlineLevel="2" ht="15.6" customHeight="1">
      <c r="A315" s="278" t="inlineStr">
        <is>
          <t>MAT</t>
        </is>
      </c>
      <c r="B315" s="282" t="n"/>
      <c r="C315" s="578">
        <f>_xlfn.XLOOKUP(D315,'INSUMOS MAT '!B:B,'INSUMOS MAT '!C:C,"ERROR",0)</f>
        <v/>
      </c>
      <c r="D315" s="305" t="inlineStr">
        <is>
          <t>MAT08-0038</t>
        </is>
      </c>
      <c r="E315" s="623">
        <f>+_xlfn.XLOOKUP(D315,'BASE DATOS PRECIOS '!B:B,'BASE DATOS PRECIOS '!C:C)</f>
        <v/>
      </c>
      <c r="F315" s="287" t="n">
        <v>5</v>
      </c>
      <c r="G315" s="621">
        <f>+_xlfn.XLOOKUP(D315,'BASE DATOS PRECIOS '!B:B,'BASE DATOS PRECIOS '!D:D)</f>
        <v/>
      </c>
      <c r="H315" s="620">
        <f>+_xlfn.XLOOKUP(E315,'BASE DATOS PRECIOS '!C:C,'BASE DATOS PRECIOS '!F:F)</f>
        <v/>
      </c>
      <c r="I315" s="621" t="n"/>
      <c r="J315" s="621" t="n"/>
      <c r="K315" s="620">
        <f>+F315*H315</f>
        <v/>
      </c>
      <c r="L315" s="620">
        <f>+F315*I315</f>
        <v/>
      </c>
      <c r="M315" s="620">
        <f>+F315*J315</f>
        <v/>
      </c>
      <c r="N315" s="620">
        <f>SUM(K315:M315)</f>
        <v/>
      </c>
      <c r="O315" s="622">
        <f>SUM(K315:M315)/tc</f>
        <v/>
      </c>
    </row>
    <row r="316" outlineLevel="2" ht="15.6" customHeight="1">
      <c r="A316" s="278" t="inlineStr">
        <is>
          <t>MAT</t>
        </is>
      </c>
      <c r="B316" s="282" t="n"/>
      <c r="C316" s="578">
        <f>_xlfn.XLOOKUP(D316,'INSUMOS MAT '!B:B,'INSUMOS MAT '!C:C,"ERROR",0)</f>
        <v/>
      </c>
      <c r="D316" s="305" t="inlineStr">
        <is>
          <t>MAT08-0040</t>
        </is>
      </c>
      <c r="E316" s="623">
        <f>+_xlfn.XLOOKUP(D316,'BASE DATOS PRECIOS '!B:B,'BASE DATOS PRECIOS '!C:C)</f>
        <v/>
      </c>
      <c r="F316" s="287" t="n">
        <v>3</v>
      </c>
      <c r="G316" s="621">
        <f>+_xlfn.XLOOKUP(D316,'BASE DATOS PRECIOS '!B:B,'BASE DATOS PRECIOS '!D:D)</f>
        <v/>
      </c>
      <c r="H316" s="620">
        <f>+_xlfn.XLOOKUP(E316,'BASE DATOS PRECIOS '!C:C,'BASE DATOS PRECIOS '!F:F)</f>
        <v/>
      </c>
      <c r="I316" s="621" t="n"/>
      <c r="J316" s="621" t="n"/>
      <c r="K316" s="620">
        <f>+F316*H316</f>
        <v/>
      </c>
      <c r="L316" s="620">
        <f>+F316*I316</f>
        <v/>
      </c>
      <c r="M316" s="620">
        <f>+F316*J316</f>
        <v/>
      </c>
      <c r="N316" s="620">
        <f>SUM(K316:M316)</f>
        <v/>
      </c>
      <c r="O316" s="622">
        <f>SUM(K316:M316)/tc</f>
        <v/>
      </c>
    </row>
    <row r="317" outlineLevel="2" ht="15" customHeight="1">
      <c r="A317" s="278" t="inlineStr">
        <is>
          <t>MAT</t>
        </is>
      </c>
      <c r="B317" s="282" t="n"/>
      <c r="C317" s="578">
        <f>_xlfn.XLOOKUP(D317,'INSUMOS MAT '!B:B,'INSUMOS MAT '!C:C,"ERROR",0)</f>
        <v/>
      </c>
      <c r="D317" s="305" t="inlineStr">
        <is>
          <t>MAT08-0042</t>
        </is>
      </c>
      <c r="E317" s="623">
        <f>+_xlfn.XLOOKUP(D317,'BASE DATOS PRECIOS '!B:B,'BASE DATOS PRECIOS '!C:C)</f>
        <v/>
      </c>
      <c r="F317" s="287" t="n">
        <v>3</v>
      </c>
      <c r="G317" s="621">
        <f>+_xlfn.XLOOKUP(D317,'BASE DATOS PRECIOS '!B:B,'BASE DATOS PRECIOS '!D:D)</f>
        <v/>
      </c>
      <c r="H317" s="620">
        <f>+_xlfn.XLOOKUP(E317,'BASE DATOS PRECIOS '!C:C,'BASE DATOS PRECIOS '!F:F)</f>
        <v/>
      </c>
      <c r="I317" s="621" t="n"/>
      <c r="J317" s="621" t="n"/>
      <c r="K317" s="620">
        <f>+F317*H317</f>
        <v/>
      </c>
      <c r="L317" s="620">
        <f>+F317*I317</f>
        <v/>
      </c>
      <c r="M317" s="620">
        <f>+F317*J317</f>
        <v/>
      </c>
      <c r="N317" s="620">
        <f>SUM(K317:M317)</f>
        <v/>
      </c>
      <c r="O317" s="622">
        <f>SUM(K317:M317)/tc</f>
        <v/>
      </c>
    </row>
    <row r="318" outlineLevel="2" ht="15" customHeight="1">
      <c r="A318" s="278" t="inlineStr">
        <is>
          <t>MAT</t>
        </is>
      </c>
      <c r="B318" s="282" t="n"/>
      <c r="C318" s="578">
        <f>_xlfn.XLOOKUP(D318,'INSUMOS MAT '!B:B,'INSUMOS MAT '!C:C,"ERROR",0)</f>
        <v/>
      </c>
      <c r="D318" s="305" t="inlineStr">
        <is>
          <t>MAT08-0446</t>
        </is>
      </c>
      <c r="E318" s="623">
        <f>+_xlfn.XLOOKUP(D318,'BASE DATOS PRECIOS '!B:B,'BASE DATOS PRECIOS '!C:C)</f>
        <v/>
      </c>
      <c r="F318" s="287" t="n">
        <v>3</v>
      </c>
      <c r="G318" s="621">
        <f>+_xlfn.XLOOKUP(D318,'BASE DATOS PRECIOS '!B:B,'BASE DATOS PRECIOS '!D:D)</f>
        <v/>
      </c>
      <c r="H318" s="620">
        <f>+_xlfn.XLOOKUP(E318,'BASE DATOS PRECIOS '!C:C,'BASE DATOS PRECIOS '!F:F)</f>
        <v/>
      </c>
      <c r="I318" s="621" t="n"/>
      <c r="J318" s="621" t="n"/>
      <c r="K318" s="620">
        <f>+F318*H318</f>
        <v/>
      </c>
      <c r="L318" s="620">
        <f>+F318*I318</f>
        <v/>
      </c>
      <c r="M318" s="620">
        <f>+F318*J318</f>
        <v/>
      </c>
      <c r="N318" s="620">
        <f>SUM(K318:M318)</f>
        <v/>
      </c>
      <c r="O318" s="622">
        <f>SUM(K318:M318)/tc</f>
        <v/>
      </c>
    </row>
    <row r="319" outlineLevel="2" ht="15" customHeight="1">
      <c r="A319" s="278" t="inlineStr">
        <is>
          <t>MAT</t>
        </is>
      </c>
      <c r="B319" s="282" t="n"/>
      <c r="C319" s="578">
        <f>_xlfn.XLOOKUP(D319,'INSUMOS MAT '!B:B,'INSUMOS MAT '!C:C,"ERROR",0)</f>
        <v/>
      </c>
      <c r="D319" s="305" t="inlineStr">
        <is>
          <t>MAT08-0116</t>
        </is>
      </c>
      <c r="E319" s="623">
        <f>+_xlfn.XLOOKUP(D319,'BASE DATOS PRECIOS '!B:B,'BASE DATOS PRECIOS '!C:C)</f>
        <v/>
      </c>
      <c r="F319" s="287" t="n">
        <v>10</v>
      </c>
      <c r="G319" s="621">
        <f>+_xlfn.XLOOKUP(D319,'BASE DATOS PRECIOS '!B:B,'BASE DATOS PRECIOS '!D:D)</f>
        <v/>
      </c>
      <c r="H319" s="620">
        <f>+_xlfn.XLOOKUP(E319,'BASE DATOS PRECIOS '!C:C,'BASE DATOS PRECIOS '!F:F)</f>
        <v/>
      </c>
      <c r="I319" s="621" t="n"/>
      <c r="J319" s="621" t="n"/>
      <c r="K319" s="620">
        <f>+F319*H319</f>
        <v/>
      </c>
      <c r="L319" s="620">
        <f>+F319*I319</f>
        <v/>
      </c>
      <c r="M319" s="620">
        <f>+F319*J319</f>
        <v/>
      </c>
      <c r="N319" s="620">
        <f>SUM(K319:M319)</f>
        <v/>
      </c>
      <c r="O319" s="622">
        <f>SUM(K319:M319)/tc</f>
        <v/>
      </c>
    </row>
    <row r="320" outlineLevel="2" ht="15" customHeight="1">
      <c r="A320" s="278" t="inlineStr">
        <is>
          <t>MAT</t>
        </is>
      </c>
      <c r="B320" s="282" t="n"/>
      <c r="C320" s="578">
        <f>_xlfn.XLOOKUP(D320,'INSUMOS MAT '!B:B,'INSUMOS MAT '!C:C,"ERROR",0)</f>
        <v/>
      </c>
      <c r="D320" s="305" t="inlineStr">
        <is>
          <t>MAT02-0012</t>
        </is>
      </c>
      <c r="E320" s="653">
        <f>+_xlfn.XLOOKUP(D320,'BASE DATOS PRECIOS '!B:B,'BASE DATOS PRECIOS '!C:C)</f>
        <v/>
      </c>
      <c r="F320" s="322" t="n">
        <v>1</v>
      </c>
      <c r="G320" s="654">
        <f>+_xlfn.XLOOKUP(D320,'BASE DATOS PRECIOS '!B:B,'BASE DATOS PRECIOS '!D:D)</f>
        <v/>
      </c>
      <c r="H320" s="620">
        <f>+_xlfn.XLOOKUP(E320,'BASE DATOS PRECIOS '!C:C,'BASE DATOS PRECIOS '!F:F)</f>
        <v/>
      </c>
      <c r="I320" s="654" t="n"/>
      <c r="J320" s="654" t="n"/>
      <c r="K320" s="655">
        <f>+F320*H320</f>
        <v/>
      </c>
      <c r="L320" s="655">
        <f>+F320*I320</f>
        <v/>
      </c>
      <c r="M320" s="655">
        <f>+F320*J320</f>
        <v/>
      </c>
      <c r="N320" s="655">
        <f>SUM(K320:M320)</f>
        <v/>
      </c>
      <c r="O320" s="656">
        <f>SUM(K320:M320)/tc</f>
        <v/>
      </c>
    </row>
    <row r="321" outlineLevel="2" ht="15" customHeight="1">
      <c r="A321" s="278" t="inlineStr">
        <is>
          <t>MAT</t>
        </is>
      </c>
      <c r="B321" s="282" t="n"/>
      <c r="C321" s="578">
        <f>_xlfn.XLOOKUP(D321,'INSUMOS MAT '!B:B,'INSUMOS MAT '!C:C,"ERROR",0)</f>
        <v/>
      </c>
      <c r="D321" s="305" t="inlineStr">
        <is>
          <t>MAT16-0001</t>
        </is>
      </c>
      <c r="E321" s="653">
        <f>+_xlfn.XLOOKUP(D321,'BASE DATOS PRECIOS '!B:B,'BASE DATOS PRECIOS '!C:C)</f>
        <v/>
      </c>
      <c r="F321" s="322" t="n">
        <v>0.25</v>
      </c>
      <c r="G321" s="654">
        <f>+_xlfn.XLOOKUP(D321,'BASE DATOS PRECIOS '!B:B,'BASE DATOS PRECIOS '!D:D)</f>
        <v/>
      </c>
      <c r="H321" s="620">
        <f>+_xlfn.XLOOKUP(E321,'BASE DATOS PRECIOS '!C:C,'BASE DATOS PRECIOS '!F:F)</f>
        <v/>
      </c>
      <c r="I321" s="654" t="n"/>
      <c r="J321" s="654" t="n"/>
      <c r="K321" s="655">
        <f>+F321*H321</f>
        <v/>
      </c>
      <c r="L321" s="655">
        <f>+F321*I321</f>
        <v/>
      </c>
      <c r="M321" s="655">
        <f>+F321*J321</f>
        <v/>
      </c>
      <c r="N321" s="655">
        <f>SUM(K321:M321)</f>
        <v/>
      </c>
      <c r="O321" s="656">
        <f>SUM(K321:M321)/tc</f>
        <v/>
      </c>
    </row>
    <row r="322" outlineLevel="2" ht="15" customHeight="1">
      <c r="A322" s="278" t="inlineStr">
        <is>
          <t>MAT</t>
        </is>
      </c>
      <c r="B322" s="282" t="n"/>
      <c r="C322" s="578">
        <f>_xlfn.XLOOKUP(D322,'INSUMOS MAT '!B:B,'INSUMOS MAT '!C:C,"ERROR",0)</f>
        <v/>
      </c>
      <c r="D322" s="305" t="inlineStr">
        <is>
          <t>MAT02-0027</t>
        </is>
      </c>
      <c r="E322" s="653">
        <f>+_xlfn.XLOOKUP(D322,'BASE DATOS PRECIOS '!B:B,'BASE DATOS PRECIOS '!C:C)</f>
        <v/>
      </c>
      <c r="F322" s="322" t="n">
        <v>0.5</v>
      </c>
      <c r="G322" s="654">
        <f>+_xlfn.XLOOKUP(D322,'BASE DATOS PRECIOS '!B:B,'BASE DATOS PRECIOS '!D:D)</f>
        <v/>
      </c>
      <c r="H322" s="620">
        <f>+_xlfn.XLOOKUP(E322,'BASE DATOS PRECIOS '!C:C,'BASE DATOS PRECIOS '!F:F)</f>
        <v/>
      </c>
      <c r="I322" s="654" t="n"/>
      <c r="J322" s="654" t="n"/>
      <c r="K322" s="655">
        <f>+F322*H322</f>
        <v/>
      </c>
      <c r="L322" s="655">
        <f>+F322*I322</f>
        <v/>
      </c>
      <c r="M322" s="655">
        <f>+F322*J322</f>
        <v/>
      </c>
      <c r="N322" s="655">
        <f>SUM(K322:M322)</f>
        <v/>
      </c>
      <c r="O322" s="656">
        <f>SUM(K322:M322)/tc</f>
        <v/>
      </c>
    </row>
    <row r="323" outlineLevel="2" ht="15" customHeight="1">
      <c r="A323" s="278" t="inlineStr">
        <is>
          <t xml:space="preserve">MO </t>
        </is>
      </c>
      <c r="B323" s="282" t="inlineStr">
        <is>
          <t>05-01-01</t>
        </is>
      </c>
      <c r="C323" s="578" t="n"/>
      <c r="D323" s="386" t="inlineStr">
        <is>
          <t xml:space="preserve">OP CALIFICADO </t>
        </is>
      </c>
      <c r="E323" s="632">
        <f>+_xlfn.XLOOKUP(D323,'BASE DATOS MANO DE OBRA'!A:A,'BASE DATOS MANO DE OBRA'!B:B)</f>
        <v/>
      </c>
      <c r="F323" s="388" t="n">
        <v>30.5</v>
      </c>
      <c r="G323" s="633">
        <f>+_xlfn.XLOOKUP(D323,'BASE DATOS MANO DE OBRA'!A:A,'BASE DATOS MANO DE OBRA'!C:C)</f>
        <v/>
      </c>
      <c r="H323" s="634" t="n">
        <v>0</v>
      </c>
      <c r="I323" s="634">
        <f>+_xlfn.XLOOKUP(D323,'BASE DATOS MANO DE OBRA'!A:A,'BASE DATOS MANO DE OBRA'!E:E)</f>
        <v/>
      </c>
      <c r="J323" s="634" t="n">
        <v>0</v>
      </c>
      <c r="K323" s="634">
        <f>+F323*H323</f>
        <v/>
      </c>
      <c r="L323" s="634">
        <f>+F323*I323</f>
        <v/>
      </c>
      <c r="M323" s="634">
        <f>+F323*J323</f>
        <v/>
      </c>
      <c r="N323" s="634">
        <f>SUM(K323:M323)</f>
        <v/>
      </c>
      <c r="O323" s="635">
        <f>SUM(K323:M323)/tc</f>
        <v/>
      </c>
    </row>
    <row r="324" outlineLevel="2" ht="15" customHeight="1">
      <c r="A324" s="278" t="inlineStr">
        <is>
          <t xml:space="preserve">MO </t>
        </is>
      </c>
      <c r="B324" s="282" t="inlineStr">
        <is>
          <t>05-01-01</t>
        </is>
      </c>
      <c r="C324" s="578" t="n"/>
      <c r="D324" s="386" t="inlineStr">
        <is>
          <t xml:space="preserve">OP CALIFICADO </t>
        </is>
      </c>
      <c r="E324" s="632">
        <f>+_xlfn.XLOOKUP(D324,'BASE DATOS MANO DE OBRA'!A:A,'BASE DATOS MANO DE OBRA'!B:B)</f>
        <v/>
      </c>
      <c r="F324" s="388" t="n">
        <v>30.5</v>
      </c>
      <c r="G324" s="633">
        <f>+_xlfn.XLOOKUP(D324,'BASE DATOS MANO DE OBRA'!A:A,'BASE DATOS MANO DE OBRA'!C:C)</f>
        <v/>
      </c>
      <c r="H324" s="634" t="n">
        <v>0</v>
      </c>
      <c r="I324" s="634">
        <f>+_xlfn.XLOOKUP(D324,'BASE DATOS MANO DE OBRA'!A:A,'BASE DATOS MANO DE OBRA'!E:E)</f>
        <v/>
      </c>
      <c r="J324" s="634" t="n">
        <v>0</v>
      </c>
      <c r="K324" s="634">
        <f>+F324*H324</f>
        <v/>
      </c>
      <c r="L324" s="634">
        <f>+F324*I324</f>
        <v/>
      </c>
      <c r="M324" s="634">
        <f>+F324*J324</f>
        <v/>
      </c>
      <c r="N324" s="634">
        <f>SUM(K324:M324)</f>
        <v/>
      </c>
      <c r="O324" s="635">
        <f>SUM(K324:M324)/tc</f>
        <v/>
      </c>
    </row>
    <row r="325" outlineLevel="2" ht="15" customHeight="1">
      <c r="A325" s="278" t="inlineStr">
        <is>
          <t xml:space="preserve">MO </t>
        </is>
      </c>
      <c r="B325" s="282" t="inlineStr">
        <is>
          <t>05-01-02</t>
        </is>
      </c>
      <c r="C325" s="578" t="n"/>
      <c r="D325" s="386" t="inlineStr">
        <is>
          <t xml:space="preserve">OP CALIFICADO </t>
        </is>
      </c>
      <c r="E325" s="632">
        <f>+_xlfn.XLOOKUP(D325,'BASE DATOS MANO DE OBRA'!A:A,'BASE DATOS MANO DE OBRA'!B:B)</f>
        <v/>
      </c>
      <c r="F325" s="388" t="n">
        <v>7.5</v>
      </c>
      <c r="G325" s="633">
        <f>+_xlfn.XLOOKUP(D325,'BASE DATOS MANO DE OBRA'!A:A,'BASE DATOS MANO DE OBRA'!C:C)</f>
        <v/>
      </c>
      <c r="H325" s="634" t="n">
        <v>0</v>
      </c>
      <c r="I325" s="634">
        <f>+_xlfn.XLOOKUP(D325,'BASE DATOS MANO DE OBRA'!A:A,'BASE DATOS MANO DE OBRA'!E:E)</f>
        <v/>
      </c>
      <c r="J325" s="634" t="n">
        <v>0</v>
      </c>
      <c r="K325" s="634">
        <f>+F325*H325</f>
        <v/>
      </c>
      <c r="L325" s="634">
        <f>+F325*I325</f>
        <v/>
      </c>
      <c r="M325" s="634">
        <f>+F325*J325</f>
        <v/>
      </c>
      <c r="N325" s="634">
        <f>SUM(K325:M325)</f>
        <v/>
      </c>
      <c r="O325" s="635">
        <f>SUM(K325:M325)/tc</f>
        <v/>
      </c>
    </row>
    <row r="326" outlineLevel="2" ht="15" customHeight="1">
      <c r="A326" s="278" t="inlineStr">
        <is>
          <t xml:space="preserve">MO </t>
        </is>
      </c>
      <c r="B326" s="282" t="inlineStr">
        <is>
          <t>05-01-02</t>
        </is>
      </c>
      <c r="C326" s="578" t="n"/>
      <c r="D326" s="386" t="inlineStr">
        <is>
          <t xml:space="preserve">OP CALIFICADO </t>
        </is>
      </c>
      <c r="E326" s="632">
        <f>+_xlfn.XLOOKUP(D326,'BASE DATOS MANO DE OBRA'!A:A,'BASE DATOS MANO DE OBRA'!B:B)</f>
        <v/>
      </c>
      <c r="F326" s="388" t="n">
        <v>7.5</v>
      </c>
      <c r="G326" s="633">
        <f>+_xlfn.XLOOKUP(D326,'BASE DATOS MANO DE OBRA'!A:A,'BASE DATOS MANO DE OBRA'!C:C)</f>
        <v/>
      </c>
      <c r="H326" s="634" t="n">
        <v>0</v>
      </c>
      <c r="I326" s="634">
        <f>+_xlfn.XLOOKUP(D326,'BASE DATOS MANO DE OBRA'!A:A,'BASE DATOS MANO DE OBRA'!E:E)</f>
        <v/>
      </c>
      <c r="J326" s="634" t="n">
        <v>0</v>
      </c>
      <c r="K326" s="634">
        <f>+F326*H326</f>
        <v/>
      </c>
      <c r="L326" s="634">
        <f>+F326*I326</f>
        <v/>
      </c>
      <c r="M326" s="634">
        <f>+F326*J326</f>
        <v/>
      </c>
      <c r="N326" s="634">
        <f>SUM(K326:M326)</f>
        <v/>
      </c>
      <c r="O326" s="635">
        <f>SUM(K326:M326)/tc</f>
        <v/>
      </c>
    </row>
    <row r="327" ht="15" customHeight="1">
      <c r="A327" s="278" t="n"/>
      <c r="B327" s="282" t="inlineStr">
        <is>
          <t>05-02</t>
        </is>
      </c>
      <c r="C327" s="578" t="n"/>
      <c r="D327" s="307" t="inlineStr">
        <is>
          <t>5.2</t>
        </is>
      </c>
      <c r="E327" s="308" t="inlineStr">
        <is>
          <t xml:space="preserve">ESTRUCTURA TECHO COCHERA </t>
        </is>
      </c>
      <c r="F327" s="309" t="n">
        <v>1</v>
      </c>
      <c r="G327" s="310" t="inlineStr">
        <is>
          <t>gb</t>
        </is>
      </c>
      <c r="H327" s="310" t="n"/>
      <c r="I327" s="310" t="n"/>
      <c r="J327" s="310" t="n"/>
      <c r="K327" s="636">
        <f>SUM(K328:K347)</f>
        <v/>
      </c>
      <c r="L327" s="636">
        <f>SUM(L328:L347)</f>
        <v/>
      </c>
      <c r="M327" s="636">
        <f>SUM(M328:M347)</f>
        <v/>
      </c>
      <c r="N327" s="636">
        <f>SUM(N328:N347)</f>
        <v/>
      </c>
      <c r="O327" s="615">
        <f>SUM(O328:O347)</f>
        <v/>
      </c>
    </row>
    <row r="328" outlineLevel="1" ht="15" customHeight="1">
      <c r="A328" s="278" t="inlineStr">
        <is>
          <t>MAT</t>
        </is>
      </c>
      <c r="B328" s="282" t="n"/>
      <c r="C328" s="578">
        <f>_xlfn.XLOOKUP(D328,'INSUMOS MAT '!B:B,'INSUMOS MAT '!C:C,"ERROR",0)</f>
        <v/>
      </c>
      <c r="D328" s="305" t="inlineStr">
        <is>
          <t>MAT02-0021</t>
        </is>
      </c>
      <c r="E328" s="623">
        <f>+_xlfn.XLOOKUP(D328,'BASE DATOS PRECIOS '!B:B,'BASE DATOS PRECIOS '!C:C)</f>
        <v/>
      </c>
      <c r="F328" s="287" t="n">
        <v>7</v>
      </c>
      <c r="G328" s="621">
        <f>+_xlfn.XLOOKUP(D328,'BASE DATOS PRECIOS '!B:B,'BASE DATOS PRECIOS '!D:D)</f>
        <v/>
      </c>
      <c r="H328" s="620">
        <f>+_xlfn.XLOOKUP(E328,'BASE DATOS PRECIOS '!C:C,'BASE DATOS PRECIOS '!F:F)</f>
        <v/>
      </c>
      <c r="I328" s="621" t="n"/>
      <c r="J328" s="621" t="n"/>
      <c r="K328" s="620">
        <f>+F328*H328</f>
        <v/>
      </c>
      <c r="L328" s="620">
        <f>+F328*I328</f>
        <v/>
      </c>
      <c r="M328" s="620">
        <f>+F328*J328</f>
        <v/>
      </c>
      <c r="N328" s="620">
        <f>SUM(K328:M328)</f>
        <v/>
      </c>
      <c r="O328" s="622">
        <f>SUM(K328:M328)/tc</f>
        <v/>
      </c>
    </row>
    <row r="329" outlineLevel="1" ht="15" customHeight="1">
      <c r="A329" s="278" t="inlineStr">
        <is>
          <t>MAT</t>
        </is>
      </c>
      <c r="B329" s="282" t="n"/>
      <c r="C329" s="578">
        <f>_xlfn.XLOOKUP(D329,'INSUMOS MAT '!B:B,'INSUMOS MAT '!C:C,"ERROR",0)</f>
        <v/>
      </c>
      <c r="D329" s="305" t="inlineStr">
        <is>
          <t>MAT02-0019</t>
        </is>
      </c>
      <c r="E329" s="623">
        <f>+_xlfn.XLOOKUP(D329,'BASE DATOS PRECIOS '!B:B,'BASE DATOS PRECIOS '!C:C)</f>
        <v/>
      </c>
      <c r="F329" s="287" t="n">
        <v>6</v>
      </c>
      <c r="G329" s="621">
        <f>+_xlfn.XLOOKUP(D329,'BASE DATOS PRECIOS '!B:B,'BASE DATOS PRECIOS '!D:D)</f>
        <v/>
      </c>
      <c r="H329" s="620">
        <f>+_xlfn.XLOOKUP(E329,'BASE DATOS PRECIOS '!C:C,'BASE DATOS PRECIOS '!F:F)</f>
        <v/>
      </c>
      <c r="I329" s="621" t="n"/>
      <c r="J329" s="621" t="n"/>
      <c r="K329" s="620">
        <f>+F329*H329</f>
        <v/>
      </c>
      <c r="L329" s="620">
        <f>+F329*I329</f>
        <v/>
      </c>
      <c r="M329" s="620">
        <f>+F329*J329</f>
        <v/>
      </c>
      <c r="N329" s="620">
        <f>SUM(K329:M329)</f>
        <v/>
      </c>
      <c r="O329" s="622">
        <f>SUM(K329:M329)/tc</f>
        <v/>
      </c>
    </row>
    <row r="330" outlineLevel="1" ht="15" customHeight="1">
      <c r="A330" s="278" t="inlineStr">
        <is>
          <t>MAT</t>
        </is>
      </c>
      <c r="B330" s="282" t="n"/>
      <c r="C330" s="578">
        <f>_xlfn.XLOOKUP(D330,'INSUMOS MAT '!B:B,'INSUMOS MAT '!C:C,"ERROR",0)</f>
        <v/>
      </c>
      <c r="D330" s="305" t="inlineStr">
        <is>
          <t>MAT02-0023</t>
        </is>
      </c>
      <c r="E330" s="623">
        <f>+_xlfn.XLOOKUP(D330,'BASE DATOS PRECIOS '!B:B,'BASE DATOS PRECIOS '!C:C)</f>
        <v/>
      </c>
      <c r="F330" s="287" t="n">
        <v>2</v>
      </c>
      <c r="G330" s="621">
        <f>+_xlfn.XLOOKUP(D330,'BASE DATOS PRECIOS '!B:B,'BASE DATOS PRECIOS '!D:D)</f>
        <v/>
      </c>
      <c r="H330" s="620">
        <f>+_xlfn.XLOOKUP(E330,'BASE DATOS PRECIOS '!C:C,'BASE DATOS PRECIOS '!F:F)</f>
        <v/>
      </c>
      <c r="I330" s="621" t="n"/>
      <c r="J330" s="621" t="n"/>
      <c r="K330" s="620">
        <f>+F330*H330</f>
        <v/>
      </c>
      <c r="L330" s="620">
        <f>+F330*I330</f>
        <v/>
      </c>
      <c r="M330" s="620">
        <f>+F330*J330</f>
        <v/>
      </c>
      <c r="N330" s="620">
        <f>SUM(K330:M330)</f>
        <v/>
      </c>
      <c r="O330" s="622">
        <f>SUM(K330:M330)/tc</f>
        <v/>
      </c>
    </row>
    <row r="331" outlineLevel="1" ht="14.1" customHeight="1">
      <c r="A331" s="278" t="inlineStr">
        <is>
          <t>MAT</t>
        </is>
      </c>
      <c r="B331" s="282" t="n"/>
      <c r="C331" s="578">
        <f>_xlfn.XLOOKUP(D331,'INSUMOS MAT '!B:B,'INSUMOS MAT '!C:C,"ERROR",0)</f>
        <v/>
      </c>
      <c r="D331" s="305" t="inlineStr">
        <is>
          <t>MAT08-0013</t>
        </is>
      </c>
      <c r="E331" s="623">
        <f>+_xlfn.XLOOKUP(D331,'BASE DATOS PRECIOS '!B:B,'BASE DATOS PRECIOS '!C:C)</f>
        <v/>
      </c>
      <c r="F331" s="287" t="n">
        <v>1</v>
      </c>
      <c r="G331" s="621">
        <f>+_xlfn.XLOOKUP(D331,'BASE DATOS PRECIOS '!B:B,'BASE DATOS PRECIOS '!D:D)</f>
        <v/>
      </c>
      <c r="H331" s="620">
        <f>+_xlfn.XLOOKUP(E331,'BASE DATOS PRECIOS '!C:C,'BASE DATOS PRECIOS '!F:F)</f>
        <v/>
      </c>
      <c r="I331" s="621" t="n"/>
      <c r="J331" s="621" t="n"/>
      <c r="K331" s="620">
        <f>+F331*H331</f>
        <v/>
      </c>
      <c r="L331" s="620">
        <f>+F331*I331</f>
        <v/>
      </c>
      <c r="M331" s="620">
        <f>+F331*J331</f>
        <v/>
      </c>
      <c r="N331" s="620">
        <f>SUM(K331:M331)</f>
        <v/>
      </c>
      <c r="O331" s="622">
        <f>SUM(K331:M331)/tc</f>
        <v/>
      </c>
      <c r="P331" s="610" t="n"/>
      <c r="Q331" s="616" t="n"/>
      <c r="R331" s="616" t="n"/>
    </row>
    <row r="332" outlineLevel="1">
      <c r="A332" s="278" t="inlineStr">
        <is>
          <t>MAT</t>
        </is>
      </c>
      <c r="B332" s="282" t="n"/>
      <c r="C332" s="578">
        <f>_xlfn.XLOOKUP(D332,'INSUMOS MAT '!B:B,'INSUMOS MAT '!C:C,"ERROR",0)</f>
        <v/>
      </c>
      <c r="D332" s="305" t="inlineStr">
        <is>
          <t>MAT08-0038</t>
        </is>
      </c>
      <c r="E332" s="623">
        <f>+_xlfn.XLOOKUP(D332,'BASE DATOS PRECIOS '!B:B,'BASE DATOS PRECIOS '!C:C)</f>
        <v/>
      </c>
      <c r="F332" s="287" t="n">
        <v>5</v>
      </c>
      <c r="G332" s="621">
        <f>+_xlfn.XLOOKUP(D332,'BASE DATOS PRECIOS '!B:B,'BASE DATOS PRECIOS '!D:D)</f>
        <v/>
      </c>
      <c r="H332" s="620">
        <f>+_xlfn.XLOOKUP(E332,'BASE DATOS PRECIOS '!C:C,'BASE DATOS PRECIOS '!F:F)</f>
        <v/>
      </c>
      <c r="I332" s="621" t="n"/>
      <c r="J332" s="621" t="n"/>
      <c r="K332" s="620">
        <f>+F332*H332</f>
        <v/>
      </c>
      <c r="L332" s="620">
        <f>+F332*I332</f>
        <v/>
      </c>
      <c r="M332" s="620">
        <f>+F332*J332</f>
        <v/>
      </c>
      <c r="N332" s="620">
        <f>SUM(K332:M332)</f>
        <v/>
      </c>
      <c r="O332" s="622">
        <f>SUM(K332:M332)/tc</f>
        <v/>
      </c>
      <c r="P332" s="639" t="n"/>
      <c r="Q332" s="639" t="n"/>
      <c r="R332" s="640" t="n"/>
    </row>
    <row r="333" outlineLevel="1">
      <c r="A333" s="278" t="inlineStr">
        <is>
          <t>MAT</t>
        </is>
      </c>
      <c r="B333" s="282" t="n"/>
      <c r="C333" s="578">
        <f>_xlfn.XLOOKUP(D333,'INSUMOS MAT '!B:B,'INSUMOS MAT '!C:C,"ERROR",0)</f>
        <v/>
      </c>
      <c r="D333" s="305" t="inlineStr">
        <is>
          <t>MAT08-0040</t>
        </is>
      </c>
      <c r="E333" s="623">
        <f>+_xlfn.XLOOKUP(D333,'BASE DATOS PRECIOS '!B:B,'BASE DATOS PRECIOS '!C:C)</f>
        <v/>
      </c>
      <c r="F333" s="287" t="n">
        <v>1</v>
      </c>
      <c r="G333" s="621">
        <f>+_xlfn.XLOOKUP(D333,'BASE DATOS PRECIOS '!B:B,'BASE DATOS PRECIOS '!D:D)</f>
        <v/>
      </c>
      <c r="H333" s="620">
        <f>+_xlfn.XLOOKUP(E333,'BASE DATOS PRECIOS '!C:C,'BASE DATOS PRECIOS '!F:F)</f>
        <v/>
      </c>
      <c r="I333" s="621" t="n"/>
      <c r="J333" s="621" t="n"/>
      <c r="K333" s="620">
        <f>+F333*H333</f>
        <v/>
      </c>
      <c r="L333" s="620">
        <f>+F333*I333</f>
        <v/>
      </c>
      <c r="M333" s="620">
        <f>+F333*J333</f>
        <v/>
      </c>
      <c r="N333" s="620">
        <f>SUM(K333:M333)</f>
        <v/>
      </c>
      <c r="O333" s="622">
        <f>SUM(K333:M333)/tc</f>
        <v/>
      </c>
      <c r="P333" s="639" t="n"/>
      <c r="Q333" s="639" t="n"/>
      <c r="R333" s="640" t="n"/>
    </row>
    <row r="334" outlineLevel="1">
      <c r="A334" s="278" t="inlineStr">
        <is>
          <t>MAT</t>
        </is>
      </c>
      <c r="B334" s="282" t="n"/>
      <c r="C334" s="578">
        <f>_xlfn.XLOOKUP(D334,'INSUMOS MAT '!B:B,'INSUMOS MAT '!C:C,"ERROR",0)</f>
        <v/>
      </c>
      <c r="D334" s="305" t="inlineStr">
        <is>
          <t>MAT08-0042</t>
        </is>
      </c>
      <c r="E334" s="623">
        <f>+_xlfn.XLOOKUP(D334,'BASE DATOS PRECIOS '!B:B,'BASE DATOS PRECIOS '!C:C)</f>
        <v/>
      </c>
      <c r="F334" s="287" t="n">
        <v>1</v>
      </c>
      <c r="G334" s="621">
        <f>+_xlfn.XLOOKUP(D334,'BASE DATOS PRECIOS '!B:B,'BASE DATOS PRECIOS '!D:D)</f>
        <v/>
      </c>
      <c r="H334" s="620">
        <f>+_xlfn.XLOOKUP(E334,'BASE DATOS PRECIOS '!C:C,'BASE DATOS PRECIOS '!F:F)</f>
        <v/>
      </c>
      <c r="I334" s="621" t="n"/>
      <c r="J334" s="621" t="n"/>
      <c r="K334" s="620">
        <f>+F334*H334</f>
        <v/>
      </c>
      <c r="L334" s="620">
        <f>+F334*I334</f>
        <v/>
      </c>
      <c r="M334" s="620">
        <f>+F334*J334</f>
        <v/>
      </c>
      <c r="N334" s="620">
        <f>SUM(K334:M334)</f>
        <v/>
      </c>
      <c r="O334" s="622">
        <f>SUM(K334:M334)/tc</f>
        <v/>
      </c>
      <c r="P334" s="639" t="n"/>
      <c r="Q334" s="639" t="n"/>
      <c r="R334" s="640" t="n"/>
    </row>
    <row r="335" outlineLevel="1">
      <c r="A335" s="278" t="inlineStr">
        <is>
          <t>MAT</t>
        </is>
      </c>
      <c r="B335" s="282" t="n"/>
      <c r="C335" s="578">
        <f>_xlfn.XLOOKUP(D335,'INSUMOS MAT '!B:B,'INSUMOS MAT '!C:C,"ERROR",0)</f>
        <v/>
      </c>
      <c r="D335" s="305" t="inlineStr">
        <is>
          <t>MAT08-0446</t>
        </is>
      </c>
      <c r="E335" s="623">
        <f>+_xlfn.XLOOKUP(D335,'BASE DATOS PRECIOS '!B:B,'BASE DATOS PRECIOS '!C:C)</f>
        <v/>
      </c>
      <c r="F335" s="287" t="n">
        <v>2</v>
      </c>
      <c r="G335" s="621">
        <f>+_xlfn.XLOOKUP(D335,'BASE DATOS PRECIOS '!B:B,'BASE DATOS PRECIOS '!D:D)</f>
        <v/>
      </c>
      <c r="H335" s="620">
        <f>+_xlfn.XLOOKUP(E335,'BASE DATOS PRECIOS '!C:C,'BASE DATOS PRECIOS '!F:F)</f>
        <v/>
      </c>
      <c r="I335" s="621" t="n"/>
      <c r="J335" s="621" t="n"/>
      <c r="K335" s="620">
        <f>+F335*H335</f>
        <v/>
      </c>
      <c r="L335" s="620">
        <f>+F335*I335</f>
        <v/>
      </c>
      <c r="M335" s="620">
        <f>+F335*J335</f>
        <v/>
      </c>
      <c r="N335" s="620">
        <f>SUM(K335:M335)</f>
        <v/>
      </c>
      <c r="O335" s="622">
        <f>SUM(K335:M335)/tc</f>
        <v/>
      </c>
      <c r="P335" s="639" t="n"/>
      <c r="Q335" s="639" t="n"/>
      <c r="R335" s="640" t="n"/>
    </row>
    <row r="336" outlineLevel="1">
      <c r="A336" s="278" t="inlineStr">
        <is>
          <t>MAT</t>
        </is>
      </c>
      <c r="B336" s="282" t="n"/>
      <c r="C336" s="578">
        <f>_xlfn.XLOOKUP(D336,'INSUMOS MAT '!B:B,'INSUMOS MAT '!C:C,"ERROR",0)</f>
        <v/>
      </c>
      <c r="D336" s="305" t="inlineStr">
        <is>
          <t>MAT08-0116</t>
        </is>
      </c>
      <c r="E336" s="623">
        <f>+_xlfn.XLOOKUP(D336,'BASE DATOS PRECIOS '!B:B,'BASE DATOS PRECIOS '!C:C)</f>
        <v/>
      </c>
      <c r="F336" s="287" t="n">
        <v>10</v>
      </c>
      <c r="G336" s="621">
        <f>+_xlfn.XLOOKUP(D336,'BASE DATOS PRECIOS '!B:B,'BASE DATOS PRECIOS '!D:D)</f>
        <v/>
      </c>
      <c r="H336" s="620">
        <f>+_xlfn.XLOOKUP(E336,'BASE DATOS PRECIOS '!C:C,'BASE DATOS PRECIOS '!F:F)</f>
        <v/>
      </c>
      <c r="I336" s="621" t="n"/>
      <c r="J336" s="621" t="n"/>
      <c r="K336" s="620">
        <f>+F336*H336</f>
        <v/>
      </c>
      <c r="L336" s="620">
        <f>+F336*I336</f>
        <v/>
      </c>
      <c r="M336" s="620">
        <f>+F336*J336</f>
        <v/>
      </c>
      <c r="N336" s="620">
        <f>SUM(K336:M336)</f>
        <v/>
      </c>
      <c r="O336" s="622">
        <f>SUM(K336:M336)/tc</f>
        <v/>
      </c>
      <c r="P336" s="639" t="n"/>
      <c r="Q336" s="639" t="n"/>
      <c r="R336" s="640" t="n"/>
    </row>
    <row r="337" outlineLevel="1">
      <c r="A337" s="278" t="inlineStr">
        <is>
          <t>MAT</t>
        </is>
      </c>
      <c r="B337" s="282" t="n"/>
      <c r="C337" s="578">
        <f>_xlfn.XLOOKUP(D337,'INSUMOS MAT '!B:B,'INSUMOS MAT '!C:C,"ERROR",0)</f>
        <v/>
      </c>
      <c r="D337" s="305" t="inlineStr">
        <is>
          <t>MAT16-0002</t>
        </is>
      </c>
      <c r="E337" s="653">
        <f>+_xlfn.XLOOKUP(D337,'BASE DATOS PRECIOS '!B:B,'BASE DATOS PRECIOS '!C:C)</f>
        <v/>
      </c>
      <c r="F337" s="322" t="n">
        <v>1</v>
      </c>
      <c r="G337" s="654">
        <f>+_xlfn.XLOOKUP(D337,'BASE DATOS PRECIOS '!B:B,'BASE DATOS PRECIOS '!D:D)</f>
        <v/>
      </c>
      <c r="H337" s="620">
        <f>+_xlfn.XLOOKUP(E337,'BASE DATOS PRECIOS '!C:C,'BASE DATOS PRECIOS '!F:F)</f>
        <v/>
      </c>
      <c r="I337" s="654" t="n"/>
      <c r="J337" s="654" t="n"/>
      <c r="K337" s="655">
        <f>+F337*H337</f>
        <v/>
      </c>
      <c r="L337" s="655">
        <f>+F337*I337</f>
        <v/>
      </c>
      <c r="M337" s="655">
        <f>+F337*J337</f>
        <v/>
      </c>
      <c r="N337" s="655">
        <f>SUM(K337:M337)</f>
        <v/>
      </c>
      <c r="O337" s="656">
        <f>SUM(K337:M337)/tc</f>
        <v/>
      </c>
      <c r="P337" s="639" t="n"/>
      <c r="Q337" s="639" t="n"/>
      <c r="R337" s="640" t="n"/>
    </row>
    <row r="338" outlineLevel="1">
      <c r="A338" s="278" t="inlineStr">
        <is>
          <t>MAT</t>
        </is>
      </c>
      <c r="B338" s="282" t="n"/>
      <c r="C338" s="578">
        <f>_xlfn.XLOOKUP(D338,'INSUMOS MAT '!B:B,'INSUMOS MAT '!C:C,"ERROR",0)</f>
        <v/>
      </c>
      <c r="D338" s="305" t="inlineStr">
        <is>
          <t>MAT16-0001</t>
        </is>
      </c>
      <c r="E338" s="653">
        <f>+_xlfn.XLOOKUP(D338,'BASE DATOS PRECIOS '!B:B,'BASE DATOS PRECIOS '!C:C)</f>
        <v/>
      </c>
      <c r="F338" s="322" t="n">
        <v>2</v>
      </c>
      <c r="G338" s="654">
        <f>+_xlfn.XLOOKUP(D338,'BASE DATOS PRECIOS '!B:B,'BASE DATOS PRECIOS '!D:D)</f>
        <v/>
      </c>
      <c r="H338" s="620">
        <f>+_xlfn.XLOOKUP(E338,'BASE DATOS PRECIOS '!C:C,'BASE DATOS PRECIOS '!F:F)</f>
        <v/>
      </c>
      <c r="I338" s="654" t="n"/>
      <c r="J338" s="654" t="n"/>
      <c r="K338" s="655">
        <f>+F338*H338</f>
        <v/>
      </c>
      <c r="L338" s="655">
        <f>+F338*I338</f>
        <v/>
      </c>
      <c r="M338" s="655">
        <f>+F338*J338</f>
        <v/>
      </c>
      <c r="N338" s="655">
        <f>SUM(K338:M338)</f>
        <v/>
      </c>
      <c r="O338" s="656">
        <f>SUM(K338:M338)/tc</f>
        <v/>
      </c>
      <c r="P338" s="639" t="n"/>
      <c r="Q338" s="639" t="n"/>
      <c r="R338" s="640" t="n"/>
    </row>
    <row r="339" outlineLevel="1">
      <c r="A339" s="278" t="inlineStr">
        <is>
          <t>MAT</t>
        </is>
      </c>
      <c r="B339" s="282" t="n"/>
      <c r="C339" s="578">
        <f>_xlfn.XLOOKUP(D339,'INSUMOS MAT '!B:B,'INSUMOS MAT '!C:C,"ERROR",0)</f>
        <v/>
      </c>
      <c r="D339" s="305" t="inlineStr">
        <is>
          <t>MAT16-0056</t>
        </is>
      </c>
      <c r="E339" s="653">
        <f>+_xlfn.XLOOKUP(D339,'BASE DATOS PRECIOS '!B:B,'BASE DATOS PRECIOS '!C:C)</f>
        <v/>
      </c>
      <c r="F339" s="322" t="n">
        <v>3</v>
      </c>
      <c r="G339" s="654">
        <f>+_xlfn.XLOOKUP(D339,'BASE DATOS PRECIOS '!B:B,'BASE DATOS PRECIOS '!D:D)</f>
        <v/>
      </c>
      <c r="H339" s="620">
        <f>+_xlfn.XLOOKUP(E339,'BASE DATOS PRECIOS '!C:C,'BASE DATOS PRECIOS '!F:F)</f>
        <v/>
      </c>
      <c r="I339" s="654" t="n"/>
      <c r="J339" s="654" t="n"/>
      <c r="K339" s="655">
        <f>+F339*H339</f>
        <v/>
      </c>
      <c r="L339" s="655">
        <f>+F339*I339</f>
        <v/>
      </c>
      <c r="M339" s="655">
        <f>+F339*J339</f>
        <v/>
      </c>
      <c r="N339" s="655">
        <f>SUM(K339:M339)</f>
        <v/>
      </c>
      <c r="O339" s="656">
        <f>SUM(K339:M339)/tc</f>
        <v/>
      </c>
      <c r="P339" s="639" t="n"/>
      <c r="Q339" s="639" t="n"/>
      <c r="R339" s="640" t="n"/>
    </row>
    <row r="340" outlineLevel="1">
      <c r="A340" s="278" t="inlineStr">
        <is>
          <t>MAT</t>
        </is>
      </c>
      <c r="B340" s="282" t="n"/>
      <c r="C340" s="580" t="n"/>
      <c r="D340" s="305" t="inlineStr">
        <is>
          <t>MAT08-0089</t>
        </is>
      </c>
      <c r="E340" s="653">
        <f>+_xlfn.XLOOKUP(D340,'BASE DATOS PRECIOS '!B:B,'BASE DATOS PRECIOS '!C:C)</f>
        <v/>
      </c>
      <c r="F340" s="322" t="n">
        <v>1</v>
      </c>
      <c r="G340" s="654">
        <f>+_xlfn.XLOOKUP(D340,'BASE DATOS PRECIOS '!B:B,'BASE DATOS PRECIOS '!D:D)</f>
        <v/>
      </c>
      <c r="H340" s="620">
        <f>+_xlfn.XLOOKUP(E340,'BASE DATOS PRECIOS '!C:C,'BASE DATOS PRECIOS '!F:F)</f>
        <v/>
      </c>
      <c r="I340" s="654" t="n"/>
      <c r="J340" s="654" t="n"/>
      <c r="K340" s="655">
        <f>+F340*H340</f>
        <v/>
      </c>
      <c r="L340" s="655">
        <f>+F340*I340</f>
        <v/>
      </c>
      <c r="M340" s="655">
        <f>+F340*J340</f>
        <v/>
      </c>
      <c r="N340" s="655">
        <f>SUM(K340:M340)</f>
        <v/>
      </c>
      <c r="O340" s="656">
        <f>SUM(K340:M340)/tc</f>
        <v/>
      </c>
      <c r="P340" s="639" t="n"/>
      <c r="Q340" s="639" t="n"/>
      <c r="R340" s="640" t="n"/>
    </row>
    <row r="341" outlineLevel="1">
      <c r="A341" s="278" t="inlineStr">
        <is>
          <t>MAT</t>
        </is>
      </c>
      <c r="B341" s="282" t="n"/>
      <c r="C341" s="578">
        <f>_xlfn.XLOOKUP(D341,'INSUMOS MAT '!B:B,'INSUMOS MAT '!C:C,"ERROR",0)</f>
        <v/>
      </c>
      <c r="D341" s="305" t="inlineStr">
        <is>
          <t>MAT08-0091</t>
        </is>
      </c>
      <c r="E341" s="653">
        <f>+_xlfn.XLOOKUP(D341,'BASE DATOS PRECIOS '!B:B,'BASE DATOS PRECIOS '!C:C)</f>
        <v/>
      </c>
      <c r="F341" s="322" t="n">
        <v>2</v>
      </c>
      <c r="G341" s="654">
        <f>+_xlfn.XLOOKUP(D341,'BASE DATOS PRECIOS '!B:B,'BASE DATOS PRECIOS '!D:D)</f>
        <v/>
      </c>
      <c r="H341" s="620">
        <f>+_xlfn.XLOOKUP(E341,'BASE DATOS PRECIOS '!C:C,'BASE DATOS PRECIOS '!F:F)</f>
        <v/>
      </c>
      <c r="I341" s="654" t="n"/>
      <c r="J341" s="654" t="n"/>
      <c r="K341" s="655">
        <f>+F341*H341</f>
        <v/>
      </c>
      <c r="L341" s="655">
        <f>+F341*I341</f>
        <v/>
      </c>
      <c r="M341" s="655">
        <f>+F341*J341</f>
        <v/>
      </c>
      <c r="N341" s="655">
        <f>SUM(K341:M341)</f>
        <v/>
      </c>
      <c r="O341" s="656">
        <f>SUM(K341:M341)/tc</f>
        <v/>
      </c>
      <c r="P341" s="639" t="n"/>
      <c r="Q341" s="639" t="n"/>
      <c r="R341" s="640" t="n"/>
    </row>
    <row r="342" outlineLevel="1">
      <c r="A342" s="278" t="inlineStr">
        <is>
          <t>MAT</t>
        </is>
      </c>
      <c r="B342" s="282" t="n"/>
      <c r="C342" s="578">
        <f>_xlfn.XLOOKUP(D342,'INSUMOS MAT '!B:B,'INSUMOS MAT '!C:C,"ERROR",0)</f>
        <v/>
      </c>
      <c r="D342" s="305" t="inlineStr">
        <is>
          <t>MAT08-0092</t>
        </is>
      </c>
      <c r="E342" s="653">
        <f>+_xlfn.XLOOKUP(D342,'BASE DATOS PRECIOS '!B:B,'BASE DATOS PRECIOS '!C:C)</f>
        <v/>
      </c>
      <c r="F342" s="322" t="n">
        <v>1</v>
      </c>
      <c r="G342" s="654">
        <f>+_xlfn.XLOOKUP(D342,'BASE DATOS PRECIOS '!B:B,'BASE DATOS PRECIOS '!D:D)</f>
        <v/>
      </c>
      <c r="H342" s="620">
        <f>+_xlfn.XLOOKUP(E342,'BASE DATOS PRECIOS '!C:C,'BASE DATOS PRECIOS '!F:F)</f>
        <v/>
      </c>
      <c r="I342" s="654" t="n"/>
      <c r="J342" s="654" t="n"/>
      <c r="K342" s="655">
        <f>+F342*H342</f>
        <v/>
      </c>
      <c r="L342" s="655">
        <f>+F342*I342</f>
        <v/>
      </c>
      <c r="M342" s="655">
        <f>+F342*J342</f>
        <v/>
      </c>
      <c r="N342" s="655">
        <f>SUM(K342:M342)</f>
        <v/>
      </c>
      <c r="O342" s="656">
        <f>SUM(K342:M342)/tc</f>
        <v/>
      </c>
      <c r="P342" s="639" t="n"/>
      <c r="Q342" s="639" t="n"/>
      <c r="R342" s="640" t="n"/>
    </row>
    <row r="343" outlineLevel="1">
      <c r="A343" s="278" t="inlineStr">
        <is>
          <t>MAT</t>
        </is>
      </c>
      <c r="B343" s="282" t="n"/>
      <c r="C343" s="578">
        <f>_xlfn.XLOOKUP(D343,'INSUMOS MAT '!B:B,'INSUMOS MAT '!C:C,"ERROR",0)</f>
        <v/>
      </c>
      <c r="D343" s="305" t="inlineStr">
        <is>
          <t>MAT16-0018</t>
        </is>
      </c>
      <c r="E343" s="653">
        <f>+_xlfn.XLOOKUP(D343,'BASE DATOS PRECIOS '!B:B,'BASE DATOS PRECIOS '!C:C)</f>
        <v/>
      </c>
      <c r="F343" s="322" t="n">
        <v>2</v>
      </c>
      <c r="G343" s="654">
        <f>+_xlfn.XLOOKUP(D343,'BASE DATOS PRECIOS '!B:B,'BASE DATOS PRECIOS '!D:D)</f>
        <v/>
      </c>
      <c r="H343" s="620">
        <f>+_xlfn.XLOOKUP(E343,'BASE DATOS PRECIOS '!C:C,'BASE DATOS PRECIOS '!F:F)</f>
        <v/>
      </c>
      <c r="I343" s="654" t="n"/>
      <c r="J343" s="654" t="n"/>
      <c r="K343" s="655">
        <f>+F343*H343</f>
        <v/>
      </c>
      <c r="L343" s="655">
        <f>+F343*I343</f>
        <v/>
      </c>
      <c r="M343" s="655">
        <f>+F343*J343</f>
        <v/>
      </c>
      <c r="N343" s="655">
        <f>SUM(K343:M343)</f>
        <v/>
      </c>
      <c r="O343" s="656">
        <f>SUM(K343:M343)/tc</f>
        <v/>
      </c>
      <c r="P343" s="639" t="n"/>
      <c r="Q343" s="639" t="n"/>
      <c r="R343" s="640" t="n"/>
    </row>
    <row r="344" outlineLevel="1">
      <c r="A344" s="278" t="inlineStr">
        <is>
          <t xml:space="preserve">MO </t>
        </is>
      </c>
      <c r="B344" s="282" t="inlineStr">
        <is>
          <t>05-02-01</t>
        </is>
      </c>
      <c r="C344" s="578" t="n"/>
      <c r="D344" s="386" t="inlineStr">
        <is>
          <t xml:space="preserve">OP CALIFICADO </t>
        </is>
      </c>
      <c r="E344" s="632">
        <f>+_xlfn.XLOOKUP(D344,'BASE DATOS MANO DE OBRA'!A:A,'BASE DATOS MANO DE OBRA'!B:B)</f>
        <v/>
      </c>
      <c r="F344" s="585" t="n">
        <v>0</v>
      </c>
      <c r="G344" s="633">
        <f>+_xlfn.XLOOKUP(D344,'BASE DATOS MANO DE OBRA'!A:A,'BASE DATOS MANO DE OBRA'!C:C)</f>
        <v/>
      </c>
      <c r="H344" s="634" t="n">
        <v>0</v>
      </c>
      <c r="I344" s="634">
        <f>+_xlfn.XLOOKUP(D344,'BASE DATOS MANO DE OBRA'!A:A,'BASE DATOS MANO DE OBRA'!E:E)</f>
        <v/>
      </c>
      <c r="J344" s="634" t="n">
        <v>0</v>
      </c>
      <c r="K344" s="634">
        <f>+F344*H344</f>
        <v/>
      </c>
      <c r="L344" s="634">
        <f>+F344*I344</f>
        <v/>
      </c>
      <c r="M344" s="634">
        <f>+F344*J344</f>
        <v/>
      </c>
      <c r="N344" s="634">
        <f>SUM(K344:M344)</f>
        <v/>
      </c>
      <c r="O344" s="635">
        <f>SUM(K344:M344)/tc</f>
        <v/>
      </c>
      <c r="P344" s="639" t="n"/>
      <c r="Q344" s="639" t="n"/>
      <c r="R344" s="640" t="n"/>
    </row>
    <row r="345" outlineLevel="1">
      <c r="A345" s="278" t="inlineStr">
        <is>
          <t xml:space="preserve">MO </t>
        </is>
      </c>
      <c r="B345" s="282" t="inlineStr">
        <is>
          <t>05-02-01</t>
        </is>
      </c>
      <c r="C345" s="578" t="n"/>
      <c r="D345" s="386" t="inlineStr">
        <is>
          <t xml:space="preserve">OP CALIFICADO </t>
        </is>
      </c>
      <c r="E345" s="632">
        <f>+_xlfn.XLOOKUP(D345,'BASE DATOS MANO DE OBRA'!A:A,'BASE DATOS MANO DE OBRA'!B:B)</f>
        <v/>
      </c>
      <c r="F345" s="585" t="n">
        <v>0</v>
      </c>
      <c r="G345" s="633">
        <f>+_xlfn.XLOOKUP(D345,'BASE DATOS MANO DE OBRA'!A:A,'BASE DATOS MANO DE OBRA'!C:C)</f>
        <v/>
      </c>
      <c r="H345" s="634" t="n">
        <v>0</v>
      </c>
      <c r="I345" s="634">
        <f>+_xlfn.XLOOKUP(D345,'BASE DATOS MANO DE OBRA'!A:A,'BASE DATOS MANO DE OBRA'!E:E)</f>
        <v/>
      </c>
      <c r="J345" s="634" t="n">
        <v>0</v>
      </c>
      <c r="K345" s="634">
        <f>+F345*H345</f>
        <v/>
      </c>
      <c r="L345" s="634">
        <f>+F345*I345</f>
        <v/>
      </c>
      <c r="M345" s="634">
        <f>+F345*J345</f>
        <v/>
      </c>
      <c r="N345" s="634">
        <f>SUM(K345:M345)</f>
        <v/>
      </c>
      <c r="O345" s="635">
        <f>SUM(K345:M345)/tc</f>
        <v/>
      </c>
      <c r="P345" s="639" t="n"/>
      <c r="Q345" s="639" t="n"/>
      <c r="R345" s="640" t="n"/>
    </row>
    <row r="346" outlineLevel="1">
      <c r="A346" s="278" t="inlineStr">
        <is>
          <t xml:space="preserve">MO </t>
        </is>
      </c>
      <c r="B346" s="282" t="inlineStr">
        <is>
          <t>05-02-02</t>
        </is>
      </c>
      <c r="C346" s="578" t="n"/>
      <c r="D346" s="386" t="inlineStr">
        <is>
          <t xml:space="preserve">OP CALIFICADO </t>
        </is>
      </c>
      <c r="E346" s="632">
        <f>+_xlfn.XLOOKUP(D346,'BASE DATOS MANO DE OBRA'!A:A,'BASE DATOS MANO DE OBRA'!B:B)</f>
        <v/>
      </c>
      <c r="F346" s="388" t="n">
        <v>9</v>
      </c>
      <c r="G346" s="633">
        <f>+_xlfn.XLOOKUP(D346,'BASE DATOS MANO DE OBRA'!A:A,'BASE DATOS MANO DE OBRA'!C:C)</f>
        <v/>
      </c>
      <c r="H346" s="634" t="n">
        <v>0</v>
      </c>
      <c r="I346" s="634">
        <f>+_xlfn.XLOOKUP(D346,'BASE DATOS MANO DE OBRA'!A:A,'BASE DATOS MANO DE OBRA'!E:E)</f>
        <v/>
      </c>
      <c r="J346" s="634" t="n">
        <v>0</v>
      </c>
      <c r="K346" s="634">
        <f>+F346*H346</f>
        <v/>
      </c>
      <c r="L346" s="634">
        <f>+F346*I346</f>
        <v/>
      </c>
      <c r="M346" s="634">
        <f>+F346*J346</f>
        <v/>
      </c>
      <c r="N346" s="634">
        <f>SUM(K346:M346)</f>
        <v/>
      </c>
      <c r="O346" s="635">
        <f>SUM(K346:M346)/tc</f>
        <v/>
      </c>
      <c r="P346" s="639" t="n"/>
      <c r="Q346" s="639" t="n"/>
      <c r="R346" s="640" t="n"/>
    </row>
    <row r="347" outlineLevel="1">
      <c r="A347" s="278" t="inlineStr">
        <is>
          <t xml:space="preserve">MO </t>
        </is>
      </c>
      <c r="B347" s="282" t="inlineStr">
        <is>
          <t>05-02-02</t>
        </is>
      </c>
      <c r="C347" s="578" t="n"/>
      <c r="D347" s="386" t="inlineStr">
        <is>
          <t xml:space="preserve">OP CALIFICADO </t>
        </is>
      </c>
      <c r="E347" s="632">
        <f>+_xlfn.XLOOKUP(D347,'BASE DATOS MANO DE OBRA'!A:A,'BASE DATOS MANO DE OBRA'!B:B)</f>
        <v/>
      </c>
      <c r="F347" s="388" t="n">
        <v>9</v>
      </c>
      <c r="G347" s="633">
        <f>+_xlfn.XLOOKUP(D347,'BASE DATOS MANO DE OBRA'!A:A,'BASE DATOS MANO DE OBRA'!C:C)</f>
        <v/>
      </c>
      <c r="H347" s="634" t="n">
        <v>0</v>
      </c>
      <c r="I347" s="634">
        <f>+_xlfn.XLOOKUP(D347,'BASE DATOS MANO DE OBRA'!A:A,'BASE DATOS MANO DE OBRA'!E:E)</f>
        <v/>
      </c>
      <c r="J347" s="634" t="n">
        <v>0</v>
      </c>
      <c r="K347" s="634">
        <f>+F347*H347</f>
        <v/>
      </c>
      <c r="L347" s="634">
        <f>+F347*I347</f>
        <v/>
      </c>
      <c r="M347" s="634">
        <f>+F347*J347</f>
        <v/>
      </c>
      <c r="N347" s="634">
        <f>SUM(K347:M347)</f>
        <v/>
      </c>
      <c r="O347" s="635">
        <f>SUM(K347:M347)/tc</f>
        <v/>
      </c>
      <c r="P347" s="639" t="n"/>
      <c r="Q347" s="639" t="n"/>
      <c r="R347" s="640" t="n"/>
    </row>
    <row r="348">
      <c r="A348" s="278" t="n"/>
      <c r="B348" s="282" t="inlineStr">
        <is>
          <t>05-03</t>
        </is>
      </c>
      <c r="C348" s="578" t="n"/>
      <c r="D348" s="406" t="inlineStr">
        <is>
          <t>5.3</t>
        </is>
      </c>
      <c r="E348" s="308" t="inlineStr">
        <is>
          <t xml:space="preserve">CUBIERTA TECHO CASA </t>
        </is>
      </c>
      <c r="F348" s="309" t="n">
        <v>62.05</v>
      </c>
      <c r="G348" s="310" t="inlineStr">
        <is>
          <t xml:space="preserve">m2 </t>
        </is>
      </c>
      <c r="H348" s="310" t="n"/>
      <c r="I348" s="310" t="n"/>
      <c r="J348" s="310" t="n"/>
      <c r="K348" s="636">
        <f>SUM(K349:K355)</f>
        <v/>
      </c>
      <c r="L348" s="636">
        <f>SUM(L349:L355)</f>
        <v/>
      </c>
      <c r="M348" s="636">
        <f>SUM(M349:M355)</f>
        <v/>
      </c>
      <c r="N348" s="636">
        <f>SUM(N349:N355)</f>
        <v/>
      </c>
      <c r="O348" s="615">
        <f>SUM(O349:O355)</f>
        <v/>
      </c>
      <c r="P348" s="639" t="n"/>
      <c r="Q348" s="639" t="n"/>
      <c r="R348" s="640" t="n"/>
    </row>
    <row r="349" outlineLevel="1">
      <c r="A349" s="278" t="inlineStr">
        <is>
          <t>MAT</t>
        </is>
      </c>
      <c r="B349" s="282" t="n"/>
      <c r="C349" s="578">
        <f>_xlfn.XLOOKUP(D349,'INSUMOS MAT '!B:B,'INSUMOS MAT '!C:C,"ERROR",0)</f>
        <v/>
      </c>
      <c r="D349" s="305" t="inlineStr">
        <is>
          <t>MAT05-0063</t>
        </is>
      </c>
      <c r="E349" s="623">
        <f>+_xlfn.XLOOKUP(D349,'BASE DATOS PRECIOS '!B:B,'BASE DATOS PRECIOS '!C:C)</f>
        <v/>
      </c>
      <c r="F349" s="287" t="n">
        <v>287.34</v>
      </c>
      <c r="G349" s="621">
        <f>+_xlfn.XLOOKUP(D349,'BASE DATOS PRECIOS '!B:B,'BASE DATOS PRECIOS '!D:D)</f>
        <v/>
      </c>
      <c r="H349" s="620">
        <f>+_xlfn.XLOOKUP(E349,'BASE DATOS PRECIOS '!C:C,'BASE DATOS PRECIOS '!F:F)</f>
        <v/>
      </c>
      <c r="I349" s="621" t="n"/>
      <c r="J349" s="621" t="n"/>
      <c r="K349" s="620">
        <f>+F349*H349</f>
        <v/>
      </c>
      <c r="L349" s="620">
        <f>+F349*I349</f>
        <v/>
      </c>
      <c r="M349" s="620">
        <f>+F349*J349</f>
        <v/>
      </c>
      <c r="N349" s="620">
        <f>SUM(K349:M349)</f>
        <v/>
      </c>
      <c r="O349" s="622">
        <f>SUM(K349:M349)/tc</f>
        <v/>
      </c>
      <c r="P349" s="639" t="n"/>
      <c r="Q349" s="639" t="n"/>
      <c r="R349" s="640" t="n"/>
    </row>
    <row r="350" outlineLevel="1">
      <c r="A350" s="278" t="inlineStr">
        <is>
          <t>MAT</t>
        </is>
      </c>
      <c r="B350" s="282" t="n"/>
      <c r="C350" s="578">
        <f>_xlfn.XLOOKUP(D350,'INSUMOS MAT '!B:B,'INSUMOS MAT '!C:C,"ERROR",0)</f>
        <v/>
      </c>
      <c r="D350" s="305" t="inlineStr">
        <is>
          <t>MAT05-0079</t>
        </is>
      </c>
      <c r="E350" s="623">
        <f>+_xlfn.XLOOKUP(D350,'BASE DATOS PRECIOS '!B:B,'BASE DATOS PRECIOS '!C:C)</f>
        <v/>
      </c>
      <c r="F350" s="287" t="n">
        <v>500</v>
      </c>
      <c r="G350" s="621">
        <f>+_xlfn.XLOOKUP(D350,'BASE DATOS PRECIOS '!B:B,'BASE DATOS PRECIOS '!D:D)</f>
        <v/>
      </c>
      <c r="H350" s="620">
        <f>+_xlfn.XLOOKUP(E350,'BASE DATOS PRECIOS '!C:C,'BASE DATOS PRECIOS '!F:F)</f>
        <v/>
      </c>
      <c r="I350" s="621" t="n"/>
      <c r="J350" s="621" t="n"/>
      <c r="K350" s="620">
        <f>+F350*H350</f>
        <v/>
      </c>
      <c r="L350" s="620">
        <f>+F350*I350</f>
        <v/>
      </c>
      <c r="M350" s="620">
        <f>+F350*J350</f>
        <v/>
      </c>
      <c r="N350" s="620">
        <f>SUM(K350:M350)</f>
        <v/>
      </c>
      <c r="O350" s="622">
        <f>SUM(K350:M350)/tc</f>
        <v/>
      </c>
      <c r="P350" s="639" t="n"/>
      <c r="Q350" s="639" t="n"/>
      <c r="R350" s="640" t="n"/>
    </row>
    <row r="351" outlineLevel="1">
      <c r="A351" s="278" t="inlineStr">
        <is>
          <t>MAT</t>
        </is>
      </c>
      <c r="B351" s="282" t="n"/>
      <c r="C351" s="578">
        <f>_xlfn.XLOOKUP(D351,'INSUMOS MAT '!B:B,'INSUMOS MAT '!C:C,"ERROR",0)</f>
        <v/>
      </c>
      <c r="D351" s="305" t="inlineStr">
        <is>
          <t>MAT21-0005</t>
        </is>
      </c>
      <c r="E351" s="623">
        <f>+_xlfn.XLOOKUP(D351,'BASE DATOS PRECIOS '!B:B,'BASE DATOS PRECIOS '!C:C)</f>
        <v/>
      </c>
      <c r="F351" s="287" t="n">
        <v>2</v>
      </c>
      <c r="G351" s="621">
        <f>+_xlfn.XLOOKUP(D351,'BASE DATOS PRECIOS '!B:B,'BASE DATOS PRECIOS '!D:D)</f>
        <v/>
      </c>
      <c r="H351" s="620">
        <f>+_xlfn.XLOOKUP(E351,'BASE DATOS PRECIOS '!C:C,'BASE DATOS PRECIOS '!F:F)</f>
        <v/>
      </c>
      <c r="I351" s="621" t="n"/>
      <c r="J351" s="621" t="n"/>
      <c r="K351" s="620">
        <f>+F351*H351</f>
        <v/>
      </c>
      <c r="L351" s="620">
        <f>+F351*I351</f>
        <v/>
      </c>
      <c r="M351" s="620">
        <f>+F351*J351</f>
        <v/>
      </c>
      <c r="N351" s="620">
        <f>SUM(K351:M351)</f>
        <v/>
      </c>
      <c r="O351" s="622">
        <f>SUM(K351:M351)/tc</f>
        <v/>
      </c>
      <c r="P351" s="639" t="n"/>
      <c r="Q351" s="639" t="n"/>
      <c r="R351" s="640" t="n"/>
    </row>
    <row r="352" outlineLevel="1">
      <c r="A352" s="278" t="inlineStr">
        <is>
          <t>MAT</t>
        </is>
      </c>
      <c r="B352" s="282" t="n"/>
      <c r="C352" s="578">
        <f>_xlfn.XLOOKUP(D352,'INSUMOS MAT '!B:B,'INSUMOS MAT '!C:C,"ERROR",0)</f>
        <v/>
      </c>
      <c r="D352" s="305" t="inlineStr">
        <is>
          <t>MAT05-0080</t>
        </is>
      </c>
      <c r="E352" s="623">
        <f>+_xlfn.XLOOKUP(D352,'BASE DATOS PRECIOS '!B:B,'BASE DATOS PRECIOS '!C:C)</f>
        <v/>
      </c>
      <c r="F352" s="287" t="n">
        <v>200</v>
      </c>
      <c r="G352" s="621">
        <f>+_xlfn.XLOOKUP(D352,'BASE DATOS PRECIOS '!B:B,'BASE DATOS PRECIOS '!D:D)</f>
        <v/>
      </c>
      <c r="H352" s="620">
        <f>+_xlfn.XLOOKUP(E352,'BASE DATOS PRECIOS '!C:C,'BASE DATOS PRECIOS '!F:F)</f>
        <v/>
      </c>
      <c r="I352" s="621" t="n"/>
      <c r="J352" s="621" t="n"/>
      <c r="K352" s="620">
        <f>+F352*H352</f>
        <v/>
      </c>
      <c r="L352" s="620">
        <f>+F352*I352</f>
        <v/>
      </c>
      <c r="M352" s="620">
        <f>+F352*J352</f>
        <v/>
      </c>
      <c r="N352" s="620">
        <f>SUM(K352:M352)</f>
        <v/>
      </c>
      <c r="O352" s="622">
        <f>SUM(K352:M352)/tc</f>
        <v/>
      </c>
      <c r="P352" s="639" t="n"/>
      <c r="Q352" s="639" t="n"/>
      <c r="R352" s="640" t="n"/>
    </row>
    <row r="353" outlineLevel="1">
      <c r="A353" s="278" t="n"/>
      <c r="B353" s="282" t="n"/>
      <c r="C353" s="578" t="n"/>
      <c r="D353" s="320" t="n"/>
      <c r="E353" s="645" t="inlineStr">
        <is>
          <t xml:space="preserve">FABRICACION DE CUBIERTA </t>
        </is>
      </c>
      <c r="F353" s="287" t="n"/>
      <c r="G353" s="621" t="n"/>
      <c r="H353" s="620" t="n"/>
      <c r="I353" s="621" t="n"/>
      <c r="J353" s="621" t="n"/>
      <c r="K353" s="620" t="n"/>
      <c r="L353" s="620" t="n"/>
      <c r="M353" s="620" t="n"/>
      <c r="N353" s="620" t="n"/>
      <c r="O353" s="622" t="n"/>
      <c r="P353" s="639" t="n"/>
      <c r="Q353" s="639" t="n"/>
      <c r="R353" s="640" t="n"/>
    </row>
    <row r="354" outlineLevel="1">
      <c r="A354" s="278" t="inlineStr">
        <is>
          <t xml:space="preserve">MO </t>
        </is>
      </c>
      <c r="B354" s="282" t="inlineStr">
        <is>
          <t>05-03-01</t>
        </is>
      </c>
      <c r="C354" s="578" t="n"/>
      <c r="D354" s="386" t="inlineStr">
        <is>
          <t xml:space="preserve">OPERARIO </t>
        </is>
      </c>
      <c r="E354" s="632">
        <f>+_xlfn.XLOOKUP(D354,'BASE DATOS MANO DE OBRA'!A:A,'BASE DATOS MANO DE OBRA'!B:B)</f>
        <v/>
      </c>
      <c r="F354" s="388" t="n">
        <v>8.5</v>
      </c>
      <c r="G354" s="633">
        <f>+_xlfn.XLOOKUP(D354,'BASE DATOS MANO DE OBRA'!A:A,'BASE DATOS MANO DE OBRA'!C:C)</f>
        <v/>
      </c>
      <c r="H354" s="634" t="n">
        <v>0</v>
      </c>
      <c r="I354" s="634">
        <f>+_xlfn.XLOOKUP(D354,'BASE DATOS MANO DE OBRA'!A:A,'BASE DATOS MANO DE OBRA'!E:E)</f>
        <v/>
      </c>
      <c r="J354" s="634" t="n">
        <v>0</v>
      </c>
      <c r="K354" s="634">
        <f>+F354*H354</f>
        <v/>
      </c>
      <c r="L354" s="634">
        <f>+F354*I354</f>
        <v/>
      </c>
      <c r="M354" s="634">
        <f>+F354*J354</f>
        <v/>
      </c>
      <c r="N354" s="634">
        <f>SUM(K354:M354)</f>
        <v/>
      </c>
      <c r="O354" s="635">
        <f>SUM(K354:M354)/tc</f>
        <v/>
      </c>
      <c r="P354" s="639" t="n"/>
      <c r="Q354" s="639" t="n"/>
      <c r="R354" s="640" t="n"/>
    </row>
    <row r="355" outlineLevel="1">
      <c r="A355" s="278" t="inlineStr">
        <is>
          <t xml:space="preserve">MO </t>
        </is>
      </c>
      <c r="B355" s="282" t="inlineStr">
        <is>
          <t>05-03-01</t>
        </is>
      </c>
      <c r="C355" s="578" t="n"/>
      <c r="D355" s="386" t="inlineStr">
        <is>
          <t xml:space="preserve">AYUDANTE </t>
        </is>
      </c>
      <c r="E355" s="632">
        <f>+_xlfn.XLOOKUP(D355,'BASE DATOS MANO DE OBRA'!A:A,'BASE DATOS MANO DE OBRA'!B:B)</f>
        <v/>
      </c>
      <c r="F355" s="388" t="n">
        <v>8.5</v>
      </c>
      <c r="G355" s="633">
        <f>+_xlfn.XLOOKUP(D355,'BASE DATOS MANO DE OBRA'!A:A,'BASE DATOS MANO DE OBRA'!C:C)</f>
        <v/>
      </c>
      <c r="H355" s="634" t="n">
        <v>0</v>
      </c>
      <c r="I355" s="634">
        <f>+_xlfn.XLOOKUP(D355,'BASE DATOS MANO DE OBRA'!A:A,'BASE DATOS MANO DE OBRA'!E:E)</f>
        <v/>
      </c>
      <c r="J355" s="634" t="n">
        <v>0</v>
      </c>
      <c r="K355" s="634">
        <f>+F355*H355</f>
        <v/>
      </c>
      <c r="L355" s="634">
        <f>+F355*I355</f>
        <v/>
      </c>
      <c r="M355" s="634">
        <f>+F355*J355</f>
        <v/>
      </c>
      <c r="N355" s="634">
        <f>SUM(K355:M355)</f>
        <v/>
      </c>
      <c r="O355" s="635">
        <f>SUM(K355:M355)/tc</f>
        <v/>
      </c>
      <c r="P355" s="639" t="n"/>
      <c r="Q355" s="639" t="n"/>
      <c r="R355" s="640" t="n"/>
    </row>
    <row r="356">
      <c r="A356" s="278" t="n"/>
      <c r="B356" s="282" t="inlineStr">
        <is>
          <t>05-04</t>
        </is>
      </c>
      <c r="C356" s="578" t="n"/>
      <c r="D356" s="406" t="inlineStr">
        <is>
          <t>5.4</t>
        </is>
      </c>
      <c r="E356" s="308" t="inlineStr">
        <is>
          <t xml:space="preserve">CUBIERTA TECHO COCHERA </t>
        </is>
      </c>
      <c r="F356" s="309" t="n">
        <v>27.62</v>
      </c>
      <c r="G356" s="310" t="inlineStr">
        <is>
          <t>m2</t>
        </is>
      </c>
      <c r="H356" s="310" t="n"/>
      <c r="I356" s="310" t="n"/>
      <c r="J356" s="310" t="n"/>
      <c r="K356" s="636">
        <f>SUM(K357:K367)</f>
        <v/>
      </c>
      <c r="L356" s="636">
        <f>SUM(L357:L367)</f>
        <v/>
      </c>
      <c r="M356" s="636">
        <f>SUM(M357:M367)</f>
        <v/>
      </c>
      <c r="N356" s="636">
        <f>SUM(N357:N367)</f>
        <v/>
      </c>
      <c r="O356" s="615">
        <f>SUM(O357:O367)</f>
        <v/>
      </c>
      <c r="P356" s="639" t="n"/>
      <c r="Q356" s="639" t="n"/>
      <c r="R356" s="640" t="n"/>
    </row>
    <row r="357" outlineLevel="1">
      <c r="A357" s="278" t="inlineStr">
        <is>
          <t>MAT</t>
        </is>
      </c>
      <c r="B357" s="282" t="n"/>
      <c r="C357" s="578">
        <f>_xlfn.XLOOKUP(D357,'INSUMOS MAT '!B:B,'INSUMOS MAT '!C:C,"ERROR",0)</f>
        <v/>
      </c>
      <c r="D357" s="305" t="inlineStr">
        <is>
          <t>MAT05-0032</t>
        </is>
      </c>
      <c r="E357" s="623">
        <f>+_xlfn.XLOOKUP(D357,'BASE DATOS PRECIOS '!B:B,'BASE DATOS PRECIOS '!C:C)</f>
        <v/>
      </c>
      <c r="F357" s="287" t="n">
        <v>3</v>
      </c>
      <c r="G357" s="621">
        <f>+_xlfn.XLOOKUP(D357,'BASE DATOS PRECIOS '!B:B,'BASE DATOS PRECIOS '!D:D)</f>
        <v/>
      </c>
      <c r="H357" s="620">
        <f>+_xlfn.XLOOKUP(E357,'BASE DATOS PRECIOS '!C:C,'BASE DATOS PRECIOS '!F:F)</f>
        <v/>
      </c>
      <c r="I357" s="621" t="n"/>
      <c r="J357" s="621" t="n"/>
      <c r="K357" s="620">
        <f>+F357*H357</f>
        <v/>
      </c>
      <c r="L357" s="620">
        <f>+F357*I357</f>
        <v/>
      </c>
      <c r="M357" s="620">
        <f>+F357*J357</f>
        <v/>
      </c>
      <c r="N357" s="620">
        <f>SUM(K357:M357)</f>
        <v/>
      </c>
      <c r="O357" s="622">
        <f>SUM(K357:M357)/tc</f>
        <v/>
      </c>
      <c r="P357" s="639" t="n"/>
      <c r="Q357" s="639" t="n"/>
      <c r="R357" s="640" t="n"/>
    </row>
    <row r="358" outlineLevel="1">
      <c r="A358" s="278" t="inlineStr">
        <is>
          <t>MAT</t>
        </is>
      </c>
      <c r="B358" s="282" t="n"/>
      <c r="C358" s="578">
        <f>_xlfn.XLOOKUP(D358,'INSUMOS MAT '!B:B,'INSUMOS MAT '!C:C,"ERROR",0)</f>
        <v/>
      </c>
      <c r="D358" s="305" t="inlineStr">
        <is>
          <t>MAT05-0046</t>
        </is>
      </c>
      <c r="E358" s="623">
        <f>+_xlfn.XLOOKUP(D358,'BASE DATOS PRECIOS '!B:B,'BASE DATOS PRECIOS '!C:C)</f>
        <v/>
      </c>
      <c r="F358" s="287" t="n">
        <v>1</v>
      </c>
      <c r="G358" s="621">
        <f>+_xlfn.XLOOKUP(D358,'BASE DATOS PRECIOS '!B:B,'BASE DATOS PRECIOS '!D:D)</f>
        <v/>
      </c>
      <c r="H358" s="620">
        <f>+_xlfn.XLOOKUP(E358,'BASE DATOS PRECIOS '!C:C,'BASE DATOS PRECIOS '!F:F)</f>
        <v/>
      </c>
      <c r="I358" s="621" t="n"/>
      <c r="J358" s="621" t="n"/>
      <c r="K358" s="620">
        <f>+F358*H358</f>
        <v/>
      </c>
      <c r="L358" s="620">
        <f>+F358*I358</f>
        <v/>
      </c>
      <c r="M358" s="620">
        <f>+F358*J358</f>
        <v/>
      </c>
      <c r="N358" s="620">
        <f>SUM(K358:M358)</f>
        <v/>
      </c>
      <c r="O358" s="622">
        <f>SUM(K358:M358)/tc</f>
        <v/>
      </c>
      <c r="P358" s="639" t="n"/>
      <c r="Q358" s="639" t="n"/>
      <c r="R358" s="640" t="n"/>
    </row>
    <row r="359" outlineLevel="1">
      <c r="A359" s="278" t="inlineStr">
        <is>
          <t>MAT</t>
        </is>
      </c>
      <c r="B359" s="282" t="n"/>
      <c r="C359" s="578">
        <f>_xlfn.XLOOKUP(D359,'INSUMOS MAT '!B:B,'INSUMOS MAT '!C:C,"ERROR",0)</f>
        <v/>
      </c>
      <c r="D359" s="305" t="inlineStr">
        <is>
          <t>MAT05-0068</t>
        </is>
      </c>
      <c r="E359" s="623">
        <f>+_xlfn.XLOOKUP(D359,'BASE DATOS PRECIOS '!B:B,'BASE DATOS PRECIOS '!C:C)</f>
        <v/>
      </c>
      <c r="F359" s="287" t="n">
        <v>2</v>
      </c>
      <c r="G359" s="621">
        <f>+_xlfn.XLOOKUP(D359,'BASE DATOS PRECIOS '!B:B,'BASE DATOS PRECIOS '!D:D)</f>
        <v/>
      </c>
      <c r="H359" s="620">
        <f>+_xlfn.XLOOKUP(E359,'BASE DATOS PRECIOS '!C:C,'BASE DATOS PRECIOS '!F:F)</f>
        <v/>
      </c>
      <c r="I359" s="621" t="n"/>
      <c r="J359" s="621" t="n"/>
      <c r="K359" s="620">
        <f>+F359*H359</f>
        <v/>
      </c>
      <c r="L359" s="620">
        <f>+F359*I359</f>
        <v/>
      </c>
      <c r="M359" s="620">
        <f>+F359*J359</f>
        <v/>
      </c>
      <c r="N359" s="620">
        <f>SUM(K359:M359)</f>
        <v/>
      </c>
      <c r="O359" s="622">
        <f>SUM(K359:M359)/tc</f>
        <v/>
      </c>
      <c r="P359" s="639" t="n"/>
      <c r="Q359" s="639" t="n"/>
      <c r="R359" s="640" t="n"/>
    </row>
    <row r="360" outlineLevel="1">
      <c r="A360" s="278" t="inlineStr">
        <is>
          <t>MAT</t>
        </is>
      </c>
      <c r="B360" s="282" t="n"/>
      <c r="C360" s="578">
        <f>_xlfn.XLOOKUP(D360,'INSUMOS MAT '!B:B,'INSUMOS MAT '!C:C,"ERROR",0)</f>
        <v/>
      </c>
      <c r="D360" s="305" t="inlineStr">
        <is>
          <t>MAT05-0069</t>
        </is>
      </c>
      <c r="E360" s="623">
        <f>+_xlfn.XLOOKUP(D360,'BASE DATOS PRECIOS '!B:B,'BASE DATOS PRECIOS '!C:C)</f>
        <v/>
      </c>
      <c r="F360" s="287" t="n">
        <v>1</v>
      </c>
      <c r="G360" s="621">
        <f>+_xlfn.XLOOKUP(D360,'BASE DATOS PRECIOS '!B:B,'BASE DATOS PRECIOS '!D:D)</f>
        <v/>
      </c>
      <c r="H360" s="620">
        <f>+_xlfn.XLOOKUP(E360,'BASE DATOS PRECIOS '!C:C,'BASE DATOS PRECIOS '!F:F)</f>
        <v/>
      </c>
      <c r="I360" s="621" t="n"/>
      <c r="J360" s="621" t="n"/>
      <c r="K360" s="620">
        <f>+F360*H360</f>
        <v/>
      </c>
      <c r="L360" s="620">
        <f>+F360*I360</f>
        <v/>
      </c>
      <c r="M360" s="620">
        <f>+F360*J360</f>
        <v/>
      </c>
      <c r="N360" s="620">
        <f>SUM(K360:M360)</f>
        <v/>
      </c>
      <c r="O360" s="622">
        <f>SUM(K360:M360)/tc</f>
        <v/>
      </c>
      <c r="P360" s="639" t="n"/>
      <c r="Q360" s="639" t="n"/>
      <c r="R360" s="640" t="n"/>
    </row>
    <row r="361" outlineLevel="1">
      <c r="A361" s="278" t="inlineStr">
        <is>
          <t>MAT</t>
        </is>
      </c>
      <c r="B361" s="282" t="n"/>
      <c r="C361" s="578">
        <f>_xlfn.XLOOKUP(D361,'INSUMOS MAT '!B:B,'INSUMOS MAT '!C:C,"ERROR",0)</f>
        <v/>
      </c>
      <c r="D361" s="305" t="inlineStr">
        <is>
          <t>MAT05-0072</t>
        </is>
      </c>
      <c r="E361" s="623">
        <f>+_xlfn.XLOOKUP(D361,'BASE DATOS PRECIOS '!B:B,'BASE DATOS PRECIOS '!C:C)</f>
        <v/>
      </c>
      <c r="F361" s="287" t="n">
        <v>30</v>
      </c>
      <c r="G361" s="621">
        <f>+_xlfn.XLOOKUP(D361,'BASE DATOS PRECIOS '!B:B,'BASE DATOS PRECIOS '!D:D)</f>
        <v/>
      </c>
      <c r="H361" s="620">
        <f>+_xlfn.XLOOKUP(E361,'BASE DATOS PRECIOS '!C:C,'BASE DATOS PRECIOS '!F:F)</f>
        <v/>
      </c>
      <c r="I361" s="621" t="n"/>
      <c r="J361" s="621" t="n"/>
      <c r="K361" s="620">
        <f>+F361*H361</f>
        <v/>
      </c>
      <c r="L361" s="620">
        <f>+F361*I361</f>
        <v/>
      </c>
      <c r="M361" s="620">
        <f>+F361*J361</f>
        <v/>
      </c>
      <c r="N361" s="620">
        <f>SUM(K361:M361)</f>
        <v/>
      </c>
      <c r="O361" s="622">
        <f>SUM(K361:M361)/tc</f>
        <v/>
      </c>
      <c r="P361" s="639" t="n"/>
      <c r="Q361" s="639" t="n"/>
      <c r="R361" s="640" t="n"/>
    </row>
    <row r="362" outlineLevel="1">
      <c r="A362" s="278" t="inlineStr">
        <is>
          <t>MAT</t>
        </is>
      </c>
      <c r="B362" s="282" t="n"/>
      <c r="C362" s="578">
        <f>_xlfn.XLOOKUP(D362,'INSUMOS MAT '!B:B,'INSUMOS MAT '!C:C,"ERROR",0)</f>
        <v/>
      </c>
      <c r="D362" s="305" t="inlineStr">
        <is>
          <t>MAT05-0075</t>
        </is>
      </c>
      <c r="E362" s="623">
        <f>+_xlfn.XLOOKUP(D362,'BASE DATOS PRECIOS '!B:B,'BASE DATOS PRECIOS '!C:C)</f>
        <v/>
      </c>
      <c r="F362" s="287" t="n">
        <v>6</v>
      </c>
      <c r="G362" s="621">
        <f>+_xlfn.XLOOKUP(D362,'BASE DATOS PRECIOS '!B:B,'BASE DATOS PRECIOS '!D:D)</f>
        <v/>
      </c>
      <c r="H362" s="620">
        <f>+_xlfn.XLOOKUP(E362,'BASE DATOS PRECIOS '!C:C,'BASE DATOS PRECIOS '!F:F)</f>
        <v/>
      </c>
      <c r="I362" s="621" t="n"/>
      <c r="J362" s="621" t="n"/>
      <c r="K362" s="620">
        <f>+F362*H362</f>
        <v/>
      </c>
      <c r="L362" s="620">
        <f>+F362*I362</f>
        <v/>
      </c>
      <c r="M362" s="620">
        <f>+F362*J362</f>
        <v/>
      </c>
      <c r="N362" s="620">
        <f>SUM(K362:M362)</f>
        <v/>
      </c>
      <c r="O362" s="622">
        <f>SUM(K362:M362)/tc</f>
        <v/>
      </c>
      <c r="P362" s="639" t="n"/>
      <c r="Q362" s="639" t="n"/>
      <c r="R362" s="640" t="n"/>
    </row>
    <row r="363" outlineLevel="1">
      <c r="A363" s="278" t="inlineStr">
        <is>
          <t>MAT</t>
        </is>
      </c>
      <c r="B363" s="282" t="n"/>
      <c r="C363" s="578">
        <f>_xlfn.XLOOKUP(D363,'INSUMOS MAT '!B:B,'INSUMOS MAT '!C:C,"ERROR",0)</f>
        <v/>
      </c>
      <c r="D363" s="305" t="inlineStr">
        <is>
          <t>MAT05-0076</t>
        </is>
      </c>
      <c r="E363" s="623">
        <f>+_xlfn.XLOOKUP(D363,'BASE DATOS PRECIOS '!B:B,'BASE DATOS PRECIOS '!C:C)</f>
        <v/>
      </c>
      <c r="F363" s="287" t="n">
        <v>6</v>
      </c>
      <c r="G363" s="621">
        <f>+_xlfn.XLOOKUP(D363,'BASE DATOS PRECIOS '!B:B,'BASE DATOS PRECIOS '!D:D)</f>
        <v/>
      </c>
      <c r="H363" s="620">
        <f>+_xlfn.XLOOKUP(E363,'BASE DATOS PRECIOS '!C:C,'BASE DATOS PRECIOS '!F:F)</f>
        <v/>
      </c>
      <c r="I363" s="621" t="n"/>
      <c r="J363" s="621" t="n"/>
      <c r="K363" s="620">
        <f>+F363*H363</f>
        <v/>
      </c>
      <c r="L363" s="620">
        <f>+F363*I363</f>
        <v/>
      </c>
      <c r="M363" s="620">
        <f>+F363*J363</f>
        <v/>
      </c>
      <c r="N363" s="620">
        <f>SUM(K363:M363)</f>
        <v/>
      </c>
      <c r="O363" s="622">
        <f>SUM(K363:M363)/tc</f>
        <v/>
      </c>
      <c r="P363" s="639" t="n"/>
      <c r="Q363" s="639" t="n"/>
      <c r="R363" s="640" t="n"/>
    </row>
    <row r="364" outlineLevel="1">
      <c r="A364" s="278" t="inlineStr">
        <is>
          <t>MAT</t>
        </is>
      </c>
      <c r="B364" s="282" t="n"/>
      <c r="C364" s="578">
        <f>_xlfn.XLOOKUP(D364,'INSUMOS MAT '!B:B,'INSUMOS MAT '!C:C,"ERROR",0)</f>
        <v/>
      </c>
      <c r="D364" s="305" t="inlineStr">
        <is>
          <t>MAT05-0077</t>
        </is>
      </c>
      <c r="E364" s="623">
        <f>+_xlfn.XLOOKUP(D364,'BASE DATOS PRECIOS '!B:B,'BASE DATOS PRECIOS '!C:C)</f>
        <v/>
      </c>
      <c r="F364" s="287" t="n">
        <v>3</v>
      </c>
      <c r="G364" s="621">
        <f>+_xlfn.XLOOKUP(D364,'BASE DATOS PRECIOS '!B:B,'BASE DATOS PRECIOS '!D:D)</f>
        <v/>
      </c>
      <c r="H364" s="620">
        <f>+_xlfn.XLOOKUP(E364,'BASE DATOS PRECIOS '!C:C,'BASE DATOS PRECIOS '!F:F)</f>
        <v/>
      </c>
      <c r="I364" s="621" t="n"/>
      <c r="J364" s="621" t="n"/>
      <c r="K364" s="620">
        <f>+F364*H364</f>
        <v/>
      </c>
      <c r="L364" s="620">
        <f>+F364*I364</f>
        <v/>
      </c>
      <c r="M364" s="620">
        <f>+F364*J364</f>
        <v/>
      </c>
      <c r="N364" s="620">
        <f>SUM(K364:M364)</f>
        <v/>
      </c>
      <c r="O364" s="622">
        <f>SUM(K364:M364)/tc</f>
        <v/>
      </c>
      <c r="P364" s="639" t="n"/>
      <c r="Q364" s="639" t="n"/>
      <c r="R364" s="640" t="n"/>
    </row>
    <row r="365" outlineLevel="1">
      <c r="A365" s="278" t="inlineStr">
        <is>
          <t>MAT</t>
        </is>
      </c>
      <c r="B365" s="282" t="n"/>
      <c r="C365" s="578">
        <f>_xlfn.XLOOKUP(D365,'INSUMOS MAT '!B:B,'INSUMOS MAT '!C:C,"ERROR",0)</f>
        <v/>
      </c>
      <c r="D365" s="305" t="inlineStr">
        <is>
          <t>MAT08-0335</t>
        </is>
      </c>
      <c r="E365" s="623">
        <f>+_xlfn.XLOOKUP(D365,'BASE DATOS PRECIOS '!B:B,'BASE DATOS PRECIOS '!C:C)</f>
        <v/>
      </c>
      <c r="F365" s="287" t="n">
        <v>60</v>
      </c>
      <c r="G365" s="621">
        <f>+_xlfn.XLOOKUP(D365,'BASE DATOS PRECIOS '!B:B,'BASE DATOS PRECIOS '!D:D)</f>
        <v/>
      </c>
      <c r="H365" s="620">
        <f>+_xlfn.XLOOKUP(E365,'BASE DATOS PRECIOS '!C:C,'BASE DATOS PRECIOS '!F:F)</f>
        <v/>
      </c>
      <c r="I365" s="621" t="n"/>
      <c r="J365" s="621" t="n"/>
      <c r="K365" s="620">
        <f>+F365*H365</f>
        <v/>
      </c>
      <c r="L365" s="620">
        <f>+F365*I365</f>
        <v/>
      </c>
      <c r="M365" s="620">
        <f>+F365*J365</f>
        <v/>
      </c>
      <c r="N365" s="620">
        <f>SUM(K365:M365)</f>
        <v/>
      </c>
      <c r="O365" s="622">
        <f>SUM(K365:M365)/tc</f>
        <v/>
      </c>
      <c r="P365" s="639" t="n"/>
      <c r="Q365" s="639" t="n"/>
      <c r="R365" s="640" t="n"/>
    </row>
    <row r="366" outlineLevel="1">
      <c r="A366" s="278" t="inlineStr">
        <is>
          <t xml:space="preserve">MO </t>
        </is>
      </c>
      <c r="B366" s="282" t="inlineStr">
        <is>
          <t>05-04-01</t>
        </is>
      </c>
      <c r="C366" s="578" t="n"/>
      <c r="D366" s="386" t="inlineStr">
        <is>
          <t xml:space="preserve">OPERARIO </t>
        </is>
      </c>
      <c r="E366" s="632">
        <f>+_xlfn.XLOOKUP(D366,'BASE DATOS MANO DE OBRA'!A:A,'BASE DATOS MANO DE OBRA'!B:B)</f>
        <v/>
      </c>
      <c r="F366" s="388" t="n">
        <v>6.5</v>
      </c>
      <c r="G366" s="633">
        <f>+_xlfn.XLOOKUP(D366,'BASE DATOS MANO DE OBRA'!A:A,'BASE DATOS MANO DE OBRA'!C:C)</f>
        <v/>
      </c>
      <c r="H366" s="634" t="n">
        <v>0</v>
      </c>
      <c r="I366" s="634">
        <f>+_xlfn.XLOOKUP(D366,'BASE DATOS MANO DE OBRA'!A:A,'BASE DATOS MANO DE OBRA'!E:E)</f>
        <v/>
      </c>
      <c r="J366" s="634" t="n">
        <v>0</v>
      </c>
      <c r="K366" s="634">
        <f>+F366*H366</f>
        <v/>
      </c>
      <c r="L366" s="634">
        <f>+F366*I366</f>
        <v/>
      </c>
      <c r="M366" s="634">
        <f>+F366*J366</f>
        <v/>
      </c>
      <c r="N366" s="634">
        <f>SUM(K366:M366)</f>
        <v/>
      </c>
      <c r="O366" s="635">
        <f>SUM(K366:M366)/tc</f>
        <v/>
      </c>
      <c r="P366" s="639" t="n"/>
      <c r="Q366" s="639" t="n"/>
      <c r="R366" s="640" t="n"/>
    </row>
    <row r="367" outlineLevel="1">
      <c r="A367" s="278" t="inlineStr">
        <is>
          <t xml:space="preserve">MO </t>
        </is>
      </c>
      <c r="B367" s="282" t="inlineStr">
        <is>
          <t>05-04-01</t>
        </is>
      </c>
      <c r="C367" s="578" t="n"/>
      <c r="D367" s="386" t="inlineStr">
        <is>
          <t xml:space="preserve">AYUDANTE </t>
        </is>
      </c>
      <c r="E367" s="632">
        <f>+_xlfn.XLOOKUP(D367,'BASE DATOS MANO DE OBRA'!A:A,'BASE DATOS MANO DE OBRA'!B:B)</f>
        <v/>
      </c>
      <c r="F367" s="388" t="n">
        <v>7</v>
      </c>
      <c r="G367" s="633">
        <f>+_xlfn.XLOOKUP(D367,'BASE DATOS MANO DE OBRA'!A:A,'BASE DATOS MANO DE OBRA'!C:C)</f>
        <v/>
      </c>
      <c r="H367" s="634" t="n">
        <v>0</v>
      </c>
      <c r="I367" s="634">
        <f>+_xlfn.XLOOKUP(D367,'BASE DATOS MANO DE OBRA'!A:A,'BASE DATOS MANO DE OBRA'!E:E)</f>
        <v/>
      </c>
      <c r="J367" s="634" t="n">
        <v>0</v>
      </c>
      <c r="K367" s="634">
        <f>+F367*H367</f>
        <v/>
      </c>
      <c r="L367" s="634">
        <f>+F367*I367</f>
        <v/>
      </c>
      <c r="M367" s="634">
        <f>+F367*J367</f>
        <v/>
      </c>
      <c r="N367" s="634">
        <f>SUM(K367:M367)</f>
        <v/>
      </c>
      <c r="O367" s="635">
        <f>SUM(K367:M367)/tc</f>
        <v/>
      </c>
      <c r="P367" s="639" t="n"/>
      <c r="Q367" s="639" t="n"/>
      <c r="R367" s="640" t="n"/>
    </row>
    <row r="368" ht="15" customHeight="1">
      <c r="A368" s="278" t="n"/>
      <c r="B368" s="282" t="inlineStr">
        <is>
          <t>05-05</t>
        </is>
      </c>
      <c r="C368" s="578" t="n"/>
      <c r="D368" s="307" t="inlineStr">
        <is>
          <t>5.5</t>
        </is>
      </c>
      <c r="E368" s="308" t="inlineStr">
        <is>
          <t xml:space="preserve">HOJALATERIA Y CANOAS </t>
        </is>
      </c>
      <c r="F368" s="309" t="n">
        <v>1</v>
      </c>
      <c r="G368" s="310" t="inlineStr">
        <is>
          <t>gb</t>
        </is>
      </c>
      <c r="H368" s="310" t="n"/>
      <c r="I368" s="310" t="n"/>
      <c r="J368" s="310" t="n"/>
      <c r="K368" s="636">
        <f>SUM(K369:K379)</f>
        <v/>
      </c>
      <c r="L368" s="636">
        <f>SUM(L369:L379)</f>
        <v/>
      </c>
      <c r="M368" s="636">
        <f>SUM(M369:M379)</f>
        <v/>
      </c>
      <c r="N368" s="636">
        <f>SUM(N369:N379)</f>
        <v/>
      </c>
      <c r="O368" s="615">
        <f>SUM(O369:O379)</f>
        <v/>
      </c>
      <c r="R368" s="616" t="n"/>
    </row>
    <row r="369" outlineLevel="1" ht="15.6" customHeight="1">
      <c r="A369" s="278" t="inlineStr">
        <is>
          <t>MAT</t>
        </is>
      </c>
      <c r="B369" s="282" t="n"/>
      <c r="C369" s="580" t="n"/>
      <c r="D369" s="545" t="inlineStr">
        <is>
          <t xml:space="preserve">CANOA </t>
        </is>
      </c>
      <c r="E369" s="644">
        <f>+_xlfn.XLOOKUP(D369,'BASE DATOS PRECIOS '!B:B,'BASE DATOS PRECIOS '!C:C)</f>
        <v/>
      </c>
      <c r="F369" s="547" t="n">
        <v>19</v>
      </c>
      <c r="G369" s="660">
        <f>+_xlfn.XLOOKUP(D369,'BASE DATOS PRECIOS '!B:B,'BASE DATOS PRECIOS '!D:D)</f>
        <v/>
      </c>
      <c r="H369" s="620">
        <f>+_xlfn.XLOOKUP(E369,'BASE DATOS PRECIOS '!C:C,'BASE DATOS PRECIOS '!F:F)</f>
        <v/>
      </c>
      <c r="I369" s="621" t="n"/>
      <c r="J369" s="621" t="n"/>
      <c r="K369" s="620">
        <f>+F369*H369</f>
        <v/>
      </c>
      <c r="L369" s="620">
        <f>+F369*I369</f>
        <v/>
      </c>
      <c r="M369" s="620">
        <f>+F369*J369</f>
        <v/>
      </c>
      <c r="N369" s="620">
        <f>SUM(K369:M369)</f>
        <v/>
      </c>
      <c r="O369" s="622">
        <f>SUM(K369:M369)/tc</f>
        <v/>
      </c>
    </row>
    <row r="370" outlineLevel="1" ht="15" customHeight="1">
      <c r="A370" s="278" t="inlineStr">
        <is>
          <t>MAT</t>
        </is>
      </c>
      <c r="B370" s="282" t="n"/>
      <c r="C370" s="580" t="n"/>
      <c r="D370" s="545" t="inlineStr">
        <is>
          <t xml:space="preserve">BOTAGUA </t>
        </is>
      </c>
      <c r="E370" s="644">
        <f>+_xlfn.XLOOKUP(D370,'BASE DATOS PRECIOS '!B:B,'BASE DATOS PRECIOS '!C:C)</f>
        <v/>
      </c>
      <c r="F370" s="547" t="n">
        <v>29</v>
      </c>
      <c r="G370" s="660">
        <f>+_xlfn.XLOOKUP(D370,'BASE DATOS PRECIOS '!B:B,'BASE DATOS PRECIOS '!D:D)</f>
        <v/>
      </c>
      <c r="H370" s="620">
        <f>+_xlfn.XLOOKUP(E370,'BASE DATOS PRECIOS '!C:C,'BASE DATOS PRECIOS '!F:F)</f>
        <v/>
      </c>
      <c r="I370" s="621" t="n"/>
      <c r="J370" s="621" t="n"/>
      <c r="K370" s="620">
        <f>+F370*H370</f>
        <v/>
      </c>
      <c r="L370" s="620">
        <f>+F370*I370</f>
        <v/>
      </c>
      <c r="M370" s="620">
        <f>+F370*J370</f>
        <v/>
      </c>
      <c r="N370" s="620">
        <f>SUM(K370:M370)</f>
        <v/>
      </c>
      <c r="O370" s="622">
        <f>SUM(K370:M370)/tc</f>
        <v/>
      </c>
    </row>
    <row r="371" outlineLevel="1" ht="15" customHeight="1">
      <c r="A371" s="278" t="inlineStr">
        <is>
          <t>MAT</t>
        </is>
      </c>
      <c r="B371" s="282" t="n"/>
      <c r="C371" s="578">
        <f>_xlfn.XLOOKUP(D371,'INSUMOS MAT '!B:B,'INSUMOS MAT '!C:C,"ERROR",0)</f>
        <v/>
      </c>
      <c r="D371" s="305" t="inlineStr">
        <is>
          <t>MAT05-0079</t>
        </is>
      </c>
      <c r="E371" s="623">
        <f>+_xlfn.XLOOKUP(D371,'BASE DATOS PRECIOS '!B:B,'BASE DATOS PRECIOS '!C:C)</f>
        <v/>
      </c>
      <c r="F371" s="287" t="n">
        <v>500</v>
      </c>
      <c r="G371" s="621">
        <f>+_xlfn.XLOOKUP(D371,'BASE DATOS PRECIOS '!B:B,'BASE DATOS PRECIOS '!D:D)</f>
        <v/>
      </c>
      <c r="H371" s="620">
        <f>+_xlfn.XLOOKUP(E371,'BASE DATOS PRECIOS '!C:C,'BASE DATOS PRECIOS '!F:F)</f>
        <v/>
      </c>
      <c r="I371" s="621" t="n"/>
      <c r="J371" s="621" t="n"/>
      <c r="K371" s="620">
        <f>+F371*H371</f>
        <v/>
      </c>
      <c r="L371" s="620">
        <f>+F371*I371</f>
        <v/>
      </c>
      <c r="M371" s="620">
        <f>+F371*J371</f>
        <v/>
      </c>
      <c r="N371" s="620">
        <f>SUM(K371:M371)</f>
        <v/>
      </c>
      <c r="O371" s="622">
        <f>SUM(K371:M371)/tc</f>
        <v/>
      </c>
    </row>
    <row r="372" outlineLevel="1" ht="15" customHeight="1">
      <c r="A372" s="278" t="inlineStr">
        <is>
          <t>MAT</t>
        </is>
      </c>
      <c r="B372" s="282" t="n"/>
      <c r="C372" s="580" t="n"/>
      <c r="D372" s="305" t="inlineStr">
        <is>
          <t xml:space="preserve">GANCHO CANOA </t>
        </is>
      </c>
      <c r="E372" s="653">
        <f>+_xlfn.XLOOKUP(D372,'BASE DATOS PRECIOS '!B:B,'BASE DATOS PRECIOS '!C:C)</f>
        <v/>
      </c>
      <c r="F372" s="322" t="n">
        <v>20</v>
      </c>
      <c r="G372" s="654">
        <f>+_xlfn.XLOOKUP(D372,'BASE DATOS PRECIOS '!B:B,'BASE DATOS PRECIOS '!D:D)</f>
        <v/>
      </c>
      <c r="H372" s="620">
        <f>+_xlfn.XLOOKUP(E372,'BASE DATOS PRECIOS '!C:C,'BASE DATOS PRECIOS '!F:F)</f>
        <v/>
      </c>
      <c r="I372" s="654" t="n"/>
      <c r="J372" s="654" t="n"/>
      <c r="K372" s="655">
        <f>+F372*H372</f>
        <v/>
      </c>
      <c r="L372" s="655">
        <f>+F372*I372</f>
        <v/>
      </c>
      <c r="M372" s="655">
        <f>+F372*J372</f>
        <v/>
      </c>
      <c r="N372" s="655">
        <f>SUM(K372:M372)</f>
        <v/>
      </c>
      <c r="O372" s="656">
        <f>SUM(K372:M372)/tc</f>
        <v/>
      </c>
    </row>
    <row r="373" outlineLevel="1" ht="15" customHeight="1">
      <c r="A373" s="278" t="inlineStr">
        <is>
          <t>MAT</t>
        </is>
      </c>
      <c r="B373" s="282" t="n"/>
      <c r="C373" s="578" t="n"/>
      <c r="D373" s="407" t="n"/>
      <c r="E373" s="645" t="inlineStr">
        <is>
          <t xml:space="preserve">FABRICACION DE CANOAS Y BOTAGUAS </t>
        </is>
      </c>
      <c r="F373" s="322" t="n"/>
      <c r="G373" s="654" t="n"/>
      <c r="H373" s="654" t="n"/>
      <c r="I373" s="654" t="n"/>
      <c r="J373" s="654" t="n"/>
      <c r="K373" s="655" t="n"/>
      <c r="L373" s="655" t="n"/>
      <c r="M373" s="655" t="n"/>
      <c r="N373" s="655" t="n"/>
      <c r="O373" s="656" t="n"/>
      <c r="P373" s="616" t="n"/>
    </row>
    <row r="374" outlineLevel="1" ht="15" customHeight="1">
      <c r="A374" s="278" t="inlineStr">
        <is>
          <t xml:space="preserve">MO </t>
        </is>
      </c>
      <c r="B374" s="282" t="inlineStr">
        <is>
          <t>05-05-01</t>
        </is>
      </c>
      <c r="C374" s="578" t="n"/>
      <c r="D374" s="386" t="inlineStr">
        <is>
          <t xml:space="preserve">OPERARIO </t>
        </is>
      </c>
      <c r="E374" s="632">
        <f>+_xlfn.XLOOKUP(D374,'BASE DATOS MANO DE OBRA'!A:A,'BASE DATOS MANO DE OBRA'!B:B)</f>
        <v/>
      </c>
      <c r="F374" s="388" t="n">
        <v>11</v>
      </c>
      <c r="G374" s="633">
        <f>+_xlfn.XLOOKUP(D374,'BASE DATOS MANO DE OBRA'!A:A,'BASE DATOS MANO DE OBRA'!C:C)</f>
        <v/>
      </c>
      <c r="H374" s="634" t="n">
        <v>0</v>
      </c>
      <c r="I374" s="634">
        <f>+_xlfn.XLOOKUP(D374,'BASE DATOS MANO DE OBRA'!A:A,'BASE DATOS MANO DE OBRA'!E:E)</f>
        <v/>
      </c>
      <c r="J374" s="634" t="n">
        <v>0</v>
      </c>
      <c r="K374" s="634">
        <f>+F374*H374</f>
        <v/>
      </c>
      <c r="L374" s="634">
        <f>+F374*I374</f>
        <v/>
      </c>
      <c r="M374" s="634">
        <f>+F374*J374</f>
        <v/>
      </c>
      <c r="N374" s="634">
        <f>SUM(K374:M374)</f>
        <v/>
      </c>
      <c r="O374" s="635">
        <f>SUM(K374:M374)/tc</f>
        <v/>
      </c>
      <c r="P374" s="616" t="n"/>
    </row>
    <row r="375" outlineLevel="1" ht="15" customHeight="1">
      <c r="A375" s="278" t="inlineStr">
        <is>
          <t xml:space="preserve">MO </t>
        </is>
      </c>
      <c r="B375" s="282" t="inlineStr">
        <is>
          <t>05-05-01</t>
        </is>
      </c>
      <c r="C375" s="578" t="n"/>
      <c r="D375" s="386" t="inlineStr">
        <is>
          <t xml:space="preserve">AYUDANTE </t>
        </is>
      </c>
      <c r="E375" s="632">
        <f>+_xlfn.XLOOKUP(D375,'BASE DATOS MANO DE OBRA'!A:A,'BASE DATOS MANO DE OBRA'!B:B)</f>
        <v/>
      </c>
      <c r="F375" s="388" t="n">
        <v>11.5</v>
      </c>
      <c r="G375" s="633">
        <f>+_xlfn.XLOOKUP(D375,'BASE DATOS MANO DE OBRA'!A:A,'BASE DATOS MANO DE OBRA'!C:C)</f>
        <v/>
      </c>
      <c r="H375" s="634" t="n">
        <v>0</v>
      </c>
      <c r="I375" s="634">
        <f>+_xlfn.XLOOKUP(D375,'BASE DATOS MANO DE OBRA'!A:A,'BASE DATOS MANO DE OBRA'!E:E)</f>
        <v/>
      </c>
      <c r="J375" s="634" t="n">
        <v>0</v>
      </c>
      <c r="K375" s="634">
        <f>+F375*H375</f>
        <v/>
      </c>
      <c r="L375" s="634">
        <f>+F375*I375</f>
        <v/>
      </c>
      <c r="M375" s="634">
        <f>+F375*J375</f>
        <v/>
      </c>
      <c r="N375" s="634">
        <f>SUM(K375:M375)</f>
        <v/>
      </c>
      <c r="O375" s="635">
        <f>SUM(K375:M375)/tc</f>
        <v/>
      </c>
      <c r="P375" s="616" t="n"/>
    </row>
    <row r="376" outlineLevel="1" ht="15" customHeight="1">
      <c r="A376" s="278" t="inlineStr">
        <is>
          <t xml:space="preserve">MO </t>
        </is>
      </c>
      <c r="B376" s="282" t="inlineStr">
        <is>
          <t>05-05-02</t>
        </is>
      </c>
      <c r="C376" s="578" t="n"/>
      <c r="D376" s="386" t="inlineStr">
        <is>
          <t xml:space="preserve">OPERARIO </t>
        </is>
      </c>
      <c r="E376" s="632">
        <f>+_xlfn.XLOOKUP(D376,'BASE DATOS MANO DE OBRA'!A:A,'BASE DATOS MANO DE OBRA'!B:B)</f>
        <v/>
      </c>
      <c r="F376" s="388" t="n">
        <v>0</v>
      </c>
      <c r="G376" s="633">
        <f>+_xlfn.XLOOKUP(D376,'BASE DATOS MANO DE OBRA'!A:A,'BASE DATOS MANO DE OBRA'!C:C)</f>
        <v/>
      </c>
      <c r="H376" s="634" t="n">
        <v>0</v>
      </c>
      <c r="I376" s="634">
        <f>+_xlfn.XLOOKUP(D376,'BASE DATOS MANO DE OBRA'!A:A,'BASE DATOS MANO DE OBRA'!E:E)</f>
        <v/>
      </c>
      <c r="J376" s="634" t="n">
        <v>0</v>
      </c>
      <c r="K376" s="634">
        <f>+F376*H376</f>
        <v/>
      </c>
      <c r="L376" s="634">
        <f>+F376*I376</f>
        <v/>
      </c>
      <c r="M376" s="634">
        <f>+F376*J376</f>
        <v/>
      </c>
      <c r="N376" s="634">
        <f>SUM(K376:M376)</f>
        <v/>
      </c>
      <c r="O376" s="635">
        <f>SUM(K376:M376)/tc</f>
        <v/>
      </c>
      <c r="P376" s="616" t="n"/>
    </row>
    <row r="377" outlineLevel="1" ht="15" customHeight="1">
      <c r="A377" s="278" t="inlineStr">
        <is>
          <t xml:space="preserve">MO </t>
        </is>
      </c>
      <c r="B377" s="282" t="inlineStr">
        <is>
          <t>05-05-02</t>
        </is>
      </c>
      <c r="C377" s="578" t="n"/>
      <c r="D377" s="386" t="inlineStr">
        <is>
          <t xml:space="preserve">AYUDANTE </t>
        </is>
      </c>
      <c r="E377" s="632">
        <f>+_xlfn.XLOOKUP(D377,'BASE DATOS MANO DE OBRA'!A:A,'BASE DATOS MANO DE OBRA'!B:B)</f>
        <v/>
      </c>
      <c r="F377" s="388" t="n">
        <v>0</v>
      </c>
      <c r="G377" s="633">
        <f>+_xlfn.XLOOKUP(D377,'BASE DATOS MANO DE OBRA'!A:A,'BASE DATOS MANO DE OBRA'!C:C)</f>
        <v/>
      </c>
      <c r="H377" s="634" t="n">
        <v>0</v>
      </c>
      <c r="I377" s="634">
        <f>+_xlfn.XLOOKUP(D377,'BASE DATOS MANO DE OBRA'!A:A,'BASE DATOS MANO DE OBRA'!E:E)</f>
        <v/>
      </c>
      <c r="J377" s="634" t="n">
        <v>0</v>
      </c>
      <c r="K377" s="634">
        <f>+F377*H377</f>
        <v/>
      </c>
      <c r="L377" s="634">
        <f>+F377*I377</f>
        <v/>
      </c>
      <c r="M377" s="634">
        <f>+F377*J377</f>
        <v/>
      </c>
      <c r="N377" s="634">
        <f>SUM(K377:M377)</f>
        <v/>
      </c>
      <c r="O377" s="635">
        <f>SUM(K377:M377)/tc</f>
        <v/>
      </c>
      <c r="P377" s="616" t="n"/>
    </row>
    <row r="378" outlineLevel="1" ht="15" customHeight="1">
      <c r="A378" s="278" t="inlineStr">
        <is>
          <t xml:space="preserve">MO </t>
        </is>
      </c>
      <c r="B378" s="282" t="inlineStr">
        <is>
          <t>05-05-03</t>
        </is>
      </c>
      <c r="C378" s="578" t="n"/>
      <c r="D378" s="386" t="inlineStr">
        <is>
          <t xml:space="preserve">OPERARIO </t>
        </is>
      </c>
      <c r="E378" s="632">
        <f>+_xlfn.XLOOKUP(D378,'BASE DATOS MANO DE OBRA'!A:A,'BASE DATOS MANO DE OBRA'!B:B)</f>
        <v/>
      </c>
      <c r="F378" s="388" t="n">
        <v>0</v>
      </c>
      <c r="G378" s="633">
        <f>+_xlfn.XLOOKUP(D378,'BASE DATOS MANO DE OBRA'!A:A,'BASE DATOS MANO DE OBRA'!C:C)</f>
        <v/>
      </c>
      <c r="H378" s="634" t="n">
        <v>0</v>
      </c>
      <c r="I378" s="634">
        <f>+_xlfn.XLOOKUP(D378,'BASE DATOS MANO DE OBRA'!A:A,'BASE DATOS MANO DE OBRA'!E:E)</f>
        <v/>
      </c>
      <c r="J378" s="634" t="n">
        <v>0</v>
      </c>
      <c r="K378" s="634">
        <f>+F378*H378</f>
        <v/>
      </c>
      <c r="L378" s="634">
        <f>+F378*I378</f>
        <v/>
      </c>
      <c r="M378" s="634">
        <f>+F378*J378</f>
        <v/>
      </c>
      <c r="N378" s="634">
        <f>SUM(K378:M378)</f>
        <v/>
      </c>
      <c r="O378" s="635">
        <f>SUM(K378:M378)/tc</f>
        <v/>
      </c>
      <c r="P378" s="616" t="n"/>
    </row>
    <row r="379" outlineLevel="1" ht="15" customHeight="1">
      <c r="A379" s="278" t="inlineStr">
        <is>
          <t xml:space="preserve">MO </t>
        </is>
      </c>
      <c r="B379" s="282" t="inlineStr">
        <is>
          <t>05-05-03</t>
        </is>
      </c>
      <c r="C379" s="578" t="n"/>
      <c r="D379" s="386" t="inlineStr">
        <is>
          <t xml:space="preserve">AYUDANTE </t>
        </is>
      </c>
      <c r="E379" s="632">
        <f>+_xlfn.XLOOKUP(D379,'BASE DATOS MANO DE OBRA'!A:A,'BASE DATOS MANO DE OBRA'!B:B)</f>
        <v/>
      </c>
      <c r="F379" s="388" t="n">
        <v>0</v>
      </c>
      <c r="G379" s="633">
        <f>+_xlfn.XLOOKUP(D379,'BASE DATOS MANO DE OBRA'!A:A,'BASE DATOS MANO DE OBRA'!C:C)</f>
        <v/>
      </c>
      <c r="H379" s="634" t="n">
        <v>0</v>
      </c>
      <c r="I379" s="634">
        <f>+_xlfn.XLOOKUP(D379,'BASE DATOS MANO DE OBRA'!A:A,'BASE DATOS MANO DE OBRA'!E:E)</f>
        <v/>
      </c>
      <c r="J379" s="634" t="n">
        <v>0</v>
      </c>
      <c r="K379" s="634">
        <f>+F379*H379</f>
        <v/>
      </c>
      <c r="L379" s="634">
        <f>+F379*I379</f>
        <v/>
      </c>
      <c r="M379" s="634">
        <f>+F379*J379</f>
        <v/>
      </c>
      <c r="N379" s="634">
        <f>SUM(K379:M379)</f>
        <v/>
      </c>
      <c r="O379" s="635">
        <f>SUM(K379:M379)/tc</f>
        <v/>
      </c>
      <c r="P379" s="616" t="n"/>
    </row>
    <row r="380" ht="15" customHeight="1">
      <c r="A380" s="278" t="n"/>
      <c r="B380" s="282" t="inlineStr">
        <is>
          <t>05-06</t>
        </is>
      </c>
      <c r="C380" s="578" t="n"/>
      <c r="D380" s="307" t="inlineStr">
        <is>
          <t>5.6</t>
        </is>
      </c>
      <c r="E380" s="308" t="inlineStr">
        <is>
          <t xml:space="preserve">GRADAS ESTRUCTURA, PINTADO Y ACABADO </t>
        </is>
      </c>
      <c r="F380" s="309" t="n">
        <v>1</v>
      </c>
      <c r="G380" s="310" t="inlineStr">
        <is>
          <t>gb</t>
        </is>
      </c>
      <c r="H380" s="310" t="n"/>
      <c r="I380" s="310" t="n"/>
      <c r="J380" s="310" t="n"/>
      <c r="K380" s="636">
        <f>SUM(K381:K393)</f>
        <v/>
      </c>
      <c r="L380" s="636">
        <f>SUM(L381:L393)</f>
        <v/>
      </c>
      <c r="M380" s="636">
        <f>SUM(M381:M393)</f>
        <v/>
      </c>
      <c r="N380" s="636">
        <f>SUM(N381:N393)</f>
        <v/>
      </c>
      <c r="O380" s="615">
        <f>SUM(O381:O393)</f>
        <v/>
      </c>
    </row>
    <row r="381" outlineLevel="1" ht="15" customHeight="1">
      <c r="A381" s="278" t="inlineStr">
        <is>
          <t>MAT</t>
        </is>
      </c>
      <c r="B381" s="282" t="n"/>
      <c r="C381" s="578" t="n"/>
      <c r="D381" s="401" t="n"/>
      <c r="E381" s="653" t="n"/>
      <c r="F381" s="322" t="n"/>
      <c r="G381" s="654" t="n"/>
      <c r="H381" s="654" t="n"/>
      <c r="I381" s="654" t="n"/>
      <c r="J381" s="654" t="n"/>
      <c r="K381" s="655" t="n"/>
      <c r="L381" s="655" t="n"/>
      <c r="M381" s="655" t="n"/>
      <c r="N381" s="655" t="n"/>
      <c r="O381" s="656" t="n"/>
    </row>
    <row r="382" outlineLevel="1" ht="15" customHeight="1">
      <c r="A382" s="278" t="inlineStr">
        <is>
          <t>MAT</t>
        </is>
      </c>
      <c r="B382" s="282" t="n"/>
      <c r="C382" s="578" t="n"/>
      <c r="D382" s="401" t="n"/>
      <c r="E382" s="653" t="n"/>
      <c r="F382" s="322" t="n"/>
      <c r="G382" s="654" t="n"/>
      <c r="H382" s="654" t="n"/>
      <c r="I382" s="654" t="n"/>
      <c r="J382" s="654" t="n"/>
      <c r="K382" s="655" t="n"/>
      <c r="L382" s="655" t="n"/>
      <c r="M382" s="655" t="n"/>
      <c r="N382" s="655" t="n"/>
      <c r="O382" s="656" t="n"/>
    </row>
    <row r="383" outlineLevel="1" ht="15" customHeight="1">
      <c r="A383" s="278" t="inlineStr">
        <is>
          <t>MAT</t>
        </is>
      </c>
      <c r="B383" s="282" t="n"/>
      <c r="C383" s="578" t="n"/>
      <c r="D383" s="401" t="n"/>
      <c r="E383" s="653" t="n"/>
      <c r="F383" s="322" t="n"/>
      <c r="G383" s="654" t="n"/>
      <c r="H383" s="657" t="n"/>
      <c r="I383" s="654" t="n"/>
      <c r="J383" s="654" t="n"/>
      <c r="K383" s="655" t="n"/>
      <c r="L383" s="655" t="n"/>
      <c r="M383" s="655" t="n"/>
      <c r="N383" s="655" t="n"/>
      <c r="O383" s="656" t="n"/>
    </row>
    <row r="384" outlineLevel="1" ht="15" customHeight="1">
      <c r="A384" s="278" t="inlineStr">
        <is>
          <t>MAT</t>
        </is>
      </c>
      <c r="B384" s="282" t="n"/>
      <c r="C384" s="578" t="n"/>
      <c r="D384" s="401" t="n"/>
      <c r="E384" s="653" t="n"/>
      <c r="F384" s="322" t="n"/>
      <c r="G384" s="654" t="n"/>
      <c r="H384" s="657" t="n"/>
      <c r="I384" s="654" t="n"/>
      <c r="J384" s="654" t="n"/>
      <c r="K384" s="655" t="n"/>
      <c r="L384" s="655" t="n"/>
      <c r="M384" s="655" t="n"/>
      <c r="N384" s="655" t="n"/>
      <c r="O384" s="656" t="n"/>
    </row>
    <row r="385" outlineLevel="1" ht="14.1" customHeight="1">
      <c r="A385" s="278" t="inlineStr">
        <is>
          <t>MAT</t>
        </is>
      </c>
      <c r="B385" s="282" t="n"/>
      <c r="C385" s="578" t="n"/>
      <c r="D385" s="401" t="n"/>
      <c r="E385" s="653" t="n"/>
      <c r="F385" s="322" t="n"/>
      <c r="G385" s="654" t="n"/>
      <c r="H385" s="657" t="n"/>
      <c r="I385" s="654" t="n"/>
      <c r="J385" s="654" t="n"/>
      <c r="K385" s="655" t="n"/>
      <c r="L385" s="655" t="n"/>
      <c r="M385" s="655" t="n"/>
      <c r="N385" s="655" t="n"/>
      <c r="O385" s="656" t="n"/>
      <c r="P385" s="610" t="n"/>
      <c r="Q385" s="610" t="n"/>
    </row>
    <row r="386" outlineLevel="1" ht="15" customHeight="1">
      <c r="A386" s="278" t="inlineStr">
        <is>
          <t xml:space="preserve">MO </t>
        </is>
      </c>
      <c r="B386" s="282" t="inlineStr">
        <is>
          <t>05-06-01</t>
        </is>
      </c>
      <c r="C386" s="578" t="n"/>
      <c r="D386" s="386" t="inlineStr">
        <is>
          <t xml:space="preserve">OPERARIO </t>
        </is>
      </c>
      <c r="E386" s="632">
        <f>+_xlfn.XLOOKUP(D386,'BASE DATOS MANO DE OBRA'!A:A,'BASE DATOS MANO DE OBRA'!B:B)</f>
        <v/>
      </c>
      <c r="F386" s="388" t="n">
        <v>0</v>
      </c>
      <c r="G386" s="633">
        <f>+_xlfn.XLOOKUP(D386,'BASE DATOS MANO DE OBRA'!A:A,'BASE DATOS MANO DE OBRA'!C:C)</f>
        <v/>
      </c>
      <c r="H386" s="634" t="n">
        <v>0</v>
      </c>
      <c r="I386" s="634">
        <f>+_xlfn.XLOOKUP(D386,'BASE DATOS MANO DE OBRA'!A:A,'BASE DATOS MANO DE OBRA'!E:E)</f>
        <v/>
      </c>
      <c r="J386" s="634" t="n">
        <v>0</v>
      </c>
      <c r="K386" s="634">
        <f>+F386*H386</f>
        <v/>
      </c>
      <c r="L386" s="634">
        <f>+F386*I386</f>
        <v/>
      </c>
      <c r="M386" s="634">
        <f>+F386*J386</f>
        <v/>
      </c>
      <c r="N386" s="634">
        <f>SUM(K386:M386)</f>
        <v/>
      </c>
      <c r="O386" s="635">
        <f>SUM(K386:M386)/tc</f>
        <v/>
      </c>
    </row>
    <row r="387" outlineLevel="1" ht="15.6" customHeight="1">
      <c r="A387" s="278" t="inlineStr">
        <is>
          <t xml:space="preserve">MO </t>
        </is>
      </c>
      <c r="B387" s="282" t="inlineStr">
        <is>
          <t>05-06-01</t>
        </is>
      </c>
      <c r="C387" s="578" t="n"/>
      <c r="D387" s="386" t="inlineStr">
        <is>
          <t xml:space="preserve">AYUDANTE </t>
        </is>
      </c>
      <c r="E387" s="632">
        <f>+_xlfn.XLOOKUP(D387,'BASE DATOS MANO DE OBRA'!A:A,'BASE DATOS MANO DE OBRA'!B:B)</f>
        <v/>
      </c>
      <c r="F387" s="388" t="n">
        <v>0</v>
      </c>
      <c r="G387" s="633">
        <f>+_xlfn.XLOOKUP(D387,'BASE DATOS MANO DE OBRA'!A:A,'BASE DATOS MANO DE OBRA'!C:C)</f>
        <v/>
      </c>
      <c r="H387" s="634" t="n">
        <v>0</v>
      </c>
      <c r="I387" s="634">
        <f>+_xlfn.XLOOKUP(D387,'BASE DATOS MANO DE OBRA'!A:A,'BASE DATOS MANO DE OBRA'!E:E)</f>
        <v/>
      </c>
      <c r="J387" s="634" t="n">
        <v>0</v>
      </c>
      <c r="K387" s="634">
        <f>+F387*H387</f>
        <v/>
      </c>
      <c r="L387" s="634">
        <f>+F387*I387</f>
        <v/>
      </c>
      <c r="M387" s="634">
        <f>+F387*J387</f>
        <v/>
      </c>
      <c r="N387" s="634">
        <f>SUM(K387:M387)</f>
        <v/>
      </c>
      <c r="O387" s="635">
        <f>SUM(K387:M387)/tc</f>
        <v/>
      </c>
    </row>
    <row r="388" outlineLevel="1" ht="15" customHeight="1">
      <c r="A388" s="278" t="inlineStr">
        <is>
          <t xml:space="preserve">MO </t>
        </is>
      </c>
      <c r="B388" s="282" t="inlineStr">
        <is>
          <t>05-06-02</t>
        </is>
      </c>
      <c r="C388" s="578" t="n"/>
      <c r="D388" s="386" t="inlineStr">
        <is>
          <t xml:space="preserve">OPERARIO </t>
        </is>
      </c>
      <c r="E388" s="632">
        <f>+_xlfn.XLOOKUP(D388,'BASE DATOS MANO DE OBRA'!A:A,'BASE DATOS MANO DE OBRA'!B:B)</f>
        <v/>
      </c>
      <c r="F388" s="388" t="n">
        <v>0</v>
      </c>
      <c r="G388" s="633">
        <f>+_xlfn.XLOOKUP(D388,'BASE DATOS MANO DE OBRA'!A:A,'BASE DATOS MANO DE OBRA'!C:C)</f>
        <v/>
      </c>
      <c r="H388" s="634" t="n">
        <v>0</v>
      </c>
      <c r="I388" s="634">
        <f>+_xlfn.XLOOKUP(D388,'BASE DATOS MANO DE OBRA'!A:A,'BASE DATOS MANO DE OBRA'!E:E)</f>
        <v/>
      </c>
      <c r="J388" s="634" t="n">
        <v>0</v>
      </c>
      <c r="K388" s="634">
        <f>+F388*H388</f>
        <v/>
      </c>
      <c r="L388" s="634">
        <f>+F388*I388</f>
        <v/>
      </c>
      <c r="M388" s="634">
        <f>+F388*J388</f>
        <v/>
      </c>
      <c r="N388" s="634">
        <f>SUM(K388:M388)</f>
        <v/>
      </c>
      <c r="O388" s="635">
        <f>SUM(K388:M388)/tc</f>
        <v/>
      </c>
    </row>
    <row r="389" outlineLevel="1" ht="15" customHeight="1">
      <c r="A389" s="278" t="inlineStr">
        <is>
          <t xml:space="preserve">MO </t>
        </is>
      </c>
      <c r="B389" s="282" t="inlineStr">
        <is>
          <t>05-06-02</t>
        </is>
      </c>
      <c r="C389" s="578" t="n"/>
      <c r="D389" s="386" t="inlineStr">
        <is>
          <t xml:space="preserve">AYUDANTE </t>
        </is>
      </c>
      <c r="E389" s="632">
        <f>+_xlfn.XLOOKUP(D389,'BASE DATOS MANO DE OBRA'!A:A,'BASE DATOS MANO DE OBRA'!B:B)</f>
        <v/>
      </c>
      <c r="F389" s="388" t="n">
        <v>0</v>
      </c>
      <c r="G389" s="633">
        <f>+_xlfn.XLOOKUP(D389,'BASE DATOS MANO DE OBRA'!A:A,'BASE DATOS MANO DE OBRA'!C:C)</f>
        <v/>
      </c>
      <c r="H389" s="634" t="n">
        <v>0</v>
      </c>
      <c r="I389" s="634">
        <f>+_xlfn.XLOOKUP(D389,'BASE DATOS MANO DE OBRA'!A:A,'BASE DATOS MANO DE OBRA'!E:E)</f>
        <v/>
      </c>
      <c r="J389" s="634" t="n">
        <v>0</v>
      </c>
      <c r="K389" s="634">
        <f>+F389*H389</f>
        <v/>
      </c>
      <c r="L389" s="634">
        <f>+F389*I389</f>
        <v/>
      </c>
      <c r="M389" s="634">
        <f>+F389*J389</f>
        <v/>
      </c>
      <c r="N389" s="634">
        <f>SUM(K389:M389)</f>
        <v/>
      </c>
      <c r="O389" s="635">
        <f>SUM(K389:M389)/tc</f>
        <v/>
      </c>
    </row>
    <row r="390" outlineLevel="1" ht="15" customHeight="1">
      <c r="A390" s="278" t="inlineStr">
        <is>
          <t xml:space="preserve">MO </t>
        </is>
      </c>
      <c r="B390" s="282" t="inlineStr">
        <is>
          <t>05-06-03</t>
        </is>
      </c>
      <c r="C390" s="578" t="n"/>
      <c r="D390" s="386" t="inlineStr">
        <is>
          <t xml:space="preserve">OPERARIO </t>
        </is>
      </c>
      <c r="E390" s="632">
        <f>+_xlfn.XLOOKUP(D390,'BASE DATOS MANO DE OBRA'!A:A,'BASE DATOS MANO DE OBRA'!B:B)</f>
        <v/>
      </c>
      <c r="F390" s="388" t="n">
        <v>0</v>
      </c>
      <c r="G390" s="633">
        <f>+_xlfn.XLOOKUP(D390,'BASE DATOS MANO DE OBRA'!A:A,'BASE DATOS MANO DE OBRA'!C:C)</f>
        <v/>
      </c>
      <c r="H390" s="634" t="n">
        <v>0</v>
      </c>
      <c r="I390" s="634">
        <f>+_xlfn.XLOOKUP(D390,'BASE DATOS MANO DE OBRA'!A:A,'BASE DATOS MANO DE OBRA'!E:E)</f>
        <v/>
      </c>
      <c r="J390" s="634" t="n">
        <v>0</v>
      </c>
      <c r="K390" s="634">
        <f>+F390*H390</f>
        <v/>
      </c>
      <c r="L390" s="634">
        <f>+F390*I390</f>
        <v/>
      </c>
      <c r="M390" s="634">
        <f>+F390*J390</f>
        <v/>
      </c>
      <c r="N390" s="634">
        <f>SUM(K390:M390)</f>
        <v/>
      </c>
      <c r="O390" s="635">
        <f>SUM(K390:M390)/tc</f>
        <v/>
      </c>
    </row>
    <row r="391" outlineLevel="1" ht="14.1" customHeight="1">
      <c r="A391" s="278" t="inlineStr">
        <is>
          <t xml:space="preserve">MO </t>
        </is>
      </c>
      <c r="B391" s="282" t="inlineStr">
        <is>
          <t>05-06-03</t>
        </is>
      </c>
      <c r="C391" s="578" t="n"/>
      <c r="D391" s="386" t="inlineStr">
        <is>
          <t xml:space="preserve">AYUDANTE </t>
        </is>
      </c>
      <c r="E391" s="632">
        <f>+_xlfn.XLOOKUP(D391,'BASE DATOS MANO DE OBRA'!A:A,'BASE DATOS MANO DE OBRA'!B:B)</f>
        <v/>
      </c>
      <c r="F391" s="388" t="n">
        <v>0</v>
      </c>
      <c r="G391" s="633">
        <f>+_xlfn.XLOOKUP(D391,'BASE DATOS MANO DE OBRA'!A:A,'BASE DATOS MANO DE OBRA'!C:C)</f>
        <v/>
      </c>
      <c r="H391" s="634" t="n">
        <v>0</v>
      </c>
      <c r="I391" s="634">
        <f>+_xlfn.XLOOKUP(D391,'BASE DATOS MANO DE OBRA'!A:A,'BASE DATOS MANO DE OBRA'!E:E)</f>
        <v/>
      </c>
      <c r="J391" s="634" t="n">
        <v>0</v>
      </c>
      <c r="K391" s="634">
        <f>+F391*H391</f>
        <v/>
      </c>
      <c r="L391" s="634">
        <f>+F391*I391</f>
        <v/>
      </c>
      <c r="M391" s="634">
        <f>+F391*J391</f>
        <v/>
      </c>
      <c r="N391" s="634">
        <f>SUM(K391:M391)</f>
        <v/>
      </c>
      <c r="O391" s="635">
        <f>SUM(K391:M391)/tc</f>
        <v/>
      </c>
      <c r="P391" s="610" t="n"/>
      <c r="Q391" s="610" t="n"/>
      <c r="S391" s="616" t="n"/>
    </row>
    <row r="392" outlineLevel="1" ht="15" customHeight="1">
      <c r="A392" s="278" t="inlineStr">
        <is>
          <t xml:space="preserve">MO </t>
        </is>
      </c>
      <c r="B392" s="282" t="inlineStr">
        <is>
          <t>05-06-04</t>
        </is>
      </c>
      <c r="C392" s="578" t="n"/>
      <c r="D392" s="386" t="inlineStr">
        <is>
          <t xml:space="preserve">OPERARIO </t>
        </is>
      </c>
      <c r="E392" s="632">
        <f>+_xlfn.XLOOKUP(D392,'BASE DATOS MANO DE OBRA'!A:A,'BASE DATOS MANO DE OBRA'!B:B)</f>
        <v/>
      </c>
      <c r="F392" s="388" t="n">
        <v>0</v>
      </c>
      <c r="G392" s="633">
        <f>+_xlfn.XLOOKUP(D392,'BASE DATOS MANO DE OBRA'!A:A,'BASE DATOS MANO DE OBRA'!C:C)</f>
        <v/>
      </c>
      <c r="H392" s="634" t="n">
        <v>0</v>
      </c>
      <c r="I392" s="634">
        <f>+_xlfn.XLOOKUP(D392,'BASE DATOS MANO DE OBRA'!A:A,'BASE DATOS MANO DE OBRA'!E:E)</f>
        <v/>
      </c>
      <c r="J392" s="634" t="n">
        <v>0</v>
      </c>
      <c r="K392" s="634">
        <f>+F392*H392</f>
        <v/>
      </c>
      <c r="L392" s="634">
        <f>+F392*I392</f>
        <v/>
      </c>
      <c r="M392" s="634">
        <f>+F392*J392</f>
        <v/>
      </c>
      <c r="N392" s="634">
        <f>SUM(K392:M392)</f>
        <v/>
      </c>
      <c r="O392" s="635">
        <f>SUM(K392:M392)/tc</f>
        <v/>
      </c>
    </row>
    <row r="393" outlineLevel="1" ht="15.6" customHeight="1">
      <c r="A393" s="278" t="inlineStr">
        <is>
          <t xml:space="preserve">MO </t>
        </is>
      </c>
      <c r="B393" s="282" t="inlineStr">
        <is>
          <t>05-06-04</t>
        </is>
      </c>
      <c r="C393" s="578" t="n"/>
      <c r="D393" s="386" t="inlineStr">
        <is>
          <t xml:space="preserve">AYUDANTE </t>
        </is>
      </c>
      <c r="E393" s="632">
        <f>+_xlfn.XLOOKUP(D393,'BASE DATOS MANO DE OBRA'!A:A,'BASE DATOS MANO DE OBRA'!B:B)</f>
        <v/>
      </c>
      <c r="F393" s="388" t="n">
        <v>0</v>
      </c>
      <c r="G393" s="633">
        <f>+_xlfn.XLOOKUP(D393,'BASE DATOS MANO DE OBRA'!A:A,'BASE DATOS MANO DE OBRA'!C:C)</f>
        <v/>
      </c>
      <c r="H393" s="634" t="n">
        <v>0</v>
      </c>
      <c r="I393" s="634">
        <f>+_xlfn.XLOOKUP(D393,'BASE DATOS MANO DE OBRA'!A:A,'BASE DATOS MANO DE OBRA'!E:E)</f>
        <v/>
      </c>
      <c r="J393" s="634" t="n">
        <v>0</v>
      </c>
      <c r="K393" s="634">
        <f>+F393*H393</f>
        <v/>
      </c>
      <c r="L393" s="634">
        <f>+F393*I393</f>
        <v/>
      </c>
      <c r="M393" s="634">
        <f>+F393*J393</f>
        <v/>
      </c>
      <c r="N393" s="634">
        <f>SUM(K393:M393)</f>
        <v/>
      </c>
      <c r="O393" s="635">
        <f>SUM(K393:M393)/tc</f>
        <v/>
      </c>
    </row>
    <row r="394" ht="15" customHeight="1">
      <c r="A394" s="278" t="inlineStr">
        <is>
          <t>MAT</t>
        </is>
      </c>
      <c r="B394" s="282" t="inlineStr">
        <is>
          <t>05-07</t>
        </is>
      </c>
      <c r="C394" s="578" t="n"/>
      <c r="D394" s="406" t="inlineStr">
        <is>
          <t>5.7</t>
        </is>
      </c>
      <c r="E394" s="308" t="inlineStr">
        <is>
          <t xml:space="preserve">BARANDA DE GRADAS (N2) </t>
        </is>
      </c>
      <c r="F394" s="309" t="n">
        <v>1</v>
      </c>
      <c r="G394" s="310" t="inlineStr">
        <is>
          <t>gb</t>
        </is>
      </c>
      <c r="H394" s="310" t="n"/>
      <c r="I394" s="310" t="n"/>
      <c r="J394" s="310" t="n"/>
      <c r="K394" s="636">
        <f>SUM(K395:K407)</f>
        <v/>
      </c>
      <c r="L394" s="636">
        <f>SUM(L395:L407)</f>
        <v/>
      </c>
      <c r="M394" s="636">
        <f>SUM(M395:M407)</f>
        <v/>
      </c>
      <c r="N394" s="636">
        <f>SUM(N395:N407)</f>
        <v/>
      </c>
      <c r="O394" s="615">
        <f>SUM(O395:O407)</f>
        <v/>
      </c>
    </row>
    <row r="395" outlineLevel="1" ht="15" customHeight="1">
      <c r="A395" s="278" t="inlineStr">
        <is>
          <t>MAT</t>
        </is>
      </c>
      <c r="B395" s="282" t="n"/>
      <c r="C395" s="578" t="n"/>
      <c r="D395" s="403" t="n"/>
      <c r="E395" s="649" t="n"/>
      <c r="F395" s="316" t="n"/>
      <c r="G395" s="650" t="n"/>
      <c r="H395" s="650" t="n"/>
      <c r="I395" s="650" t="n"/>
      <c r="J395" s="650" t="n"/>
      <c r="K395" s="651" t="n"/>
      <c r="L395" s="651" t="n"/>
      <c r="M395" s="651" t="n"/>
      <c r="N395" s="651" t="n"/>
      <c r="O395" s="652" t="n"/>
    </row>
    <row r="396" outlineLevel="1" ht="15" customHeight="1">
      <c r="A396" s="278" t="inlineStr">
        <is>
          <t>MAT</t>
        </is>
      </c>
      <c r="B396" s="282" t="n"/>
      <c r="C396" s="578" t="n"/>
      <c r="D396" s="403" t="n"/>
      <c r="E396" s="649" t="n"/>
      <c r="F396" s="316" t="n"/>
      <c r="G396" s="650" t="n"/>
      <c r="H396" s="650" t="n"/>
      <c r="I396" s="650" t="n"/>
      <c r="J396" s="650" t="n"/>
      <c r="K396" s="651" t="n"/>
      <c r="L396" s="651" t="n"/>
      <c r="M396" s="651" t="n"/>
      <c r="N396" s="651" t="n"/>
      <c r="O396" s="652" t="n"/>
    </row>
    <row r="397" outlineLevel="1">
      <c r="A397" s="278" t="inlineStr">
        <is>
          <t>MAT</t>
        </is>
      </c>
      <c r="B397" s="282" t="n"/>
      <c r="C397" s="578" t="n"/>
      <c r="D397" s="403" t="n"/>
      <c r="E397" s="649" t="n"/>
      <c r="F397" s="316" t="n"/>
      <c r="G397" s="650" t="n"/>
      <c r="H397" s="650" t="n"/>
      <c r="I397" s="650" t="n"/>
      <c r="J397" s="650" t="n"/>
      <c r="K397" s="651" t="n"/>
      <c r="L397" s="651" t="n"/>
      <c r="M397" s="651" t="n"/>
      <c r="N397" s="651" t="n"/>
      <c r="O397" s="652" t="n"/>
      <c r="P397" s="639" t="n"/>
      <c r="Q397" s="639" t="n"/>
      <c r="R397" s="640" t="n"/>
    </row>
    <row r="398" outlineLevel="1">
      <c r="A398" s="278" t="inlineStr">
        <is>
          <t>MAT</t>
        </is>
      </c>
      <c r="B398" s="282" t="n"/>
      <c r="C398" s="578" t="n"/>
      <c r="D398" s="403" t="n"/>
      <c r="E398" s="649" t="n"/>
      <c r="F398" s="316" t="n"/>
      <c r="G398" s="650" t="n"/>
      <c r="H398" s="650" t="n"/>
      <c r="I398" s="650" t="n"/>
      <c r="J398" s="650" t="n"/>
      <c r="K398" s="651" t="n"/>
      <c r="L398" s="651" t="n"/>
      <c r="M398" s="651" t="n"/>
      <c r="N398" s="651" t="n"/>
      <c r="O398" s="652" t="n"/>
      <c r="P398" s="639" t="n"/>
      <c r="Q398" s="639" t="n"/>
      <c r="R398" s="640" t="n"/>
    </row>
    <row r="399" outlineLevel="1">
      <c r="A399" s="278" t="inlineStr">
        <is>
          <t>MAT</t>
        </is>
      </c>
      <c r="B399" s="282" t="n"/>
      <c r="C399" s="578" t="n"/>
      <c r="D399" s="403" t="n"/>
      <c r="E399" s="649" t="n"/>
      <c r="F399" s="316" t="n"/>
      <c r="G399" s="650" t="n"/>
      <c r="H399" s="650" t="n"/>
      <c r="I399" s="650" t="n"/>
      <c r="J399" s="650" t="n"/>
      <c r="K399" s="651" t="n"/>
      <c r="L399" s="651" t="n"/>
      <c r="M399" s="651" t="n"/>
      <c r="N399" s="651" t="n"/>
      <c r="O399" s="652" t="n"/>
      <c r="P399" s="639" t="n"/>
      <c r="Q399" s="639" t="n"/>
      <c r="R399" s="640" t="n"/>
    </row>
    <row r="400" outlineLevel="1">
      <c r="A400" s="278" t="inlineStr">
        <is>
          <t>MAT</t>
        </is>
      </c>
      <c r="B400" s="282" t="n"/>
      <c r="C400" s="578" t="n"/>
      <c r="D400" s="403" t="n"/>
      <c r="E400" s="649" t="n"/>
      <c r="F400" s="316" t="n"/>
      <c r="G400" s="650" t="n"/>
      <c r="H400" s="650" t="n"/>
      <c r="I400" s="650" t="n"/>
      <c r="J400" s="650" t="n"/>
      <c r="K400" s="651" t="n"/>
      <c r="L400" s="651" t="n"/>
      <c r="M400" s="651" t="n"/>
      <c r="N400" s="651" t="n"/>
      <c r="O400" s="652" t="n"/>
      <c r="P400" s="639" t="n"/>
      <c r="Q400" s="639" t="n"/>
      <c r="R400" s="640" t="n"/>
    </row>
    <row r="401" outlineLevel="1">
      <c r="A401" s="278" t="inlineStr">
        <is>
          <t>MAT</t>
        </is>
      </c>
      <c r="B401" s="282" t="n"/>
      <c r="C401" s="578" t="n"/>
      <c r="D401" s="403" t="n"/>
      <c r="E401" s="649" t="n"/>
      <c r="F401" s="316" t="n"/>
      <c r="G401" s="650" t="n"/>
      <c r="H401" s="650" t="n"/>
      <c r="I401" s="650" t="n"/>
      <c r="J401" s="650" t="n"/>
      <c r="K401" s="651" t="n"/>
      <c r="L401" s="651" t="n"/>
      <c r="M401" s="651" t="n"/>
      <c r="N401" s="651" t="n"/>
      <c r="O401" s="652" t="n"/>
      <c r="P401" s="639" t="n"/>
      <c r="Q401" s="639" t="n"/>
      <c r="R401" s="640" t="n"/>
    </row>
    <row r="402" outlineLevel="1">
      <c r="A402" s="278" t="inlineStr">
        <is>
          <t>MAT</t>
        </is>
      </c>
      <c r="B402" s="282" t="n"/>
      <c r="C402" s="578" t="n"/>
      <c r="D402" s="403" t="n"/>
      <c r="E402" s="649" t="n"/>
      <c r="F402" s="316" t="n"/>
      <c r="G402" s="650" t="n"/>
      <c r="H402" s="650" t="n"/>
      <c r="I402" s="650" t="n"/>
      <c r="J402" s="650" t="n"/>
      <c r="K402" s="651" t="n"/>
      <c r="L402" s="651" t="n"/>
      <c r="M402" s="651" t="n"/>
      <c r="N402" s="651" t="n"/>
      <c r="O402" s="652" t="n"/>
      <c r="P402" s="639" t="n"/>
      <c r="Q402" s="639" t="n"/>
      <c r="R402" s="640" t="n"/>
    </row>
    <row r="403" outlineLevel="1">
      <c r="A403" s="278" t="inlineStr">
        <is>
          <t>MAT</t>
        </is>
      </c>
      <c r="B403" s="282" t="n"/>
      <c r="C403" s="578" t="n"/>
      <c r="D403" s="403" t="n"/>
      <c r="E403" s="649" t="n"/>
      <c r="F403" s="316" t="n"/>
      <c r="G403" s="650" t="n"/>
      <c r="H403" s="650" t="n"/>
      <c r="I403" s="650" t="n"/>
      <c r="J403" s="650" t="n"/>
      <c r="K403" s="651" t="n"/>
      <c r="L403" s="651" t="n"/>
      <c r="M403" s="651" t="n"/>
      <c r="N403" s="651" t="n"/>
      <c r="O403" s="652" t="n"/>
      <c r="P403" s="639" t="n"/>
      <c r="Q403" s="639" t="n"/>
      <c r="R403" s="640" t="n"/>
    </row>
    <row r="404" outlineLevel="1">
      <c r="A404" s="278" t="inlineStr">
        <is>
          <t>MAT</t>
        </is>
      </c>
      <c r="B404" s="282" t="n"/>
      <c r="C404" s="578" t="n"/>
      <c r="D404" s="403" t="n"/>
      <c r="E404" s="649" t="n"/>
      <c r="F404" s="316" t="n"/>
      <c r="G404" s="650" t="n"/>
      <c r="H404" s="650" t="n"/>
      <c r="I404" s="650" t="n"/>
      <c r="J404" s="650" t="n"/>
      <c r="K404" s="651" t="n"/>
      <c r="L404" s="651" t="n"/>
      <c r="M404" s="651" t="n"/>
      <c r="N404" s="651" t="n"/>
      <c r="O404" s="652" t="n"/>
      <c r="P404" s="639" t="n"/>
      <c r="Q404" s="639" t="n"/>
      <c r="R404" s="640" t="n"/>
    </row>
    <row r="405" outlineLevel="1">
      <c r="A405" s="278" t="inlineStr">
        <is>
          <t>MAT</t>
        </is>
      </c>
      <c r="B405" s="282" t="n"/>
      <c r="C405" s="578" t="n"/>
      <c r="D405" s="403" t="n"/>
      <c r="E405" s="649" t="n"/>
      <c r="F405" s="316" t="n"/>
      <c r="G405" s="650" t="n"/>
      <c r="H405" s="650" t="n"/>
      <c r="I405" s="650" t="n"/>
      <c r="J405" s="650" t="n"/>
      <c r="K405" s="651" t="n"/>
      <c r="L405" s="651" t="n"/>
      <c r="M405" s="651" t="n"/>
      <c r="N405" s="651" t="n"/>
      <c r="O405" s="652" t="n"/>
      <c r="P405" s="639" t="n"/>
      <c r="Q405" s="639" t="n"/>
      <c r="R405" s="640" t="n"/>
    </row>
    <row r="406" outlineLevel="1">
      <c r="A406" s="278" t="inlineStr">
        <is>
          <t xml:space="preserve">MO </t>
        </is>
      </c>
      <c r="B406" s="282" t="inlineStr">
        <is>
          <t>05-07-01</t>
        </is>
      </c>
      <c r="C406" s="578" t="n"/>
      <c r="D406" s="386" t="inlineStr">
        <is>
          <t xml:space="preserve">OPERARIO </t>
        </is>
      </c>
      <c r="E406" s="632">
        <f>+_xlfn.XLOOKUP(D406,'BASE DATOS MANO DE OBRA'!A:A,'BASE DATOS MANO DE OBRA'!B:B)</f>
        <v/>
      </c>
      <c r="F406" s="388" t="n">
        <v>0</v>
      </c>
      <c r="G406" s="633">
        <f>+_xlfn.XLOOKUP(D406,'BASE DATOS MANO DE OBRA'!A:A,'BASE DATOS MANO DE OBRA'!C:C)</f>
        <v/>
      </c>
      <c r="H406" s="634" t="n">
        <v>0</v>
      </c>
      <c r="I406" s="634">
        <f>+_xlfn.XLOOKUP(D406,'BASE DATOS MANO DE OBRA'!A:A,'BASE DATOS MANO DE OBRA'!E:E)</f>
        <v/>
      </c>
      <c r="J406" s="634" t="n">
        <v>0</v>
      </c>
      <c r="K406" s="634">
        <f>+F406*H406</f>
        <v/>
      </c>
      <c r="L406" s="634">
        <f>+F406*I406</f>
        <v/>
      </c>
      <c r="M406" s="634">
        <f>+F406*J406</f>
        <v/>
      </c>
      <c r="N406" s="634">
        <f>SUM(K406:M406)</f>
        <v/>
      </c>
      <c r="O406" s="635">
        <f>SUM(K406:M406)/tc</f>
        <v/>
      </c>
      <c r="P406" s="639" t="n"/>
      <c r="Q406" s="639" t="n"/>
      <c r="R406" s="640" t="n"/>
    </row>
    <row r="407" outlineLevel="1">
      <c r="A407" s="278" t="inlineStr">
        <is>
          <t xml:space="preserve">MO </t>
        </is>
      </c>
      <c r="B407" s="282" t="inlineStr">
        <is>
          <t>05-07-01</t>
        </is>
      </c>
      <c r="C407" s="578" t="n"/>
      <c r="D407" s="386" t="inlineStr">
        <is>
          <t xml:space="preserve">AYUDANTE </t>
        </is>
      </c>
      <c r="E407" s="632">
        <f>+_xlfn.XLOOKUP(D407,'BASE DATOS MANO DE OBRA'!A:A,'BASE DATOS MANO DE OBRA'!B:B)</f>
        <v/>
      </c>
      <c r="F407" s="388" t="n">
        <v>0</v>
      </c>
      <c r="G407" s="633">
        <f>+_xlfn.XLOOKUP(D407,'BASE DATOS MANO DE OBRA'!A:A,'BASE DATOS MANO DE OBRA'!C:C)</f>
        <v/>
      </c>
      <c r="H407" s="634" t="n">
        <v>0</v>
      </c>
      <c r="I407" s="634">
        <f>+_xlfn.XLOOKUP(D407,'BASE DATOS MANO DE OBRA'!A:A,'BASE DATOS MANO DE OBRA'!E:E)</f>
        <v/>
      </c>
      <c r="J407" s="634" t="n">
        <v>0</v>
      </c>
      <c r="K407" s="634">
        <f>+F407*H407</f>
        <v/>
      </c>
      <c r="L407" s="634">
        <f>+F407*I407</f>
        <v/>
      </c>
      <c r="M407" s="634">
        <f>+F407*J407</f>
        <v/>
      </c>
      <c r="N407" s="634">
        <f>SUM(K407:M407)</f>
        <v/>
      </c>
      <c r="O407" s="635">
        <f>SUM(K407:M407)/tc</f>
        <v/>
      </c>
      <c r="P407" s="639" t="n"/>
      <c r="Q407" s="639" t="n"/>
      <c r="R407" s="640" t="n"/>
    </row>
    <row r="408">
      <c r="A408" s="278" t="inlineStr">
        <is>
          <t>MAT</t>
        </is>
      </c>
      <c r="B408" s="282" t="inlineStr">
        <is>
          <t>05-08</t>
        </is>
      </c>
      <c r="C408" s="578" t="n"/>
      <c r="D408" s="406" t="inlineStr">
        <is>
          <t>5.8</t>
        </is>
      </c>
      <c r="E408" s="308" t="inlineStr">
        <is>
          <t xml:space="preserve">ESTRUCTURA METÁLICA INTERNA </t>
        </is>
      </c>
      <c r="F408" s="309" t="n">
        <v>1</v>
      </c>
      <c r="G408" s="310" t="inlineStr">
        <is>
          <t>gb</t>
        </is>
      </c>
      <c r="H408" s="310" t="n"/>
      <c r="I408" s="310" t="n"/>
      <c r="J408" s="310" t="n"/>
      <c r="K408" s="636">
        <f>SUM(K409:K421)</f>
        <v/>
      </c>
      <c r="L408" s="636">
        <f>SUM(L409:L421)</f>
        <v/>
      </c>
      <c r="M408" s="636">
        <f>SUM(M409:M421)</f>
        <v/>
      </c>
      <c r="N408" s="636">
        <f>SUM(N409:N421)</f>
        <v/>
      </c>
      <c r="O408" s="615">
        <f>SUM(O409:O421)</f>
        <v/>
      </c>
      <c r="P408" s="639" t="n"/>
      <c r="Q408" s="639" t="n"/>
      <c r="R408" s="640" t="n"/>
    </row>
    <row r="409" outlineLevel="1">
      <c r="A409" s="278" t="inlineStr">
        <is>
          <t>MAT</t>
        </is>
      </c>
      <c r="B409" s="282" t="n"/>
      <c r="C409" s="578" t="n"/>
      <c r="D409" s="403" t="n"/>
      <c r="E409" s="649" t="n"/>
      <c r="F409" s="316" t="n"/>
      <c r="G409" s="650" t="n"/>
      <c r="H409" s="650" t="n"/>
      <c r="I409" s="650" t="n"/>
      <c r="J409" s="650" t="n"/>
      <c r="K409" s="651" t="n"/>
      <c r="L409" s="651" t="n"/>
      <c r="M409" s="651" t="n"/>
      <c r="N409" s="651" t="n"/>
      <c r="O409" s="652" t="n"/>
      <c r="P409" s="639" t="n"/>
      <c r="Q409" s="639" t="n"/>
      <c r="R409" s="640" t="n"/>
    </row>
    <row r="410" outlineLevel="1">
      <c r="A410" s="278" t="inlineStr">
        <is>
          <t>MAT</t>
        </is>
      </c>
      <c r="B410" s="282" t="n"/>
      <c r="C410" s="578" t="n"/>
      <c r="D410" s="403" t="n"/>
      <c r="E410" s="649" t="n"/>
      <c r="F410" s="316" t="n"/>
      <c r="G410" s="650" t="n"/>
      <c r="H410" s="650" t="n"/>
      <c r="I410" s="650" t="n"/>
      <c r="J410" s="650" t="n"/>
      <c r="K410" s="651" t="n"/>
      <c r="L410" s="651" t="n"/>
      <c r="M410" s="651" t="n"/>
      <c r="N410" s="651" t="n"/>
      <c r="O410" s="652" t="n"/>
      <c r="P410" s="639" t="n"/>
      <c r="Q410" s="639" t="n"/>
      <c r="R410" s="640" t="n"/>
    </row>
    <row r="411" outlineLevel="1">
      <c r="A411" s="278" t="inlineStr">
        <is>
          <t>MAT</t>
        </is>
      </c>
      <c r="B411" s="282" t="n"/>
      <c r="C411" s="578" t="n"/>
      <c r="D411" s="403" t="n"/>
      <c r="E411" s="649" t="n"/>
      <c r="F411" s="316" t="n"/>
      <c r="G411" s="650" t="n"/>
      <c r="H411" s="650" t="n"/>
      <c r="I411" s="650" t="n"/>
      <c r="J411" s="650" t="n"/>
      <c r="K411" s="651" t="n"/>
      <c r="L411" s="651" t="n"/>
      <c r="M411" s="651" t="n"/>
      <c r="N411" s="651" t="n"/>
      <c r="O411" s="652" t="n"/>
      <c r="P411" s="639" t="n"/>
      <c r="Q411" s="639" t="n"/>
      <c r="R411" s="640" t="n"/>
    </row>
    <row r="412" outlineLevel="1">
      <c r="A412" s="278" t="inlineStr">
        <is>
          <t>MAT</t>
        </is>
      </c>
      <c r="B412" s="282" t="n"/>
      <c r="C412" s="578" t="n"/>
      <c r="D412" s="403" t="n"/>
      <c r="E412" s="649" t="n"/>
      <c r="F412" s="316" t="n"/>
      <c r="G412" s="650" t="n"/>
      <c r="H412" s="650" t="n"/>
      <c r="I412" s="650" t="n"/>
      <c r="J412" s="650" t="n"/>
      <c r="K412" s="651" t="n"/>
      <c r="L412" s="651" t="n"/>
      <c r="M412" s="651" t="n"/>
      <c r="N412" s="651" t="n"/>
      <c r="O412" s="652" t="n"/>
      <c r="P412" s="639" t="n"/>
      <c r="Q412" s="639" t="n"/>
      <c r="R412" s="640" t="n"/>
    </row>
    <row r="413" outlineLevel="1">
      <c r="A413" s="278" t="inlineStr">
        <is>
          <t>MAT</t>
        </is>
      </c>
      <c r="B413" s="282" t="n"/>
      <c r="C413" s="578" t="n"/>
      <c r="D413" s="403" t="n"/>
      <c r="E413" s="649" t="n"/>
      <c r="F413" s="316" t="n"/>
      <c r="G413" s="650" t="n"/>
      <c r="H413" s="650" t="n"/>
      <c r="I413" s="650" t="n"/>
      <c r="J413" s="650" t="n"/>
      <c r="K413" s="651" t="n"/>
      <c r="L413" s="651" t="n"/>
      <c r="M413" s="651" t="n"/>
      <c r="N413" s="651" t="n"/>
      <c r="O413" s="652" t="n"/>
      <c r="P413" s="639" t="n"/>
      <c r="Q413" s="639" t="n"/>
      <c r="R413" s="640" t="n"/>
    </row>
    <row r="414" outlineLevel="1">
      <c r="A414" s="278" t="inlineStr">
        <is>
          <t>MAT</t>
        </is>
      </c>
      <c r="B414" s="282" t="n"/>
      <c r="C414" s="578" t="n"/>
      <c r="D414" s="403" t="n"/>
      <c r="E414" s="649" t="n"/>
      <c r="F414" s="316" t="n"/>
      <c r="G414" s="650" t="n"/>
      <c r="H414" s="650" t="n"/>
      <c r="I414" s="650" t="n"/>
      <c r="J414" s="650" t="n"/>
      <c r="K414" s="651" t="n"/>
      <c r="L414" s="651" t="n"/>
      <c r="M414" s="651" t="n"/>
      <c r="N414" s="651" t="n"/>
      <c r="O414" s="652" t="n"/>
      <c r="P414" s="639" t="n"/>
      <c r="Q414" s="639" t="n"/>
      <c r="R414" s="640" t="n"/>
    </row>
    <row r="415" outlineLevel="1">
      <c r="A415" s="278" t="inlineStr">
        <is>
          <t>MAT</t>
        </is>
      </c>
      <c r="B415" s="282" t="n"/>
      <c r="C415" s="578" t="n"/>
      <c r="D415" s="403" t="n"/>
      <c r="E415" s="649" t="n"/>
      <c r="F415" s="316" t="n"/>
      <c r="G415" s="650" t="n"/>
      <c r="H415" s="650" t="n"/>
      <c r="I415" s="650" t="n"/>
      <c r="J415" s="650" t="n"/>
      <c r="K415" s="651" t="n"/>
      <c r="L415" s="651" t="n"/>
      <c r="M415" s="651" t="n"/>
      <c r="N415" s="651" t="n"/>
      <c r="O415" s="652" t="n"/>
      <c r="P415" s="639" t="n"/>
      <c r="Q415" s="639" t="n"/>
      <c r="R415" s="640" t="n"/>
    </row>
    <row r="416" outlineLevel="1">
      <c r="A416" s="278" t="inlineStr">
        <is>
          <t>MAT</t>
        </is>
      </c>
      <c r="B416" s="282" t="n"/>
      <c r="C416" s="578" t="n"/>
      <c r="D416" s="403" t="n"/>
      <c r="E416" s="649" t="n"/>
      <c r="F416" s="316" t="n"/>
      <c r="G416" s="650" t="n"/>
      <c r="H416" s="650" t="n"/>
      <c r="I416" s="650" t="n"/>
      <c r="J416" s="650" t="n"/>
      <c r="K416" s="651" t="n"/>
      <c r="L416" s="651" t="n"/>
      <c r="M416" s="651" t="n"/>
      <c r="N416" s="651" t="n"/>
      <c r="O416" s="652" t="n"/>
      <c r="P416" s="639" t="n"/>
      <c r="Q416" s="639" t="n"/>
      <c r="R416" s="640" t="n"/>
    </row>
    <row r="417" outlineLevel="1">
      <c r="A417" s="278" t="inlineStr">
        <is>
          <t>MAT</t>
        </is>
      </c>
      <c r="B417" s="282" t="n"/>
      <c r="C417" s="578" t="n"/>
      <c r="D417" s="403" t="n"/>
      <c r="E417" s="649" t="n"/>
      <c r="F417" s="316" t="n"/>
      <c r="G417" s="650" t="n"/>
      <c r="H417" s="650" t="n"/>
      <c r="I417" s="650" t="n"/>
      <c r="J417" s="650" t="n"/>
      <c r="K417" s="651" t="n"/>
      <c r="L417" s="651" t="n"/>
      <c r="M417" s="651" t="n"/>
      <c r="N417" s="651" t="n"/>
      <c r="O417" s="652" t="n"/>
      <c r="P417" s="639" t="n"/>
      <c r="Q417" s="639" t="n"/>
      <c r="R417" s="640" t="n"/>
    </row>
    <row r="418" outlineLevel="1">
      <c r="A418" s="278" t="inlineStr">
        <is>
          <t>MAT</t>
        </is>
      </c>
      <c r="B418" s="282" t="inlineStr">
        <is>
          <t>05-08-01</t>
        </is>
      </c>
      <c r="C418" s="578" t="n"/>
      <c r="D418" s="386" t="inlineStr">
        <is>
          <t xml:space="preserve">OPERARIO </t>
        </is>
      </c>
      <c r="E418" s="632">
        <f>+_xlfn.XLOOKUP(D418,'BASE DATOS MANO DE OBRA'!A:A,'BASE DATOS MANO DE OBRA'!B:B)</f>
        <v/>
      </c>
      <c r="F418" s="388" t="n">
        <v>0</v>
      </c>
      <c r="G418" s="633">
        <f>+_xlfn.XLOOKUP(D418,'BASE DATOS MANO DE OBRA'!A:A,'BASE DATOS MANO DE OBRA'!C:C)</f>
        <v/>
      </c>
      <c r="H418" s="634" t="n">
        <v>0</v>
      </c>
      <c r="I418" s="634">
        <f>+_xlfn.XLOOKUP(D418,'BASE DATOS MANO DE OBRA'!A:A,'BASE DATOS MANO DE OBRA'!E:E)</f>
        <v/>
      </c>
      <c r="J418" s="634" t="n">
        <v>0</v>
      </c>
      <c r="K418" s="634">
        <f>+F418*H418</f>
        <v/>
      </c>
      <c r="L418" s="634">
        <f>+F418*I418</f>
        <v/>
      </c>
      <c r="M418" s="634">
        <f>+F418*J418</f>
        <v/>
      </c>
      <c r="N418" s="634">
        <f>SUM(K418:M418)</f>
        <v/>
      </c>
      <c r="O418" s="635">
        <f>SUM(K418:M418)/tc</f>
        <v/>
      </c>
      <c r="P418" s="639" t="n"/>
      <c r="Q418" s="639" t="n"/>
      <c r="R418" s="640" t="n"/>
    </row>
    <row r="419" outlineLevel="1">
      <c r="A419" s="278" t="inlineStr">
        <is>
          <t>MAT</t>
        </is>
      </c>
      <c r="B419" s="282" t="inlineStr">
        <is>
          <t>05-08-01</t>
        </is>
      </c>
      <c r="C419" s="578" t="n"/>
      <c r="D419" s="386" t="inlineStr">
        <is>
          <t xml:space="preserve">AYUDANTE </t>
        </is>
      </c>
      <c r="E419" s="632">
        <f>+_xlfn.XLOOKUP(D419,'BASE DATOS MANO DE OBRA'!A:A,'BASE DATOS MANO DE OBRA'!B:B)</f>
        <v/>
      </c>
      <c r="F419" s="388" t="n">
        <v>0</v>
      </c>
      <c r="G419" s="633">
        <f>+_xlfn.XLOOKUP(D419,'BASE DATOS MANO DE OBRA'!A:A,'BASE DATOS MANO DE OBRA'!C:C)</f>
        <v/>
      </c>
      <c r="H419" s="634" t="n">
        <v>0</v>
      </c>
      <c r="I419" s="634">
        <f>+_xlfn.XLOOKUP(D419,'BASE DATOS MANO DE OBRA'!A:A,'BASE DATOS MANO DE OBRA'!E:E)</f>
        <v/>
      </c>
      <c r="J419" s="634" t="n">
        <v>0</v>
      </c>
      <c r="K419" s="634">
        <f>+F419*H419</f>
        <v/>
      </c>
      <c r="L419" s="634">
        <f>+F419*I419</f>
        <v/>
      </c>
      <c r="M419" s="634">
        <f>+F419*J419</f>
        <v/>
      </c>
      <c r="N419" s="634">
        <f>SUM(K419:M419)</f>
        <v/>
      </c>
      <c r="O419" s="635">
        <f>SUM(K419:M419)/tc</f>
        <v/>
      </c>
      <c r="P419" s="639" t="n"/>
      <c r="Q419" s="639" t="n"/>
      <c r="R419" s="640" t="n"/>
    </row>
    <row r="420" outlineLevel="1">
      <c r="A420" s="278" t="inlineStr">
        <is>
          <t xml:space="preserve">MO </t>
        </is>
      </c>
      <c r="B420" s="282" t="inlineStr">
        <is>
          <t>05-08-02</t>
        </is>
      </c>
      <c r="C420" s="578" t="n"/>
      <c r="D420" s="386" t="inlineStr">
        <is>
          <t xml:space="preserve">OPERARIO </t>
        </is>
      </c>
      <c r="E420" s="632">
        <f>+_xlfn.XLOOKUP(D420,'BASE DATOS MANO DE OBRA'!A:A,'BASE DATOS MANO DE OBRA'!B:B)</f>
        <v/>
      </c>
      <c r="F420" s="388" t="n">
        <v>0</v>
      </c>
      <c r="G420" s="633">
        <f>+_xlfn.XLOOKUP(D420,'BASE DATOS MANO DE OBRA'!A:A,'BASE DATOS MANO DE OBRA'!C:C)</f>
        <v/>
      </c>
      <c r="H420" s="634" t="n">
        <v>0</v>
      </c>
      <c r="I420" s="634">
        <f>+_xlfn.XLOOKUP(D420,'BASE DATOS MANO DE OBRA'!A:A,'BASE DATOS MANO DE OBRA'!E:E)</f>
        <v/>
      </c>
      <c r="J420" s="634" t="n">
        <v>0</v>
      </c>
      <c r="K420" s="634">
        <f>+F420*H420</f>
        <v/>
      </c>
      <c r="L420" s="634">
        <f>+F420*I420</f>
        <v/>
      </c>
      <c r="M420" s="634">
        <f>+F420*J420</f>
        <v/>
      </c>
      <c r="N420" s="634">
        <f>SUM(K420:M420)</f>
        <v/>
      </c>
      <c r="O420" s="635">
        <f>SUM(K420:M420)/tc</f>
        <v/>
      </c>
      <c r="P420" s="639" t="n"/>
      <c r="Q420" s="639" t="n"/>
      <c r="R420" s="640" t="n"/>
    </row>
    <row r="421" outlineLevel="1">
      <c r="A421" s="278" t="inlineStr">
        <is>
          <t xml:space="preserve">MO </t>
        </is>
      </c>
      <c r="B421" s="282" t="inlineStr">
        <is>
          <t>05-08-02</t>
        </is>
      </c>
      <c r="C421" s="578" t="n"/>
      <c r="D421" s="386" t="inlineStr">
        <is>
          <t xml:space="preserve">AYUDANTE </t>
        </is>
      </c>
      <c r="E421" s="632">
        <f>+_xlfn.XLOOKUP(D421,'BASE DATOS MANO DE OBRA'!A:A,'BASE DATOS MANO DE OBRA'!B:B)</f>
        <v/>
      </c>
      <c r="F421" s="388" t="n">
        <v>0</v>
      </c>
      <c r="G421" s="633">
        <f>+_xlfn.XLOOKUP(D421,'BASE DATOS MANO DE OBRA'!A:A,'BASE DATOS MANO DE OBRA'!C:C)</f>
        <v/>
      </c>
      <c r="H421" s="634" t="n">
        <v>0</v>
      </c>
      <c r="I421" s="634">
        <f>+_xlfn.XLOOKUP(D421,'BASE DATOS MANO DE OBRA'!A:A,'BASE DATOS MANO DE OBRA'!E:E)</f>
        <v/>
      </c>
      <c r="J421" s="634" t="n">
        <v>0</v>
      </c>
      <c r="K421" s="634">
        <f>+F421*H421</f>
        <v/>
      </c>
      <c r="L421" s="634">
        <f>+F421*I421</f>
        <v/>
      </c>
      <c r="M421" s="634">
        <f>+F421*J421</f>
        <v/>
      </c>
      <c r="N421" s="634">
        <f>SUM(K421:M421)</f>
        <v/>
      </c>
      <c r="O421" s="635">
        <f>SUM(K421:M421)/tc</f>
        <v/>
      </c>
      <c r="P421" s="639" t="n"/>
      <c r="Q421" s="639" t="n"/>
      <c r="R421" s="640" t="n"/>
    </row>
    <row r="422">
      <c r="A422" s="278" t="n"/>
      <c r="B422" s="282" t="inlineStr">
        <is>
          <t>06</t>
        </is>
      </c>
      <c r="C422" s="578" t="n"/>
      <c r="D422" s="372" t="n">
        <v>6</v>
      </c>
      <c r="E422" s="373" t="inlineStr">
        <is>
          <t xml:space="preserve">LIVIANO </t>
        </is>
      </c>
      <c r="F422" s="374" t="n"/>
      <c r="G422" s="375" t="n"/>
      <c r="H422" s="375" t="n"/>
      <c r="I422" s="375" t="n"/>
      <c r="J422" s="375" t="n"/>
      <c r="K422" s="612">
        <f>K423+K455</f>
        <v/>
      </c>
      <c r="L422" s="612">
        <f>L423+L455</f>
        <v/>
      </c>
      <c r="M422" s="612">
        <f>M423+M455</f>
        <v/>
      </c>
      <c r="N422" s="612">
        <f>N423+N455</f>
        <v/>
      </c>
      <c r="O422" s="613">
        <f>O423+O455</f>
        <v/>
      </c>
      <c r="P422" s="639" t="n"/>
      <c r="Q422" s="639" t="n"/>
      <c r="R422" s="640" t="n"/>
    </row>
    <row r="423">
      <c r="A423" s="278" t="n"/>
      <c r="B423" s="282" t="inlineStr">
        <is>
          <t>06-01</t>
        </is>
      </c>
      <c r="C423" s="578" t="n"/>
      <c r="D423" s="307" t="inlineStr">
        <is>
          <t xml:space="preserve">6.1 </t>
        </is>
      </c>
      <c r="E423" s="308" t="inlineStr">
        <is>
          <t xml:space="preserve">LIVIANO EXTERIORES </t>
        </is>
      </c>
      <c r="F423" s="309" t="n">
        <v>1</v>
      </c>
      <c r="G423" s="310" t="inlineStr">
        <is>
          <t>gb</t>
        </is>
      </c>
      <c r="H423" s="310" t="n"/>
      <c r="I423" s="310" t="n"/>
      <c r="J423" s="310" t="n"/>
      <c r="K423" s="636">
        <f>SUM(K424:K454)</f>
        <v/>
      </c>
      <c r="L423" s="636">
        <f>SUM(L424:L454)</f>
        <v/>
      </c>
      <c r="M423" s="636">
        <f>SUM(M424:M454)</f>
        <v/>
      </c>
      <c r="N423" s="636">
        <f>SUM(N424:N454)</f>
        <v/>
      </c>
      <c r="O423" s="615">
        <f>SUM(O424:O454)</f>
        <v/>
      </c>
      <c r="P423" s="639" t="n"/>
      <c r="Q423" s="639" t="n"/>
      <c r="R423" s="640" t="n"/>
    </row>
    <row r="424" outlineLevel="1">
      <c r="A424" s="278" t="n"/>
      <c r="B424" s="282" t="n"/>
      <c r="C424" s="578" t="n"/>
      <c r="D424" s="292" t="n"/>
      <c r="E424" s="293" t="inlineStr">
        <is>
          <t xml:space="preserve">PRECINTA Y TAPICHELES </t>
        </is>
      </c>
      <c r="F424" s="294" t="n"/>
      <c r="G424" s="295" t="n"/>
      <c r="H424" s="295" t="n"/>
      <c r="I424" s="295" t="n"/>
      <c r="J424" s="295" t="n"/>
      <c r="K424" s="637" t="n"/>
      <c r="L424" s="637" t="n"/>
      <c r="M424" s="637" t="n"/>
      <c r="N424" s="637" t="n"/>
      <c r="O424" s="638" t="n"/>
      <c r="P424" s="639" t="n"/>
      <c r="Q424" s="639" t="n"/>
      <c r="R424" s="640" t="n"/>
    </row>
    <row r="425" outlineLevel="1" ht="15" customHeight="1">
      <c r="A425" s="278" t="inlineStr">
        <is>
          <t>MAT</t>
        </is>
      </c>
      <c r="B425" s="282" t="n"/>
      <c r="C425" s="578">
        <f>_xlfn.XLOOKUP(D425,'INSUMOS MAT '!B:B,'INSUMOS MAT '!C:C,"ERROR",0)</f>
        <v/>
      </c>
      <c r="D425" s="177" t="inlineStr">
        <is>
          <t>MAT07-0011</t>
        </is>
      </c>
      <c r="E425" s="653">
        <f>+_xlfn.XLOOKUP(D425,'BASE DATOS PRECIOS '!B:B,'BASE DATOS PRECIOS '!C:C)</f>
        <v/>
      </c>
      <c r="F425" s="322" t="n">
        <v>12</v>
      </c>
      <c r="G425" s="654">
        <f>+_xlfn.XLOOKUP(D425,'BASE DATOS PRECIOS '!B:B,'BASE DATOS PRECIOS '!D:D)</f>
        <v/>
      </c>
      <c r="H425" s="620">
        <f>+_xlfn.XLOOKUP(E425,'BASE DATOS PRECIOS '!C:C,'BASE DATOS PRECIOS '!F:F)</f>
        <v/>
      </c>
      <c r="I425" s="654" t="n"/>
      <c r="J425" s="654" t="n"/>
      <c r="K425" s="655">
        <f>+F425*H425</f>
        <v/>
      </c>
      <c r="L425" s="655">
        <f>+F425*I425</f>
        <v/>
      </c>
      <c r="M425" s="655">
        <f>+F425*J425</f>
        <v/>
      </c>
      <c r="N425" s="655">
        <f>SUM(K425:M425)</f>
        <v/>
      </c>
      <c r="O425" s="656">
        <f>SUM(K425:M425)/tc</f>
        <v/>
      </c>
      <c r="S425" s="616" t="n"/>
    </row>
    <row r="426" outlineLevel="1" ht="15" customHeight="1">
      <c r="A426" s="278" t="inlineStr">
        <is>
          <t>MAT</t>
        </is>
      </c>
      <c r="B426" s="282" t="n"/>
      <c r="C426" s="578">
        <f>_xlfn.XLOOKUP(D426,'INSUMOS MAT '!B:B,'INSUMOS MAT '!C:C,"ERROR",0)</f>
        <v/>
      </c>
      <c r="D426" s="177" t="inlineStr">
        <is>
          <t>MAT07-0025</t>
        </is>
      </c>
      <c r="E426" s="618">
        <f>+_xlfn.XLOOKUP(D426,'BASE DATOS PRECIOS '!B:B,'BASE DATOS PRECIOS '!C:C)</f>
        <v/>
      </c>
      <c r="F426" s="301" t="n">
        <v>500</v>
      </c>
      <c r="G426" s="621">
        <f>+_xlfn.XLOOKUP(D426,'BASE DATOS PRECIOS '!B:B,'BASE DATOS PRECIOS '!D:D)</f>
        <v/>
      </c>
      <c r="H426" s="620">
        <f>+_xlfn.XLOOKUP(E426,'BASE DATOS PRECIOS '!C:C,'BASE DATOS PRECIOS '!F:F)</f>
        <v/>
      </c>
      <c r="I426" s="621" t="n"/>
      <c r="J426" s="621" t="n"/>
      <c r="K426" s="620">
        <f>+F426*H426</f>
        <v/>
      </c>
      <c r="L426" s="620">
        <f>+F426*I426</f>
        <v/>
      </c>
      <c r="M426" s="620">
        <f>+F426*J426</f>
        <v/>
      </c>
      <c r="N426" s="620">
        <f>SUM(K426:M426)</f>
        <v/>
      </c>
      <c r="O426" s="622">
        <f>SUM(K426:M426)/tc</f>
        <v/>
      </c>
      <c r="S426" s="616" t="n"/>
    </row>
    <row r="427" outlineLevel="1" ht="15" customHeight="1">
      <c r="A427" s="278" t="inlineStr">
        <is>
          <t>MAT</t>
        </is>
      </c>
      <c r="B427" s="282" t="n"/>
      <c r="C427" s="578">
        <f>_xlfn.XLOOKUP(D427,'INSUMOS MAT '!B:B,'INSUMOS MAT '!C:C,"ERROR",0)</f>
        <v/>
      </c>
      <c r="D427" s="177" t="inlineStr">
        <is>
          <t>MAT04-79</t>
        </is>
      </c>
      <c r="E427" s="618">
        <f>+_xlfn.XLOOKUP(D427,'BASE DATOS PRECIOS '!B:B,'BASE DATOS PRECIOS '!C:C)</f>
        <v/>
      </c>
      <c r="F427" s="301" t="n">
        <v>1</v>
      </c>
      <c r="G427" s="621">
        <f>+_xlfn.XLOOKUP(D427,'BASE DATOS PRECIOS '!B:B,'BASE DATOS PRECIOS '!D:D)</f>
        <v/>
      </c>
      <c r="H427" s="620">
        <f>+_xlfn.XLOOKUP(E427,'BASE DATOS PRECIOS '!C:C,'BASE DATOS PRECIOS '!F:F)</f>
        <v/>
      </c>
      <c r="I427" s="621" t="n"/>
      <c r="J427" s="621" t="n"/>
      <c r="K427" s="620">
        <f>+F427*H427</f>
        <v/>
      </c>
      <c r="L427" s="620">
        <f>+F427*I427</f>
        <v/>
      </c>
      <c r="M427" s="620">
        <f>+F427*J427</f>
        <v/>
      </c>
      <c r="N427" s="620">
        <f>SUM(K427:M427)</f>
        <v/>
      </c>
      <c r="O427" s="622">
        <f>SUM(K427:M427)/tc</f>
        <v/>
      </c>
      <c r="S427" s="616" t="n"/>
    </row>
    <row r="428" outlineLevel="1" ht="15" customHeight="1">
      <c r="A428" s="278" t="inlineStr">
        <is>
          <t>MAT</t>
        </is>
      </c>
      <c r="B428" s="282" t="n"/>
      <c r="C428" s="578">
        <f>_xlfn.XLOOKUP(D428,'INSUMOS MAT '!B:B,'INSUMOS MAT '!C:C,"ERROR",0)</f>
        <v/>
      </c>
      <c r="D428" s="177" t="inlineStr">
        <is>
          <t>MAT04-0046</t>
        </is>
      </c>
      <c r="E428" s="618">
        <f>+_xlfn.XLOOKUP(D428,'BASE DATOS PRECIOS '!B:B,'BASE DATOS PRECIOS '!C:C)</f>
        <v/>
      </c>
      <c r="F428" s="301" t="n">
        <v>7</v>
      </c>
      <c r="G428" s="621">
        <f>+_xlfn.XLOOKUP(D428,'BASE DATOS PRECIOS '!B:B,'BASE DATOS PRECIOS '!D:D)</f>
        <v/>
      </c>
      <c r="H428" s="620">
        <f>+_xlfn.XLOOKUP(E428,'BASE DATOS PRECIOS '!C:C,'BASE DATOS PRECIOS '!F:F)</f>
        <v/>
      </c>
      <c r="I428" s="621" t="n"/>
      <c r="J428" s="621" t="n"/>
      <c r="K428" s="620">
        <f>+F428*H428</f>
        <v/>
      </c>
      <c r="L428" s="620">
        <f>+F428*I428</f>
        <v/>
      </c>
      <c r="M428" s="620">
        <f>+F428*J428</f>
        <v/>
      </c>
      <c r="N428" s="620">
        <f>SUM(K428:M428)</f>
        <v/>
      </c>
      <c r="O428" s="622">
        <f>SUM(K428:M428)/tc</f>
        <v/>
      </c>
      <c r="S428" s="616" t="n"/>
    </row>
    <row r="429" outlineLevel="1" ht="15" customHeight="1">
      <c r="A429" s="278" t="inlineStr">
        <is>
          <t>MAT</t>
        </is>
      </c>
      <c r="B429" s="282" t="n"/>
      <c r="C429" s="578">
        <f>_xlfn.XLOOKUP(D429,'INSUMOS MAT '!B:B,'INSUMOS MAT '!C:C,"ERROR",0)</f>
        <v/>
      </c>
      <c r="D429" s="177" t="inlineStr">
        <is>
          <t>MAT07-0018</t>
        </is>
      </c>
      <c r="E429" s="618">
        <f>+_xlfn.XLOOKUP(D429,'BASE DATOS PRECIOS '!B:B,'BASE DATOS PRECIOS '!C:C)</f>
        <v/>
      </c>
      <c r="F429" s="301" t="n">
        <v>14</v>
      </c>
      <c r="G429" s="621">
        <f>+_xlfn.XLOOKUP(D429,'BASE DATOS PRECIOS '!B:B,'BASE DATOS PRECIOS '!D:D)</f>
        <v/>
      </c>
      <c r="H429" s="620">
        <f>+_xlfn.XLOOKUP(E429,'BASE DATOS PRECIOS '!C:C,'BASE DATOS PRECIOS '!F:F)</f>
        <v/>
      </c>
      <c r="I429" s="621" t="n"/>
      <c r="J429" s="621" t="n"/>
      <c r="K429" s="620">
        <f>+F429*H429</f>
        <v/>
      </c>
      <c r="L429" s="620">
        <f>+F429*I429</f>
        <v/>
      </c>
      <c r="M429" s="620">
        <f>+F429*J429</f>
        <v/>
      </c>
      <c r="N429" s="620">
        <f>SUM(K429:M429)</f>
        <v/>
      </c>
      <c r="O429" s="622">
        <f>SUM(K429:M429)/tc</f>
        <v/>
      </c>
      <c r="S429" s="616" t="n"/>
    </row>
    <row r="430" outlineLevel="1" ht="15" customHeight="1">
      <c r="A430" s="278" t="inlineStr">
        <is>
          <t>MAT</t>
        </is>
      </c>
      <c r="B430" s="282" t="n"/>
      <c r="C430" s="578">
        <f>_xlfn.XLOOKUP(D430,'INSUMOS MAT '!B:B,'INSUMOS MAT '!C:C,"ERROR",0)</f>
        <v/>
      </c>
      <c r="D430" s="177" t="inlineStr">
        <is>
          <t>MAT07-0029</t>
        </is>
      </c>
      <c r="E430" s="618">
        <f>+_xlfn.XLOOKUP(D430,'BASE DATOS PRECIOS '!B:B,'BASE DATOS PRECIOS '!C:C)</f>
        <v/>
      </c>
      <c r="F430" s="301" t="n">
        <v>14</v>
      </c>
      <c r="G430" s="621">
        <f>+_xlfn.XLOOKUP(D430,'BASE DATOS PRECIOS '!B:B,'BASE DATOS PRECIOS '!D:D)</f>
        <v/>
      </c>
      <c r="H430" s="620">
        <f>+_xlfn.XLOOKUP(E430,'BASE DATOS PRECIOS '!C:C,'BASE DATOS PRECIOS '!F:F)</f>
        <v/>
      </c>
      <c r="I430" s="621" t="n"/>
      <c r="J430" s="621" t="n"/>
      <c r="K430" s="620">
        <f>+F430*H430</f>
        <v/>
      </c>
      <c r="L430" s="620">
        <f>+F430*I430</f>
        <v/>
      </c>
      <c r="M430" s="620">
        <f>+F430*J430</f>
        <v/>
      </c>
      <c r="N430" s="620">
        <f>SUM(K430:M430)</f>
        <v/>
      </c>
      <c r="O430" s="622">
        <f>SUM(K430:M430)/tc</f>
        <v/>
      </c>
      <c r="S430" s="616" t="n"/>
    </row>
    <row r="431" outlineLevel="1" ht="15" customHeight="1">
      <c r="A431" s="278" t="inlineStr">
        <is>
          <t>MAT</t>
        </is>
      </c>
      <c r="B431" s="282" t="n"/>
      <c r="C431" s="578">
        <f>_xlfn.XLOOKUP(D431,'INSUMOS MAT '!B:B,'INSUMOS MAT '!C:C,"ERROR",0)</f>
        <v/>
      </c>
      <c r="D431" s="177" t="inlineStr">
        <is>
          <t>MAT07-0027</t>
        </is>
      </c>
      <c r="E431" s="618">
        <f>+_xlfn.XLOOKUP(D431,'BASE DATOS PRECIOS '!B:B,'BASE DATOS PRECIOS '!C:C)</f>
        <v/>
      </c>
      <c r="F431" s="301" t="n">
        <v>3</v>
      </c>
      <c r="G431" s="621">
        <f>+_xlfn.XLOOKUP(D431,'BASE DATOS PRECIOS '!B:B,'BASE DATOS PRECIOS '!D:D)</f>
        <v/>
      </c>
      <c r="H431" s="620">
        <f>+_xlfn.XLOOKUP(E431,'BASE DATOS PRECIOS '!C:C,'BASE DATOS PRECIOS '!F:F)</f>
        <v/>
      </c>
      <c r="I431" s="621" t="n"/>
      <c r="J431" s="621" t="n"/>
      <c r="K431" s="620">
        <f>+F431*H431</f>
        <v/>
      </c>
      <c r="L431" s="620">
        <f>+F431*I431</f>
        <v/>
      </c>
      <c r="M431" s="620">
        <f>+F431*J431</f>
        <v/>
      </c>
      <c r="N431" s="620">
        <f>SUM(K431:M431)</f>
        <v/>
      </c>
      <c r="O431" s="622">
        <f>SUM(K431:M431)/tc</f>
        <v/>
      </c>
      <c r="S431" s="616" t="n"/>
    </row>
    <row r="432" outlineLevel="1" ht="15" customHeight="1">
      <c r="A432" s="278" t="n"/>
      <c r="B432" s="282" t="n"/>
      <c r="C432" s="578" t="n"/>
      <c r="D432" s="292" t="n"/>
      <c r="E432" s="293" t="inlineStr">
        <is>
          <t xml:space="preserve">ALEROS </t>
        </is>
      </c>
      <c r="F432" s="294" t="n"/>
      <c r="G432" s="295" t="n"/>
      <c r="H432" s="295" t="n"/>
      <c r="I432" s="295" t="n"/>
      <c r="J432" s="295" t="n"/>
      <c r="K432" s="637" t="n"/>
      <c r="L432" s="637" t="n"/>
      <c r="M432" s="637" t="n"/>
      <c r="N432" s="637" t="n"/>
      <c r="O432" s="638" t="n"/>
    </row>
    <row r="433" outlineLevel="1" ht="15" customHeight="1">
      <c r="A433" s="278" t="inlineStr">
        <is>
          <t>MAT</t>
        </is>
      </c>
      <c r="B433" s="282" t="n"/>
      <c r="C433" s="578">
        <f>_xlfn.XLOOKUP(D433,'INSUMOS MAT '!B:B,'INSUMOS MAT '!C:C,"ERROR",0)</f>
        <v/>
      </c>
      <c r="D433" s="177" t="inlineStr">
        <is>
          <t>MAT07-0020</t>
        </is>
      </c>
      <c r="E433" s="618">
        <f>+_xlfn.XLOOKUP(D433,'BASE DATOS PRECIOS '!B:B,'BASE DATOS PRECIOS '!C:C)</f>
        <v/>
      </c>
      <c r="F433" s="301" t="n">
        <v>9.5</v>
      </c>
      <c r="G433" s="621">
        <f>+_xlfn.XLOOKUP(D433,'BASE DATOS PRECIOS '!B:B,'BASE DATOS PRECIOS '!D:D)</f>
        <v/>
      </c>
      <c r="H433" s="620">
        <f>+_xlfn.XLOOKUP(E433,'BASE DATOS PRECIOS '!C:C,'BASE DATOS PRECIOS '!F:F)</f>
        <v/>
      </c>
      <c r="I433" s="621" t="n"/>
      <c r="J433" s="621" t="n"/>
      <c r="K433" s="620">
        <f>+F433*H433</f>
        <v/>
      </c>
      <c r="L433" s="620">
        <f>+F433*I433</f>
        <v/>
      </c>
      <c r="M433" s="620">
        <f>+F433*J433</f>
        <v/>
      </c>
      <c r="N433" s="620">
        <f>SUM(K433:M433)</f>
        <v/>
      </c>
      <c r="O433" s="622">
        <f>SUM(K433:M433)/tc</f>
        <v/>
      </c>
    </row>
    <row r="434" outlineLevel="1" ht="15" customHeight="1">
      <c r="A434" s="278" t="inlineStr">
        <is>
          <t>MAT</t>
        </is>
      </c>
      <c r="B434" s="282" t="n"/>
      <c r="C434" s="578">
        <f>_xlfn.XLOOKUP(D434,'INSUMOS MAT '!B:B,'INSUMOS MAT '!C:C,"ERROR",0)</f>
        <v/>
      </c>
      <c r="D434" s="177" t="inlineStr">
        <is>
          <t>MAT07-0007</t>
        </is>
      </c>
      <c r="E434" s="618">
        <f>+_xlfn.XLOOKUP(D434,'BASE DATOS PRECIOS '!B:B,'BASE DATOS PRECIOS '!C:C)</f>
        <v/>
      </c>
      <c r="F434" s="301" t="n">
        <v>4</v>
      </c>
      <c r="G434" s="621">
        <f>+_xlfn.XLOOKUP(D434,'BASE DATOS PRECIOS '!B:B,'BASE DATOS PRECIOS '!D:D)</f>
        <v/>
      </c>
      <c r="H434" s="620">
        <f>+_xlfn.XLOOKUP(E434,'BASE DATOS PRECIOS '!C:C,'BASE DATOS PRECIOS '!F:F)</f>
        <v/>
      </c>
      <c r="I434" s="621" t="n"/>
      <c r="J434" s="621" t="n"/>
      <c r="K434" s="620">
        <f>+F434*H434</f>
        <v/>
      </c>
      <c r="L434" s="620">
        <f>+F434*I434</f>
        <v/>
      </c>
      <c r="M434" s="620">
        <f>+F434*J434</f>
        <v/>
      </c>
      <c r="N434" s="620">
        <f>SUM(K434:M434)</f>
        <v/>
      </c>
      <c r="O434" s="622">
        <f>SUM(K434:M434)/tc</f>
        <v/>
      </c>
    </row>
    <row r="435" outlineLevel="1" ht="15" customHeight="1">
      <c r="A435" s="278" t="inlineStr">
        <is>
          <t>MAT</t>
        </is>
      </c>
      <c r="B435" s="282" t="n"/>
      <c r="C435" s="578">
        <f>_xlfn.XLOOKUP(D435,'INSUMOS MAT '!B:B,'INSUMOS MAT '!C:C,"ERROR",0)</f>
        <v/>
      </c>
      <c r="D435" s="177" t="inlineStr">
        <is>
          <t>MAT07-0001</t>
        </is>
      </c>
      <c r="E435" s="618">
        <f>+_xlfn.XLOOKUP(D435,'BASE DATOS PRECIOS '!B:B,'BASE DATOS PRECIOS '!C:C)</f>
        <v/>
      </c>
      <c r="F435" s="301" t="n">
        <v>5</v>
      </c>
      <c r="G435" s="621">
        <f>+_xlfn.XLOOKUP(D435,'BASE DATOS PRECIOS '!B:B,'BASE DATOS PRECIOS '!D:D)</f>
        <v/>
      </c>
      <c r="H435" s="620">
        <f>+_xlfn.XLOOKUP(E435,'BASE DATOS PRECIOS '!C:C,'BASE DATOS PRECIOS '!F:F)</f>
        <v/>
      </c>
      <c r="I435" s="621" t="n"/>
      <c r="J435" s="621" t="n"/>
      <c r="K435" s="620">
        <f>+F435*H435</f>
        <v/>
      </c>
      <c r="L435" s="620">
        <f>+F435*I435</f>
        <v/>
      </c>
      <c r="M435" s="620">
        <f>+F435*J435</f>
        <v/>
      </c>
      <c r="N435" s="620">
        <f>SUM(K435:M435)</f>
        <v/>
      </c>
      <c r="O435" s="622">
        <f>SUM(K435:M435)/tc</f>
        <v/>
      </c>
    </row>
    <row r="436" outlineLevel="1" ht="15" customHeight="1">
      <c r="A436" s="278" t="inlineStr">
        <is>
          <t>MAT</t>
        </is>
      </c>
      <c r="B436" s="282" t="n"/>
      <c r="C436" s="578">
        <f>_xlfn.XLOOKUP(D436,'INSUMOS MAT '!B:B,'INSUMOS MAT '!C:C,"ERROR",0)</f>
        <v/>
      </c>
      <c r="D436" s="177" t="inlineStr">
        <is>
          <t>MAT07-0003</t>
        </is>
      </c>
      <c r="E436" s="618">
        <f>+_xlfn.XLOOKUP(D436,'BASE DATOS PRECIOS '!B:B,'BASE DATOS PRECIOS '!C:C)</f>
        <v/>
      </c>
      <c r="F436" s="301" t="n">
        <v>3</v>
      </c>
      <c r="G436" s="621">
        <f>+_xlfn.XLOOKUP(D436,'BASE DATOS PRECIOS '!B:B,'BASE DATOS PRECIOS '!D:D)</f>
        <v/>
      </c>
      <c r="H436" s="620">
        <f>+_xlfn.XLOOKUP(E436,'BASE DATOS PRECIOS '!C:C,'BASE DATOS PRECIOS '!F:F)</f>
        <v/>
      </c>
      <c r="I436" s="621" t="n"/>
      <c r="J436" s="621" t="n"/>
      <c r="K436" s="620">
        <f>+F436*H436</f>
        <v/>
      </c>
      <c r="L436" s="620">
        <f>+F436*I436</f>
        <v/>
      </c>
      <c r="M436" s="620">
        <f>+F436*J436</f>
        <v/>
      </c>
      <c r="N436" s="620">
        <f>SUM(K436:M436)</f>
        <v/>
      </c>
      <c r="O436" s="622">
        <f>SUM(K436:M436)/tc</f>
        <v/>
      </c>
    </row>
    <row r="437" outlineLevel="1" ht="15" customHeight="1">
      <c r="A437" s="278" t="inlineStr">
        <is>
          <t>MAT</t>
        </is>
      </c>
      <c r="B437" s="282" t="n"/>
      <c r="C437" s="578">
        <f>_xlfn.XLOOKUP(D437,'INSUMOS MAT '!B:B,'INSUMOS MAT '!C:C,"ERROR",0)</f>
        <v/>
      </c>
      <c r="D437" s="177" t="inlineStr">
        <is>
          <t>MAT07-0010</t>
        </is>
      </c>
      <c r="E437" s="618">
        <f>+_xlfn.XLOOKUP(D437,'BASE DATOS PRECIOS '!B:B,'BASE DATOS PRECIOS '!C:C)</f>
        <v/>
      </c>
      <c r="F437" s="301" t="n">
        <v>9</v>
      </c>
      <c r="G437" s="621">
        <f>+_xlfn.XLOOKUP(D437,'BASE DATOS PRECIOS '!B:B,'BASE DATOS PRECIOS '!D:D)</f>
        <v/>
      </c>
      <c r="H437" s="620">
        <f>+_xlfn.XLOOKUP(E437,'BASE DATOS PRECIOS '!C:C,'BASE DATOS PRECIOS '!F:F)</f>
        <v/>
      </c>
      <c r="I437" s="621" t="n"/>
      <c r="J437" s="621" t="n"/>
      <c r="K437" s="620">
        <f>+F437*H437</f>
        <v/>
      </c>
      <c r="L437" s="620">
        <f>+F437*I437</f>
        <v/>
      </c>
      <c r="M437" s="620">
        <f>+F437*J437</f>
        <v/>
      </c>
      <c r="N437" s="620">
        <f>SUM(K437:M437)</f>
        <v/>
      </c>
      <c r="O437" s="622">
        <f>SUM(K437:M437)/tc</f>
        <v/>
      </c>
    </row>
    <row r="438" outlineLevel="1" ht="15" customHeight="1">
      <c r="A438" s="278" t="inlineStr">
        <is>
          <t>MAT</t>
        </is>
      </c>
      <c r="B438" s="282" t="n"/>
      <c r="C438" s="578">
        <f>_xlfn.XLOOKUP(D438,'INSUMOS MAT '!B:B,'INSUMOS MAT '!C:C,"ERROR",0)</f>
        <v/>
      </c>
      <c r="D438" s="177" t="inlineStr">
        <is>
          <t>MAT07-0024</t>
        </is>
      </c>
      <c r="E438" s="618">
        <f>+_xlfn.XLOOKUP(D438,'BASE DATOS PRECIOS '!B:B,'BASE DATOS PRECIOS '!C:C)</f>
        <v/>
      </c>
      <c r="F438" s="301" t="n">
        <v>100</v>
      </c>
      <c r="G438" s="621">
        <f>+_xlfn.XLOOKUP(D438,'BASE DATOS PRECIOS '!B:B,'BASE DATOS PRECIOS '!D:D)</f>
        <v/>
      </c>
      <c r="H438" s="620">
        <f>+_xlfn.XLOOKUP(E438,'BASE DATOS PRECIOS '!C:C,'BASE DATOS PRECIOS '!F:F)</f>
        <v/>
      </c>
      <c r="I438" s="621" t="n"/>
      <c r="J438" s="621" t="n"/>
      <c r="K438" s="620">
        <f>+F438*H438</f>
        <v/>
      </c>
      <c r="L438" s="620">
        <f>+F438*I438</f>
        <v/>
      </c>
      <c r="M438" s="620">
        <f>+F438*J438</f>
        <v/>
      </c>
      <c r="N438" s="620">
        <f>SUM(K438:M438)</f>
        <v/>
      </c>
      <c r="O438" s="622">
        <f>SUM(K438:M438)/tc</f>
        <v/>
      </c>
    </row>
    <row r="439" outlineLevel="1" ht="15" customHeight="1">
      <c r="A439" s="278" t="inlineStr">
        <is>
          <t>MAT</t>
        </is>
      </c>
      <c r="B439" s="282" t="n"/>
      <c r="C439" s="578">
        <f>_xlfn.XLOOKUP(D439,'INSUMOS MAT '!B:B,'INSUMOS MAT '!C:C,"ERROR",0)</f>
        <v/>
      </c>
      <c r="D439" s="177" t="inlineStr">
        <is>
          <t>MAT08-0026</t>
        </is>
      </c>
      <c r="E439" s="618">
        <f>+_xlfn.XLOOKUP(D439,'BASE DATOS PRECIOS '!B:B,'BASE DATOS PRECIOS '!C:C)</f>
        <v/>
      </c>
      <c r="F439" s="301" t="n">
        <v>1</v>
      </c>
      <c r="G439" s="621">
        <f>+_xlfn.XLOOKUP(D439,'BASE DATOS PRECIOS '!B:B,'BASE DATOS PRECIOS '!D:D)</f>
        <v/>
      </c>
      <c r="H439" s="620">
        <f>+_xlfn.XLOOKUP(E439,'BASE DATOS PRECIOS '!C:C,'BASE DATOS PRECIOS '!F:F)</f>
        <v/>
      </c>
      <c r="I439" s="621" t="n"/>
      <c r="J439" s="621" t="n"/>
      <c r="K439" s="620">
        <f>+F439*H439</f>
        <v/>
      </c>
      <c r="L439" s="620">
        <f>+F439*I439</f>
        <v/>
      </c>
      <c r="M439" s="620">
        <f>+F439*J439</f>
        <v/>
      </c>
      <c r="N439" s="620">
        <f>SUM(K439:M439)</f>
        <v/>
      </c>
      <c r="O439" s="622">
        <f>SUM(K439:M439)/tc</f>
        <v/>
      </c>
    </row>
    <row r="440" outlineLevel="1" ht="15" customHeight="1">
      <c r="A440" s="278" t="inlineStr">
        <is>
          <t>MAT</t>
        </is>
      </c>
      <c r="B440" s="282" t="n"/>
      <c r="C440" s="578">
        <f>_xlfn.XLOOKUP(D440,'INSUMOS MAT '!B:B,'INSUMOS MAT '!C:C,"ERROR",0)</f>
        <v/>
      </c>
      <c r="D440" s="177" t="inlineStr">
        <is>
          <t>MAT07-0027</t>
        </is>
      </c>
      <c r="E440" s="618">
        <f>+_xlfn.XLOOKUP(D440,'BASE DATOS PRECIOS '!B:B,'BASE DATOS PRECIOS '!C:C)</f>
        <v/>
      </c>
      <c r="F440" s="301" t="n">
        <v>2</v>
      </c>
      <c r="G440" s="621">
        <f>+_xlfn.XLOOKUP(D440,'BASE DATOS PRECIOS '!B:B,'BASE DATOS PRECIOS '!D:D)</f>
        <v/>
      </c>
      <c r="H440" s="620">
        <f>+_xlfn.XLOOKUP(E440,'BASE DATOS PRECIOS '!C:C,'BASE DATOS PRECIOS '!F:F)</f>
        <v/>
      </c>
      <c r="I440" s="621" t="n"/>
      <c r="J440" s="621" t="n"/>
      <c r="K440" s="620">
        <f>+F440*H440</f>
        <v/>
      </c>
      <c r="L440" s="620">
        <f>+F440*I440</f>
        <v/>
      </c>
      <c r="M440" s="620">
        <f>+F440*J440</f>
        <v/>
      </c>
      <c r="N440" s="620">
        <f>SUM(K440:M440)</f>
        <v/>
      </c>
      <c r="O440" s="622">
        <f>SUM(K440:M440)/tc</f>
        <v/>
      </c>
    </row>
    <row r="441" outlineLevel="1" ht="15" customHeight="1">
      <c r="A441" s="278" t="inlineStr">
        <is>
          <t>MAT</t>
        </is>
      </c>
      <c r="B441" s="282" t="n"/>
      <c r="C441" s="578">
        <f>_xlfn.XLOOKUP(D441,'INSUMOS MAT '!B:B,'INSUMOS MAT '!C:C,"ERROR",0)</f>
        <v/>
      </c>
      <c r="D441" s="177" t="inlineStr">
        <is>
          <t>MAT08-0120</t>
        </is>
      </c>
      <c r="E441" s="618">
        <f>+_xlfn.XLOOKUP(D441,'BASE DATOS PRECIOS '!B:B,'BASE DATOS PRECIOS '!C:C)</f>
        <v/>
      </c>
      <c r="F441" s="301" t="n">
        <v>1</v>
      </c>
      <c r="G441" s="621">
        <f>+_xlfn.XLOOKUP(D441,'BASE DATOS PRECIOS '!B:B,'BASE DATOS PRECIOS '!D:D)</f>
        <v/>
      </c>
      <c r="H441" s="620">
        <f>+_xlfn.XLOOKUP(E441,'BASE DATOS PRECIOS '!C:C,'BASE DATOS PRECIOS '!F:F)</f>
        <v/>
      </c>
      <c r="I441" s="621" t="n"/>
      <c r="J441" s="621" t="n"/>
      <c r="K441" s="620">
        <f>+F441*H441</f>
        <v/>
      </c>
      <c r="L441" s="620">
        <f>+F441*I441</f>
        <v/>
      </c>
      <c r="M441" s="620">
        <f>+F441*J441</f>
        <v/>
      </c>
      <c r="N441" s="620">
        <f>SUM(K441:M441)</f>
        <v/>
      </c>
      <c r="O441" s="622">
        <f>SUM(K441:M441)/tc</f>
        <v/>
      </c>
      <c r="P441" s="616" t="n"/>
    </row>
    <row r="442" outlineLevel="1" ht="15" customHeight="1">
      <c r="A442" s="278" t="inlineStr">
        <is>
          <t>MAT</t>
        </is>
      </c>
      <c r="B442" s="282" t="n"/>
      <c r="C442" s="578">
        <f>_xlfn.XLOOKUP(D442,'INSUMOS MAT '!B:B,'INSUMOS MAT '!C:C,"ERROR",0)</f>
        <v/>
      </c>
      <c r="D442" s="177" t="inlineStr">
        <is>
          <t>MAT07-0025</t>
        </is>
      </c>
      <c r="E442" s="618">
        <f>+_xlfn.XLOOKUP(D442,'BASE DATOS PRECIOS '!B:B,'BASE DATOS PRECIOS '!C:C)</f>
        <v/>
      </c>
      <c r="F442" s="301" t="n">
        <v>150</v>
      </c>
      <c r="G442" s="621">
        <f>+_xlfn.XLOOKUP(D442,'BASE DATOS PRECIOS '!B:B,'BASE DATOS PRECIOS '!D:D)</f>
        <v/>
      </c>
      <c r="H442" s="620">
        <f>+_xlfn.XLOOKUP(E442,'BASE DATOS PRECIOS '!C:C,'BASE DATOS PRECIOS '!F:F)</f>
        <v/>
      </c>
      <c r="I442" s="621" t="n"/>
      <c r="J442" s="621" t="n"/>
      <c r="K442" s="620">
        <f>+F442*H442</f>
        <v/>
      </c>
      <c r="L442" s="620">
        <f>+F442*I442</f>
        <v/>
      </c>
      <c r="M442" s="620">
        <f>+F442*J442</f>
        <v/>
      </c>
      <c r="N442" s="620">
        <f>SUM(K442:M442)</f>
        <v/>
      </c>
      <c r="O442" s="622">
        <f>SUM(K442:M442)/tc</f>
        <v/>
      </c>
    </row>
    <row r="443" outlineLevel="1" ht="15" customHeight="1">
      <c r="A443" s="278" t="n"/>
      <c r="B443" s="282" t="n"/>
      <c r="C443" s="578" t="n"/>
      <c r="D443" s="292" t="n"/>
      <c r="E443" s="476" t="inlineStr">
        <is>
          <t xml:space="preserve">PARED PATIO </t>
        </is>
      </c>
      <c r="F443" s="294" t="n"/>
      <c r="G443" s="295" t="n"/>
      <c r="H443" s="295" t="n"/>
      <c r="I443" s="295" t="n"/>
      <c r="J443" s="295" t="n"/>
      <c r="K443" s="637" t="n"/>
      <c r="L443" s="637" t="n"/>
      <c r="M443" s="637" t="n"/>
      <c r="N443" s="637" t="n"/>
      <c r="O443" s="638" t="n"/>
    </row>
    <row r="444" outlineLevel="1" ht="15" customHeight="1">
      <c r="A444" s="278" t="inlineStr">
        <is>
          <t>MAT</t>
        </is>
      </c>
      <c r="B444" s="282" t="n"/>
      <c r="C444" s="578">
        <f>_xlfn.XLOOKUP(D444,'INSUMOS MAT '!B:B,'INSUMOS MAT '!C:C,"ERROR",0)</f>
        <v/>
      </c>
      <c r="D444" s="177" t="inlineStr">
        <is>
          <t>MAT07-0018</t>
        </is>
      </c>
      <c r="E444" s="618">
        <f>+_xlfn.XLOOKUP(D444,'BASE DATOS PRECIOS '!B:B,'BASE DATOS PRECIOS '!C:C)</f>
        <v/>
      </c>
      <c r="F444" s="301" t="n">
        <v>7</v>
      </c>
      <c r="G444" s="621">
        <f>+_xlfn.XLOOKUP(D444,'BASE DATOS PRECIOS '!B:B,'BASE DATOS PRECIOS '!D:D)</f>
        <v/>
      </c>
      <c r="H444" s="620">
        <f>+_xlfn.XLOOKUP(E444,'BASE DATOS PRECIOS '!C:C,'BASE DATOS PRECIOS '!F:F)</f>
        <v/>
      </c>
      <c r="I444" s="621" t="n"/>
      <c r="J444" s="621" t="n"/>
      <c r="K444" s="620">
        <f>+F444*H444</f>
        <v/>
      </c>
      <c r="L444" s="620">
        <f>+F444*I444</f>
        <v/>
      </c>
      <c r="M444" s="620">
        <f>+F444*J444</f>
        <v/>
      </c>
      <c r="N444" s="620">
        <f>SUM(K444:M444)</f>
        <v/>
      </c>
      <c r="O444" s="622">
        <f>SUM(K444:M444)/tc</f>
        <v/>
      </c>
    </row>
    <row r="445" outlineLevel="1" ht="15" customHeight="1">
      <c r="A445" s="278" t="inlineStr">
        <is>
          <t>MAT</t>
        </is>
      </c>
      <c r="B445" s="282" t="n"/>
      <c r="C445" s="578">
        <f>_xlfn.XLOOKUP(D445,'INSUMOS MAT '!B:B,'INSUMOS MAT '!C:C,"ERROR",0)</f>
        <v/>
      </c>
      <c r="D445" s="177" t="inlineStr">
        <is>
          <t>MAT07-0029</t>
        </is>
      </c>
      <c r="E445" s="618">
        <f>+_xlfn.XLOOKUP(D445,'BASE DATOS PRECIOS '!B:B,'BASE DATOS PRECIOS '!C:C)</f>
        <v/>
      </c>
      <c r="F445" s="301" t="n">
        <v>2</v>
      </c>
      <c r="G445" s="621">
        <f>+_xlfn.XLOOKUP(D445,'BASE DATOS PRECIOS '!B:B,'BASE DATOS PRECIOS '!D:D)</f>
        <v/>
      </c>
      <c r="H445" s="620">
        <f>+_xlfn.XLOOKUP(E445,'BASE DATOS PRECIOS '!C:C,'BASE DATOS PRECIOS '!F:F)</f>
        <v/>
      </c>
      <c r="I445" s="621" t="n"/>
      <c r="J445" s="621" t="n"/>
      <c r="K445" s="620">
        <f>+F445*H445</f>
        <v/>
      </c>
      <c r="L445" s="620">
        <f>+F445*I445</f>
        <v/>
      </c>
      <c r="M445" s="620">
        <f>+F445*J445</f>
        <v/>
      </c>
      <c r="N445" s="620">
        <f>SUM(K445:M445)</f>
        <v/>
      </c>
      <c r="O445" s="622">
        <f>SUM(K445:M445)/tc</f>
        <v/>
      </c>
    </row>
    <row r="446" outlineLevel="1" ht="15" customHeight="1">
      <c r="A446" s="278" t="inlineStr">
        <is>
          <t>MAT</t>
        </is>
      </c>
      <c r="B446" s="282" t="n"/>
      <c r="C446" s="578">
        <f>_xlfn.XLOOKUP(D446,'INSUMOS MAT '!B:B,'INSUMOS MAT '!C:C,"ERROR",0)</f>
        <v/>
      </c>
      <c r="D446" s="177" t="inlineStr">
        <is>
          <t>MAT07-0027</t>
        </is>
      </c>
      <c r="E446" s="618">
        <f>+_xlfn.XLOOKUP(D446,'BASE DATOS PRECIOS '!B:B,'BASE DATOS PRECIOS '!C:C)</f>
        <v/>
      </c>
      <c r="F446" s="301" t="n">
        <v>1</v>
      </c>
      <c r="G446" s="621">
        <f>+_xlfn.XLOOKUP(D446,'BASE DATOS PRECIOS '!B:B,'BASE DATOS PRECIOS '!D:D)</f>
        <v/>
      </c>
      <c r="H446" s="620">
        <f>+_xlfn.XLOOKUP(E446,'BASE DATOS PRECIOS '!C:C,'BASE DATOS PRECIOS '!F:F)</f>
        <v/>
      </c>
      <c r="I446" s="621" t="n"/>
      <c r="J446" s="621" t="n"/>
      <c r="K446" s="620">
        <f>+F446*H446</f>
        <v/>
      </c>
      <c r="L446" s="620">
        <f>+F446*I446</f>
        <v/>
      </c>
      <c r="M446" s="620">
        <f>+F446*J446</f>
        <v/>
      </c>
      <c r="N446" s="620">
        <f>SUM(K446:M446)</f>
        <v/>
      </c>
      <c r="O446" s="622">
        <f>SUM(K446:M446)/tc</f>
        <v/>
      </c>
    </row>
    <row r="447" outlineLevel="1" ht="15" customHeight="1">
      <c r="A447" s="278" t="inlineStr">
        <is>
          <t>MAT</t>
        </is>
      </c>
      <c r="B447" s="282" t="n"/>
      <c r="C447" s="578">
        <f>_xlfn.XLOOKUP(D447,'INSUMOS MAT '!B:B,'INSUMOS MAT '!C:C,"ERROR",0)</f>
        <v/>
      </c>
      <c r="D447" s="177" t="inlineStr">
        <is>
          <t>MAT07-0011</t>
        </is>
      </c>
      <c r="E447" s="618">
        <f>+_xlfn.XLOOKUP(D447,'BASE DATOS PRECIOS '!B:B,'BASE DATOS PRECIOS '!C:C)</f>
        <v/>
      </c>
      <c r="F447" s="301" t="n">
        <v>3</v>
      </c>
      <c r="G447" s="621">
        <f>+_xlfn.XLOOKUP(D447,'BASE DATOS PRECIOS '!B:B,'BASE DATOS PRECIOS '!D:D)</f>
        <v/>
      </c>
      <c r="H447" s="620">
        <f>+_xlfn.XLOOKUP(E447,'BASE DATOS PRECIOS '!C:C,'BASE DATOS PRECIOS '!F:F)</f>
        <v/>
      </c>
      <c r="I447" s="621" t="n"/>
      <c r="J447" s="621" t="n"/>
      <c r="K447" s="620">
        <f>+F447*H447</f>
        <v/>
      </c>
      <c r="L447" s="620">
        <f>+F447*I447</f>
        <v/>
      </c>
      <c r="M447" s="620">
        <f>+F447*J447</f>
        <v/>
      </c>
      <c r="N447" s="620">
        <f>SUM(K447:M447)</f>
        <v/>
      </c>
      <c r="O447" s="622">
        <f>SUM(K447:M447)/tc</f>
        <v/>
      </c>
    </row>
    <row r="448" outlineLevel="1" ht="15" customHeight="1">
      <c r="A448" s="278" t="inlineStr">
        <is>
          <t>MAT</t>
        </is>
      </c>
      <c r="B448" s="282" t="n"/>
      <c r="C448" s="578">
        <f>_xlfn.XLOOKUP(D448,'INSUMOS MAT '!B:B,'INSUMOS MAT '!C:C,"ERROR",0)</f>
        <v/>
      </c>
      <c r="D448" s="177" t="inlineStr">
        <is>
          <t>MAT07-0025</t>
        </is>
      </c>
      <c r="E448" s="618">
        <f>+_xlfn.XLOOKUP(D448,'BASE DATOS PRECIOS '!B:B,'BASE DATOS PRECIOS '!C:C)</f>
        <v/>
      </c>
      <c r="F448" s="301" t="n">
        <v>100</v>
      </c>
      <c r="G448" s="621">
        <f>+_xlfn.XLOOKUP(D448,'BASE DATOS PRECIOS '!B:B,'BASE DATOS PRECIOS '!D:D)</f>
        <v/>
      </c>
      <c r="H448" s="620">
        <f>+_xlfn.XLOOKUP(E448,'BASE DATOS PRECIOS '!C:C,'BASE DATOS PRECIOS '!F:F)</f>
        <v/>
      </c>
      <c r="I448" s="621" t="n"/>
      <c r="J448" s="621" t="n"/>
      <c r="K448" s="620">
        <f>+F448*H448</f>
        <v/>
      </c>
      <c r="L448" s="620">
        <f>+F448*I448</f>
        <v/>
      </c>
      <c r="M448" s="620">
        <f>+F448*J448</f>
        <v/>
      </c>
      <c r="N448" s="620">
        <f>SUM(K448:M448)</f>
        <v/>
      </c>
      <c r="O448" s="622">
        <f>SUM(K448:M448)/tc</f>
        <v/>
      </c>
    </row>
    <row r="449" outlineLevel="1" ht="15" customHeight="1">
      <c r="A449" s="278" t="inlineStr">
        <is>
          <t>MAT</t>
        </is>
      </c>
      <c r="B449" s="282" t="n"/>
      <c r="C449" s="578">
        <f>_xlfn.XLOOKUP(D449,'INSUMOS MAT '!B:B,'INSUMOS MAT '!C:C,"ERROR",0)</f>
        <v/>
      </c>
      <c r="D449" s="177" t="inlineStr">
        <is>
          <t>MAT04-79</t>
        </is>
      </c>
      <c r="E449" s="618">
        <f>+_xlfn.XLOOKUP(D449,'BASE DATOS PRECIOS '!B:B,'BASE DATOS PRECIOS '!C:C)</f>
        <v/>
      </c>
      <c r="F449" s="301" t="n">
        <v>1</v>
      </c>
      <c r="G449" s="621">
        <f>+_xlfn.XLOOKUP(D449,'BASE DATOS PRECIOS '!B:B,'BASE DATOS PRECIOS '!D:D)</f>
        <v/>
      </c>
      <c r="H449" s="620">
        <f>+_xlfn.XLOOKUP(E449,'BASE DATOS PRECIOS '!C:C,'BASE DATOS PRECIOS '!F:F)</f>
        <v/>
      </c>
      <c r="I449" s="621" t="n"/>
      <c r="J449" s="621" t="n"/>
      <c r="K449" s="620">
        <f>+F449*H449</f>
        <v/>
      </c>
      <c r="L449" s="620">
        <f>+F449*I449</f>
        <v/>
      </c>
      <c r="M449" s="620">
        <f>+F449*J449</f>
        <v/>
      </c>
      <c r="N449" s="620">
        <f>SUM(K449:M449)</f>
        <v/>
      </c>
      <c r="O449" s="622">
        <f>SUM(K449:M449)/tc</f>
        <v/>
      </c>
      <c r="S449" s="616" t="n"/>
    </row>
    <row r="450" outlineLevel="1" ht="14.1" customHeight="1">
      <c r="A450" s="278" t="inlineStr">
        <is>
          <t>MAT</t>
        </is>
      </c>
      <c r="B450" s="282" t="n"/>
      <c r="C450" s="578">
        <f>_xlfn.XLOOKUP(D450,'INSUMOS MAT '!B:B,'INSUMOS MAT '!C:C,"ERROR",0)</f>
        <v/>
      </c>
      <c r="D450" s="177" t="inlineStr">
        <is>
          <t>MAT04-0046</t>
        </is>
      </c>
      <c r="E450" s="618">
        <f>+_xlfn.XLOOKUP(D450,'BASE DATOS PRECIOS '!B:B,'BASE DATOS PRECIOS '!C:C)</f>
        <v/>
      </c>
      <c r="F450" s="301" t="n">
        <v>2</v>
      </c>
      <c r="G450" s="621">
        <f>+_xlfn.XLOOKUP(D450,'BASE DATOS PRECIOS '!B:B,'BASE DATOS PRECIOS '!D:D)</f>
        <v/>
      </c>
      <c r="H450" s="620">
        <f>+_xlfn.XLOOKUP(E450,'BASE DATOS PRECIOS '!C:C,'BASE DATOS PRECIOS '!F:F)</f>
        <v/>
      </c>
      <c r="I450" s="621" t="n"/>
      <c r="J450" s="621" t="n"/>
      <c r="K450" s="620">
        <f>+F450*H450</f>
        <v/>
      </c>
      <c r="L450" s="620">
        <f>+F450*I450</f>
        <v/>
      </c>
      <c r="M450" s="620">
        <f>+F450*J450</f>
        <v/>
      </c>
      <c r="N450" s="620">
        <f>SUM(K450:M450)</f>
        <v/>
      </c>
      <c r="O450" s="622">
        <f>SUM(K450:M450)/tc</f>
        <v/>
      </c>
      <c r="S450" s="616" t="n"/>
    </row>
    <row r="451" outlineLevel="1" ht="14.1" customHeight="1">
      <c r="A451" s="278" t="inlineStr">
        <is>
          <t xml:space="preserve">MO </t>
        </is>
      </c>
      <c r="B451" s="282" t="inlineStr">
        <is>
          <t>06-01-01</t>
        </is>
      </c>
      <c r="C451" s="578" t="n"/>
      <c r="D451" s="386" t="inlineStr">
        <is>
          <t xml:space="preserve">OPERARIO </t>
        </is>
      </c>
      <c r="E451" s="632">
        <f>+_xlfn.XLOOKUP(D451,'BASE DATOS MANO DE OBRA'!A:A,'BASE DATOS MANO DE OBRA'!B:B)</f>
        <v/>
      </c>
      <c r="F451" s="388" t="n">
        <v>33.5</v>
      </c>
      <c r="G451" s="633">
        <f>+_xlfn.XLOOKUP(D451,'BASE DATOS MANO DE OBRA'!A:A,'BASE DATOS MANO DE OBRA'!C:C)</f>
        <v/>
      </c>
      <c r="H451" s="634" t="n">
        <v>0</v>
      </c>
      <c r="I451" s="634">
        <f>+_xlfn.XLOOKUP(D451,'BASE DATOS MANO DE OBRA'!A:A,'BASE DATOS MANO DE OBRA'!E:E)</f>
        <v/>
      </c>
      <c r="J451" s="634" t="n">
        <v>0</v>
      </c>
      <c r="K451" s="634">
        <f>+F451*H451</f>
        <v/>
      </c>
      <c r="L451" s="634">
        <f>+F451*I451</f>
        <v/>
      </c>
      <c r="M451" s="634">
        <f>+F451*J451</f>
        <v/>
      </c>
      <c r="N451" s="634">
        <f>SUM(K451:M451)</f>
        <v/>
      </c>
      <c r="O451" s="635">
        <f>SUM(K451:M451)/tc</f>
        <v/>
      </c>
      <c r="S451" s="616" t="n"/>
    </row>
    <row r="452" outlineLevel="1" ht="14.1" customHeight="1">
      <c r="A452" s="278" t="inlineStr">
        <is>
          <t xml:space="preserve">MO </t>
        </is>
      </c>
      <c r="B452" s="282" t="inlineStr">
        <is>
          <t>06-01-01</t>
        </is>
      </c>
      <c r="C452" s="578" t="n"/>
      <c r="D452" s="386" t="inlineStr">
        <is>
          <t xml:space="preserve">AYUDANTE </t>
        </is>
      </c>
      <c r="E452" s="632">
        <f>+_xlfn.XLOOKUP(D452,'BASE DATOS MANO DE OBRA'!A:A,'BASE DATOS MANO DE OBRA'!B:B)</f>
        <v/>
      </c>
      <c r="F452" s="388" t="n">
        <v>33.5</v>
      </c>
      <c r="G452" s="633">
        <f>+_xlfn.XLOOKUP(D452,'BASE DATOS MANO DE OBRA'!A:A,'BASE DATOS MANO DE OBRA'!C:C)</f>
        <v/>
      </c>
      <c r="H452" s="634" t="n">
        <v>0</v>
      </c>
      <c r="I452" s="634">
        <f>+_xlfn.XLOOKUP(D452,'BASE DATOS MANO DE OBRA'!A:A,'BASE DATOS MANO DE OBRA'!E:E)</f>
        <v/>
      </c>
      <c r="J452" s="634" t="n">
        <v>0</v>
      </c>
      <c r="K452" s="634">
        <f>+F452*H452</f>
        <v/>
      </c>
      <c r="L452" s="634">
        <f>+F452*I452</f>
        <v/>
      </c>
      <c r="M452" s="634">
        <f>+F452*J452</f>
        <v/>
      </c>
      <c r="N452" s="634">
        <f>SUM(K452:M452)</f>
        <v/>
      </c>
      <c r="O452" s="635">
        <f>SUM(K452:M452)/tc</f>
        <v/>
      </c>
      <c r="S452" s="616" t="n"/>
    </row>
    <row r="453" outlineLevel="1" ht="14.1" customHeight="1">
      <c r="A453" s="278" t="inlineStr">
        <is>
          <t xml:space="preserve">MO </t>
        </is>
      </c>
      <c r="B453" s="282" t="inlineStr">
        <is>
          <t>06-01-02</t>
        </is>
      </c>
      <c r="C453" s="578" t="n"/>
      <c r="D453" s="386" t="inlineStr">
        <is>
          <t xml:space="preserve">OPERARIO </t>
        </is>
      </c>
      <c r="E453" s="632">
        <f>+_xlfn.XLOOKUP(D453,'BASE DATOS MANO DE OBRA'!A:A,'BASE DATOS MANO DE OBRA'!B:B)</f>
        <v/>
      </c>
      <c r="F453" s="388" t="n">
        <v>33.5</v>
      </c>
      <c r="G453" s="633">
        <f>+_xlfn.XLOOKUP(D453,'BASE DATOS MANO DE OBRA'!A:A,'BASE DATOS MANO DE OBRA'!C:C)</f>
        <v/>
      </c>
      <c r="H453" s="634" t="n">
        <v>0</v>
      </c>
      <c r="I453" s="634">
        <f>+_xlfn.XLOOKUP(D453,'BASE DATOS MANO DE OBRA'!A:A,'BASE DATOS MANO DE OBRA'!E:E)</f>
        <v/>
      </c>
      <c r="J453" s="634" t="n">
        <v>0</v>
      </c>
      <c r="K453" s="634">
        <f>+F453*H453</f>
        <v/>
      </c>
      <c r="L453" s="634">
        <f>+F453*I453</f>
        <v/>
      </c>
      <c r="M453" s="634">
        <f>+F453*J453</f>
        <v/>
      </c>
      <c r="N453" s="634">
        <f>SUM(K453:M453)</f>
        <v/>
      </c>
      <c r="O453" s="635">
        <f>SUM(K453:M453)/tc</f>
        <v/>
      </c>
      <c r="S453" s="616" t="n"/>
    </row>
    <row r="454" outlineLevel="1" ht="14.1" customHeight="1">
      <c r="A454" s="278" t="inlineStr">
        <is>
          <t xml:space="preserve">MO </t>
        </is>
      </c>
      <c r="B454" s="282" t="inlineStr">
        <is>
          <t>06-01-02</t>
        </is>
      </c>
      <c r="C454" s="578" t="n"/>
      <c r="D454" s="386" t="inlineStr">
        <is>
          <t xml:space="preserve">AYUDANTE </t>
        </is>
      </c>
      <c r="E454" s="632">
        <f>+_xlfn.XLOOKUP(D454,'BASE DATOS MANO DE OBRA'!A:A,'BASE DATOS MANO DE OBRA'!B:B)</f>
        <v/>
      </c>
      <c r="F454" s="388" t="n">
        <v>33.5</v>
      </c>
      <c r="G454" s="633">
        <f>+_xlfn.XLOOKUP(D454,'BASE DATOS MANO DE OBRA'!A:A,'BASE DATOS MANO DE OBRA'!C:C)</f>
        <v/>
      </c>
      <c r="H454" s="634" t="n">
        <v>0</v>
      </c>
      <c r="I454" s="634">
        <f>+_xlfn.XLOOKUP(D454,'BASE DATOS MANO DE OBRA'!A:A,'BASE DATOS MANO DE OBRA'!E:E)</f>
        <v/>
      </c>
      <c r="J454" s="634" t="n">
        <v>0</v>
      </c>
      <c r="K454" s="634">
        <f>+F454*H454</f>
        <v/>
      </c>
      <c r="L454" s="634">
        <f>+F454*I454</f>
        <v/>
      </c>
      <c r="M454" s="634">
        <f>+F454*J454</f>
        <v/>
      </c>
      <c r="N454" s="634">
        <f>SUM(K454:M454)</f>
        <v/>
      </c>
      <c r="O454" s="635">
        <f>SUM(K454:M454)/tc</f>
        <v/>
      </c>
      <c r="S454" s="616" t="n"/>
    </row>
    <row r="455">
      <c r="A455" s="278" t="n"/>
      <c r="B455" s="282" t="inlineStr">
        <is>
          <t>06-02</t>
        </is>
      </c>
      <c r="C455" s="578" t="n"/>
      <c r="D455" s="307" t="inlineStr">
        <is>
          <t>6.2</t>
        </is>
      </c>
      <c r="E455" s="308" t="inlineStr">
        <is>
          <t>LIVIANO INTERIORES ( PAREDES LIVIANAS Y CIELOS)</t>
        </is>
      </c>
      <c r="F455" s="309" t="n">
        <v>1</v>
      </c>
      <c r="G455" s="310" t="inlineStr">
        <is>
          <t>gb</t>
        </is>
      </c>
      <c r="H455" s="310" t="n"/>
      <c r="I455" s="310" t="n"/>
      <c r="J455" s="310" t="n"/>
      <c r="K455" s="636">
        <f>SUM(K456:K503)</f>
        <v/>
      </c>
      <c r="L455" s="636">
        <f>SUM(L456:L503)</f>
        <v/>
      </c>
      <c r="M455" s="636">
        <f>SUM(M456:M503)</f>
        <v/>
      </c>
      <c r="N455" s="636">
        <f>SUM(N456:N503)</f>
        <v/>
      </c>
      <c r="O455" s="615">
        <f>SUM(O456:O503)</f>
        <v/>
      </c>
      <c r="P455" s="616" t="n"/>
    </row>
    <row r="456" outlineLevel="1">
      <c r="A456" s="278" t="n"/>
      <c r="B456" s="282" t="n"/>
      <c r="C456" s="578" t="n"/>
      <c r="D456" s="292" t="n"/>
      <c r="E456" s="476" t="inlineStr">
        <is>
          <t xml:space="preserve">CIELO GYPSUM </t>
        </is>
      </c>
      <c r="F456" s="294" t="n"/>
      <c r="G456" s="295" t="n"/>
      <c r="H456" s="295" t="n"/>
      <c r="I456" s="295" t="n"/>
      <c r="J456" s="295" t="n"/>
      <c r="K456" s="637" t="n"/>
      <c r="L456" s="637" t="n"/>
      <c r="M456" s="637" t="n"/>
      <c r="N456" s="637" t="n"/>
      <c r="O456" s="638" t="n"/>
      <c r="P456" s="616" t="n"/>
    </row>
    <row r="457" outlineLevel="1">
      <c r="A457" s="278" t="inlineStr">
        <is>
          <t>MAT</t>
        </is>
      </c>
      <c r="B457" s="282" t="n"/>
      <c r="C457" s="578">
        <f>_xlfn.XLOOKUP(D457,'INSUMOS MAT '!B:B,'INSUMOS MAT '!C:C,"ERROR",0)</f>
        <v/>
      </c>
      <c r="D457" s="177" t="inlineStr">
        <is>
          <t>MAT07-0003</t>
        </is>
      </c>
      <c r="E457" s="618">
        <f>+_xlfn.XLOOKUP(D457,'BASE DATOS PRECIOS '!B:B,'BASE DATOS PRECIOS '!C:C)</f>
        <v/>
      </c>
      <c r="F457" s="301" t="n">
        <v>8</v>
      </c>
      <c r="G457" s="621">
        <f>+_xlfn.XLOOKUP(D457,'BASE DATOS PRECIOS '!B:B,'BASE DATOS PRECIOS '!D:D)</f>
        <v/>
      </c>
      <c r="H457" s="620">
        <f>+_xlfn.XLOOKUP(E457,'BASE DATOS PRECIOS '!C:C,'BASE DATOS PRECIOS '!F:F)</f>
        <v/>
      </c>
      <c r="I457" s="621" t="n"/>
      <c r="J457" s="621" t="n"/>
      <c r="K457" s="620">
        <f>+F457*H457</f>
        <v/>
      </c>
      <c r="L457" s="620">
        <f>+F457*I457</f>
        <v/>
      </c>
      <c r="M457" s="620">
        <f>+F457*J457</f>
        <v/>
      </c>
      <c r="N457" s="620">
        <f>SUM(K457:M457)</f>
        <v/>
      </c>
      <c r="O457" s="622">
        <f>SUM(K457:M457)/tc</f>
        <v/>
      </c>
      <c r="P457" s="616" t="n"/>
    </row>
    <row r="458" outlineLevel="1">
      <c r="A458" s="278" t="inlineStr">
        <is>
          <t>MAT</t>
        </is>
      </c>
      <c r="B458" s="282" t="n"/>
      <c r="C458" s="578">
        <f>_xlfn.XLOOKUP(D458,'INSUMOS MAT '!B:B,'INSUMOS MAT '!C:C,"ERROR",0)</f>
        <v/>
      </c>
      <c r="D458" s="177" t="inlineStr">
        <is>
          <t>MAT07-0010</t>
        </is>
      </c>
      <c r="E458" s="618">
        <f>+_xlfn.XLOOKUP(D458,'BASE DATOS PRECIOS '!B:B,'BASE DATOS PRECIOS '!C:C)</f>
        <v/>
      </c>
      <c r="F458" s="301" t="n">
        <v>32</v>
      </c>
      <c r="G458" s="621">
        <f>+_xlfn.XLOOKUP(D458,'BASE DATOS PRECIOS '!B:B,'BASE DATOS PRECIOS '!D:D)</f>
        <v/>
      </c>
      <c r="H458" s="620">
        <f>+_xlfn.XLOOKUP(E458,'BASE DATOS PRECIOS '!C:C,'BASE DATOS PRECIOS '!F:F)</f>
        <v/>
      </c>
      <c r="I458" s="621" t="n"/>
      <c r="J458" s="621" t="n"/>
      <c r="K458" s="620">
        <f>+F458*H458</f>
        <v/>
      </c>
      <c r="L458" s="620">
        <f>+F458*I458</f>
        <v/>
      </c>
      <c r="M458" s="620">
        <f>+F458*J458</f>
        <v/>
      </c>
      <c r="N458" s="620">
        <f>SUM(K458:M458)</f>
        <v/>
      </c>
      <c r="O458" s="622">
        <f>SUM(K458:M458)/tc</f>
        <v/>
      </c>
      <c r="P458" s="616" t="n"/>
    </row>
    <row r="459" outlineLevel="1">
      <c r="A459" s="278" t="inlineStr">
        <is>
          <t>MAT</t>
        </is>
      </c>
      <c r="B459" s="282" t="n"/>
      <c r="C459" s="578">
        <f>_xlfn.XLOOKUP(D459,'INSUMOS MAT '!B:B,'INSUMOS MAT '!C:C,"ERROR",0)</f>
        <v/>
      </c>
      <c r="D459" s="177" t="inlineStr">
        <is>
          <t>MAT07-0001</t>
        </is>
      </c>
      <c r="E459" s="618">
        <f>+_xlfn.XLOOKUP(D459,'BASE DATOS PRECIOS '!B:B,'BASE DATOS PRECIOS '!C:C)</f>
        <v/>
      </c>
      <c r="F459" s="301" t="n">
        <v>26</v>
      </c>
      <c r="G459" s="621">
        <f>+_xlfn.XLOOKUP(D459,'BASE DATOS PRECIOS '!B:B,'BASE DATOS PRECIOS '!D:D)</f>
        <v/>
      </c>
      <c r="H459" s="620">
        <f>+_xlfn.XLOOKUP(E459,'BASE DATOS PRECIOS '!C:C,'BASE DATOS PRECIOS '!F:F)</f>
        <v/>
      </c>
      <c r="I459" s="621" t="n"/>
      <c r="J459" s="621" t="n"/>
      <c r="K459" s="620">
        <f>+F459*H459</f>
        <v/>
      </c>
      <c r="L459" s="620">
        <f>+F459*I459</f>
        <v/>
      </c>
      <c r="M459" s="620">
        <f>+F459*J459</f>
        <v/>
      </c>
      <c r="N459" s="620">
        <f>SUM(K459:M459)</f>
        <v/>
      </c>
      <c r="O459" s="622">
        <f>SUM(K459:M459)/tc</f>
        <v/>
      </c>
      <c r="P459" s="616" t="n"/>
    </row>
    <row r="460" outlineLevel="1">
      <c r="A460" s="278" t="inlineStr">
        <is>
          <t>MAT</t>
        </is>
      </c>
      <c r="B460" s="282" t="n"/>
      <c r="C460" s="578">
        <f>_xlfn.XLOOKUP(D460,'INSUMOS MAT '!B:B,'INSUMOS MAT '!C:C,"ERROR",0)</f>
        <v/>
      </c>
      <c r="D460" s="177" t="inlineStr">
        <is>
          <t>MAT07-0027</t>
        </is>
      </c>
      <c r="E460" s="618">
        <f>+_xlfn.XLOOKUP(D460,'BASE DATOS PRECIOS '!B:B,'BASE DATOS PRECIOS '!C:C)</f>
        <v/>
      </c>
      <c r="F460" s="301" t="n">
        <v>6</v>
      </c>
      <c r="G460" s="621">
        <f>+_xlfn.XLOOKUP(D460,'BASE DATOS PRECIOS '!B:B,'BASE DATOS PRECIOS '!D:D)</f>
        <v/>
      </c>
      <c r="H460" s="620">
        <f>+_xlfn.XLOOKUP(E460,'BASE DATOS PRECIOS '!C:C,'BASE DATOS PRECIOS '!F:F)</f>
        <v/>
      </c>
      <c r="I460" s="621" t="n"/>
      <c r="J460" s="621" t="n"/>
      <c r="K460" s="620">
        <f>+F460*H460</f>
        <v/>
      </c>
      <c r="L460" s="620">
        <f>+F460*I460</f>
        <v/>
      </c>
      <c r="M460" s="620">
        <f>+F460*J460</f>
        <v/>
      </c>
      <c r="N460" s="620">
        <f>SUM(K460:M460)</f>
        <v/>
      </c>
      <c r="O460" s="622">
        <f>SUM(K460:M460)/tc</f>
        <v/>
      </c>
      <c r="P460" s="616" t="n"/>
    </row>
    <row r="461" outlineLevel="1">
      <c r="A461" s="278" t="inlineStr">
        <is>
          <t>MAT</t>
        </is>
      </c>
      <c r="B461" s="282" t="n"/>
      <c r="C461" s="578">
        <f>_xlfn.XLOOKUP(D461,'INSUMOS MAT '!B:B,'INSUMOS MAT '!C:C,"ERROR",0)</f>
        <v/>
      </c>
      <c r="D461" s="177" t="inlineStr">
        <is>
          <t>MAT08-0026</t>
        </is>
      </c>
      <c r="E461" s="618">
        <f>+_xlfn.XLOOKUP(D461,'BASE DATOS PRECIOS '!B:B,'BASE DATOS PRECIOS '!C:C)</f>
        <v/>
      </c>
      <c r="F461" s="301" t="n">
        <v>2</v>
      </c>
      <c r="G461" s="621">
        <f>+_xlfn.XLOOKUP(D461,'BASE DATOS PRECIOS '!B:B,'BASE DATOS PRECIOS '!D:D)</f>
        <v/>
      </c>
      <c r="H461" s="620">
        <f>+_xlfn.XLOOKUP(E461,'BASE DATOS PRECIOS '!C:C,'BASE DATOS PRECIOS '!F:F)</f>
        <v/>
      </c>
      <c r="I461" s="621" t="n"/>
      <c r="J461" s="621" t="n"/>
      <c r="K461" s="620">
        <f>+F461*H461</f>
        <v/>
      </c>
      <c r="L461" s="620">
        <f>+F461*I461</f>
        <v/>
      </c>
      <c r="M461" s="620">
        <f>+F461*J461</f>
        <v/>
      </c>
      <c r="N461" s="620">
        <f>SUM(K461:M461)</f>
        <v/>
      </c>
      <c r="O461" s="622">
        <f>SUM(K461:M461)/tc</f>
        <v/>
      </c>
      <c r="P461" s="616" t="n"/>
    </row>
    <row r="462" outlineLevel="1">
      <c r="A462" s="278" t="inlineStr">
        <is>
          <t>MAT</t>
        </is>
      </c>
      <c r="B462" s="282" t="n"/>
      <c r="C462" s="578">
        <f>_xlfn.XLOOKUP(D462,'INSUMOS MAT '!B:B,'INSUMOS MAT '!C:C,"ERROR",0)</f>
        <v/>
      </c>
      <c r="D462" s="177" t="inlineStr">
        <is>
          <t>MAT08-0120</t>
        </is>
      </c>
      <c r="E462" s="618">
        <f>+_xlfn.XLOOKUP(D462,'BASE DATOS PRECIOS '!B:B,'BASE DATOS PRECIOS '!C:C)</f>
        <v/>
      </c>
      <c r="F462" s="301" t="n">
        <v>2</v>
      </c>
      <c r="G462" s="621">
        <f>+_xlfn.XLOOKUP(D462,'BASE DATOS PRECIOS '!B:B,'BASE DATOS PRECIOS '!D:D)</f>
        <v/>
      </c>
      <c r="H462" s="620">
        <f>+_xlfn.XLOOKUP(E462,'BASE DATOS PRECIOS '!C:C,'BASE DATOS PRECIOS '!F:F)</f>
        <v/>
      </c>
      <c r="I462" s="621" t="n"/>
      <c r="J462" s="621" t="n"/>
      <c r="K462" s="620">
        <f>+F462*H462</f>
        <v/>
      </c>
      <c r="L462" s="620">
        <f>+F462*I462</f>
        <v/>
      </c>
      <c r="M462" s="620">
        <f>+F462*J462</f>
        <v/>
      </c>
      <c r="N462" s="620">
        <f>SUM(K462:M462)</f>
        <v/>
      </c>
      <c r="O462" s="622">
        <f>SUM(K462:M462)/tc</f>
        <v/>
      </c>
      <c r="P462" s="616" t="n"/>
    </row>
    <row r="463" outlineLevel="1">
      <c r="A463" s="278" t="inlineStr">
        <is>
          <t>MAT</t>
        </is>
      </c>
      <c r="B463" s="282" t="n"/>
      <c r="C463" s="578">
        <f>_xlfn.XLOOKUP(D463,'INSUMOS MAT '!B:B,'INSUMOS MAT '!C:C,"ERROR",0)</f>
        <v/>
      </c>
      <c r="D463" s="177" t="inlineStr">
        <is>
          <t>MAT07-0013</t>
        </is>
      </c>
      <c r="E463" s="618">
        <f>+_xlfn.XLOOKUP(D463,'BASE DATOS PRECIOS '!B:B,'BASE DATOS PRECIOS '!C:C)</f>
        <v/>
      </c>
      <c r="F463" s="301" t="n">
        <v>16</v>
      </c>
      <c r="G463" s="621">
        <f>+_xlfn.XLOOKUP(D463,'BASE DATOS PRECIOS '!B:B,'BASE DATOS PRECIOS '!D:D)</f>
        <v/>
      </c>
      <c r="H463" s="620">
        <f>+_xlfn.XLOOKUP(E463,'BASE DATOS PRECIOS '!C:C,'BASE DATOS PRECIOS '!F:F)</f>
        <v/>
      </c>
      <c r="I463" s="621" t="n"/>
      <c r="J463" s="621" t="n"/>
      <c r="K463" s="620">
        <f>+F463*H463</f>
        <v/>
      </c>
      <c r="L463" s="620">
        <f>+F463*I463</f>
        <v/>
      </c>
      <c r="M463" s="620">
        <f>+F463*J463</f>
        <v/>
      </c>
      <c r="N463" s="620">
        <f>SUM(K463:M463)</f>
        <v/>
      </c>
      <c r="O463" s="622">
        <f>SUM(K463:M463)/tc</f>
        <v/>
      </c>
      <c r="P463" s="616" t="n"/>
    </row>
    <row r="464" outlineLevel="1">
      <c r="A464" s="278" t="inlineStr">
        <is>
          <t>MAT</t>
        </is>
      </c>
      <c r="B464" s="282" t="n"/>
      <c r="C464" s="578">
        <f>_xlfn.XLOOKUP(D464,'INSUMOS MAT '!B:B,'INSUMOS MAT '!C:C,"ERROR",0)</f>
        <v/>
      </c>
      <c r="D464" s="177" t="inlineStr">
        <is>
          <t>MAT07-0025</t>
        </is>
      </c>
      <c r="E464" s="618">
        <f>+_xlfn.XLOOKUP(D464,'BASE DATOS PRECIOS '!B:B,'BASE DATOS PRECIOS '!C:C)</f>
        <v/>
      </c>
      <c r="F464" s="301" t="n">
        <v>700</v>
      </c>
      <c r="G464" s="621">
        <f>+_xlfn.XLOOKUP(D464,'BASE DATOS PRECIOS '!B:B,'BASE DATOS PRECIOS '!D:D)</f>
        <v/>
      </c>
      <c r="H464" s="620">
        <f>+_xlfn.XLOOKUP(E464,'BASE DATOS PRECIOS '!C:C,'BASE DATOS PRECIOS '!F:F)</f>
        <v/>
      </c>
      <c r="I464" s="621" t="n"/>
      <c r="J464" s="621" t="n"/>
      <c r="K464" s="620">
        <f>+F464*H464</f>
        <v/>
      </c>
      <c r="L464" s="620">
        <f>+F464*I464</f>
        <v/>
      </c>
      <c r="M464" s="620">
        <f>+F464*J464</f>
        <v/>
      </c>
      <c r="N464" s="620">
        <f>SUM(K464:M464)</f>
        <v/>
      </c>
      <c r="O464" s="622">
        <f>SUM(K464:M464)/tc</f>
        <v/>
      </c>
      <c r="P464" s="616" t="n"/>
    </row>
    <row r="465" outlineLevel="1">
      <c r="A465" s="278" t="inlineStr">
        <is>
          <t>MAT</t>
        </is>
      </c>
      <c r="B465" s="282" t="n"/>
      <c r="C465" s="578">
        <f>_xlfn.XLOOKUP(D465,'INSUMOS MAT '!B:B,'INSUMOS MAT '!C:C,"ERROR",0)</f>
        <v/>
      </c>
      <c r="D465" s="177" t="inlineStr">
        <is>
          <t>MAT07-0015</t>
        </is>
      </c>
      <c r="E465" s="618">
        <f>+_xlfn.XLOOKUP(D465,'BASE DATOS PRECIOS '!B:B,'BASE DATOS PRECIOS '!C:C)</f>
        <v/>
      </c>
      <c r="F465" s="301" t="n">
        <v>2</v>
      </c>
      <c r="G465" s="621">
        <f>+_xlfn.XLOOKUP(D465,'BASE DATOS PRECIOS '!B:B,'BASE DATOS PRECIOS '!D:D)</f>
        <v/>
      </c>
      <c r="H465" s="620">
        <f>+_xlfn.XLOOKUP(E465,'BASE DATOS PRECIOS '!C:C,'BASE DATOS PRECIOS '!F:F)</f>
        <v/>
      </c>
      <c r="I465" s="621" t="n"/>
      <c r="J465" s="621" t="n"/>
      <c r="K465" s="620">
        <f>+F465*H465</f>
        <v/>
      </c>
      <c r="L465" s="620">
        <f>+F465*I465</f>
        <v/>
      </c>
      <c r="M465" s="620">
        <f>+F465*J465</f>
        <v/>
      </c>
      <c r="N465" s="620">
        <f>SUM(K465:M465)</f>
        <v/>
      </c>
      <c r="O465" s="622">
        <f>SUM(K465:M465)/tc</f>
        <v/>
      </c>
      <c r="P465" s="616" t="n"/>
    </row>
    <row r="466" outlineLevel="1">
      <c r="A466" s="278" t="inlineStr">
        <is>
          <t>MAT</t>
        </is>
      </c>
      <c r="B466" s="282" t="n"/>
      <c r="C466" s="578">
        <f>_xlfn.XLOOKUP(D466,'INSUMOS MAT '!B:B,'INSUMOS MAT '!C:C,"ERROR",0)</f>
        <v/>
      </c>
      <c r="D466" s="177" t="inlineStr">
        <is>
          <t>MAT04-0046</t>
        </is>
      </c>
      <c r="E466" s="618">
        <f>+_xlfn.XLOOKUP(D466,'BASE DATOS PRECIOS '!B:B,'BASE DATOS PRECIOS '!C:C)</f>
        <v/>
      </c>
      <c r="F466" s="301" t="n">
        <v>9</v>
      </c>
      <c r="G466" s="621">
        <f>+_xlfn.XLOOKUP(D466,'BASE DATOS PRECIOS '!B:B,'BASE DATOS PRECIOS '!D:D)</f>
        <v/>
      </c>
      <c r="H466" s="620">
        <f>+_xlfn.XLOOKUP(E466,'BASE DATOS PRECIOS '!C:C,'BASE DATOS PRECIOS '!F:F)</f>
        <v/>
      </c>
      <c r="I466" s="621" t="n"/>
      <c r="J466" s="621" t="n"/>
      <c r="K466" s="620">
        <f>+F466*H466</f>
        <v/>
      </c>
      <c r="L466" s="620">
        <f>+F466*I466</f>
        <v/>
      </c>
      <c r="M466" s="620">
        <f>+F466*J466</f>
        <v/>
      </c>
      <c r="N466" s="620">
        <f>SUM(K466:M466)</f>
        <v/>
      </c>
      <c r="O466" s="622">
        <f>SUM(K466:M466)/tc</f>
        <v/>
      </c>
      <c r="P466" s="616" t="n"/>
    </row>
    <row r="467" outlineLevel="1">
      <c r="A467" s="278" t="inlineStr">
        <is>
          <t>MAT</t>
        </is>
      </c>
      <c r="B467" s="282" t="n"/>
      <c r="C467" s="578">
        <f>_xlfn.XLOOKUP(D467,'INSUMOS MAT '!B:B,'INSUMOS MAT '!C:C,"ERROR",0)</f>
        <v/>
      </c>
      <c r="D467" s="177" t="inlineStr">
        <is>
          <t>MAT07-0004</t>
        </is>
      </c>
      <c r="E467" s="618">
        <f>+_xlfn.XLOOKUP(D467,'BASE DATOS PRECIOS '!B:B,'BASE DATOS PRECIOS '!C:C)</f>
        <v/>
      </c>
      <c r="F467" s="301" t="n">
        <v>2</v>
      </c>
      <c r="G467" s="621">
        <f>+_xlfn.XLOOKUP(D467,'BASE DATOS PRECIOS '!B:B,'BASE DATOS PRECIOS '!D:D)</f>
        <v/>
      </c>
      <c r="H467" s="620">
        <f>+_xlfn.XLOOKUP(E467,'BASE DATOS PRECIOS '!C:C,'BASE DATOS PRECIOS '!F:F)</f>
        <v/>
      </c>
      <c r="I467" s="621" t="n"/>
      <c r="J467" s="621" t="n"/>
      <c r="K467" s="620">
        <f>+F467*H467</f>
        <v/>
      </c>
      <c r="L467" s="620">
        <f>+F467*I467</f>
        <v/>
      </c>
      <c r="M467" s="620">
        <f>+F467*J467</f>
        <v/>
      </c>
      <c r="N467" s="620">
        <f>SUM(K467:M467)</f>
        <v/>
      </c>
      <c r="O467" s="622">
        <f>SUM(K467:M467)/tc</f>
        <v/>
      </c>
      <c r="P467" s="616" t="n"/>
    </row>
    <row r="468" outlineLevel="1">
      <c r="A468" s="278" t="n"/>
      <c r="B468" s="282" t="n"/>
      <c r="C468" s="578" t="n"/>
      <c r="D468" s="292" t="n"/>
      <c r="E468" s="476" t="inlineStr">
        <is>
          <t>CIELO DENGLASS</t>
        </is>
      </c>
      <c r="F468" s="294" t="n"/>
      <c r="G468" s="295" t="n"/>
      <c r="H468" s="295" t="n"/>
      <c r="I468" s="295" t="n"/>
      <c r="J468" s="295" t="n"/>
      <c r="K468" s="637" t="n"/>
      <c r="L468" s="637" t="n"/>
      <c r="M468" s="637" t="n"/>
      <c r="N468" s="637" t="n"/>
      <c r="O468" s="638" t="n"/>
      <c r="P468" s="616" t="n"/>
    </row>
    <row r="469" outlineLevel="1">
      <c r="A469" s="278" t="inlineStr">
        <is>
          <t>MAT</t>
        </is>
      </c>
      <c r="B469" s="282" t="n"/>
      <c r="C469" s="578">
        <f>_xlfn.XLOOKUP(D469,'INSUMOS MAT '!B:B,'INSUMOS MAT '!C:C,"ERROR",0)</f>
        <v/>
      </c>
      <c r="D469" s="177" t="inlineStr">
        <is>
          <t>MAT07-0003</t>
        </is>
      </c>
      <c r="E469" s="618">
        <f>+_xlfn.XLOOKUP(D469,'BASE DATOS PRECIOS '!B:B,'BASE DATOS PRECIOS '!C:C)</f>
        <v/>
      </c>
      <c r="F469" s="301" t="n">
        <v>1</v>
      </c>
      <c r="G469" s="621">
        <f>+_xlfn.XLOOKUP(D469,'BASE DATOS PRECIOS '!B:B,'BASE DATOS PRECIOS '!D:D)</f>
        <v/>
      </c>
      <c r="H469" s="620">
        <f>+_xlfn.XLOOKUP(E469,'BASE DATOS PRECIOS '!C:C,'BASE DATOS PRECIOS '!F:F)</f>
        <v/>
      </c>
      <c r="I469" s="621" t="n"/>
      <c r="J469" s="621" t="n"/>
      <c r="K469" s="620">
        <f>+F469*H469</f>
        <v/>
      </c>
      <c r="L469" s="620">
        <f>+F469*I469</f>
        <v/>
      </c>
      <c r="M469" s="620">
        <f>+F469*J469</f>
        <v/>
      </c>
      <c r="N469" s="620">
        <f>SUM(K469:M469)</f>
        <v/>
      </c>
      <c r="O469" s="622">
        <f>SUM(K469:M469)/tc</f>
        <v/>
      </c>
      <c r="P469" s="616" t="n"/>
    </row>
    <row r="470" outlineLevel="1">
      <c r="A470" s="278" t="inlineStr">
        <is>
          <t>MAT</t>
        </is>
      </c>
      <c r="B470" s="282" t="n"/>
      <c r="C470" s="578">
        <f>_xlfn.XLOOKUP(D470,'INSUMOS MAT '!B:B,'INSUMOS MAT '!C:C,"ERROR",0)</f>
        <v/>
      </c>
      <c r="D470" s="177" t="inlineStr">
        <is>
          <t>MAT07-0010</t>
        </is>
      </c>
      <c r="E470" s="618">
        <f>+_xlfn.XLOOKUP(D470,'BASE DATOS PRECIOS '!B:B,'BASE DATOS PRECIOS '!C:C)</f>
        <v/>
      </c>
      <c r="F470" s="301" t="n">
        <v>5</v>
      </c>
      <c r="G470" s="621">
        <f>+_xlfn.XLOOKUP(D470,'BASE DATOS PRECIOS '!B:B,'BASE DATOS PRECIOS '!D:D)</f>
        <v/>
      </c>
      <c r="H470" s="620">
        <f>+_xlfn.XLOOKUP(E470,'BASE DATOS PRECIOS '!C:C,'BASE DATOS PRECIOS '!F:F)</f>
        <v/>
      </c>
      <c r="I470" s="621" t="n"/>
      <c r="J470" s="621" t="n"/>
      <c r="K470" s="620">
        <f>+F470*H470</f>
        <v/>
      </c>
      <c r="L470" s="620">
        <f>+F470*I470</f>
        <v/>
      </c>
      <c r="M470" s="620">
        <f>+F470*J470</f>
        <v/>
      </c>
      <c r="N470" s="620">
        <f>SUM(K470:M470)</f>
        <v/>
      </c>
      <c r="O470" s="622">
        <f>SUM(K470:M470)/tc</f>
        <v/>
      </c>
      <c r="P470" s="616" t="n"/>
    </row>
    <row r="471" outlineLevel="1">
      <c r="A471" s="278" t="inlineStr">
        <is>
          <t>MAT</t>
        </is>
      </c>
      <c r="B471" s="282" t="n"/>
      <c r="C471" s="578">
        <f>_xlfn.XLOOKUP(D471,'INSUMOS MAT '!B:B,'INSUMOS MAT '!C:C,"ERROR",0)</f>
        <v/>
      </c>
      <c r="D471" s="177" t="inlineStr">
        <is>
          <t>MAT07-0001</t>
        </is>
      </c>
      <c r="E471" s="618">
        <f>+_xlfn.XLOOKUP(D471,'BASE DATOS PRECIOS '!B:B,'BASE DATOS PRECIOS '!C:C)</f>
        <v/>
      </c>
      <c r="F471" s="301" t="n">
        <v>3</v>
      </c>
      <c r="G471" s="621">
        <f>+_xlfn.XLOOKUP(D471,'BASE DATOS PRECIOS '!B:B,'BASE DATOS PRECIOS '!D:D)</f>
        <v/>
      </c>
      <c r="H471" s="620">
        <f>+_xlfn.XLOOKUP(E471,'BASE DATOS PRECIOS '!C:C,'BASE DATOS PRECIOS '!F:F)</f>
        <v/>
      </c>
      <c r="I471" s="621" t="n"/>
      <c r="J471" s="621" t="n"/>
      <c r="K471" s="620">
        <f>+F471*H471</f>
        <v/>
      </c>
      <c r="L471" s="620">
        <f>+F471*I471</f>
        <v/>
      </c>
      <c r="M471" s="620">
        <f>+F471*J471</f>
        <v/>
      </c>
      <c r="N471" s="620">
        <f>SUM(K471:M471)</f>
        <v/>
      </c>
      <c r="O471" s="622">
        <f>SUM(K471:M471)/tc</f>
        <v/>
      </c>
      <c r="P471" s="616" t="n"/>
    </row>
    <row r="472" outlineLevel="1">
      <c r="A472" s="278" t="inlineStr">
        <is>
          <t>MAT</t>
        </is>
      </c>
      <c r="B472" s="282" t="n"/>
      <c r="C472" s="578">
        <f>_xlfn.XLOOKUP(D472,'INSUMOS MAT '!B:B,'INSUMOS MAT '!C:C,"ERROR",0)</f>
        <v/>
      </c>
      <c r="D472" s="177" t="inlineStr">
        <is>
          <t>MAT07-0027</t>
        </is>
      </c>
      <c r="E472" s="618">
        <f>+_xlfn.XLOOKUP(D472,'BASE DATOS PRECIOS '!B:B,'BASE DATOS PRECIOS '!C:C)</f>
        <v/>
      </c>
      <c r="F472" s="301" t="n">
        <v>1</v>
      </c>
      <c r="G472" s="621">
        <f>+_xlfn.XLOOKUP(D472,'BASE DATOS PRECIOS '!B:B,'BASE DATOS PRECIOS '!D:D)</f>
        <v/>
      </c>
      <c r="H472" s="620">
        <f>+_xlfn.XLOOKUP(E472,'BASE DATOS PRECIOS '!C:C,'BASE DATOS PRECIOS '!F:F)</f>
        <v/>
      </c>
      <c r="I472" s="621" t="n"/>
      <c r="J472" s="621" t="n"/>
      <c r="K472" s="620">
        <f>+F472*H472</f>
        <v/>
      </c>
      <c r="L472" s="620">
        <f>+F472*I472</f>
        <v/>
      </c>
      <c r="M472" s="620">
        <f>+F472*J472</f>
        <v/>
      </c>
      <c r="N472" s="620">
        <f>SUM(K472:M472)</f>
        <v/>
      </c>
      <c r="O472" s="622">
        <f>SUM(K472:M472)/tc</f>
        <v/>
      </c>
      <c r="P472" s="616" t="n"/>
    </row>
    <row r="473" outlineLevel="1">
      <c r="A473" s="278" t="inlineStr">
        <is>
          <t>MAT</t>
        </is>
      </c>
      <c r="B473" s="282" t="n"/>
      <c r="C473" s="578">
        <f>_xlfn.XLOOKUP(D473,'INSUMOS MAT '!B:B,'INSUMOS MAT '!C:C,"ERROR",0)</f>
        <v/>
      </c>
      <c r="D473" s="177" t="inlineStr">
        <is>
          <t>MAT08-0026</t>
        </is>
      </c>
      <c r="E473" s="618">
        <f>+_xlfn.XLOOKUP(D473,'BASE DATOS PRECIOS '!B:B,'BASE DATOS PRECIOS '!C:C)</f>
        <v/>
      </c>
      <c r="F473" s="301" t="n">
        <v>1</v>
      </c>
      <c r="G473" s="621">
        <f>+_xlfn.XLOOKUP(D473,'BASE DATOS PRECIOS '!B:B,'BASE DATOS PRECIOS '!D:D)</f>
        <v/>
      </c>
      <c r="H473" s="620">
        <f>+_xlfn.XLOOKUP(E473,'BASE DATOS PRECIOS '!C:C,'BASE DATOS PRECIOS '!F:F)</f>
        <v/>
      </c>
      <c r="I473" s="621" t="n"/>
      <c r="J473" s="621" t="n"/>
      <c r="K473" s="620">
        <f>+F473*H473</f>
        <v/>
      </c>
      <c r="L473" s="620">
        <f>+F473*I473</f>
        <v/>
      </c>
      <c r="M473" s="620">
        <f>+F473*J473</f>
        <v/>
      </c>
      <c r="N473" s="620">
        <f>SUM(K473:M473)</f>
        <v/>
      </c>
      <c r="O473" s="622">
        <f>SUM(K473:M473)/tc</f>
        <v/>
      </c>
      <c r="P473" s="616" t="n"/>
    </row>
    <row r="474" outlineLevel="1">
      <c r="A474" s="278" t="inlineStr">
        <is>
          <t>MAT</t>
        </is>
      </c>
      <c r="B474" s="282" t="n"/>
      <c r="C474" s="578">
        <f>_xlfn.XLOOKUP(D474,'INSUMOS MAT '!B:B,'INSUMOS MAT '!C:C,"ERROR",0)</f>
        <v/>
      </c>
      <c r="D474" s="177" t="inlineStr">
        <is>
          <t>MAT08-0120</t>
        </is>
      </c>
      <c r="E474" s="618">
        <f>+_xlfn.XLOOKUP(D474,'BASE DATOS PRECIOS '!B:B,'BASE DATOS PRECIOS '!C:C)</f>
        <v/>
      </c>
      <c r="F474" s="301" t="n">
        <v>1</v>
      </c>
      <c r="G474" s="621">
        <f>+_xlfn.XLOOKUP(D474,'BASE DATOS PRECIOS '!B:B,'BASE DATOS PRECIOS '!D:D)</f>
        <v/>
      </c>
      <c r="H474" s="620">
        <f>+_xlfn.XLOOKUP(E474,'BASE DATOS PRECIOS '!C:C,'BASE DATOS PRECIOS '!F:F)</f>
        <v/>
      </c>
      <c r="I474" s="621" t="n"/>
      <c r="J474" s="621" t="n"/>
      <c r="K474" s="620">
        <f>+F474*H474</f>
        <v/>
      </c>
      <c r="L474" s="620">
        <f>+F474*I474</f>
        <v/>
      </c>
      <c r="M474" s="620">
        <f>+F474*J474</f>
        <v/>
      </c>
      <c r="N474" s="620">
        <f>SUM(K474:M474)</f>
        <v/>
      </c>
      <c r="O474" s="622">
        <f>SUM(K474:M474)/tc</f>
        <v/>
      </c>
      <c r="P474" s="616" t="n"/>
    </row>
    <row r="475" outlineLevel="1">
      <c r="A475" s="278" t="inlineStr">
        <is>
          <t>MAT</t>
        </is>
      </c>
      <c r="B475" s="282" t="n"/>
      <c r="C475" s="578">
        <f>_xlfn.XLOOKUP(D475,'INSUMOS MAT '!B:B,'INSUMOS MAT '!C:C,"ERROR",0)</f>
        <v/>
      </c>
      <c r="D475" s="177" t="inlineStr">
        <is>
          <t>MAT07-0011</t>
        </is>
      </c>
      <c r="E475" s="618">
        <f>+_xlfn.XLOOKUP(D475,'BASE DATOS PRECIOS '!B:B,'BASE DATOS PRECIOS '!C:C)</f>
        <v/>
      </c>
      <c r="F475" s="301" t="n">
        <v>2</v>
      </c>
      <c r="G475" s="621">
        <f>+_xlfn.XLOOKUP(D475,'BASE DATOS PRECIOS '!B:B,'BASE DATOS PRECIOS '!D:D)</f>
        <v/>
      </c>
      <c r="H475" s="620">
        <f>+_xlfn.XLOOKUP(E475,'BASE DATOS PRECIOS '!C:C,'BASE DATOS PRECIOS '!F:F)</f>
        <v/>
      </c>
      <c r="I475" s="621" t="n"/>
      <c r="J475" s="621" t="n"/>
      <c r="K475" s="620">
        <f>+F475*H475</f>
        <v/>
      </c>
      <c r="L475" s="620">
        <f>+F475*I475</f>
        <v/>
      </c>
      <c r="M475" s="620">
        <f>+F475*J475</f>
        <v/>
      </c>
      <c r="N475" s="620">
        <f>SUM(K475:M475)</f>
        <v/>
      </c>
      <c r="O475" s="622">
        <f>SUM(K475:M475)/tc</f>
        <v/>
      </c>
      <c r="P475" s="616" t="n"/>
    </row>
    <row r="476" outlineLevel="1">
      <c r="A476" s="278" t="inlineStr">
        <is>
          <t>MAT</t>
        </is>
      </c>
      <c r="B476" s="282" t="n"/>
      <c r="C476" s="578">
        <f>_xlfn.XLOOKUP(D476,'INSUMOS MAT '!B:B,'INSUMOS MAT '!C:C,"ERROR",0)</f>
        <v/>
      </c>
      <c r="D476" s="177" t="inlineStr">
        <is>
          <t>MAT07-0025</t>
        </is>
      </c>
      <c r="E476" s="618">
        <f>+_xlfn.XLOOKUP(D476,'BASE DATOS PRECIOS '!B:B,'BASE DATOS PRECIOS '!C:C)</f>
        <v/>
      </c>
      <c r="F476" s="301" t="n">
        <v>100</v>
      </c>
      <c r="G476" s="621">
        <f>+_xlfn.XLOOKUP(D476,'BASE DATOS PRECIOS '!B:B,'BASE DATOS PRECIOS '!D:D)</f>
        <v/>
      </c>
      <c r="H476" s="620">
        <f>+_xlfn.XLOOKUP(E476,'BASE DATOS PRECIOS '!C:C,'BASE DATOS PRECIOS '!F:F)</f>
        <v/>
      </c>
      <c r="I476" s="621" t="n"/>
      <c r="J476" s="621" t="n"/>
      <c r="K476" s="620">
        <f>+F476*H476</f>
        <v/>
      </c>
      <c r="L476" s="620">
        <f>+F476*I476</f>
        <v/>
      </c>
      <c r="M476" s="620">
        <f>+F476*J476</f>
        <v/>
      </c>
      <c r="N476" s="620">
        <f>SUM(K476:M476)</f>
        <v/>
      </c>
      <c r="O476" s="622">
        <f>SUM(K476:M476)/tc</f>
        <v/>
      </c>
      <c r="P476" s="616" t="n"/>
    </row>
    <row r="477" outlineLevel="1">
      <c r="A477" s="278" t="inlineStr">
        <is>
          <t>MAT</t>
        </is>
      </c>
      <c r="B477" s="282" t="n"/>
      <c r="C477" s="580" t="n"/>
      <c r="D477" s="177" t="inlineStr">
        <is>
          <t>MAT04-79</t>
        </is>
      </c>
      <c r="E477" s="618">
        <f>+_xlfn.XLOOKUP(D477,'BASE DATOS PRECIOS '!B:B,'BASE DATOS PRECIOS '!C:C)</f>
        <v/>
      </c>
      <c r="F477" s="301" t="n">
        <v>1</v>
      </c>
      <c r="G477" s="621">
        <f>+_xlfn.XLOOKUP(D477,'BASE DATOS PRECIOS '!B:B,'BASE DATOS PRECIOS '!D:D)</f>
        <v/>
      </c>
      <c r="H477" s="620">
        <f>+_xlfn.XLOOKUP(E477,'BASE DATOS PRECIOS '!C:C,'BASE DATOS PRECIOS '!F:F)</f>
        <v/>
      </c>
      <c r="I477" s="621" t="n"/>
      <c r="J477" s="621" t="n"/>
      <c r="K477" s="620">
        <f>+F477*H477</f>
        <v/>
      </c>
      <c r="L477" s="620">
        <f>+F477*I477</f>
        <v/>
      </c>
      <c r="M477" s="620">
        <f>+F477*J477</f>
        <v/>
      </c>
      <c r="N477" s="620">
        <f>SUM(K477:M477)</f>
        <v/>
      </c>
      <c r="O477" s="622">
        <f>SUM(K477:M477)/tc</f>
        <v/>
      </c>
      <c r="P477" s="616" t="n"/>
    </row>
    <row r="478" outlineLevel="1">
      <c r="A478" s="278" t="inlineStr">
        <is>
          <t>MAT</t>
        </is>
      </c>
      <c r="B478" s="282" t="n"/>
      <c r="C478" s="578">
        <f>_xlfn.XLOOKUP(D478,'INSUMOS MAT '!B:B,'INSUMOS MAT '!C:C,"ERROR",0)</f>
        <v/>
      </c>
      <c r="D478" s="177" t="inlineStr">
        <is>
          <t>MAT04-0046</t>
        </is>
      </c>
      <c r="E478" s="618">
        <f>+_xlfn.XLOOKUP(D478,'BASE DATOS PRECIOS '!B:B,'BASE DATOS PRECIOS '!C:C)</f>
        <v/>
      </c>
      <c r="F478" s="301" t="n">
        <v>1</v>
      </c>
      <c r="G478" s="621">
        <f>+_xlfn.XLOOKUP(D478,'BASE DATOS PRECIOS '!B:B,'BASE DATOS PRECIOS '!D:D)</f>
        <v/>
      </c>
      <c r="H478" s="620">
        <f>+_xlfn.XLOOKUP(E478,'BASE DATOS PRECIOS '!C:C,'BASE DATOS PRECIOS '!F:F)</f>
        <v/>
      </c>
      <c r="I478" s="621" t="n"/>
      <c r="J478" s="621" t="n"/>
      <c r="K478" s="620">
        <f>+F478*H478</f>
        <v/>
      </c>
      <c r="L478" s="620">
        <f>+F478*I478</f>
        <v/>
      </c>
      <c r="M478" s="620">
        <f>+F478*J478</f>
        <v/>
      </c>
      <c r="N478" s="620">
        <f>SUM(K478:M478)</f>
        <v/>
      </c>
      <c r="O478" s="622">
        <f>SUM(K478:M478)/tc</f>
        <v/>
      </c>
      <c r="P478" s="616" t="n"/>
    </row>
    <row r="479" outlineLevel="1" ht="15" customHeight="1">
      <c r="A479" s="278" t="n"/>
      <c r="B479" s="282" t="n"/>
      <c r="C479" s="578" t="n"/>
      <c r="D479" s="292" t="n"/>
      <c r="E479" s="476" t="inlineStr">
        <is>
          <t xml:space="preserve">PARED INTERNA </t>
        </is>
      </c>
      <c r="F479" s="294" t="n"/>
      <c r="G479" s="295" t="n"/>
      <c r="H479" s="295" t="n"/>
      <c r="I479" s="295" t="n"/>
      <c r="J479" s="295" t="n"/>
      <c r="K479" s="637" t="n"/>
      <c r="L479" s="637" t="n"/>
      <c r="M479" s="637" t="n"/>
      <c r="N479" s="637" t="n"/>
      <c r="O479" s="638" t="n"/>
    </row>
    <row r="480" outlineLevel="1" ht="15" customHeight="1">
      <c r="A480" s="278" t="inlineStr">
        <is>
          <t>MAT</t>
        </is>
      </c>
      <c r="B480" s="282" t="n"/>
      <c r="C480" s="578">
        <f>_xlfn.XLOOKUP(D480,'INSUMOS MAT '!B:B,'INSUMOS MAT '!C:C,"ERROR",0)</f>
        <v/>
      </c>
      <c r="D480" s="177" t="inlineStr">
        <is>
          <t>MAT07-0018</t>
        </is>
      </c>
      <c r="E480" s="618">
        <f>+_xlfn.XLOOKUP(D480,'BASE DATOS PRECIOS '!B:B,'BASE DATOS PRECIOS '!C:C)</f>
        <v/>
      </c>
      <c r="F480" s="301" t="n">
        <v>4</v>
      </c>
      <c r="G480" s="621">
        <f>+_xlfn.XLOOKUP(D480,'BASE DATOS PRECIOS '!B:B,'BASE DATOS PRECIOS '!D:D)</f>
        <v/>
      </c>
      <c r="H480" s="620">
        <f>+_xlfn.XLOOKUP(E480,'BASE DATOS PRECIOS '!C:C,'BASE DATOS PRECIOS '!F:F)</f>
        <v/>
      </c>
      <c r="I480" s="621" t="n"/>
      <c r="J480" s="621" t="n"/>
      <c r="K480" s="620">
        <f>+F480*H480</f>
        <v/>
      </c>
      <c r="L480" s="620">
        <f>+F480*I480</f>
        <v/>
      </c>
      <c r="M480" s="620">
        <f>+F480*J480</f>
        <v/>
      </c>
      <c r="N480" s="620">
        <f>SUM(K480:M480)</f>
        <v/>
      </c>
      <c r="O480" s="622">
        <f>SUM(K480:M480)/tc</f>
        <v/>
      </c>
    </row>
    <row r="481" outlineLevel="1" ht="15" customHeight="1">
      <c r="A481" s="278" t="inlineStr">
        <is>
          <t>MAT</t>
        </is>
      </c>
      <c r="B481" s="282" t="n"/>
      <c r="C481" s="578">
        <f>_xlfn.XLOOKUP(D481,'INSUMOS MAT '!B:B,'INSUMOS MAT '!C:C,"ERROR",0)</f>
        <v/>
      </c>
      <c r="D481" s="177" t="inlineStr">
        <is>
          <t>MAT07-0029</t>
        </is>
      </c>
      <c r="E481" s="618">
        <f>+_xlfn.XLOOKUP(D481,'BASE DATOS PRECIOS '!B:B,'BASE DATOS PRECIOS '!C:C)</f>
        <v/>
      </c>
      <c r="F481" s="301" t="n">
        <v>2</v>
      </c>
      <c r="G481" s="621">
        <f>+_xlfn.XLOOKUP(D481,'BASE DATOS PRECIOS '!B:B,'BASE DATOS PRECIOS '!D:D)</f>
        <v/>
      </c>
      <c r="H481" s="620">
        <f>+_xlfn.XLOOKUP(E481,'BASE DATOS PRECIOS '!C:C,'BASE DATOS PRECIOS '!F:F)</f>
        <v/>
      </c>
      <c r="I481" s="621" t="n"/>
      <c r="J481" s="621" t="n"/>
      <c r="K481" s="620">
        <f>+F481*H481</f>
        <v/>
      </c>
      <c r="L481" s="620">
        <f>+F481*I481</f>
        <v/>
      </c>
      <c r="M481" s="620">
        <f>+F481*J481</f>
        <v/>
      </c>
      <c r="N481" s="620">
        <f>SUM(K481:M481)</f>
        <v/>
      </c>
      <c r="O481" s="622">
        <f>SUM(K481:M481)/tc</f>
        <v/>
      </c>
    </row>
    <row r="482" outlineLevel="1" ht="15" customHeight="1">
      <c r="A482" s="278" t="inlineStr">
        <is>
          <t>MAT</t>
        </is>
      </c>
      <c r="B482" s="282" t="n"/>
      <c r="C482" s="578">
        <f>_xlfn.XLOOKUP(D482,'INSUMOS MAT '!B:B,'INSUMOS MAT '!C:C,"ERROR",0)</f>
        <v/>
      </c>
      <c r="D482" s="177" t="inlineStr">
        <is>
          <t>MAT07-0027</t>
        </is>
      </c>
      <c r="E482" s="618">
        <f>+_xlfn.XLOOKUP(D482,'BASE DATOS PRECIOS '!B:B,'BASE DATOS PRECIOS '!C:C)</f>
        <v/>
      </c>
      <c r="F482" s="301" t="n">
        <v>1</v>
      </c>
      <c r="G482" s="621">
        <f>+_xlfn.XLOOKUP(D482,'BASE DATOS PRECIOS '!B:B,'BASE DATOS PRECIOS '!D:D)</f>
        <v/>
      </c>
      <c r="H482" s="620">
        <f>+_xlfn.XLOOKUP(E482,'BASE DATOS PRECIOS '!C:C,'BASE DATOS PRECIOS '!F:F)</f>
        <v/>
      </c>
      <c r="I482" s="621" t="n"/>
      <c r="J482" s="621" t="n"/>
      <c r="K482" s="620">
        <f>+F482*H482</f>
        <v/>
      </c>
      <c r="L482" s="620">
        <f>+F482*I482</f>
        <v/>
      </c>
      <c r="M482" s="620">
        <f>+F482*J482</f>
        <v/>
      </c>
      <c r="N482" s="620">
        <f>SUM(K482:M482)</f>
        <v/>
      </c>
      <c r="O482" s="622">
        <f>SUM(K482:M482)/tc</f>
        <v/>
      </c>
    </row>
    <row r="483" outlineLevel="1" ht="15" customHeight="1">
      <c r="A483" s="278" t="inlineStr">
        <is>
          <t>MAT</t>
        </is>
      </c>
      <c r="B483" s="282" t="n"/>
      <c r="C483" s="578">
        <f>_xlfn.XLOOKUP(D483,'INSUMOS MAT '!B:B,'INSUMOS MAT '!C:C,"ERROR",0)</f>
        <v/>
      </c>
      <c r="D483" s="177" t="inlineStr">
        <is>
          <t>MAT07-0013</t>
        </is>
      </c>
      <c r="E483" s="618">
        <f>+_xlfn.XLOOKUP(D483,'BASE DATOS PRECIOS '!B:B,'BASE DATOS PRECIOS '!C:C)</f>
        <v/>
      </c>
      <c r="F483" s="301" t="n">
        <v>2</v>
      </c>
      <c r="G483" s="621">
        <f>+_xlfn.XLOOKUP(D483,'BASE DATOS PRECIOS '!B:B,'BASE DATOS PRECIOS '!D:D)</f>
        <v/>
      </c>
      <c r="H483" s="620">
        <f>+_xlfn.XLOOKUP(E483,'BASE DATOS PRECIOS '!C:C,'BASE DATOS PRECIOS '!F:F)</f>
        <v/>
      </c>
      <c r="I483" s="621" t="n"/>
      <c r="J483" s="621" t="n"/>
      <c r="K483" s="620">
        <f>+F483*H483</f>
        <v/>
      </c>
      <c r="L483" s="620">
        <f>+F483*I483</f>
        <v/>
      </c>
      <c r="M483" s="620">
        <f>+F483*J483</f>
        <v/>
      </c>
      <c r="N483" s="620">
        <f>SUM(K483:M483)</f>
        <v/>
      </c>
      <c r="O483" s="622">
        <f>SUM(K483:M483)/tc</f>
        <v/>
      </c>
    </row>
    <row r="484" outlineLevel="1" ht="15" customHeight="1">
      <c r="A484" s="278" t="inlineStr">
        <is>
          <t>MAT</t>
        </is>
      </c>
      <c r="B484" s="282" t="n"/>
      <c r="C484" s="578">
        <f>_xlfn.XLOOKUP(D484,'INSUMOS MAT '!B:B,'INSUMOS MAT '!C:C,"ERROR",0)</f>
        <v/>
      </c>
      <c r="D484" s="177" t="inlineStr">
        <is>
          <t>MAT07-0011</t>
        </is>
      </c>
      <c r="E484" s="618">
        <f>+_xlfn.XLOOKUP(D484,'BASE DATOS PRECIOS '!B:B,'BASE DATOS PRECIOS '!C:C)</f>
        <v/>
      </c>
      <c r="F484" s="301" t="n">
        <v>2</v>
      </c>
      <c r="G484" s="621">
        <f>+_xlfn.XLOOKUP(D484,'BASE DATOS PRECIOS '!B:B,'BASE DATOS PRECIOS '!D:D)</f>
        <v/>
      </c>
      <c r="H484" s="620">
        <f>+_xlfn.XLOOKUP(E484,'BASE DATOS PRECIOS '!C:C,'BASE DATOS PRECIOS '!F:F)</f>
        <v/>
      </c>
      <c r="I484" s="621" t="n"/>
      <c r="J484" s="621" t="n"/>
      <c r="K484" s="620">
        <f>+F484*H484</f>
        <v/>
      </c>
      <c r="L484" s="620">
        <f>+F484*I484</f>
        <v/>
      </c>
      <c r="M484" s="620">
        <f>+F484*J484</f>
        <v/>
      </c>
      <c r="N484" s="620">
        <f>SUM(K484:M484)</f>
        <v/>
      </c>
      <c r="O484" s="622">
        <f>SUM(K484:M484)/tc</f>
        <v/>
      </c>
    </row>
    <row r="485" outlineLevel="1" ht="15" customHeight="1">
      <c r="A485" s="278" t="inlineStr">
        <is>
          <t>MAT</t>
        </is>
      </c>
      <c r="B485" s="282" t="n"/>
      <c r="C485" s="578">
        <f>_xlfn.XLOOKUP(D485,'INSUMOS MAT '!B:B,'INSUMOS MAT '!C:C,"ERROR",0)</f>
        <v/>
      </c>
      <c r="D485" s="177" t="inlineStr">
        <is>
          <t>MAT07-0025</t>
        </is>
      </c>
      <c r="E485" s="618">
        <f>+_xlfn.XLOOKUP(D485,'BASE DATOS PRECIOS '!B:B,'BASE DATOS PRECIOS '!C:C)</f>
        <v/>
      </c>
      <c r="F485" s="301" t="n">
        <v>100</v>
      </c>
      <c r="G485" s="621">
        <f>+_xlfn.XLOOKUP(D485,'BASE DATOS PRECIOS '!B:B,'BASE DATOS PRECIOS '!D:D)</f>
        <v/>
      </c>
      <c r="H485" s="620">
        <f>+_xlfn.XLOOKUP(E485,'BASE DATOS PRECIOS '!C:C,'BASE DATOS PRECIOS '!F:F)</f>
        <v/>
      </c>
      <c r="I485" s="621" t="n"/>
      <c r="J485" s="621" t="n"/>
      <c r="K485" s="620">
        <f>+F485*H485</f>
        <v/>
      </c>
      <c r="L485" s="620">
        <f>+F485*I485</f>
        <v/>
      </c>
      <c r="M485" s="620">
        <f>+F485*J485</f>
        <v/>
      </c>
      <c r="N485" s="620">
        <f>SUM(K485:M485)</f>
        <v/>
      </c>
      <c r="O485" s="622">
        <f>SUM(K485:M485)/tc</f>
        <v/>
      </c>
    </row>
    <row r="486" outlineLevel="1" ht="15" customHeight="1">
      <c r="A486" s="278" t="inlineStr">
        <is>
          <t>MAT</t>
        </is>
      </c>
      <c r="B486" s="282" t="n"/>
      <c r="C486" s="580" t="n"/>
      <c r="D486" s="177" t="inlineStr">
        <is>
          <t>MAT04-79</t>
        </is>
      </c>
      <c r="E486" s="618">
        <f>+_xlfn.XLOOKUP(D486,'BASE DATOS PRECIOS '!B:B,'BASE DATOS PRECIOS '!C:C)</f>
        <v/>
      </c>
      <c r="F486" s="301" t="n">
        <v>1</v>
      </c>
      <c r="G486" s="621">
        <f>+_xlfn.XLOOKUP(D486,'BASE DATOS PRECIOS '!B:B,'BASE DATOS PRECIOS '!D:D)</f>
        <v/>
      </c>
      <c r="H486" s="620">
        <f>+_xlfn.XLOOKUP(E486,'BASE DATOS PRECIOS '!C:C,'BASE DATOS PRECIOS '!F:F)</f>
        <v/>
      </c>
      <c r="I486" s="621" t="n"/>
      <c r="J486" s="621" t="n"/>
      <c r="K486" s="620">
        <f>+F486*H486</f>
        <v/>
      </c>
      <c r="L486" s="620">
        <f>+F486*I486</f>
        <v/>
      </c>
      <c r="M486" s="620">
        <f>+F486*J486</f>
        <v/>
      </c>
      <c r="N486" s="620">
        <f>SUM(K486:M486)</f>
        <v/>
      </c>
      <c r="O486" s="622">
        <f>SUM(K486:M486)/tc</f>
        <v/>
      </c>
    </row>
    <row r="487" outlineLevel="1" ht="15" customHeight="1">
      <c r="A487" s="278" t="inlineStr">
        <is>
          <t>MAT</t>
        </is>
      </c>
      <c r="B487" s="282" t="n"/>
      <c r="C487" s="578">
        <f>_xlfn.XLOOKUP(D487,'INSUMOS MAT '!B:B,'INSUMOS MAT '!C:C,"ERROR",0)</f>
        <v/>
      </c>
      <c r="D487" s="177" t="inlineStr">
        <is>
          <t>MAT07-0004</t>
        </is>
      </c>
      <c r="E487" s="618">
        <f>+_xlfn.XLOOKUP(D487,'BASE DATOS PRECIOS '!B:B,'BASE DATOS PRECIOS '!C:C)</f>
        <v/>
      </c>
      <c r="F487" s="301" t="n">
        <v>1</v>
      </c>
      <c r="G487" s="621">
        <f>+_xlfn.XLOOKUP(D487,'BASE DATOS PRECIOS '!B:B,'BASE DATOS PRECIOS '!D:D)</f>
        <v/>
      </c>
      <c r="H487" s="620">
        <f>+_xlfn.XLOOKUP(E487,'BASE DATOS PRECIOS '!C:C,'BASE DATOS PRECIOS '!F:F)</f>
        <v/>
      </c>
      <c r="I487" s="621" t="n"/>
      <c r="J487" s="621" t="n"/>
      <c r="K487" s="620">
        <f>+F487*H487</f>
        <v/>
      </c>
      <c r="L487" s="620">
        <f>+F487*I487</f>
        <v/>
      </c>
      <c r="M487" s="620">
        <f>+F487*J487</f>
        <v/>
      </c>
      <c r="N487" s="620">
        <f>SUM(K487:M487)</f>
        <v/>
      </c>
      <c r="O487" s="622">
        <f>SUM(K487:M487)/tc</f>
        <v/>
      </c>
    </row>
    <row r="488" outlineLevel="1" ht="15" customHeight="1">
      <c r="A488" s="278" t="inlineStr">
        <is>
          <t>MAT</t>
        </is>
      </c>
      <c r="B488" s="282" t="n"/>
      <c r="C488" s="578">
        <f>_xlfn.XLOOKUP(D488,'INSUMOS MAT '!B:B,'INSUMOS MAT '!C:C,"ERROR",0)</f>
        <v/>
      </c>
      <c r="D488" s="177" t="inlineStr">
        <is>
          <t>MAT04-0046</t>
        </is>
      </c>
      <c r="E488" s="618">
        <f>+_xlfn.XLOOKUP(D488,'BASE DATOS PRECIOS '!B:B,'BASE DATOS PRECIOS '!C:C)</f>
        <v/>
      </c>
      <c r="F488" s="301" t="n">
        <v>1</v>
      </c>
      <c r="G488" s="621">
        <f>+_xlfn.XLOOKUP(D488,'BASE DATOS PRECIOS '!B:B,'BASE DATOS PRECIOS '!D:D)</f>
        <v/>
      </c>
      <c r="H488" s="620">
        <f>+_xlfn.XLOOKUP(E488,'BASE DATOS PRECIOS '!C:C,'BASE DATOS PRECIOS '!F:F)</f>
        <v/>
      </c>
      <c r="I488" s="621" t="n"/>
      <c r="J488" s="621" t="n"/>
      <c r="K488" s="620">
        <f>+F488*H488</f>
        <v/>
      </c>
      <c r="L488" s="620">
        <f>+F488*I488</f>
        <v/>
      </c>
      <c r="M488" s="620">
        <f>+F488*J488</f>
        <v/>
      </c>
      <c r="N488" s="620">
        <f>SUM(K488:M488)</f>
        <v/>
      </c>
      <c r="O488" s="622">
        <f>SUM(K488:M488)/tc</f>
        <v/>
      </c>
    </row>
    <row r="489" outlineLevel="1" ht="15" customHeight="1">
      <c r="A489" s="278" t="inlineStr">
        <is>
          <t>MAT</t>
        </is>
      </c>
      <c r="B489" s="282" t="n"/>
      <c r="C489" s="578">
        <f>_xlfn.XLOOKUP(D489,'INSUMOS MAT '!B:B,'INSUMOS MAT '!C:C,"ERROR",0)</f>
        <v/>
      </c>
      <c r="D489" s="177" t="inlineStr">
        <is>
          <t>MAT07-0015</t>
        </is>
      </c>
      <c r="E489" s="618">
        <f>+_xlfn.XLOOKUP(D489,'BASE DATOS PRECIOS '!B:B,'BASE DATOS PRECIOS '!C:C)</f>
        <v/>
      </c>
      <c r="F489" s="301" t="n">
        <v>0.5</v>
      </c>
      <c r="G489" s="621">
        <f>+_xlfn.XLOOKUP(D489,'BASE DATOS PRECIOS '!B:B,'BASE DATOS PRECIOS '!D:D)</f>
        <v/>
      </c>
      <c r="H489" s="620">
        <f>+_xlfn.XLOOKUP(E489,'BASE DATOS PRECIOS '!C:C,'BASE DATOS PRECIOS '!F:F)</f>
        <v/>
      </c>
      <c r="I489" s="621" t="n"/>
      <c r="J489" s="621" t="n"/>
      <c r="K489" s="620">
        <f>+F489*H489</f>
        <v/>
      </c>
      <c r="L489" s="620">
        <f>+F489*I489</f>
        <v/>
      </c>
      <c r="M489" s="620">
        <f>+F489*J489</f>
        <v/>
      </c>
      <c r="N489" s="620">
        <f>SUM(K489:M489)</f>
        <v/>
      </c>
      <c r="O489" s="622">
        <f>SUM(K489:M489)/tc</f>
        <v/>
      </c>
    </row>
    <row r="490" outlineLevel="1" ht="15" customHeight="1">
      <c r="A490" s="278" t="inlineStr">
        <is>
          <t xml:space="preserve">MO </t>
        </is>
      </c>
      <c r="B490" s="282" t="inlineStr">
        <is>
          <t>06-02-01</t>
        </is>
      </c>
      <c r="C490" s="578" t="n"/>
      <c r="D490" s="386" t="inlineStr">
        <is>
          <t xml:space="preserve">OPERARIO </t>
        </is>
      </c>
      <c r="E490" s="632">
        <f>+_xlfn.XLOOKUP(D490,'BASE DATOS MANO DE OBRA'!A:A,'BASE DATOS MANO DE OBRA'!B:B)</f>
        <v/>
      </c>
      <c r="F490" s="388" t="n">
        <v>16</v>
      </c>
      <c r="G490" s="633">
        <f>+_xlfn.XLOOKUP(D490,'BASE DATOS MANO DE OBRA'!A:A,'BASE DATOS MANO DE OBRA'!C:C)</f>
        <v/>
      </c>
      <c r="H490" s="634" t="n">
        <v>0</v>
      </c>
      <c r="I490" s="634">
        <f>+_xlfn.XLOOKUP(D490,'BASE DATOS MANO DE OBRA'!A:A,'BASE DATOS MANO DE OBRA'!E:E)</f>
        <v/>
      </c>
      <c r="J490" s="634" t="n">
        <v>0</v>
      </c>
      <c r="K490" s="634">
        <f>+F490*H490</f>
        <v/>
      </c>
      <c r="L490" s="634">
        <f>+F490*I490</f>
        <v/>
      </c>
      <c r="M490" s="634">
        <f>+F490*J490</f>
        <v/>
      </c>
      <c r="N490" s="634">
        <f>SUM(K490:M490)</f>
        <v/>
      </c>
      <c r="O490" s="635">
        <f>SUM(K490:M490)/tc</f>
        <v/>
      </c>
    </row>
    <row r="491" outlineLevel="1" ht="15" customHeight="1">
      <c r="A491" s="278" t="inlineStr">
        <is>
          <t xml:space="preserve">MO </t>
        </is>
      </c>
      <c r="B491" s="282" t="inlineStr">
        <is>
          <t>06-02-01</t>
        </is>
      </c>
      <c r="C491" s="578" t="n"/>
      <c r="D491" s="386" t="inlineStr">
        <is>
          <t xml:space="preserve">AYUDANTE </t>
        </is>
      </c>
      <c r="E491" s="632">
        <f>+_xlfn.XLOOKUP(D491,'BASE DATOS MANO DE OBRA'!A:A,'BASE DATOS MANO DE OBRA'!B:B)</f>
        <v/>
      </c>
      <c r="F491" s="388" t="n">
        <v>16</v>
      </c>
      <c r="G491" s="633">
        <f>+_xlfn.XLOOKUP(D491,'BASE DATOS MANO DE OBRA'!A:A,'BASE DATOS MANO DE OBRA'!C:C)</f>
        <v/>
      </c>
      <c r="H491" s="634" t="n">
        <v>0</v>
      </c>
      <c r="I491" s="634">
        <f>+_xlfn.XLOOKUP(D491,'BASE DATOS MANO DE OBRA'!A:A,'BASE DATOS MANO DE OBRA'!E:E)</f>
        <v/>
      </c>
      <c r="J491" s="634" t="n">
        <v>0</v>
      </c>
      <c r="K491" s="634">
        <f>+F491*H491</f>
        <v/>
      </c>
      <c r="L491" s="634">
        <f>+F491*I491</f>
        <v/>
      </c>
      <c r="M491" s="634">
        <f>+F491*J491</f>
        <v/>
      </c>
      <c r="N491" s="634">
        <f>SUM(K491:M491)</f>
        <v/>
      </c>
      <c r="O491" s="635">
        <f>SUM(K491:M491)/tc</f>
        <v/>
      </c>
    </row>
    <row r="492" outlineLevel="1" ht="15" customHeight="1">
      <c r="A492" s="278" t="inlineStr">
        <is>
          <t xml:space="preserve">MO </t>
        </is>
      </c>
      <c r="B492" s="282" t="inlineStr">
        <is>
          <t>06-02-02</t>
        </is>
      </c>
      <c r="C492" s="578" t="n"/>
      <c r="D492" s="386" t="inlineStr">
        <is>
          <t xml:space="preserve">OPERARIO </t>
        </is>
      </c>
      <c r="E492" s="632">
        <f>+_xlfn.XLOOKUP(D492,'BASE DATOS MANO DE OBRA'!A:A,'BASE DATOS MANO DE OBRA'!B:B)</f>
        <v/>
      </c>
      <c r="F492" s="388" t="n">
        <v>15.5</v>
      </c>
      <c r="G492" s="633">
        <f>+_xlfn.XLOOKUP(D492,'BASE DATOS MANO DE OBRA'!A:A,'BASE DATOS MANO DE OBRA'!C:C)</f>
        <v/>
      </c>
      <c r="H492" s="634" t="n">
        <v>0</v>
      </c>
      <c r="I492" s="634">
        <f>+_xlfn.XLOOKUP(D492,'BASE DATOS MANO DE OBRA'!A:A,'BASE DATOS MANO DE OBRA'!E:E)</f>
        <v/>
      </c>
      <c r="J492" s="634" t="n">
        <v>0</v>
      </c>
      <c r="K492" s="634">
        <f>+F492*H492</f>
        <v/>
      </c>
      <c r="L492" s="634">
        <f>+F492*I492</f>
        <v/>
      </c>
      <c r="M492" s="634">
        <f>+F492*J492</f>
        <v/>
      </c>
      <c r="N492" s="634">
        <f>SUM(K492:M492)</f>
        <v/>
      </c>
      <c r="O492" s="635">
        <f>SUM(K492:M492)/tc</f>
        <v/>
      </c>
    </row>
    <row r="493" outlineLevel="1" ht="15" customHeight="1">
      <c r="A493" s="278" t="inlineStr">
        <is>
          <t xml:space="preserve">MO </t>
        </is>
      </c>
      <c r="B493" s="282" t="inlineStr">
        <is>
          <t>06-02-02</t>
        </is>
      </c>
      <c r="C493" s="578" t="n"/>
      <c r="D493" s="386" t="inlineStr">
        <is>
          <t xml:space="preserve">AYUDANTE </t>
        </is>
      </c>
      <c r="E493" s="632">
        <f>+_xlfn.XLOOKUP(D493,'BASE DATOS MANO DE OBRA'!A:A,'BASE DATOS MANO DE OBRA'!B:B)</f>
        <v/>
      </c>
      <c r="F493" s="388" t="n">
        <v>15.5</v>
      </c>
      <c r="G493" s="633">
        <f>+_xlfn.XLOOKUP(D493,'BASE DATOS MANO DE OBRA'!A:A,'BASE DATOS MANO DE OBRA'!C:C)</f>
        <v/>
      </c>
      <c r="H493" s="634" t="n">
        <v>0</v>
      </c>
      <c r="I493" s="634">
        <f>+_xlfn.XLOOKUP(D493,'BASE DATOS MANO DE OBRA'!A:A,'BASE DATOS MANO DE OBRA'!E:E)</f>
        <v/>
      </c>
      <c r="J493" s="634" t="n">
        <v>0</v>
      </c>
      <c r="K493" s="634">
        <f>+F493*H493</f>
        <v/>
      </c>
      <c r="L493" s="634">
        <f>+F493*I493</f>
        <v/>
      </c>
      <c r="M493" s="634">
        <f>+F493*J493</f>
        <v/>
      </c>
      <c r="N493" s="634">
        <f>SUM(K493:M493)</f>
        <v/>
      </c>
      <c r="O493" s="635">
        <f>SUM(K493:M493)/tc</f>
        <v/>
      </c>
    </row>
    <row r="494" outlineLevel="1" ht="15" customHeight="1">
      <c r="A494" s="278" t="inlineStr">
        <is>
          <t xml:space="preserve">MO </t>
        </is>
      </c>
      <c r="B494" s="282" t="inlineStr">
        <is>
          <t>06-02-03</t>
        </is>
      </c>
      <c r="C494" s="578" t="n"/>
      <c r="D494" s="386" t="inlineStr">
        <is>
          <t xml:space="preserve">OPERARIO </t>
        </is>
      </c>
      <c r="E494" s="632">
        <f>+_xlfn.XLOOKUP(D494,'BASE DATOS MANO DE OBRA'!A:A,'BASE DATOS MANO DE OBRA'!B:B)</f>
        <v/>
      </c>
      <c r="F494" s="388" t="n">
        <v>8</v>
      </c>
      <c r="G494" s="633">
        <f>+_xlfn.XLOOKUP(D494,'BASE DATOS MANO DE OBRA'!A:A,'BASE DATOS MANO DE OBRA'!C:C)</f>
        <v/>
      </c>
      <c r="H494" s="634" t="n">
        <v>0</v>
      </c>
      <c r="I494" s="634">
        <f>+_xlfn.XLOOKUP(D494,'BASE DATOS MANO DE OBRA'!A:A,'BASE DATOS MANO DE OBRA'!E:E)</f>
        <v/>
      </c>
      <c r="J494" s="634" t="n">
        <v>0</v>
      </c>
      <c r="K494" s="634">
        <f>+F494*H494</f>
        <v/>
      </c>
      <c r="L494" s="634">
        <f>+F494*I494</f>
        <v/>
      </c>
      <c r="M494" s="634">
        <f>+F494*J494</f>
        <v/>
      </c>
      <c r="N494" s="634">
        <f>SUM(K494:M494)</f>
        <v/>
      </c>
      <c r="O494" s="635">
        <f>SUM(K494:M494)/tc</f>
        <v/>
      </c>
    </row>
    <row r="495" outlineLevel="1" ht="15" customHeight="1">
      <c r="A495" s="278" t="inlineStr">
        <is>
          <t xml:space="preserve">MO </t>
        </is>
      </c>
      <c r="B495" s="282" t="inlineStr">
        <is>
          <t>06-02-03</t>
        </is>
      </c>
      <c r="C495" s="578" t="n"/>
      <c r="D495" s="386" t="inlineStr">
        <is>
          <t xml:space="preserve">AYUDANTE </t>
        </is>
      </c>
      <c r="E495" s="632">
        <f>+_xlfn.XLOOKUP(D495,'BASE DATOS MANO DE OBRA'!A:A,'BASE DATOS MANO DE OBRA'!B:B)</f>
        <v/>
      </c>
      <c r="F495" s="388" t="n">
        <v>8</v>
      </c>
      <c r="G495" s="633">
        <f>+_xlfn.XLOOKUP(D495,'BASE DATOS MANO DE OBRA'!A:A,'BASE DATOS MANO DE OBRA'!C:C)</f>
        <v/>
      </c>
      <c r="H495" s="634" t="n">
        <v>0</v>
      </c>
      <c r="I495" s="634">
        <f>+_xlfn.XLOOKUP(D495,'BASE DATOS MANO DE OBRA'!A:A,'BASE DATOS MANO DE OBRA'!E:E)</f>
        <v/>
      </c>
      <c r="J495" s="634" t="n">
        <v>0</v>
      </c>
      <c r="K495" s="634">
        <f>+F495*H495</f>
        <v/>
      </c>
      <c r="L495" s="634">
        <f>+F495*I495</f>
        <v/>
      </c>
      <c r="M495" s="634">
        <f>+F495*J495</f>
        <v/>
      </c>
      <c r="N495" s="634">
        <f>SUM(K495:M495)</f>
        <v/>
      </c>
      <c r="O495" s="635">
        <f>SUM(K495:M495)/tc</f>
        <v/>
      </c>
    </row>
    <row r="496" outlineLevel="1" ht="15" customHeight="1">
      <c r="A496" s="278" t="inlineStr">
        <is>
          <t xml:space="preserve">MO </t>
        </is>
      </c>
      <c r="B496" s="282" t="inlineStr">
        <is>
          <t>06-02-04</t>
        </is>
      </c>
      <c r="C496" s="578" t="n"/>
      <c r="D496" s="386" t="inlineStr">
        <is>
          <t xml:space="preserve">OPERARIO </t>
        </is>
      </c>
      <c r="E496" s="632">
        <f>+_xlfn.XLOOKUP(D496,'BASE DATOS MANO DE OBRA'!A:A,'BASE DATOS MANO DE OBRA'!B:B)</f>
        <v/>
      </c>
      <c r="F496" s="388" t="n">
        <v>0</v>
      </c>
      <c r="G496" s="633">
        <f>+_xlfn.XLOOKUP(D496,'BASE DATOS MANO DE OBRA'!A:A,'BASE DATOS MANO DE OBRA'!C:C)</f>
        <v/>
      </c>
      <c r="H496" s="634" t="n">
        <v>0</v>
      </c>
      <c r="I496" s="634">
        <f>+_xlfn.XLOOKUP(D496,'BASE DATOS MANO DE OBRA'!A:A,'BASE DATOS MANO DE OBRA'!E:E)</f>
        <v/>
      </c>
      <c r="J496" s="634" t="n">
        <v>0</v>
      </c>
      <c r="K496" s="634">
        <f>+F496*H496</f>
        <v/>
      </c>
      <c r="L496" s="634">
        <f>+F496*I496</f>
        <v/>
      </c>
      <c r="M496" s="634">
        <f>+F496*J496</f>
        <v/>
      </c>
      <c r="N496" s="634">
        <f>SUM(K496:M496)</f>
        <v/>
      </c>
      <c r="O496" s="635">
        <f>SUM(K496:M496)/tc</f>
        <v/>
      </c>
    </row>
    <row r="497" outlineLevel="1" ht="15" customHeight="1">
      <c r="A497" s="278" t="inlineStr">
        <is>
          <t xml:space="preserve">MO </t>
        </is>
      </c>
      <c r="B497" s="282" t="inlineStr">
        <is>
          <t>06-02-04</t>
        </is>
      </c>
      <c r="C497" s="578" t="n"/>
      <c r="D497" s="386" t="inlineStr">
        <is>
          <t xml:space="preserve">AYUDANTE </t>
        </is>
      </c>
      <c r="E497" s="632">
        <f>+_xlfn.XLOOKUP(D497,'BASE DATOS MANO DE OBRA'!A:A,'BASE DATOS MANO DE OBRA'!B:B)</f>
        <v/>
      </c>
      <c r="F497" s="388" t="n">
        <v>0</v>
      </c>
      <c r="G497" s="633">
        <f>+_xlfn.XLOOKUP(D497,'BASE DATOS MANO DE OBRA'!A:A,'BASE DATOS MANO DE OBRA'!C:C)</f>
        <v/>
      </c>
      <c r="H497" s="634" t="n">
        <v>0</v>
      </c>
      <c r="I497" s="634">
        <f>+_xlfn.XLOOKUP(D497,'BASE DATOS MANO DE OBRA'!A:A,'BASE DATOS MANO DE OBRA'!E:E)</f>
        <v/>
      </c>
      <c r="J497" s="634" t="n">
        <v>0</v>
      </c>
      <c r="K497" s="634">
        <f>+F497*H497</f>
        <v/>
      </c>
      <c r="L497" s="634">
        <f>+F497*I497</f>
        <v/>
      </c>
      <c r="M497" s="634">
        <f>+F497*J497</f>
        <v/>
      </c>
      <c r="N497" s="634">
        <f>SUM(K497:M497)</f>
        <v/>
      </c>
      <c r="O497" s="635">
        <f>SUM(K497:M497)/tc</f>
        <v/>
      </c>
    </row>
    <row r="498" outlineLevel="1" ht="15" customHeight="1">
      <c r="A498" s="278" t="inlineStr">
        <is>
          <t xml:space="preserve">MO </t>
        </is>
      </c>
      <c r="B498" s="282" t="inlineStr">
        <is>
          <t>06-02-05</t>
        </is>
      </c>
      <c r="C498" s="578" t="n"/>
      <c r="D498" s="386" t="inlineStr">
        <is>
          <t xml:space="preserve">OPERARIO </t>
        </is>
      </c>
      <c r="E498" s="632">
        <f>+_xlfn.XLOOKUP(D498,'BASE DATOS MANO DE OBRA'!A:A,'BASE DATOS MANO DE OBRA'!B:B)</f>
        <v/>
      </c>
      <c r="F498" s="388" t="n">
        <v>0</v>
      </c>
      <c r="G498" s="633">
        <f>+_xlfn.XLOOKUP(D498,'BASE DATOS MANO DE OBRA'!A:A,'BASE DATOS MANO DE OBRA'!C:C)</f>
        <v/>
      </c>
      <c r="H498" s="634" t="n">
        <v>0</v>
      </c>
      <c r="I498" s="634">
        <f>+_xlfn.XLOOKUP(D498,'BASE DATOS MANO DE OBRA'!A:A,'BASE DATOS MANO DE OBRA'!E:E)</f>
        <v/>
      </c>
      <c r="J498" s="634" t="n">
        <v>0</v>
      </c>
      <c r="K498" s="634">
        <f>+F498*H498</f>
        <v/>
      </c>
      <c r="L498" s="634">
        <f>+F498*I498</f>
        <v/>
      </c>
      <c r="M498" s="634">
        <f>+F498*J498</f>
        <v/>
      </c>
      <c r="N498" s="634">
        <f>SUM(K498:M498)</f>
        <v/>
      </c>
      <c r="O498" s="635">
        <f>SUM(K498:M498)/tc</f>
        <v/>
      </c>
    </row>
    <row r="499" outlineLevel="1" ht="15" customHeight="1">
      <c r="A499" s="278" t="inlineStr">
        <is>
          <t xml:space="preserve">MO </t>
        </is>
      </c>
      <c r="B499" s="282" t="inlineStr">
        <is>
          <t>06-02-05</t>
        </is>
      </c>
      <c r="C499" s="578" t="n"/>
      <c r="D499" s="386" t="inlineStr">
        <is>
          <t xml:space="preserve">AYUDANTE </t>
        </is>
      </c>
      <c r="E499" s="632">
        <f>+_xlfn.XLOOKUP(D499,'BASE DATOS MANO DE OBRA'!A:A,'BASE DATOS MANO DE OBRA'!B:B)</f>
        <v/>
      </c>
      <c r="F499" s="388" t="n">
        <v>0</v>
      </c>
      <c r="G499" s="633">
        <f>+_xlfn.XLOOKUP(D499,'BASE DATOS MANO DE OBRA'!A:A,'BASE DATOS MANO DE OBRA'!C:C)</f>
        <v/>
      </c>
      <c r="H499" s="634" t="n">
        <v>0</v>
      </c>
      <c r="I499" s="634">
        <f>+_xlfn.XLOOKUP(D499,'BASE DATOS MANO DE OBRA'!A:A,'BASE DATOS MANO DE OBRA'!E:E)</f>
        <v/>
      </c>
      <c r="J499" s="634" t="n">
        <v>0</v>
      </c>
      <c r="K499" s="634">
        <f>+F499*H499</f>
        <v/>
      </c>
      <c r="L499" s="634">
        <f>+F499*I499</f>
        <v/>
      </c>
      <c r="M499" s="634">
        <f>+F499*J499</f>
        <v/>
      </c>
      <c r="N499" s="634">
        <f>SUM(K499:M499)</f>
        <v/>
      </c>
      <c r="O499" s="635">
        <f>SUM(K499:M499)/tc</f>
        <v/>
      </c>
    </row>
    <row r="500" outlineLevel="1" ht="15" customHeight="1">
      <c r="A500" s="278" t="inlineStr">
        <is>
          <t xml:space="preserve">MO </t>
        </is>
      </c>
      <c r="B500" s="282" t="inlineStr">
        <is>
          <t>06-02-06</t>
        </is>
      </c>
      <c r="C500" s="578" t="n"/>
      <c r="D500" s="386" t="inlineStr">
        <is>
          <t xml:space="preserve">OPERARIO </t>
        </is>
      </c>
      <c r="E500" s="632">
        <f>+_xlfn.XLOOKUP(D500,'BASE DATOS MANO DE OBRA'!A:A,'BASE DATOS MANO DE OBRA'!B:B)</f>
        <v/>
      </c>
      <c r="F500" s="388" t="n">
        <v>0</v>
      </c>
      <c r="G500" s="633">
        <f>+_xlfn.XLOOKUP(D500,'BASE DATOS MANO DE OBRA'!A:A,'BASE DATOS MANO DE OBRA'!C:C)</f>
        <v/>
      </c>
      <c r="H500" s="634" t="n">
        <v>0</v>
      </c>
      <c r="I500" s="634">
        <f>+_xlfn.XLOOKUP(D500,'BASE DATOS MANO DE OBRA'!A:A,'BASE DATOS MANO DE OBRA'!E:E)</f>
        <v/>
      </c>
      <c r="J500" s="634" t="n">
        <v>0</v>
      </c>
      <c r="K500" s="634">
        <f>+F500*H500</f>
        <v/>
      </c>
      <c r="L500" s="634">
        <f>+F500*I500</f>
        <v/>
      </c>
      <c r="M500" s="634">
        <f>+F500*J500</f>
        <v/>
      </c>
      <c r="N500" s="634">
        <f>SUM(K500:M500)</f>
        <v/>
      </c>
      <c r="O500" s="635">
        <f>SUM(K500:M500)/tc</f>
        <v/>
      </c>
    </row>
    <row r="501" outlineLevel="1" ht="15" customHeight="1">
      <c r="A501" s="278" t="inlineStr">
        <is>
          <t xml:space="preserve">MO </t>
        </is>
      </c>
      <c r="B501" s="282" t="inlineStr">
        <is>
          <t>06-02-06</t>
        </is>
      </c>
      <c r="C501" s="578" t="n"/>
      <c r="D501" s="386" t="inlineStr">
        <is>
          <t xml:space="preserve">AYUDANTE </t>
        </is>
      </c>
      <c r="E501" s="632">
        <f>+_xlfn.XLOOKUP(D501,'BASE DATOS MANO DE OBRA'!A:A,'BASE DATOS MANO DE OBRA'!B:B)</f>
        <v/>
      </c>
      <c r="F501" s="388" t="n">
        <v>0</v>
      </c>
      <c r="G501" s="633">
        <f>+_xlfn.XLOOKUP(D501,'BASE DATOS MANO DE OBRA'!A:A,'BASE DATOS MANO DE OBRA'!C:C)</f>
        <v/>
      </c>
      <c r="H501" s="634" t="n">
        <v>0</v>
      </c>
      <c r="I501" s="634">
        <f>+_xlfn.XLOOKUP(D501,'BASE DATOS MANO DE OBRA'!A:A,'BASE DATOS MANO DE OBRA'!E:E)</f>
        <v/>
      </c>
      <c r="J501" s="634" t="n">
        <v>0</v>
      </c>
      <c r="K501" s="634">
        <f>+F501*H501</f>
        <v/>
      </c>
      <c r="L501" s="634">
        <f>+F501*I501</f>
        <v/>
      </c>
      <c r="M501" s="634">
        <f>+F501*J501</f>
        <v/>
      </c>
      <c r="N501" s="634">
        <f>SUM(K501:M501)</f>
        <v/>
      </c>
      <c r="O501" s="635">
        <f>SUM(K501:M501)/tc</f>
        <v/>
      </c>
    </row>
    <row r="502" outlineLevel="1" ht="15" customHeight="1">
      <c r="A502" s="278" t="inlineStr">
        <is>
          <t xml:space="preserve">MO </t>
        </is>
      </c>
      <c r="B502" s="282" t="inlineStr">
        <is>
          <t>06-02-07</t>
        </is>
      </c>
      <c r="C502" s="578" t="n"/>
      <c r="D502" s="386" t="inlineStr">
        <is>
          <t xml:space="preserve">OPERARIO </t>
        </is>
      </c>
      <c r="E502" s="632">
        <f>+_xlfn.XLOOKUP(D502,'BASE DATOS MANO DE OBRA'!A:A,'BASE DATOS MANO DE OBRA'!B:B)</f>
        <v/>
      </c>
      <c r="F502" s="388" t="n">
        <v>0</v>
      </c>
      <c r="G502" s="633">
        <f>+_xlfn.XLOOKUP(D502,'BASE DATOS MANO DE OBRA'!A:A,'BASE DATOS MANO DE OBRA'!C:C)</f>
        <v/>
      </c>
      <c r="H502" s="634" t="n">
        <v>0</v>
      </c>
      <c r="I502" s="634">
        <f>+_xlfn.XLOOKUP(D502,'BASE DATOS MANO DE OBRA'!A:A,'BASE DATOS MANO DE OBRA'!E:E)</f>
        <v/>
      </c>
      <c r="J502" s="634" t="n">
        <v>0</v>
      </c>
      <c r="K502" s="634">
        <f>+F502*H502</f>
        <v/>
      </c>
      <c r="L502" s="634">
        <f>+F502*I502</f>
        <v/>
      </c>
      <c r="M502" s="634">
        <f>+F502*J502</f>
        <v/>
      </c>
      <c r="N502" s="634">
        <f>SUM(K502:M502)</f>
        <v/>
      </c>
      <c r="O502" s="635">
        <f>SUM(K502:M502)/tc</f>
        <v/>
      </c>
    </row>
    <row r="503" outlineLevel="1" ht="15" customHeight="1">
      <c r="A503" s="278" t="inlineStr">
        <is>
          <t xml:space="preserve">MO </t>
        </is>
      </c>
      <c r="B503" s="282" t="inlineStr">
        <is>
          <t>06-02-07</t>
        </is>
      </c>
      <c r="C503" s="578" t="n"/>
      <c r="D503" s="386" t="inlineStr">
        <is>
          <t xml:space="preserve">AYUDANTE </t>
        </is>
      </c>
      <c r="E503" s="632">
        <f>+_xlfn.XLOOKUP(D503,'BASE DATOS MANO DE OBRA'!A:A,'BASE DATOS MANO DE OBRA'!B:B)</f>
        <v/>
      </c>
      <c r="F503" s="388" t="n">
        <v>0</v>
      </c>
      <c r="G503" s="633">
        <f>+_xlfn.XLOOKUP(D503,'BASE DATOS MANO DE OBRA'!A:A,'BASE DATOS MANO DE OBRA'!C:C)</f>
        <v/>
      </c>
      <c r="H503" s="634" t="n">
        <v>0</v>
      </c>
      <c r="I503" s="634">
        <f>+_xlfn.XLOOKUP(D503,'BASE DATOS MANO DE OBRA'!A:A,'BASE DATOS MANO DE OBRA'!E:E)</f>
        <v/>
      </c>
      <c r="J503" s="634" t="n">
        <v>0</v>
      </c>
      <c r="K503" s="634">
        <f>+F503*H503</f>
        <v/>
      </c>
      <c r="L503" s="634">
        <f>+F503*I503</f>
        <v/>
      </c>
      <c r="M503" s="634">
        <f>+F503*J503</f>
        <v/>
      </c>
      <c r="N503" s="634">
        <f>SUM(K503:M503)</f>
        <v/>
      </c>
      <c r="O503" s="635">
        <f>SUM(K503:M503)/tc</f>
        <v/>
      </c>
    </row>
    <row r="504" ht="15" customHeight="1">
      <c r="A504" s="278" t="n"/>
      <c r="B504" s="282" t="inlineStr">
        <is>
          <t>07</t>
        </is>
      </c>
      <c r="C504" s="578" t="n"/>
      <c r="D504" s="372" t="n">
        <v>7</v>
      </c>
      <c r="E504" s="373" t="inlineStr">
        <is>
          <t xml:space="preserve">REPELLOS </t>
        </is>
      </c>
      <c r="F504" s="374" t="n"/>
      <c r="G504" s="375" t="n"/>
      <c r="H504" s="375" t="n"/>
      <c r="I504" s="375" t="n"/>
      <c r="J504" s="375" t="n"/>
      <c r="K504" s="612">
        <f>K505+K521</f>
        <v/>
      </c>
      <c r="L504" s="612">
        <f>L505+L521</f>
        <v/>
      </c>
      <c r="M504" s="612">
        <f>M505+M521</f>
        <v/>
      </c>
      <c r="N504" s="612">
        <f>N505+N521</f>
        <v/>
      </c>
      <c r="O504" s="613">
        <f>O505+O521</f>
        <v/>
      </c>
    </row>
    <row r="505" ht="15" customHeight="1">
      <c r="A505" s="278" t="n"/>
      <c r="B505" s="282" t="inlineStr">
        <is>
          <t>07-01</t>
        </is>
      </c>
      <c r="C505" s="578" t="n"/>
      <c r="D505" s="307" t="inlineStr">
        <is>
          <t xml:space="preserve">7.1 </t>
        </is>
      </c>
      <c r="E505" s="308" t="inlineStr">
        <is>
          <t xml:space="preserve">REPELLOS INTERNO Y EXTERNO </t>
        </is>
      </c>
      <c r="F505" s="309" t="n">
        <v>1</v>
      </c>
      <c r="G505" s="310" t="inlineStr">
        <is>
          <t>gb</t>
        </is>
      </c>
      <c r="H505" s="310" t="n"/>
      <c r="I505" s="310" t="n"/>
      <c r="J505" s="310" t="n"/>
      <c r="K505" s="636">
        <f>SUM(K506:K520)</f>
        <v/>
      </c>
      <c r="L505" s="636">
        <f>SUM(L506:L520)</f>
        <v/>
      </c>
      <c r="M505" s="636">
        <f>SUM(M506:M520)</f>
        <v/>
      </c>
      <c r="N505" s="636">
        <f>SUM(N506:N520)</f>
        <v/>
      </c>
      <c r="O505" s="636">
        <f>SUM(O506:O520)</f>
        <v/>
      </c>
    </row>
    <row r="506" outlineLevel="1" ht="15" customHeight="1">
      <c r="A506" s="278" t="inlineStr">
        <is>
          <t>MAT</t>
        </is>
      </c>
      <c r="B506" s="282" t="n"/>
      <c r="C506" s="578">
        <f>_xlfn.XLOOKUP(D506,'INSUMOS MAT '!B:B,'INSUMOS MAT '!C:C,"ERROR",0)</f>
        <v/>
      </c>
      <c r="D506" s="177" t="inlineStr">
        <is>
          <t>MAT04-0046</t>
        </is>
      </c>
      <c r="E506" s="618">
        <f>+_xlfn.XLOOKUP(D506,'BASE DATOS PRECIOS '!B:B,'BASE DATOS PRECIOS '!C:C)</f>
        <v/>
      </c>
      <c r="F506" s="485" t="n">
        <v>40</v>
      </c>
      <c r="G506" s="621">
        <f>+_xlfn.XLOOKUP(D506,'BASE DATOS PRECIOS '!B:B,'BASE DATOS PRECIOS '!D:D)</f>
        <v/>
      </c>
      <c r="H506" s="620">
        <f>+_xlfn.XLOOKUP(E506,'BASE DATOS PRECIOS '!C:C,'BASE DATOS PRECIOS '!F:F)</f>
        <v/>
      </c>
      <c r="I506" s="621" t="n"/>
      <c r="J506" s="621" t="n"/>
      <c r="K506" s="620">
        <f>+F506*H506</f>
        <v/>
      </c>
      <c r="L506" s="620">
        <f>+F506*I506</f>
        <v/>
      </c>
      <c r="M506" s="620">
        <f>+F506*J506</f>
        <v/>
      </c>
      <c r="N506" s="620">
        <f>SUM(K506:M506)</f>
        <v/>
      </c>
      <c r="O506" s="622">
        <f>SUM(K506:M506)/tc</f>
        <v/>
      </c>
    </row>
    <row r="507" outlineLevel="1" ht="15" customHeight="1">
      <c r="A507" s="278" t="inlineStr">
        <is>
          <t>MAT</t>
        </is>
      </c>
      <c r="B507" s="282" t="n"/>
      <c r="C507" s="578">
        <f>_xlfn.XLOOKUP(D507,'INSUMOS MAT '!B:B,'INSUMOS MAT '!C:C,"ERROR",0)</f>
        <v/>
      </c>
      <c r="D507" s="486" t="inlineStr">
        <is>
          <t>MAT21-0007</t>
        </is>
      </c>
      <c r="E507" s="653">
        <f>+_xlfn.XLOOKUP(D507,'BASE DATOS PRECIOS '!B:B,'BASE DATOS PRECIOS '!C:C)</f>
        <v/>
      </c>
      <c r="F507" s="322" t="n">
        <v>1</v>
      </c>
      <c r="G507" s="654">
        <f>+_xlfn.XLOOKUP(D507,'BASE DATOS PRECIOS '!B:B,'BASE DATOS PRECIOS '!D:D)</f>
        <v/>
      </c>
      <c r="H507" s="620">
        <f>+_xlfn.XLOOKUP(E507,'BASE DATOS PRECIOS '!C:C,'BASE DATOS PRECIOS '!F:F)</f>
        <v/>
      </c>
      <c r="I507" s="654" t="n"/>
      <c r="J507" s="654" t="n"/>
      <c r="K507" s="655">
        <f>+F507*H507</f>
        <v/>
      </c>
      <c r="L507" s="655">
        <f>+F507*I507</f>
        <v/>
      </c>
      <c r="M507" s="655">
        <f>+F507*J507</f>
        <v/>
      </c>
      <c r="N507" s="655">
        <f>SUM(K507:M507)</f>
        <v/>
      </c>
      <c r="O507" s="656">
        <f>SUM(K507:M507)/tc</f>
        <v/>
      </c>
    </row>
    <row r="508" outlineLevel="1" ht="15" customHeight="1">
      <c r="A508" s="278" t="inlineStr">
        <is>
          <t>MAT</t>
        </is>
      </c>
      <c r="B508" s="282" t="n"/>
      <c r="C508" s="578">
        <f>_xlfn.XLOOKUP(D508,'INSUMOS MAT '!B:B,'INSUMOS MAT '!C:C,"ERROR",0)</f>
        <v/>
      </c>
      <c r="D508" s="486" t="inlineStr">
        <is>
          <t>MAT08-0067</t>
        </is>
      </c>
      <c r="E508" s="653">
        <f>+_xlfn.XLOOKUP(D508,'BASE DATOS PRECIOS '!B:B,'BASE DATOS PRECIOS '!C:C)</f>
        <v/>
      </c>
      <c r="F508" s="322" t="n">
        <v>15</v>
      </c>
      <c r="G508" s="654">
        <f>+_xlfn.XLOOKUP(D508,'BASE DATOS PRECIOS '!B:B,'BASE DATOS PRECIOS '!D:D)</f>
        <v/>
      </c>
      <c r="H508" s="620">
        <f>+_xlfn.XLOOKUP(E508,'BASE DATOS PRECIOS '!C:C,'BASE DATOS PRECIOS '!F:F)</f>
        <v/>
      </c>
      <c r="I508" s="654" t="n"/>
      <c r="J508" s="654" t="n"/>
      <c r="K508" s="655">
        <f>+F508*H508</f>
        <v/>
      </c>
      <c r="L508" s="655">
        <f>+F508*I508</f>
        <v/>
      </c>
      <c r="M508" s="655">
        <f>+F508*J508</f>
        <v/>
      </c>
      <c r="N508" s="655">
        <f>SUM(K508:M508)</f>
        <v/>
      </c>
      <c r="O508" s="656">
        <f>SUM(K508:M508)/tc</f>
        <v/>
      </c>
    </row>
    <row r="509" outlineLevel="1" ht="15" customHeight="1">
      <c r="A509" s="278" t="inlineStr">
        <is>
          <t xml:space="preserve">MO </t>
        </is>
      </c>
      <c r="B509" s="282" t="inlineStr">
        <is>
          <t>07-01-01</t>
        </is>
      </c>
      <c r="C509" s="578" t="n"/>
      <c r="D509" s="386" t="inlineStr">
        <is>
          <t xml:space="preserve">OPERARIO </t>
        </is>
      </c>
      <c r="E509" s="632">
        <f>+_xlfn.XLOOKUP(D509,'BASE DATOS MANO DE OBRA'!A:A,'BASE DATOS MANO DE OBRA'!B:B)</f>
        <v/>
      </c>
      <c r="F509" s="388" t="n">
        <v>8</v>
      </c>
      <c r="G509" s="633">
        <f>+_xlfn.XLOOKUP(D509,'BASE DATOS MANO DE OBRA'!A:A,'BASE DATOS MANO DE OBRA'!C:C)</f>
        <v/>
      </c>
      <c r="H509" s="634" t="n">
        <v>0</v>
      </c>
      <c r="I509" s="634">
        <f>+_xlfn.XLOOKUP(D509,'BASE DATOS MANO DE OBRA'!A:A,'BASE DATOS MANO DE OBRA'!E:E)</f>
        <v/>
      </c>
      <c r="J509" s="634" t="n">
        <v>0</v>
      </c>
      <c r="K509" s="634">
        <f>+F509*H509</f>
        <v/>
      </c>
      <c r="L509" s="634">
        <f>+F509*I509</f>
        <v/>
      </c>
      <c r="M509" s="634">
        <f>+F509*J509</f>
        <v/>
      </c>
      <c r="N509" s="634">
        <f>SUM(K509:M509)</f>
        <v/>
      </c>
      <c r="O509" s="635">
        <f>SUM(K509:M509)/tc</f>
        <v/>
      </c>
    </row>
    <row r="510" outlineLevel="1" ht="15" customHeight="1">
      <c r="A510" s="278" t="inlineStr">
        <is>
          <t xml:space="preserve">MO </t>
        </is>
      </c>
      <c r="B510" s="282" t="inlineStr">
        <is>
          <t>07-01-01</t>
        </is>
      </c>
      <c r="C510" s="578" t="n"/>
      <c r="D510" s="386" t="inlineStr">
        <is>
          <t xml:space="preserve">AYUDANTE </t>
        </is>
      </c>
      <c r="E510" s="632">
        <f>+_xlfn.XLOOKUP(D510,'BASE DATOS MANO DE OBRA'!A:A,'BASE DATOS MANO DE OBRA'!B:B)</f>
        <v/>
      </c>
      <c r="F510" s="388" t="n">
        <v>8</v>
      </c>
      <c r="G510" s="633">
        <f>+_xlfn.XLOOKUP(D510,'BASE DATOS MANO DE OBRA'!A:A,'BASE DATOS MANO DE OBRA'!C:C)</f>
        <v/>
      </c>
      <c r="H510" s="634" t="n">
        <v>0</v>
      </c>
      <c r="I510" s="634">
        <f>+_xlfn.XLOOKUP(D510,'BASE DATOS MANO DE OBRA'!A:A,'BASE DATOS MANO DE OBRA'!E:E)</f>
        <v/>
      </c>
      <c r="J510" s="634" t="n">
        <v>0</v>
      </c>
      <c r="K510" s="634">
        <f>+F510*H510</f>
        <v/>
      </c>
      <c r="L510" s="634">
        <f>+F510*I510</f>
        <v/>
      </c>
      <c r="M510" s="634">
        <f>+F510*J510</f>
        <v/>
      </c>
      <c r="N510" s="634">
        <f>SUM(K510:M510)</f>
        <v/>
      </c>
      <c r="O510" s="635">
        <f>SUM(K510:M510)/tc</f>
        <v/>
      </c>
    </row>
    <row r="511" outlineLevel="1" ht="15" customHeight="1">
      <c r="A511" s="278" t="inlineStr">
        <is>
          <t xml:space="preserve">MO </t>
        </is>
      </c>
      <c r="B511" s="282" t="inlineStr">
        <is>
          <t>07-01-02</t>
        </is>
      </c>
      <c r="C511" s="578" t="n"/>
      <c r="D511" s="386" t="inlineStr">
        <is>
          <t xml:space="preserve">OPERARIO </t>
        </is>
      </c>
      <c r="E511" s="632">
        <f>+_xlfn.XLOOKUP(D511,'BASE DATOS MANO DE OBRA'!A:A,'BASE DATOS MANO DE OBRA'!B:B)</f>
        <v/>
      </c>
      <c r="F511" s="388" t="n">
        <v>4</v>
      </c>
      <c r="G511" s="633">
        <f>+_xlfn.XLOOKUP(D511,'BASE DATOS MANO DE OBRA'!A:A,'BASE DATOS MANO DE OBRA'!C:C)</f>
        <v/>
      </c>
      <c r="H511" s="634" t="n">
        <v>0</v>
      </c>
      <c r="I511" s="634">
        <f>+_xlfn.XLOOKUP(D511,'BASE DATOS MANO DE OBRA'!A:A,'BASE DATOS MANO DE OBRA'!E:E)</f>
        <v/>
      </c>
      <c r="J511" s="634" t="n">
        <v>0</v>
      </c>
      <c r="K511" s="634">
        <f>+F511*H511</f>
        <v/>
      </c>
      <c r="L511" s="634">
        <f>+F511*I511</f>
        <v/>
      </c>
      <c r="M511" s="634">
        <f>+F511*J511</f>
        <v/>
      </c>
      <c r="N511" s="634">
        <f>SUM(K511:M511)</f>
        <v/>
      </c>
      <c r="O511" s="635">
        <f>SUM(K511:M511)/tc</f>
        <v/>
      </c>
    </row>
    <row r="512" outlineLevel="1" ht="15" customHeight="1">
      <c r="A512" s="278" t="inlineStr">
        <is>
          <t xml:space="preserve">MO </t>
        </is>
      </c>
      <c r="B512" s="282" t="inlineStr">
        <is>
          <t>07-01-02</t>
        </is>
      </c>
      <c r="C512" s="578" t="n"/>
      <c r="D512" s="386" t="inlineStr">
        <is>
          <t xml:space="preserve">AYUDANTE </t>
        </is>
      </c>
      <c r="E512" s="632">
        <f>+_xlfn.XLOOKUP(D512,'BASE DATOS MANO DE OBRA'!A:A,'BASE DATOS MANO DE OBRA'!B:B)</f>
        <v/>
      </c>
      <c r="F512" s="388" t="n">
        <v>4</v>
      </c>
      <c r="G512" s="633">
        <f>+_xlfn.XLOOKUP(D512,'BASE DATOS MANO DE OBRA'!A:A,'BASE DATOS MANO DE OBRA'!C:C)</f>
        <v/>
      </c>
      <c r="H512" s="634" t="n">
        <v>0</v>
      </c>
      <c r="I512" s="634">
        <f>+_xlfn.XLOOKUP(D512,'BASE DATOS MANO DE OBRA'!A:A,'BASE DATOS MANO DE OBRA'!E:E)</f>
        <v/>
      </c>
      <c r="J512" s="634" t="n">
        <v>0</v>
      </c>
      <c r="K512" s="634">
        <f>+F512*H512</f>
        <v/>
      </c>
      <c r="L512" s="634">
        <f>+F512*I512</f>
        <v/>
      </c>
      <c r="M512" s="634">
        <f>+F512*J512</f>
        <v/>
      </c>
      <c r="N512" s="634">
        <f>SUM(K512:M512)</f>
        <v/>
      </c>
      <c r="O512" s="635">
        <f>SUM(K512:M512)/tc</f>
        <v/>
      </c>
    </row>
    <row r="513" outlineLevel="1" ht="15" customHeight="1">
      <c r="A513" s="278" t="inlineStr">
        <is>
          <t xml:space="preserve">MO </t>
        </is>
      </c>
      <c r="B513" s="282" t="inlineStr">
        <is>
          <t>07-01-03</t>
        </is>
      </c>
      <c r="C513" s="578" t="n"/>
      <c r="D513" s="386" t="inlineStr">
        <is>
          <t xml:space="preserve">OPERARIO </t>
        </is>
      </c>
      <c r="E513" s="632">
        <f>+_xlfn.XLOOKUP(D513,'BASE DATOS MANO DE OBRA'!A:A,'BASE DATOS MANO DE OBRA'!B:B)</f>
        <v/>
      </c>
      <c r="F513" s="388" t="n">
        <v>50.5</v>
      </c>
      <c r="G513" s="633">
        <f>+_xlfn.XLOOKUP(D513,'BASE DATOS MANO DE OBRA'!A:A,'BASE DATOS MANO DE OBRA'!C:C)</f>
        <v/>
      </c>
      <c r="H513" s="634" t="n">
        <v>0</v>
      </c>
      <c r="I513" s="634">
        <f>+_xlfn.XLOOKUP(D513,'BASE DATOS MANO DE OBRA'!A:A,'BASE DATOS MANO DE OBRA'!E:E)</f>
        <v/>
      </c>
      <c r="J513" s="634" t="n">
        <v>0</v>
      </c>
      <c r="K513" s="634">
        <f>+F513*H513</f>
        <v/>
      </c>
      <c r="L513" s="634">
        <f>+F513*I513</f>
        <v/>
      </c>
      <c r="M513" s="634">
        <f>+F513*J513</f>
        <v/>
      </c>
      <c r="N513" s="634">
        <f>SUM(K513:M513)</f>
        <v/>
      </c>
      <c r="O513" s="635">
        <f>SUM(K513:M513)/tc</f>
        <v/>
      </c>
    </row>
    <row r="514" outlineLevel="1" ht="15" customHeight="1">
      <c r="A514" s="278" t="inlineStr">
        <is>
          <t xml:space="preserve">MO </t>
        </is>
      </c>
      <c r="B514" s="282" t="inlineStr">
        <is>
          <t>07-01-03</t>
        </is>
      </c>
      <c r="C514" s="578" t="n"/>
      <c r="D514" s="386" t="inlineStr">
        <is>
          <t xml:space="preserve">AYUDANTE </t>
        </is>
      </c>
      <c r="E514" s="632">
        <f>+_xlfn.XLOOKUP(D514,'BASE DATOS MANO DE OBRA'!A:A,'BASE DATOS MANO DE OBRA'!B:B)</f>
        <v/>
      </c>
      <c r="F514" s="388" t="n">
        <v>50.5</v>
      </c>
      <c r="G514" s="633">
        <f>+_xlfn.XLOOKUP(D514,'BASE DATOS MANO DE OBRA'!A:A,'BASE DATOS MANO DE OBRA'!C:C)</f>
        <v/>
      </c>
      <c r="H514" s="634" t="n">
        <v>0</v>
      </c>
      <c r="I514" s="634">
        <f>+_xlfn.XLOOKUP(D514,'BASE DATOS MANO DE OBRA'!A:A,'BASE DATOS MANO DE OBRA'!E:E)</f>
        <v/>
      </c>
      <c r="J514" s="634" t="n">
        <v>0</v>
      </c>
      <c r="K514" s="634">
        <f>+F514*H514</f>
        <v/>
      </c>
      <c r="L514" s="634">
        <f>+F514*I514</f>
        <v/>
      </c>
      <c r="M514" s="634">
        <f>+F514*J514</f>
        <v/>
      </c>
      <c r="N514" s="634">
        <f>SUM(K514:M514)</f>
        <v/>
      </c>
      <c r="O514" s="635">
        <f>SUM(K514:M514)/tc</f>
        <v/>
      </c>
    </row>
    <row r="515" outlineLevel="1" ht="15" customHeight="1">
      <c r="A515" s="278" t="inlineStr">
        <is>
          <t xml:space="preserve">MO </t>
        </is>
      </c>
      <c r="B515" s="282" t="inlineStr">
        <is>
          <t>07-01-04</t>
        </is>
      </c>
      <c r="C515" s="578" t="n"/>
      <c r="D515" s="386" t="inlineStr">
        <is>
          <t xml:space="preserve">OPERARIO </t>
        </is>
      </c>
      <c r="E515" s="632">
        <f>+_xlfn.XLOOKUP(D515,'BASE DATOS MANO DE OBRA'!A:A,'BASE DATOS MANO DE OBRA'!B:B)</f>
        <v/>
      </c>
      <c r="F515" s="388" t="n">
        <v>67</v>
      </c>
      <c r="G515" s="633">
        <f>+_xlfn.XLOOKUP(D515,'BASE DATOS MANO DE OBRA'!A:A,'BASE DATOS MANO DE OBRA'!C:C)</f>
        <v/>
      </c>
      <c r="H515" s="634" t="n">
        <v>0</v>
      </c>
      <c r="I515" s="634">
        <f>+_xlfn.XLOOKUP(D515,'BASE DATOS MANO DE OBRA'!A:A,'BASE DATOS MANO DE OBRA'!E:E)</f>
        <v/>
      </c>
      <c r="J515" s="634" t="n">
        <v>0</v>
      </c>
      <c r="K515" s="634">
        <f>+F515*H515</f>
        <v/>
      </c>
      <c r="L515" s="634">
        <f>+F515*I515</f>
        <v/>
      </c>
      <c r="M515" s="634">
        <f>+F515*J515</f>
        <v/>
      </c>
      <c r="N515" s="634">
        <f>SUM(K515:M515)</f>
        <v/>
      </c>
      <c r="O515" s="635">
        <f>SUM(K515:M515)/tc</f>
        <v/>
      </c>
    </row>
    <row r="516" outlineLevel="1" ht="15" customHeight="1">
      <c r="A516" s="278" t="inlineStr">
        <is>
          <t xml:space="preserve">MO </t>
        </is>
      </c>
      <c r="B516" s="282" t="inlineStr">
        <is>
          <t>07-01-04</t>
        </is>
      </c>
      <c r="C516" s="578" t="n"/>
      <c r="D516" s="386" t="inlineStr">
        <is>
          <t xml:space="preserve">AYUDANTE </t>
        </is>
      </c>
      <c r="E516" s="632">
        <f>+_xlfn.XLOOKUP(D516,'BASE DATOS MANO DE OBRA'!A:A,'BASE DATOS MANO DE OBRA'!B:B)</f>
        <v/>
      </c>
      <c r="F516" s="388" t="n">
        <v>67</v>
      </c>
      <c r="G516" s="633">
        <f>+_xlfn.XLOOKUP(D516,'BASE DATOS MANO DE OBRA'!A:A,'BASE DATOS MANO DE OBRA'!C:C)</f>
        <v/>
      </c>
      <c r="H516" s="634" t="n">
        <v>0</v>
      </c>
      <c r="I516" s="634">
        <f>+_xlfn.XLOOKUP(D516,'BASE DATOS MANO DE OBRA'!A:A,'BASE DATOS MANO DE OBRA'!E:E)</f>
        <v/>
      </c>
      <c r="J516" s="634" t="n">
        <v>0</v>
      </c>
      <c r="K516" s="634">
        <f>+F516*H516</f>
        <v/>
      </c>
      <c r="L516" s="634">
        <f>+F516*I516</f>
        <v/>
      </c>
      <c r="M516" s="634">
        <f>+F516*J516</f>
        <v/>
      </c>
      <c r="N516" s="634">
        <f>SUM(K516:M516)</f>
        <v/>
      </c>
      <c r="O516" s="635">
        <f>SUM(K516:M516)/tc</f>
        <v/>
      </c>
    </row>
    <row r="517" outlineLevel="1" ht="15" customHeight="1">
      <c r="A517" s="278" t="inlineStr">
        <is>
          <t xml:space="preserve">MO </t>
        </is>
      </c>
      <c r="B517" s="282" t="inlineStr">
        <is>
          <t>07-01-05</t>
        </is>
      </c>
      <c r="C517" s="578" t="n"/>
      <c r="D517" s="386" t="inlineStr">
        <is>
          <t xml:space="preserve">OPERARIO </t>
        </is>
      </c>
      <c r="E517" s="632">
        <f>+_xlfn.XLOOKUP(D517,'BASE DATOS MANO DE OBRA'!A:A,'BASE DATOS MANO DE OBRA'!B:B)</f>
        <v/>
      </c>
      <c r="F517" s="388" t="n">
        <v>10</v>
      </c>
      <c r="G517" s="633">
        <f>+_xlfn.XLOOKUP(D517,'BASE DATOS MANO DE OBRA'!A:A,'BASE DATOS MANO DE OBRA'!C:C)</f>
        <v/>
      </c>
      <c r="H517" s="634" t="n">
        <v>0</v>
      </c>
      <c r="I517" s="634">
        <f>+_xlfn.XLOOKUP(D517,'BASE DATOS MANO DE OBRA'!A:A,'BASE DATOS MANO DE OBRA'!E:E)</f>
        <v/>
      </c>
      <c r="J517" s="634" t="n">
        <v>0</v>
      </c>
      <c r="K517" s="634">
        <f>+F517*H517</f>
        <v/>
      </c>
      <c r="L517" s="634">
        <f>+F517*I517</f>
        <v/>
      </c>
      <c r="M517" s="634">
        <f>+F517*J517</f>
        <v/>
      </c>
      <c r="N517" s="634">
        <f>SUM(K517:M517)</f>
        <v/>
      </c>
      <c r="O517" s="635">
        <f>SUM(K517:M517)/tc</f>
        <v/>
      </c>
    </row>
    <row r="518" outlineLevel="1" ht="15" customHeight="1">
      <c r="A518" s="278" t="inlineStr">
        <is>
          <t xml:space="preserve">MO </t>
        </is>
      </c>
      <c r="B518" s="282" t="inlineStr">
        <is>
          <t>07-01-05</t>
        </is>
      </c>
      <c r="C518" s="578" t="n"/>
      <c r="D518" s="386" t="inlineStr">
        <is>
          <t xml:space="preserve">AYUDANTE </t>
        </is>
      </c>
      <c r="E518" s="632">
        <f>+_xlfn.XLOOKUP(D518,'BASE DATOS MANO DE OBRA'!A:A,'BASE DATOS MANO DE OBRA'!B:B)</f>
        <v/>
      </c>
      <c r="F518" s="388" t="n">
        <v>10</v>
      </c>
      <c r="G518" s="633">
        <f>+_xlfn.XLOOKUP(D518,'BASE DATOS MANO DE OBRA'!A:A,'BASE DATOS MANO DE OBRA'!C:C)</f>
        <v/>
      </c>
      <c r="H518" s="634" t="n">
        <v>0</v>
      </c>
      <c r="I518" s="634">
        <f>+_xlfn.XLOOKUP(D518,'BASE DATOS MANO DE OBRA'!A:A,'BASE DATOS MANO DE OBRA'!E:E)</f>
        <v/>
      </c>
      <c r="J518" s="634" t="n">
        <v>0</v>
      </c>
      <c r="K518" s="634">
        <f>+F518*H518</f>
        <v/>
      </c>
      <c r="L518" s="634">
        <f>+F518*I518</f>
        <v/>
      </c>
      <c r="M518" s="634">
        <f>+F518*J518</f>
        <v/>
      </c>
      <c r="N518" s="634">
        <f>SUM(K518:M518)</f>
        <v/>
      </c>
      <c r="O518" s="635">
        <f>SUM(K518:M518)/tc</f>
        <v/>
      </c>
    </row>
    <row r="519" outlineLevel="1" ht="15" customHeight="1">
      <c r="A519" s="278" t="inlineStr">
        <is>
          <t xml:space="preserve">MO </t>
        </is>
      </c>
      <c r="B519" s="282" t="inlineStr">
        <is>
          <t>07-01-06</t>
        </is>
      </c>
      <c r="C519" s="578" t="n"/>
      <c r="D519" s="386" t="inlineStr">
        <is>
          <t xml:space="preserve">OPERARIO </t>
        </is>
      </c>
      <c r="E519" s="632">
        <f>+_xlfn.XLOOKUP(D519,'BASE DATOS MANO DE OBRA'!A:A,'BASE DATOS MANO DE OBRA'!B:B)</f>
        <v/>
      </c>
      <c r="F519" s="388" t="n">
        <v>0</v>
      </c>
      <c r="G519" s="633">
        <f>+_xlfn.XLOOKUP(D519,'BASE DATOS MANO DE OBRA'!A:A,'BASE DATOS MANO DE OBRA'!C:C)</f>
        <v/>
      </c>
      <c r="H519" s="634" t="n">
        <v>0</v>
      </c>
      <c r="I519" s="634">
        <f>+_xlfn.XLOOKUP(D519,'BASE DATOS MANO DE OBRA'!A:A,'BASE DATOS MANO DE OBRA'!E:E)</f>
        <v/>
      </c>
      <c r="J519" s="634" t="n">
        <v>0</v>
      </c>
      <c r="K519" s="634">
        <f>+F519*H519</f>
        <v/>
      </c>
      <c r="L519" s="634">
        <f>+F519*I519</f>
        <v/>
      </c>
      <c r="M519" s="634">
        <f>+F519*J519</f>
        <v/>
      </c>
      <c r="N519" s="634">
        <f>SUM(K519:M519)</f>
        <v/>
      </c>
      <c r="O519" s="635">
        <f>SUM(K519:M519)/tc</f>
        <v/>
      </c>
    </row>
    <row r="520" outlineLevel="1" ht="15" customHeight="1">
      <c r="A520" s="278" t="inlineStr">
        <is>
          <t xml:space="preserve">MO </t>
        </is>
      </c>
      <c r="B520" s="282" t="inlineStr">
        <is>
          <t>07-01-06</t>
        </is>
      </c>
      <c r="C520" s="578" t="n"/>
      <c r="D520" s="386" t="inlineStr">
        <is>
          <t xml:space="preserve">AYUDANTE </t>
        </is>
      </c>
      <c r="E520" s="632">
        <f>+_xlfn.XLOOKUP(D520,'BASE DATOS MANO DE OBRA'!A:A,'BASE DATOS MANO DE OBRA'!B:B)</f>
        <v/>
      </c>
      <c r="F520" s="388" t="n">
        <v>0</v>
      </c>
      <c r="G520" s="633">
        <f>+_xlfn.XLOOKUP(D520,'BASE DATOS MANO DE OBRA'!A:A,'BASE DATOS MANO DE OBRA'!C:C)</f>
        <v/>
      </c>
      <c r="H520" s="634" t="n">
        <v>0</v>
      </c>
      <c r="I520" s="634">
        <f>+_xlfn.XLOOKUP(D520,'BASE DATOS MANO DE OBRA'!A:A,'BASE DATOS MANO DE OBRA'!E:E)</f>
        <v/>
      </c>
      <c r="J520" s="634" t="n">
        <v>0</v>
      </c>
      <c r="K520" s="634">
        <f>+F520*H520</f>
        <v/>
      </c>
      <c r="L520" s="634">
        <f>+F520*I520</f>
        <v/>
      </c>
      <c r="M520" s="634">
        <f>+F520*J520</f>
        <v/>
      </c>
      <c r="N520" s="634">
        <f>SUM(K520:M520)</f>
        <v/>
      </c>
      <c r="O520" s="635">
        <f>SUM(K520:M520)/tc</f>
        <v/>
      </c>
    </row>
    <row r="521" ht="15" customHeight="1">
      <c r="A521" s="278" t="n"/>
      <c r="B521" s="282" t="inlineStr">
        <is>
          <t>07-02</t>
        </is>
      </c>
      <c r="C521" s="578" t="n"/>
      <c r="D521" s="307" t="inlineStr">
        <is>
          <t>7.2</t>
        </is>
      </c>
      <c r="E521" s="308" t="inlineStr">
        <is>
          <t xml:space="preserve">EMPASTE </t>
        </is>
      </c>
      <c r="F521" s="309" t="n">
        <v>1</v>
      </c>
      <c r="G521" s="310" t="inlineStr">
        <is>
          <t>gb</t>
        </is>
      </c>
      <c r="H521" s="310" t="n"/>
      <c r="I521" s="310" t="n"/>
      <c r="J521" s="310" t="n"/>
      <c r="K521" s="636">
        <f>SUM(K522:K527)</f>
        <v/>
      </c>
      <c r="L521" s="636">
        <f>SUM(L522:L527)</f>
        <v/>
      </c>
      <c r="M521" s="636">
        <f>SUM(M522:M527)</f>
        <v/>
      </c>
      <c r="N521" s="636">
        <f>SUM(N522:N527)</f>
        <v/>
      </c>
      <c r="O521" s="615">
        <f>SUM(O522:O527)</f>
        <v/>
      </c>
    </row>
    <row r="522" outlineLevel="1" ht="15" customHeight="1">
      <c r="A522" s="278" t="inlineStr">
        <is>
          <t>MAT</t>
        </is>
      </c>
      <c r="B522" s="282" t="n"/>
      <c r="C522" s="578">
        <f>_xlfn.XLOOKUP(D522,'INSUMOS MAT '!B:B,'INSUMOS MAT '!C:C,"ERROR",0)</f>
        <v/>
      </c>
      <c r="D522" s="486" t="inlineStr">
        <is>
          <t>MAT04-0047</t>
        </is>
      </c>
      <c r="E522" s="653">
        <f>+_xlfn.XLOOKUP(D522,'BASE DATOS PRECIOS '!B:B,'BASE DATOS PRECIOS '!C:C)</f>
        <v/>
      </c>
      <c r="F522" s="322" t="n">
        <v>10</v>
      </c>
      <c r="G522" s="654">
        <f>+_xlfn.XLOOKUP(D522,'BASE DATOS PRECIOS '!B:B,'BASE DATOS PRECIOS '!D:D)</f>
        <v/>
      </c>
      <c r="H522" s="655">
        <f>+_xlfn.XLOOKUP(E522,'BASE DATOS PRECIOS '!C:C,'BASE DATOS PRECIOS '!F:F)</f>
        <v/>
      </c>
      <c r="I522" s="654" t="n"/>
      <c r="J522" s="654" t="n"/>
      <c r="K522" s="655">
        <f>+F522*H522</f>
        <v/>
      </c>
      <c r="L522" s="655">
        <f>+F522*I522</f>
        <v/>
      </c>
      <c r="M522" s="655">
        <f>+F522*J522</f>
        <v/>
      </c>
      <c r="N522" s="655">
        <f>SUM(K522:M522)</f>
        <v/>
      </c>
      <c r="O522" s="656">
        <f>SUM(K522:M522)/tc</f>
        <v/>
      </c>
    </row>
    <row r="523" outlineLevel="1" ht="15" customHeight="1">
      <c r="A523" s="278" t="inlineStr">
        <is>
          <t>MAT</t>
        </is>
      </c>
      <c r="B523" s="282" t="n"/>
      <c r="C523" s="578">
        <f>_xlfn.XLOOKUP(D523,'INSUMOS MAT '!B:B,'INSUMOS MAT '!C:C,"ERROR",0)</f>
        <v/>
      </c>
      <c r="D523" s="486" t="inlineStr">
        <is>
          <t>MAT08-0067</t>
        </is>
      </c>
      <c r="E523" s="653">
        <f>+_xlfn.XLOOKUP(D523,'BASE DATOS PRECIOS '!B:B,'BASE DATOS PRECIOS '!C:C)</f>
        <v/>
      </c>
      <c r="F523" s="322" t="n">
        <v>15</v>
      </c>
      <c r="G523" s="654">
        <f>+_xlfn.XLOOKUP(D523,'BASE DATOS PRECIOS '!B:B,'BASE DATOS PRECIOS '!D:D)</f>
        <v/>
      </c>
      <c r="H523" s="620">
        <f>+_xlfn.XLOOKUP(E523,'BASE DATOS PRECIOS '!C:C,'BASE DATOS PRECIOS '!F:F)</f>
        <v/>
      </c>
      <c r="I523" s="654" t="n"/>
      <c r="J523" s="654" t="n"/>
      <c r="K523" s="655">
        <f>+F523*H523</f>
        <v/>
      </c>
      <c r="L523" s="655">
        <f>+F523*I523</f>
        <v/>
      </c>
      <c r="M523" s="655">
        <f>+F523*J523</f>
        <v/>
      </c>
      <c r="N523" s="655">
        <f>SUM(K523:M523)</f>
        <v/>
      </c>
      <c r="O523" s="656">
        <f>SUM(K523:M523)/tc</f>
        <v/>
      </c>
    </row>
    <row r="524" outlineLevel="1">
      <c r="A524" s="278" t="inlineStr">
        <is>
          <t>MAT</t>
        </is>
      </c>
      <c r="B524" s="282" t="n"/>
      <c r="C524" s="578">
        <f>_xlfn.XLOOKUP(D524,'INSUMOS MAT '!B:B,'INSUMOS MAT '!C:C,"ERROR",0)</f>
        <v/>
      </c>
      <c r="D524" s="486" t="inlineStr">
        <is>
          <t>MAT08-0087</t>
        </is>
      </c>
      <c r="E524" s="653">
        <f>+_xlfn.XLOOKUP(D524,'BASE DATOS PRECIOS '!B:B,'BASE DATOS PRECIOS '!C:C)</f>
        <v/>
      </c>
      <c r="F524" s="322" t="n">
        <v>4</v>
      </c>
      <c r="G524" s="654">
        <f>+_xlfn.XLOOKUP(D524,'BASE DATOS PRECIOS '!B:B,'BASE DATOS PRECIOS '!D:D)</f>
        <v/>
      </c>
      <c r="H524" s="655">
        <f>+_xlfn.XLOOKUP(E524,'BASE DATOS PRECIOS '!C:C,'BASE DATOS PRECIOS '!F:F)</f>
        <v/>
      </c>
      <c r="I524" s="654" t="n"/>
      <c r="J524" s="654" t="n"/>
      <c r="K524" s="655">
        <f>+F524*H524</f>
        <v/>
      </c>
      <c r="L524" s="655">
        <f>+F524*I524</f>
        <v/>
      </c>
      <c r="M524" s="655">
        <f>+F524*J524</f>
        <v/>
      </c>
      <c r="N524" s="655">
        <f>SUM(K524:M524)</f>
        <v/>
      </c>
      <c r="O524" s="656">
        <f>SUM(K524:M524)/tc</f>
        <v/>
      </c>
      <c r="P524" s="616" t="n"/>
    </row>
    <row r="525" outlineLevel="1" ht="15" customHeight="1">
      <c r="A525" s="278" t="inlineStr">
        <is>
          <t>MAT</t>
        </is>
      </c>
      <c r="B525" s="282" t="n"/>
      <c r="C525" s="578">
        <f>_xlfn.XLOOKUP(D525,'INSUMOS MAT '!B:B,'INSUMOS MAT '!C:C,"ERROR",0)</f>
        <v/>
      </c>
      <c r="D525" s="486" t="inlineStr">
        <is>
          <t>MAT08-0091</t>
        </is>
      </c>
      <c r="E525" s="653">
        <f>+_xlfn.XLOOKUP(D525,'BASE DATOS PRECIOS '!B:B,'BASE DATOS PRECIOS '!C:C)</f>
        <v/>
      </c>
      <c r="F525" s="322" t="n">
        <v>1</v>
      </c>
      <c r="G525" s="654">
        <f>+_xlfn.XLOOKUP(D525,'BASE DATOS PRECIOS '!B:B,'BASE DATOS PRECIOS '!D:D)</f>
        <v/>
      </c>
      <c r="H525" s="655">
        <f>+_xlfn.XLOOKUP(E525,'BASE DATOS PRECIOS '!C:C,'BASE DATOS PRECIOS '!F:F)</f>
        <v/>
      </c>
      <c r="I525" s="654" t="n"/>
      <c r="J525" s="654" t="n"/>
      <c r="K525" s="655">
        <f>+F525*H525</f>
        <v/>
      </c>
      <c r="L525" s="655">
        <f>+F525*I525</f>
        <v/>
      </c>
      <c r="M525" s="655">
        <f>+F525*J525</f>
        <v/>
      </c>
      <c r="N525" s="655">
        <f>SUM(K525:M525)</f>
        <v/>
      </c>
      <c r="O525" s="656">
        <f>SUM(K525:M525)/tc</f>
        <v/>
      </c>
    </row>
    <row r="526" outlineLevel="1" ht="15" customHeight="1">
      <c r="A526" s="278" t="inlineStr">
        <is>
          <t xml:space="preserve">MO </t>
        </is>
      </c>
      <c r="B526" s="282" t="inlineStr">
        <is>
          <t>07-02-01</t>
        </is>
      </c>
      <c r="C526" s="578" t="n"/>
      <c r="D526" s="386" t="inlineStr">
        <is>
          <t xml:space="preserve">OPERARIO </t>
        </is>
      </c>
      <c r="E526" s="632">
        <f>+_xlfn.XLOOKUP(D526,'BASE DATOS MANO DE OBRA'!A:A,'BASE DATOS MANO DE OBRA'!B:B)</f>
        <v/>
      </c>
      <c r="F526" s="388" t="n">
        <v>35</v>
      </c>
      <c r="G526" s="633">
        <f>+_xlfn.XLOOKUP(D526,'BASE DATOS MANO DE OBRA'!A:A,'BASE DATOS MANO DE OBRA'!C:C)</f>
        <v/>
      </c>
      <c r="H526" s="634" t="n">
        <v>0</v>
      </c>
      <c r="I526" s="634">
        <f>+_xlfn.XLOOKUP(D526,'BASE DATOS MANO DE OBRA'!A:A,'BASE DATOS MANO DE OBRA'!E:E)</f>
        <v/>
      </c>
      <c r="J526" s="634" t="n">
        <v>0</v>
      </c>
      <c r="K526" s="634">
        <f>+F526*H526</f>
        <v/>
      </c>
      <c r="L526" s="634">
        <f>+F526*I526</f>
        <v/>
      </c>
      <c r="M526" s="634">
        <f>+F526*J526</f>
        <v/>
      </c>
      <c r="N526" s="634">
        <f>SUM(K526:M526)</f>
        <v/>
      </c>
      <c r="O526" s="635">
        <f>SUM(K526:M526)/tc</f>
        <v/>
      </c>
    </row>
    <row r="527" outlineLevel="1" ht="15" customHeight="1">
      <c r="A527" s="278" t="inlineStr">
        <is>
          <t xml:space="preserve">MO </t>
        </is>
      </c>
      <c r="B527" s="282" t="inlineStr">
        <is>
          <t>07-02-01</t>
        </is>
      </c>
      <c r="C527" s="578" t="n"/>
      <c r="D527" s="386" t="inlineStr">
        <is>
          <t xml:space="preserve">AYUDANTE </t>
        </is>
      </c>
      <c r="E527" s="632">
        <f>+_xlfn.XLOOKUP(D527,'BASE DATOS MANO DE OBRA'!A:A,'BASE DATOS MANO DE OBRA'!B:B)</f>
        <v/>
      </c>
      <c r="F527" s="388" t="n">
        <v>35</v>
      </c>
      <c r="G527" s="633">
        <f>+_xlfn.XLOOKUP(D527,'BASE DATOS MANO DE OBRA'!A:A,'BASE DATOS MANO DE OBRA'!C:C)</f>
        <v/>
      </c>
      <c r="H527" s="634" t="n">
        <v>0</v>
      </c>
      <c r="I527" s="634">
        <f>+_xlfn.XLOOKUP(D527,'BASE DATOS MANO DE OBRA'!A:A,'BASE DATOS MANO DE OBRA'!E:E)</f>
        <v/>
      </c>
      <c r="J527" s="634" t="n">
        <v>0</v>
      </c>
      <c r="K527" s="634">
        <f>+F527*H527</f>
        <v/>
      </c>
      <c r="L527" s="634">
        <f>+F527*I527</f>
        <v/>
      </c>
      <c r="M527" s="634">
        <f>+F527*J527</f>
        <v/>
      </c>
      <c r="N527" s="634">
        <f>SUM(K527:M527)</f>
        <v/>
      </c>
      <c r="O527" s="635">
        <f>SUM(K527:M527)/tc</f>
        <v/>
      </c>
      <c r="Q527" s="616" t="n"/>
      <c r="S527" s="616" t="n"/>
    </row>
    <row r="528" ht="15" customHeight="1">
      <c r="A528" s="278" t="n"/>
      <c r="B528" s="282" t="inlineStr">
        <is>
          <t>08</t>
        </is>
      </c>
      <c r="C528" s="578" t="n"/>
      <c r="D528" s="372" t="n">
        <v>8</v>
      </c>
      <c r="E528" s="373" t="inlineStr">
        <is>
          <t xml:space="preserve">ENCHAPES </t>
        </is>
      </c>
      <c r="F528" s="374" t="n"/>
      <c r="G528" s="375" t="n"/>
      <c r="H528" s="375" t="n"/>
      <c r="I528" s="375" t="n"/>
      <c r="J528" s="375" t="n"/>
      <c r="K528" s="612">
        <f>K529</f>
        <v/>
      </c>
      <c r="L528" s="612">
        <f>L529</f>
        <v/>
      </c>
      <c r="M528" s="612">
        <f>M529</f>
        <v/>
      </c>
      <c r="N528" s="612">
        <f>N529</f>
        <v/>
      </c>
      <c r="O528" s="613">
        <f>O529</f>
        <v/>
      </c>
      <c r="Q528" s="616" t="n"/>
      <c r="S528" s="616" t="n"/>
    </row>
    <row r="529" ht="15" customHeight="1">
      <c r="A529" s="278" t="n"/>
      <c r="B529" s="282" t="inlineStr">
        <is>
          <t>08-01</t>
        </is>
      </c>
      <c r="C529" s="578" t="n"/>
      <c r="D529" s="307" t="inlineStr">
        <is>
          <t xml:space="preserve">8.1 </t>
        </is>
      </c>
      <c r="E529" s="308" t="inlineStr">
        <is>
          <t>ENCHAPES (INTERNO Y EXTERNO)</t>
        </is>
      </c>
      <c r="F529" s="309" t="n">
        <v>1</v>
      </c>
      <c r="G529" s="310" t="inlineStr">
        <is>
          <t>gb</t>
        </is>
      </c>
      <c r="H529" s="310" t="n"/>
      <c r="I529" s="310" t="n"/>
      <c r="J529" s="310" t="n"/>
      <c r="K529" s="636">
        <f>SUM(K530:K559)</f>
        <v/>
      </c>
      <c r="L529" s="636">
        <f>SUM(L530:L559)</f>
        <v/>
      </c>
      <c r="M529" s="636">
        <f>SUM(M530:M559)</f>
        <v/>
      </c>
      <c r="N529" s="636">
        <f>SUM(N530:N559)</f>
        <v/>
      </c>
      <c r="O529" s="615">
        <f>SUM(O530:O559)</f>
        <v/>
      </c>
    </row>
    <row r="530" outlineLevel="1" ht="15" customHeight="1">
      <c r="A530" s="278" t="inlineStr">
        <is>
          <t>MAT</t>
        </is>
      </c>
      <c r="B530" s="282" t="n"/>
      <c r="C530" s="578">
        <f>_xlfn.XLOOKUP(D530,'INSUMOS MAT '!B:B,'INSUMOS MAT '!C:C,"ERROR",0)</f>
        <v/>
      </c>
      <c r="D530" s="554" t="inlineStr">
        <is>
          <t>MAT17-0106</t>
        </is>
      </c>
      <c r="E530" s="644">
        <f>+_xlfn.XLOOKUP(D530,'BASE DATOS PRECIOS '!B:B,'BASE DATOS PRECIOS '!C:C)</f>
        <v/>
      </c>
      <c r="F530" s="547" t="n">
        <v>51</v>
      </c>
      <c r="G530" s="660">
        <f>+_xlfn.XLOOKUP(D530,'BASE DATOS PRECIOS '!B:B,'BASE DATOS PRECIOS '!D:D)</f>
        <v/>
      </c>
      <c r="H530" s="661">
        <f>+_xlfn.XLOOKUP(E530,'BASE DATOS PRECIOS '!C:C,'BASE DATOS PRECIOS '!F:F)</f>
        <v/>
      </c>
      <c r="I530" s="621" t="n"/>
      <c r="J530" s="621" t="n"/>
      <c r="K530" s="620">
        <f>+F530*H530</f>
        <v/>
      </c>
      <c r="L530" s="620">
        <f>+F530*I530</f>
        <v/>
      </c>
      <c r="M530" s="620">
        <f>+F530*J530</f>
        <v/>
      </c>
      <c r="N530" s="620">
        <f>SUM(K530:M530)</f>
        <v/>
      </c>
      <c r="O530" s="622">
        <f>SUM(K530:M530)/tc</f>
        <v/>
      </c>
    </row>
    <row r="531" outlineLevel="1" ht="15.6" customHeight="1">
      <c r="A531" s="278" t="inlineStr">
        <is>
          <t>MAT</t>
        </is>
      </c>
      <c r="B531" s="282" t="n"/>
      <c r="C531" s="578">
        <f>_xlfn.XLOOKUP(D531,'INSUMOS MAT '!B:B,'INSUMOS MAT '!C:C,"ERROR",0)</f>
        <v/>
      </c>
      <c r="D531" s="545" t="inlineStr">
        <is>
          <t>MAT17-0036</t>
        </is>
      </c>
      <c r="E531" s="644">
        <f>+_xlfn.XLOOKUP(D531,'BASE DATOS PRECIOS '!B:B,'BASE DATOS PRECIOS '!C:C)</f>
        <v/>
      </c>
      <c r="F531" s="547" t="n">
        <v>20</v>
      </c>
      <c r="G531" s="660">
        <f>+_xlfn.XLOOKUP(D531,'BASE DATOS PRECIOS '!B:B,'BASE DATOS PRECIOS '!D:D)</f>
        <v/>
      </c>
      <c r="H531" s="661">
        <f>+_xlfn.XLOOKUP(E531,'BASE DATOS PRECIOS '!C:C,'BASE DATOS PRECIOS '!F:F)</f>
        <v/>
      </c>
      <c r="I531" s="621" t="n"/>
      <c r="J531" s="621" t="n"/>
      <c r="K531" s="620">
        <f>+F531*H531</f>
        <v/>
      </c>
      <c r="L531" s="620">
        <f>+F531*I531</f>
        <v/>
      </c>
      <c r="M531" s="620">
        <f>+F531*J531</f>
        <v/>
      </c>
      <c r="N531" s="620">
        <f>SUM(K531:M531)</f>
        <v/>
      </c>
      <c r="O531" s="622">
        <f>SUM(K531:M531)/tc</f>
        <v/>
      </c>
      <c r="Q531" s="616" t="n"/>
      <c r="R531" s="616" t="n"/>
      <c r="S531" s="616" t="n"/>
      <c r="T531" s="616" t="n"/>
    </row>
    <row r="532" outlineLevel="1" ht="15" customHeight="1">
      <c r="A532" s="278" t="inlineStr">
        <is>
          <t>MAT</t>
        </is>
      </c>
      <c r="B532" s="282" t="n"/>
      <c r="C532" s="578">
        <f>_xlfn.XLOOKUP(D532,'INSUMOS MAT '!B:B,'INSUMOS MAT '!C:C,"ERROR",0)</f>
        <v/>
      </c>
      <c r="D532" s="305" t="inlineStr">
        <is>
          <t>MAT04-0016</t>
        </is>
      </c>
      <c r="E532" s="653">
        <f>+_xlfn.XLOOKUP(D532,'BASE DATOS PRECIOS '!B:B,'BASE DATOS PRECIOS '!C:C)</f>
        <v/>
      </c>
      <c r="F532" s="301" t="n">
        <v>32</v>
      </c>
      <c r="G532" s="654">
        <f>+_xlfn.XLOOKUP(D532,'BASE DATOS PRECIOS '!B:B,'BASE DATOS PRECIOS '!D:D)</f>
        <v/>
      </c>
      <c r="H532" s="620">
        <f>+_xlfn.XLOOKUP(E532,'BASE DATOS PRECIOS '!C:C,'BASE DATOS PRECIOS '!F:F)</f>
        <v/>
      </c>
      <c r="I532" s="654" t="n"/>
      <c r="J532" s="654" t="n"/>
      <c r="K532" s="655">
        <f>+F532*H532</f>
        <v/>
      </c>
      <c r="L532" s="655">
        <f>+F532*I532</f>
        <v/>
      </c>
      <c r="M532" s="655">
        <f>+F532*J532</f>
        <v/>
      </c>
      <c r="N532" s="655">
        <f>SUM(K532:M532)</f>
        <v/>
      </c>
      <c r="O532" s="656">
        <f>SUM(K532:M532)/tc</f>
        <v/>
      </c>
    </row>
    <row r="533" outlineLevel="1" ht="15" customHeight="1">
      <c r="A533" s="278" t="inlineStr">
        <is>
          <t>MAT</t>
        </is>
      </c>
      <c r="B533" s="282" t="n"/>
      <c r="C533" s="578">
        <f>_xlfn.XLOOKUP(D533,'INSUMOS MAT '!B:B,'INSUMOS MAT '!C:C,"ERROR",0)</f>
        <v/>
      </c>
      <c r="D533" s="305" t="inlineStr">
        <is>
          <t>MAT04-0012</t>
        </is>
      </c>
      <c r="E533" s="653">
        <f>+_xlfn.XLOOKUP(D533,'BASE DATOS PRECIOS '!B:B,'BASE DATOS PRECIOS '!C:C)</f>
        <v/>
      </c>
      <c r="F533" s="301" t="n">
        <v>8</v>
      </c>
      <c r="G533" s="654">
        <f>+_xlfn.XLOOKUP(D533,'BASE DATOS PRECIOS '!B:B,'BASE DATOS PRECIOS '!D:D)</f>
        <v/>
      </c>
      <c r="H533" s="620">
        <f>+_xlfn.XLOOKUP(E533,'BASE DATOS PRECIOS '!C:C,'BASE DATOS PRECIOS '!F:F)</f>
        <v/>
      </c>
      <c r="I533" s="654" t="n"/>
      <c r="J533" s="654" t="n"/>
      <c r="K533" s="655">
        <f>+F533*H533</f>
        <v/>
      </c>
      <c r="L533" s="655">
        <f>+F533*I533</f>
        <v/>
      </c>
      <c r="M533" s="655">
        <f>+F533*J533</f>
        <v/>
      </c>
      <c r="N533" s="655">
        <f>SUM(K533:M533)</f>
        <v/>
      </c>
      <c r="O533" s="656">
        <f>SUM(K533:M533)/tc</f>
        <v/>
      </c>
    </row>
    <row r="534" outlineLevel="1" ht="15" customHeight="1">
      <c r="A534" s="278" t="inlineStr">
        <is>
          <t>MAT</t>
        </is>
      </c>
      <c r="B534" s="282" t="n"/>
      <c r="C534" s="578">
        <f>_xlfn.XLOOKUP(D534,'INSUMOS MAT '!B:B,'INSUMOS MAT '!C:C,"ERROR",0)</f>
        <v/>
      </c>
      <c r="D534" s="305" t="inlineStr">
        <is>
          <t>MAT08-0216</t>
        </is>
      </c>
      <c r="E534" s="653">
        <f>+_xlfn.XLOOKUP(D534,'BASE DATOS PRECIOS '!B:B,'BASE DATOS PRECIOS '!C:C)</f>
        <v/>
      </c>
      <c r="F534" s="301" t="n">
        <v>8</v>
      </c>
      <c r="G534" s="654">
        <f>+_xlfn.XLOOKUP(D534,'BASE DATOS PRECIOS '!B:B,'BASE DATOS PRECIOS '!D:D)</f>
        <v/>
      </c>
      <c r="H534" s="620">
        <f>+_xlfn.XLOOKUP(E534,'BASE DATOS PRECIOS '!C:C,'BASE DATOS PRECIOS '!F:F)</f>
        <v/>
      </c>
      <c r="I534" s="654" t="n"/>
      <c r="J534" s="654" t="n"/>
      <c r="K534" s="655">
        <f>+F534*H534</f>
        <v/>
      </c>
      <c r="L534" s="655">
        <f>+F534*I534</f>
        <v/>
      </c>
      <c r="M534" s="655">
        <f>+F534*J534</f>
        <v/>
      </c>
      <c r="N534" s="655">
        <f>SUM(K534:M534)</f>
        <v/>
      </c>
      <c r="O534" s="656">
        <f>SUM(K534:M534)/tc</f>
        <v/>
      </c>
      <c r="Q534" s="662" t="n"/>
      <c r="R534" s="662" t="n"/>
      <c r="S534" s="662" t="n"/>
    </row>
    <row r="535" outlineLevel="1" ht="15" customHeight="1">
      <c r="A535" s="278" t="inlineStr">
        <is>
          <t>MAT</t>
        </is>
      </c>
      <c r="B535" s="282" t="n"/>
      <c r="C535" s="578">
        <f>_xlfn.XLOOKUP(D535,'INSUMOS MAT '!B:B,'INSUMOS MAT '!C:C,"ERROR",0)</f>
        <v/>
      </c>
      <c r="D535" s="305" t="inlineStr">
        <is>
          <t>MAT08-0130</t>
        </is>
      </c>
      <c r="E535" s="618">
        <f>+_xlfn.XLOOKUP(D535,'BASE DATOS PRECIOS '!B:B,'BASE DATOS PRECIOS '!C:C)</f>
        <v/>
      </c>
      <c r="F535" s="301" t="n">
        <v>2</v>
      </c>
      <c r="G535" s="621">
        <f>+_xlfn.XLOOKUP(D535,'BASE DATOS PRECIOS '!B:B,'BASE DATOS PRECIOS '!D:D)</f>
        <v/>
      </c>
      <c r="H535" s="620">
        <f>+_xlfn.XLOOKUP(E535,'BASE DATOS PRECIOS '!C:C,'BASE DATOS PRECIOS '!F:F)</f>
        <v/>
      </c>
      <c r="I535" s="621" t="n"/>
      <c r="J535" s="621" t="n"/>
      <c r="K535" s="620">
        <f>+F535*H535</f>
        <v/>
      </c>
      <c r="L535" s="620">
        <f>+F535*I535</f>
        <v/>
      </c>
      <c r="M535" s="620">
        <f>+F535*J535</f>
        <v/>
      </c>
      <c r="N535" s="620">
        <f>SUM(K535:M535)</f>
        <v/>
      </c>
      <c r="O535" s="622">
        <f>SUM(K535:M535)/tc</f>
        <v/>
      </c>
    </row>
    <row r="536" outlineLevel="1" ht="15" customHeight="1">
      <c r="A536" s="278" t="inlineStr">
        <is>
          <t>MAT</t>
        </is>
      </c>
      <c r="B536" s="282" t="n"/>
      <c r="C536" s="578">
        <f>_xlfn.XLOOKUP(D536,'INSUMOS MAT '!B:B,'INSUMOS MAT '!C:C,"ERROR",0)</f>
        <v/>
      </c>
      <c r="D536" s="305" t="inlineStr">
        <is>
          <t>MAT08-0179</t>
        </is>
      </c>
      <c r="E536" s="618">
        <f>+_xlfn.XLOOKUP(D536,'BASE DATOS PRECIOS '!B:B,'BASE DATOS PRECIOS '!C:C)</f>
        <v/>
      </c>
      <c r="F536" s="301" t="n">
        <v>1</v>
      </c>
      <c r="G536" s="621">
        <f>+_xlfn.XLOOKUP(D536,'BASE DATOS PRECIOS '!B:B,'BASE DATOS PRECIOS '!D:D)</f>
        <v/>
      </c>
      <c r="H536" s="620">
        <f>+_xlfn.XLOOKUP(E536,'BASE DATOS PRECIOS '!C:C,'BASE DATOS PRECIOS '!F:F)</f>
        <v/>
      </c>
      <c r="I536" s="621" t="n"/>
      <c r="J536" s="621" t="n"/>
      <c r="K536" s="620">
        <f>+F536*H536</f>
        <v/>
      </c>
      <c r="L536" s="620">
        <f>+F536*I536</f>
        <v/>
      </c>
      <c r="M536" s="620">
        <f>+F536*J536</f>
        <v/>
      </c>
      <c r="N536" s="620">
        <f>SUM(K536:M536)</f>
        <v/>
      </c>
      <c r="O536" s="622">
        <f>SUM(K536:M536)/tc</f>
        <v/>
      </c>
    </row>
    <row r="537" outlineLevel="1" ht="15" customHeight="1">
      <c r="A537" s="278" t="inlineStr">
        <is>
          <t>MAT</t>
        </is>
      </c>
      <c r="B537" s="282" t="n"/>
      <c r="C537" s="578">
        <f>_xlfn.XLOOKUP(D537,'INSUMOS MAT '!B:B,'INSUMOS MAT '!C:C,"ERROR",0)</f>
        <v/>
      </c>
      <c r="D537" s="305" t="inlineStr">
        <is>
          <t>MAT08-0039</t>
        </is>
      </c>
      <c r="E537" s="653">
        <f>+_xlfn.XLOOKUP(D537,'BASE DATOS PRECIOS '!B:B,'BASE DATOS PRECIOS '!C:C)</f>
        <v/>
      </c>
      <c r="F537" s="301" t="n">
        <v>1</v>
      </c>
      <c r="G537" s="654">
        <f>+_xlfn.XLOOKUP(D537,'BASE DATOS PRECIOS '!B:B,'BASE DATOS PRECIOS '!D:D)</f>
        <v/>
      </c>
      <c r="H537" s="620">
        <f>+_xlfn.XLOOKUP(E537,'BASE DATOS PRECIOS '!C:C,'BASE DATOS PRECIOS '!F:F)</f>
        <v/>
      </c>
      <c r="I537" s="654" t="n"/>
      <c r="J537" s="654" t="n"/>
      <c r="K537" s="655">
        <f>+F537*H537</f>
        <v/>
      </c>
      <c r="L537" s="655">
        <f>+F537*I537</f>
        <v/>
      </c>
      <c r="M537" s="655">
        <f>+F537*J537</f>
        <v/>
      </c>
      <c r="N537" s="655">
        <f>SUM(K537:M537)</f>
        <v/>
      </c>
      <c r="O537" s="656">
        <f>SUM(K537:M537)/tc</f>
        <v/>
      </c>
    </row>
    <row r="538" outlineLevel="1" ht="15" customHeight="1">
      <c r="A538" s="278" t="inlineStr">
        <is>
          <t>MAT</t>
        </is>
      </c>
      <c r="B538" s="282" t="n"/>
      <c r="C538" s="580" t="n"/>
      <c r="D538" s="305" t="inlineStr">
        <is>
          <t xml:space="preserve">TABLATECK 1 </t>
        </is>
      </c>
      <c r="E538" s="623">
        <f>+_xlfn.XLOOKUP(D538,'BASE DATOS PRECIOS '!B:B,'BASE DATOS PRECIOS '!C:C)</f>
        <v/>
      </c>
      <c r="F538" s="465" t="n">
        <v>2</v>
      </c>
      <c r="G538" s="621">
        <f>+_xlfn.XLOOKUP(D538,'BASE DATOS PRECIOS '!B:B,'BASE DATOS PRECIOS '!D:D)</f>
        <v/>
      </c>
      <c r="H538" s="620">
        <f>+_xlfn.XLOOKUP(E538,'BASE DATOS PRECIOS '!C:C,'BASE DATOS PRECIOS '!F:F)</f>
        <v/>
      </c>
      <c r="I538" s="621" t="n"/>
      <c r="J538" s="621" t="n"/>
      <c r="K538" s="620">
        <f>+F538*H538</f>
        <v/>
      </c>
      <c r="L538" s="620">
        <f>+F538*I538</f>
        <v/>
      </c>
      <c r="M538" s="620">
        <f>+F538*J538</f>
        <v/>
      </c>
      <c r="N538" s="620">
        <f>SUM(K538:M538)</f>
        <v/>
      </c>
      <c r="O538" s="622">
        <f>SUM(K538:M538)/tc</f>
        <v/>
      </c>
    </row>
    <row r="539" outlineLevel="1" ht="15" customHeight="1">
      <c r="A539" s="278" t="inlineStr">
        <is>
          <t>MAT</t>
        </is>
      </c>
      <c r="B539" s="282" t="n"/>
      <c r="C539" s="580" t="n"/>
      <c r="D539" s="305" t="inlineStr">
        <is>
          <t>TABLATECK 2</t>
        </is>
      </c>
      <c r="E539" s="623">
        <f>+_xlfn.XLOOKUP(D539,'BASE DATOS PRECIOS '!B:B,'BASE DATOS PRECIOS '!C:C)</f>
        <v/>
      </c>
      <c r="F539" s="465" t="n">
        <v>9</v>
      </c>
      <c r="G539" s="621">
        <f>+_xlfn.XLOOKUP(D539,'BASE DATOS PRECIOS '!B:B,'BASE DATOS PRECIOS '!D:D)</f>
        <v/>
      </c>
      <c r="H539" s="620">
        <f>+_xlfn.XLOOKUP(E539,'BASE DATOS PRECIOS '!C:C,'BASE DATOS PRECIOS '!F:F)</f>
        <v/>
      </c>
      <c r="I539" s="621" t="n"/>
      <c r="J539" s="621" t="n"/>
      <c r="K539" s="620">
        <f>+F539*H539</f>
        <v/>
      </c>
      <c r="L539" s="620">
        <f>+F539*I539</f>
        <v/>
      </c>
      <c r="M539" s="620">
        <f>+F539*J539</f>
        <v/>
      </c>
      <c r="N539" s="620">
        <f>SUM(K539:M539)</f>
        <v/>
      </c>
      <c r="O539" s="622">
        <f>SUM(K539:M539)/tc</f>
        <v/>
      </c>
    </row>
    <row r="540" outlineLevel="1" ht="15" customHeight="1">
      <c r="A540" s="278" t="inlineStr">
        <is>
          <t>MAT</t>
        </is>
      </c>
      <c r="B540" s="282" t="n"/>
      <c r="C540" s="580" t="n"/>
      <c r="D540" s="305" t="inlineStr">
        <is>
          <t>TABLATECK 3</t>
        </is>
      </c>
      <c r="E540" s="653">
        <f>+_xlfn.XLOOKUP(D540,'BASE DATOS PRECIOS '!B:B,'BASE DATOS PRECIOS '!C:C)</f>
        <v/>
      </c>
      <c r="F540" s="465" t="n">
        <v>45</v>
      </c>
      <c r="G540" s="654">
        <f>+_xlfn.XLOOKUP(D540,'BASE DATOS PRECIOS '!B:B,'BASE DATOS PRECIOS '!D:D)</f>
        <v/>
      </c>
      <c r="H540" s="620">
        <f>+_xlfn.XLOOKUP(E540,'BASE DATOS PRECIOS '!C:C,'BASE DATOS PRECIOS '!F:F)</f>
        <v/>
      </c>
      <c r="I540" s="654" t="n"/>
      <c r="J540" s="654" t="n"/>
      <c r="K540" s="655">
        <f>+F540*H540</f>
        <v/>
      </c>
      <c r="L540" s="655">
        <f>+F540*I540</f>
        <v/>
      </c>
      <c r="M540" s="655">
        <f>+F540*J540</f>
        <v/>
      </c>
      <c r="N540" s="655">
        <f>SUM(K540:M540)</f>
        <v/>
      </c>
      <c r="O540" s="656">
        <f>SUM(K540:M540)/tc</f>
        <v/>
      </c>
    </row>
    <row r="541" outlineLevel="1" ht="15" customHeight="1">
      <c r="A541" s="278" t="inlineStr">
        <is>
          <t>MAT</t>
        </is>
      </c>
      <c r="B541" s="282" t="n"/>
      <c r="C541" s="578">
        <f>_xlfn.XLOOKUP(D541,'INSUMOS MAT '!B:B,'INSUMOS MAT '!C:C,"ERROR",0)</f>
        <v/>
      </c>
      <c r="D541" s="305" t="inlineStr">
        <is>
          <t>MAT17-0066</t>
        </is>
      </c>
      <c r="E541" s="653">
        <f>+_xlfn.XLOOKUP(D541,'BASE DATOS PRECIOS '!B:B,'BASE DATOS PRECIOS '!C:C)</f>
        <v/>
      </c>
      <c r="F541" s="465" t="n">
        <v>4</v>
      </c>
      <c r="G541" s="654">
        <f>+_xlfn.XLOOKUP(D541,'BASE DATOS PRECIOS '!B:B,'BASE DATOS PRECIOS '!D:D)</f>
        <v/>
      </c>
      <c r="H541" s="620">
        <f>+_xlfn.XLOOKUP(E541,'BASE DATOS PRECIOS '!C:C,'BASE DATOS PRECIOS '!F:F)</f>
        <v/>
      </c>
      <c r="I541" s="654" t="n"/>
      <c r="J541" s="654" t="n"/>
      <c r="K541" s="655">
        <f>+F541*H541</f>
        <v/>
      </c>
      <c r="L541" s="655">
        <f>+F541*I541</f>
        <v/>
      </c>
      <c r="M541" s="655">
        <f>+F541*J541</f>
        <v/>
      </c>
      <c r="N541" s="655">
        <f>SUM(K541:M541)</f>
        <v/>
      </c>
      <c r="O541" s="656">
        <f>SUM(K541:M541)/tc</f>
        <v/>
      </c>
    </row>
    <row r="542" outlineLevel="1" ht="15" customHeight="1">
      <c r="A542" s="278" t="inlineStr">
        <is>
          <t>MAT</t>
        </is>
      </c>
      <c r="B542" s="282" t="n"/>
      <c r="C542" s="580" t="n"/>
      <c r="D542" s="305" t="inlineStr">
        <is>
          <t>TABLATECK 4</t>
        </is>
      </c>
      <c r="E542" s="653">
        <f>+_xlfn.XLOOKUP(D542,'BASE DATOS PRECIOS '!B:B,'BASE DATOS PRECIOS '!C:C)</f>
        <v/>
      </c>
      <c r="F542" s="465" t="n">
        <v>230</v>
      </c>
      <c r="G542" s="654">
        <f>+_xlfn.XLOOKUP(D542,'BASE DATOS PRECIOS '!B:B,'BASE DATOS PRECIOS '!D:D)</f>
        <v/>
      </c>
      <c r="H542" s="620">
        <f>+_xlfn.XLOOKUP(E542,'BASE DATOS PRECIOS '!C:C,'BASE DATOS PRECIOS '!F:F)</f>
        <v/>
      </c>
      <c r="I542" s="654" t="n"/>
      <c r="J542" s="654" t="n"/>
      <c r="K542" s="655">
        <f>+F542*H542</f>
        <v/>
      </c>
      <c r="L542" s="655">
        <f>+F542*I542</f>
        <v/>
      </c>
      <c r="M542" s="655">
        <f>+F542*J542</f>
        <v/>
      </c>
      <c r="N542" s="655">
        <f>SUM(K542:M542)</f>
        <v/>
      </c>
      <c r="O542" s="656">
        <f>SUM(K542:M542)/tc</f>
        <v/>
      </c>
    </row>
    <row r="543" outlineLevel="1" ht="15" customHeight="1">
      <c r="A543" s="278" t="inlineStr">
        <is>
          <t>MAT</t>
        </is>
      </c>
      <c r="B543" s="282" t="n"/>
      <c r="C543" s="580" t="n"/>
      <c r="D543" s="305" t="inlineStr">
        <is>
          <t>TABLATECK 5</t>
        </is>
      </c>
      <c r="E543" s="618">
        <f>+_xlfn.XLOOKUP(D543,'BASE DATOS PRECIOS '!B:B,'BASE DATOS PRECIOS '!C:C)</f>
        <v/>
      </c>
      <c r="F543" s="465" t="n">
        <v>1</v>
      </c>
      <c r="G543" s="621">
        <f>+_xlfn.XLOOKUP(D543,'BASE DATOS PRECIOS '!B:B,'BASE DATOS PRECIOS '!D:D)</f>
        <v/>
      </c>
      <c r="H543" s="620">
        <f>+_xlfn.XLOOKUP(E543,'BASE DATOS PRECIOS '!C:C,'BASE DATOS PRECIOS '!F:F)</f>
        <v/>
      </c>
      <c r="I543" s="621" t="n"/>
      <c r="J543" s="621" t="n"/>
      <c r="K543" s="620">
        <f>+F543*H543</f>
        <v/>
      </c>
      <c r="L543" s="620">
        <f>+F543*I543</f>
        <v/>
      </c>
      <c r="M543" s="620">
        <f>+F543*J543</f>
        <v/>
      </c>
      <c r="N543" s="620">
        <f>SUM(K543:M543)</f>
        <v/>
      </c>
      <c r="O543" s="622">
        <f>SUM(K543:M543)/tc</f>
        <v/>
      </c>
    </row>
    <row r="544" outlineLevel="1" ht="15" customHeight="1">
      <c r="A544" s="278" t="inlineStr">
        <is>
          <t>MAT</t>
        </is>
      </c>
      <c r="B544" s="282" t="n"/>
      <c r="C544" s="580" t="n"/>
      <c r="D544" s="305" t="inlineStr">
        <is>
          <t>TABLATECK 6</t>
        </is>
      </c>
      <c r="E544" s="618">
        <f>+_xlfn.XLOOKUP(D544,'BASE DATOS PRECIOS '!B:B,'BASE DATOS PRECIOS '!C:C)</f>
        <v/>
      </c>
      <c r="F544" s="465" t="n">
        <v>0.25</v>
      </c>
      <c r="G544" s="621">
        <f>+_xlfn.XLOOKUP(D544,'BASE DATOS PRECIOS '!B:B,'BASE DATOS PRECIOS '!D:D)</f>
        <v/>
      </c>
      <c r="H544" s="620">
        <f>+_xlfn.XLOOKUP(E544,'BASE DATOS PRECIOS '!C:C,'BASE DATOS PRECIOS '!F:F)</f>
        <v/>
      </c>
      <c r="I544" s="621" t="n"/>
      <c r="J544" s="621" t="n"/>
      <c r="K544" s="620">
        <f>+F544*H544</f>
        <v/>
      </c>
      <c r="L544" s="620">
        <f>+F544*I544</f>
        <v/>
      </c>
      <c r="M544" s="620">
        <f>+F544*J544</f>
        <v/>
      </c>
      <c r="N544" s="620">
        <f>SUM(K544:M544)</f>
        <v/>
      </c>
      <c r="O544" s="622">
        <f>SUM(K544:M544)/tc</f>
        <v/>
      </c>
    </row>
    <row r="545" outlineLevel="1" ht="15" customHeight="1">
      <c r="A545" s="278" t="inlineStr">
        <is>
          <t>MAT</t>
        </is>
      </c>
      <c r="B545" s="282" t="n"/>
      <c r="C545" s="580" t="n"/>
      <c r="D545" s="305" t="inlineStr">
        <is>
          <t>MAT21-0015</t>
        </is>
      </c>
      <c r="E545" s="653">
        <f>+_xlfn.XLOOKUP(D545,'BASE DATOS PRECIOS '!B:B,'BASE DATOS PRECIOS '!C:C)</f>
        <v/>
      </c>
      <c r="F545" s="465" t="n">
        <v>1</v>
      </c>
      <c r="G545" s="654">
        <f>+_xlfn.XLOOKUP(D545,'BASE DATOS PRECIOS '!B:B,'BASE DATOS PRECIOS '!D:D)</f>
        <v/>
      </c>
      <c r="H545" s="620">
        <f>+_xlfn.XLOOKUP(E545,'BASE DATOS PRECIOS '!C:C,'BASE DATOS PRECIOS '!F:F)</f>
        <v/>
      </c>
      <c r="I545" s="654" t="n"/>
      <c r="J545" s="654" t="n"/>
      <c r="K545" s="655">
        <f>+F545*H545</f>
        <v/>
      </c>
      <c r="L545" s="655">
        <f>+F545*I545</f>
        <v/>
      </c>
      <c r="M545" s="655">
        <f>+F545*J545</f>
        <v/>
      </c>
      <c r="N545" s="655">
        <f>SUM(K545:M545)</f>
        <v/>
      </c>
      <c r="O545" s="656">
        <f>SUM(K545:M545)/tc</f>
        <v/>
      </c>
    </row>
    <row r="546" outlineLevel="1" ht="15" customHeight="1">
      <c r="A546" s="278" t="inlineStr">
        <is>
          <t>MAT</t>
        </is>
      </c>
      <c r="B546" s="282" t="n"/>
      <c r="C546" s="580" t="n"/>
      <c r="D546" s="305" t="inlineStr">
        <is>
          <t>TABLATECK 7</t>
        </is>
      </c>
      <c r="E546" s="623">
        <f>+_xlfn.XLOOKUP(D546,'BASE DATOS PRECIOS '!B:B,'BASE DATOS PRECIOS '!C:C)</f>
        <v/>
      </c>
      <c r="F546" s="465" t="n">
        <v>10</v>
      </c>
      <c r="G546" s="621">
        <f>+_xlfn.XLOOKUP(D546,'BASE DATOS PRECIOS '!B:B,'BASE DATOS PRECIOS '!D:D)</f>
        <v/>
      </c>
      <c r="H546" s="620">
        <f>+_xlfn.XLOOKUP(E546,'BASE DATOS PRECIOS '!C:C,'BASE DATOS PRECIOS '!F:F)</f>
        <v/>
      </c>
      <c r="I546" s="621" t="n"/>
      <c r="J546" s="621" t="n"/>
      <c r="K546" s="620">
        <f>+F546*H546</f>
        <v/>
      </c>
      <c r="L546" s="620">
        <f>+F546*I546</f>
        <v/>
      </c>
      <c r="M546" s="620">
        <f>+F546*J546</f>
        <v/>
      </c>
      <c r="N546" s="620">
        <f>SUM(K546:M546)</f>
        <v/>
      </c>
      <c r="O546" s="622">
        <f>SUM(K546:M546)/tc</f>
        <v/>
      </c>
    </row>
    <row r="547" outlineLevel="1" ht="15" customHeight="1">
      <c r="A547" s="278" t="inlineStr">
        <is>
          <t>MAT</t>
        </is>
      </c>
      <c r="B547" s="282" t="n"/>
      <c r="C547" s="580" t="n"/>
      <c r="D547" s="305" t="inlineStr">
        <is>
          <t>TABLATECK 8</t>
        </is>
      </c>
      <c r="E547" s="623">
        <f>+_xlfn.XLOOKUP(D547,'BASE DATOS PRECIOS '!B:B,'BASE DATOS PRECIOS '!C:C)</f>
        <v/>
      </c>
      <c r="F547" s="465" t="n"/>
      <c r="G547" s="621">
        <f>+_xlfn.XLOOKUP(D547,'BASE DATOS PRECIOS '!B:B,'BASE DATOS PRECIOS '!D:D)</f>
        <v/>
      </c>
      <c r="H547" s="620">
        <f>+_xlfn.XLOOKUP(E547,'BASE DATOS PRECIOS '!C:C,'BASE DATOS PRECIOS '!F:F)</f>
        <v/>
      </c>
      <c r="I547" s="621" t="n"/>
      <c r="J547" s="621" t="n"/>
      <c r="K547" s="620">
        <f>+F547*H547</f>
        <v/>
      </c>
      <c r="L547" s="620">
        <f>+F547*I547</f>
        <v/>
      </c>
      <c r="M547" s="620">
        <f>+F547*J547</f>
        <v/>
      </c>
      <c r="N547" s="620">
        <f>SUM(K547:M547)</f>
        <v/>
      </c>
      <c r="O547" s="622">
        <f>SUM(K547:M547)/tc</f>
        <v/>
      </c>
    </row>
    <row r="548" outlineLevel="1" ht="15" customHeight="1">
      <c r="A548" s="278" t="inlineStr">
        <is>
          <t xml:space="preserve">MO </t>
        </is>
      </c>
      <c r="B548" s="282" t="inlineStr">
        <is>
          <t>08-01-01</t>
        </is>
      </c>
      <c r="C548" s="578" t="n"/>
      <c r="D548" s="386" t="inlineStr">
        <is>
          <t xml:space="preserve">OPERARIO </t>
        </is>
      </c>
      <c r="E548" s="632">
        <f>+_xlfn.XLOOKUP(D548,'BASE DATOS MANO DE OBRA'!A:A,'BASE DATOS MANO DE OBRA'!B:B)</f>
        <v/>
      </c>
      <c r="F548" s="388" t="n">
        <v>30</v>
      </c>
      <c r="G548" s="633">
        <f>+_xlfn.XLOOKUP(D548,'BASE DATOS MANO DE OBRA'!A:A,'BASE DATOS MANO DE OBRA'!C:C)</f>
        <v/>
      </c>
      <c r="H548" s="634" t="n">
        <v>0</v>
      </c>
      <c r="I548" s="634">
        <f>+_xlfn.XLOOKUP(D548,'BASE DATOS MANO DE OBRA'!A:A,'BASE DATOS MANO DE OBRA'!E:E)</f>
        <v/>
      </c>
      <c r="J548" s="634" t="n">
        <v>0</v>
      </c>
      <c r="K548" s="634">
        <f>+F548*H548</f>
        <v/>
      </c>
      <c r="L548" s="634">
        <f>+F548*I548</f>
        <v/>
      </c>
      <c r="M548" s="634">
        <f>+F548*J548</f>
        <v/>
      </c>
      <c r="N548" s="634">
        <f>SUM(K548:M548)</f>
        <v/>
      </c>
      <c r="O548" s="635">
        <f>SUM(K548:M548)/tc</f>
        <v/>
      </c>
    </row>
    <row r="549" outlineLevel="1" ht="15" customHeight="1">
      <c r="A549" s="278" t="inlineStr">
        <is>
          <t xml:space="preserve">MO </t>
        </is>
      </c>
      <c r="B549" s="282" t="inlineStr">
        <is>
          <t>08-01-01</t>
        </is>
      </c>
      <c r="C549" s="578" t="n"/>
      <c r="D549" s="386" t="inlineStr">
        <is>
          <t xml:space="preserve">AYUDANTE </t>
        </is>
      </c>
      <c r="E549" s="632">
        <f>+_xlfn.XLOOKUP(D549,'BASE DATOS MANO DE OBRA'!A:A,'BASE DATOS MANO DE OBRA'!B:B)</f>
        <v/>
      </c>
      <c r="F549" s="388" t="n">
        <v>30</v>
      </c>
      <c r="G549" s="633">
        <f>+_xlfn.XLOOKUP(D549,'BASE DATOS MANO DE OBRA'!A:A,'BASE DATOS MANO DE OBRA'!C:C)</f>
        <v/>
      </c>
      <c r="H549" s="634" t="n">
        <v>0</v>
      </c>
      <c r="I549" s="634">
        <f>+_xlfn.XLOOKUP(D549,'BASE DATOS MANO DE OBRA'!A:A,'BASE DATOS MANO DE OBRA'!E:E)</f>
        <v/>
      </c>
      <c r="J549" s="634" t="n">
        <v>0</v>
      </c>
      <c r="K549" s="634">
        <f>+F549*H549</f>
        <v/>
      </c>
      <c r="L549" s="634">
        <f>+F549*I549</f>
        <v/>
      </c>
      <c r="M549" s="634">
        <f>+F549*J549</f>
        <v/>
      </c>
      <c r="N549" s="634">
        <f>SUM(K549:M549)</f>
        <v/>
      </c>
      <c r="O549" s="635">
        <f>SUM(K549:M549)/tc</f>
        <v/>
      </c>
    </row>
    <row r="550" outlineLevel="1" ht="15" customHeight="1">
      <c r="A550" s="278" t="inlineStr">
        <is>
          <t xml:space="preserve">MO </t>
        </is>
      </c>
      <c r="B550" s="282" t="inlineStr">
        <is>
          <t>08-01-02</t>
        </is>
      </c>
      <c r="C550" s="578" t="n"/>
      <c r="D550" s="386" t="inlineStr">
        <is>
          <t xml:space="preserve">OPERARIO </t>
        </is>
      </c>
      <c r="E550" s="632">
        <f>+_xlfn.XLOOKUP(D550,'BASE DATOS MANO DE OBRA'!A:A,'BASE DATOS MANO DE OBRA'!B:B)</f>
        <v/>
      </c>
      <c r="F550" s="388" t="n">
        <v>25</v>
      </c>
      <c r="G550" s="633">
        <f>+_xlfn.XLOOKUP(D550,'BASE DATOS MANO DE OBRA'!A:A,'BASE DATOS MANO DE OBRA'!C:C)</f>
        <v/>
      </c>
      <c r="H550" s="634" t="n">
        <v>0</v>
      </c>
      <c r="I550" s="634">
        <f>+_xlfn.XLOOKUP(D550,'BASE DATOS MANO DE OBRA'!A:A,'BASE DATOS MANO DE OBRA'!E:E)</f>
        <v/>
      </c>
      <c r="J550" s="634" t="n">
        <v>0</v>
      </c>
      <c r="K550" s="634">
        <f>+F550*H550</f>
        <v/>
      </c>
      <c r="L550" s="634">
        <f>+F550*I550</f>
        <v/>
      </c>
      <c r="M550" s="634">
        <f>+F550*J550</f>
        <v/>
      </c>
      <c r="N550" s="634">
        <f>SUM(K550:M550)</f>
        <v/>
      </c>
      <c r="O550" s="635">
        <f>SUM(K550:M550)/tc</f>
        <v/>
      </c>
    </row>
    <row r="551" outlineLevel="1" ht="15" customHeight="1">
      <c r="A551" s="278" t="inlineStr">
        <is>
          <t xml:space="preserve">MO </t>
        </is>
      </c>
      <c r="B551" s="282" t="inlineStr">
        <is>
          <t>08-01-02</t>
        </is>
      </c>
      <c r="C551" s="578" t="n"/>
      <c r="D551" s="386" t="inlineStr">
        <is>
          <t xml:space="preserve">AYUDANTE </t>
        </is>
      </c>
      <c r="E551" s="632">
        <f>+_xlfn.XLOOKUP(D551,'BASE DATOS MANO DE OBRA'!A:A,'BASE DATOS MANO DE OBRA'!B:B)</f>
        <v/>
      </c>
      <c r="F551" s="388" t="n">
        <v>25</v>
      </c>
      <c r="G551" s="633">
        <f>+_xlfn.XLOOKUP(D551,'BASE DATOS MANO DE OBRA'!A:A,'BASE DATOS MANO DE OBRA'!C:C)</f>
        <v/>
      </c>
      <c r="H551" s="634" t="n">
        <v>0</v>
      </c>
      <c r="I551" s="634">
        <f>+_xlfn.XLOOKUP(D551,'BASE DATOS MANO DE OBRA'!A:A,'BASE DATOS MANO DE OBRA'!E:E)</f>
        <v/>
      </c>
      <c r="J551" s="634" t="n">
        <v>0</v>
      </c>
      <c r="K551" s="634">
        <f>+F551*H551</f>
        <v/>
      </c>
      <c r="L551" s="634">
        <f>+F551*I551</f>
        <v/>
      </c>
      <c r="M551" s="634">
        <f>+F551*J551</f>
        <v/>
      </c>
      <c r="N551" s="634">
        <f>SUM(K551:M551)</f>
        <v/>
      </c>
      <c r="O551" s="635">
        <f>SUM(K551:M551)/tc</f>
        <v/>
      </c>
    </row>
    <row r="552" outlineLevel="1" ht="15" customHeight="1">
      <c r="A552" s="278" t="inlineStr">
        <is>
          <t xml:space="preserve">MO </t>
        </is>
      </c>
      <c r="B552" s="282" t="inlineStr">
        <is>
          <t>08-01-03</t>
        </is>
      </c>
      <c r="C552" s="578" t="n"/>
      <c r="D552" s="386" t="inlineStr">
        <is>
          <t xml:space="preserve">OPERARIO </t>
        </is>
      </c>
      <c r="E552" s="632">
        <f>+_xlfn.XLOOKUP(D552,'BASE DATOS MANO DE OBRA'!A:A,'BASE DATOS MANO DE OBRA'!B:B)</f>
        <v/>
      </c>
      <c r="F552" s="388" t="n">
        <v>30</v>
      </c>
      <c r="G552" s="633">
        <f>+_xlfn.XLOOKUP(D552,'BASE DATOS MANO DE OBRA'!A:A,'BASE DATOS MANO DE OBRA'!C:C)</f>
        <v/>
      </c>
      <c r="H552" s="634" t="n">
        <v>0</v>
      </c>
      <c r="I552" s="634">
        <f>+_xlfn.XLOOKUP(D552,'BASE DATOS MANO DE OBRA'!A:A,'BASE DATOS MANO DE OBRA'!E:E)</f>
        <v/>
      </c>
      <c r="J552" s="634" t="n">
        <v>0</v>
      </c>
      <c r="K552" s="634">
        <f>+F552*H552</f>
        <v/>
      </c>
      <c r="L552" s="634">
        <f>+F552*I552</f>
        <v/>
      </c>
      <c r="M552" s="634">
        <f>+F552*J552</f>
        <v/>
      </c>
      <c r="N552" s="634">
        <f>SUM(K552:M552)</f>
        <v/>
      </c>
      <c r="O552" s="635">
        <f>SUM(K552:M552)/tc</f>
        <v/>
      </c>
    </row>
    <row r="553" outlineLevel="1" ht="15" customHeight="1">
      <c r="A553" s="278" t="inlineStr">
        <is>
          <t xml:space="preserve">MO </t>
        </is>
      </c>
      <c r="B553" s="282" t="inlineStr">
        <is>
          <t>08-01-03</t>
        </is>
      </c>
      <c r="C553" s="578" t="n"/>
      <c r="D553" s="386" t="inlineStr">
        <is>
          <t xml:space="preserve">AYUDANTE </t>
        </is>
      </c>
      <c r="E553" s="632">
        <f>+_xlfn.XLOOKUP(D553,'BASE DATOS MANO DE OBRA'!A:A,'BASE DATOS MANO DE OBRA'!B:B)</f>
        <v/>
      </c>
      <c r="F553" s="388" t="n">
        <v>30</v>
      </c>
      <c r="G553" s="633">
        <f>+_xlfn.XLOOKUP(D553,'BASE DATOS MANO DE OBRA'!A:A,'BASE DATOS MANO DE OBRA'!C:C)</f>
        <v/>
      </c>
      <c r="H553" s="634" t="n">
        <v>0</v>
      </c>
      <c r="I553" s="634">
        <f>+_xlfn.XLOOKUP(D553,'BASE DATOS MANO DE OBRA'!A:A,'BASE DATOS MANO DE OBRA'!E:E)</f>
        <v/>
      </c>
      <c r="J553" s="634" t="n">
        <v>0</v>
      </c>
      <c r="K553" s="634">
        <f>+F553*H553</f>
        <v/>
      </c>
      <c r="L553" s="634">
        <f>+F553*I553</f>
        <v/>
      </c>
      <c r="M553" s="634">
        <f>+F553*J553</f>
        <v/>
      </c>
      <c r="N553" s="634">
        <f>SUM(K553:M553)</f>
        <v/>
      </c>
      <c r="O553" s="635">
        <f>SUM(K553:M553)/tc</f>
        <v/>
      </c>
    </row>
    <row r="554" outlineLevel="1" ht="15" customHeight="1">
      <c r="A554" s="278" t="inlineStr">
        <is>
          <t xml:space="preserve">MO </t>
        </is>
      </c>
      <c r="B554" s="282" t="inlineStr">
        <is>
          <t>08-01-04</t>
        </is>
      </c>
      <c r="C554" s="578" t="n"/>
      <c r="D554" s="386" t="inlineStr">
        <is>
          <t xml:space="preserve">OPERARIO </t>
        </is>
      </c>
      <c r="E554" s="632">
        <f>+_xlfn.XLOOKUP(D554,'BASE DATOS MANO DE OBRA'!A:A,'BASE DATOS MANO DE OBRA'!B:B)</f>
        <v/>
      </c>
      <c r="F554" s="388" t="n">
        <v>0</v>
      </c>
      <c r="G554" s="633">
        <f>+_xlfn.XLOOKUP(D554,'BASE DATOS MANO DE OBRA'!A:A,'BASE DATOS MANO DE OBRA'!C:C)</f>
        <v/>
      </c>
      <c r="H554" s="634" t="n">
        <v>0</v>
      </c>
      <c r="I554" s="634">
        <f>+_xlfn.XLOOKUP(D554,'BASE DATOS MANO DE OBRA'!A:A,'BASE DATOS MANO DE OBRA'!E:E)</f>
        <v/>
      </c>
      <c r="J554" s="634" t="n">
        <v>0</v>
      </c>
      <c r="K554" s="634">
        <f>+F554*H554</f>
        <v/>
      </c>
      <c r="L554" s="634">
        <f>+F554*I554</f>
        <v/>
      </c>
      <c r="M554" s="634">
        <f>+F554*J554</f>
        <v/>
      </c>
      <c r="N554" s="634">
        <f>SUM(K554:M554)</f>
        <v/>
      </c>
      <c r="O554" s="635">
        <f>SUM(K554:M554)/tc</f>
        <v/>
      </c>
    </row>
    <row r="555" outlineLevel="1" ht="15" customHeight="1">
      <c r="A555" s="278" t="inlineStr">
        <is>
          <t xml:space="preserve">MO </t>
        </is>
      </c>
      <c r="B555" s="282" t="inlineStr">
        <is>
          <t>08-01-04</t>
        </is>
      </c>
      <c r="C555" s="578" t="n"/>
      <c r="D555" s="386" t="inlineStr">
        <is>
          <t xml:space="preserve">AYUDANTE </t>
        </is>
      </c>
      <c r="E555" s="632">
        <f>+_xlfn.XLOOKUP(D555,'BASE DATOS MANO DE OBRA'!A:A,'BASE DATOS MANO DE OBRA'!B:B)</f>
        <v/>
      </c>
      <c r="F555" s="388" t="n">
        <v>0</v>
      </c>
      <c r="G555" s="633">
        <f>+_xlfn.XLOOKUP(D555,'BASE DATOS MANO DE OBRA'!A:A,'BASE DATOS MANO DE OBRA'!C:C)</f>
        <v/>
      </c>
      <c r="H555" s="634" t="n">
        <v>0</v>
      </c>
      <c r="I555" s="634">
        <f>+_xlfn.XLOOKUP(D555,'BASE DATOS MANO DE OBRA'!A:A,'BASE DATOS MANO DE OBRA'!E:E)</f>
        <v/>
      </c>
      <c r="J555" s="634" t="n">
        <v>0</v>
      </c>
      <c r="K555" s="634">
        <f>+F555*H555</f>
        <v/>
      </c>
      <c r="L555" s="634">
        <f>+F555*I555</f>
        <v/>
      </c>
      <c r="M555" s="634">
        <f>+F555*J555</f>
        <v/>
      </c>
      <c r="N555" s="634">
        <f>SUM(K555:M555)</f>
        <v/>
      </c>
      <c r="O555" s="635">
        <f>SUM(K555:M555)/tc</f>
        <v/>
      </c>
    </row>
    <row r="556" outlineLevel="1" ht="15" customHeight="1">
      <c r="A556" s="278" t="inlineStr">
        <is>
          <t xml:space="preserve">MO </t>
        </is>
      </c>
      <c r="B556" s="282" t="inlineStr">
        <is>
          <t>08-01-05</t>
        </is>
      </c>
      <c r="C556" s="578" t="n"/>
      <c r="D556" s="386" t="inlineStr">
        <is>
          <t xml:space="preserve">OPERARIO </t>
        </is>
      </c>
      <c r="E556" s="632">
        <f>+_xlfn.XLOOKUP(D556,'BASE DATOS MANO DE OBRA'!A:A,'BASE DATOS MANO DE OBRA'!B:B)</f>
        <v/>
      </c>
      <c r="F556" s="388" t="n">
        <v>0</v>
      </c>
      <c r="G556" s="633">
        <f>+_xlfn.XLOOKUP(D556,'BASE DATOS MANO DE OBRA'!A:A,'BASE DATOS MANO DE OBRA'!C:C)</f>
        <v/>
      </c>
      <c r="H556" s="634" t="n">
        <v>0</v>
      </c>
      <c r="I556" s="634">
        <f>+_xlfn.XLOOKUP(D556,'BASE DATOS MANO DE OBRA'!A:A,'BASE DATOS MANO DE OBRA'!E:E)</f>
        <v/>
      </c>
      <c r="J556" s="634" t="n">
        <v>0</v>
      </c>
      <c r="K556" s="634">
        <f>+F556*H556</f>
        <v/>
      </c>
      <c r="L556" s="634">
        <f>+F556*I556</f>
        <v/>
      </c>
      <c r="M556" s="634">
        <f>+F556*J556</f>
        <v/>
      </c>
      <c r="N556" s="634">
        <f>SUM(K556:M556)</f>
        <v/>
      </c>
      <c r="O556" s="635">
        <f>SUM(K556:M556)/tc</f>
        <v/>
      </c>
    </row>
    <row r="557" outlineLevel="1" ht="15" customHeight="1">
      <c r="A557" s="278" t="inlineStr">
        <is>
          <t xml:space="preserve">MO </t>
        </is>
      </c>
      <c r="B557" s="282" t="inlineStr">
        <is>
          <t>08-01-05</t>
        </is>
      </c>
      <c r="C557" s="578" t="n"/>
      <c r="D557" s="386" t="inlineStr">
        <is>
          <t xml:space="preserve">AYUDANTE </t>
        </is>
      </c>
      <c r="E557" s="632">
        <f>+_xlfn.XLOOKUP(D557,'BASE DATOS MANO DE OBRA'!A:A,'BASE DATOS MANO DE OBRA'!B:B)</f>
        <v/>
      </c>
      <c r="F557" s="388" t="n">
        <v>0</v>
      </c>
      <c r="G557" s="633">
        <f>+_xlfn.XLOOKUP(D557,'BASE DATOS MANO DE OBRA'!A:A,'BASE DATOS MANO DE OBRA'!C:C)</f>
        <v/>
      </c>
      <c r="H557" s="634" t="n">
        <v>0</v>
      </c>
      <c r="I557" s="634">
        <f>+_xlfn.XLOOKUP(D557,'BASE DATOS MANO DE OBRA'!A:A,'BASE DATOS MANO DE OBRA'!E:E)</f>
        <v/>
      </c>
      <c r="J557" s="634" t="n">
        <v>0</v>
      </c>
      <c r="K557" s="634">
        <f>+F557*H557</f>
        <v/>
      </c>
      <c r="L557" s="634">
        <f>+F557*I557</f>
        <v/>
      </c>
      <c r="M557" s="634">
        <f>+F557*J557</f>
        <v/>
      </c>
      <c r="N557" s="634">
        <f>SUM(K557:M557)</f>
        <v/>
      </c>
      <c r="O557" s="635">
        <f>SUM(K557:M557)/tc</f>
        <v/>
      </c>
    </row>
    <row r="558" outlineLevel="1" ht="15" customHeight="1">
      <c r="A558" s="278" t="inlineStr">
        <is>
          <t xml:space="preserve">MO </t>
        </is>
      </c>
      <c r="B558" s="282" t="inlineStr">
        <is>
          <t>08-01-06</t>
        </is>
      </c>
      <c r="C558" s="578" t="n"/>
      <c r="D558" s="386" t="inlineStr">
        <is>
          <t xml:space="preserve">OPERARIO </t>
        </is>
      </c>
      <c r="E558" s="632">
        <f>+_xlfn.XLOOKUP(D558,'BASE DATOS MANO DE OBRA'!A:A,'BASE DATOS MANO DE OBRA'!B:B)</f>
        <v/>
      </c>
      <c r="F558" s="388" t="n">
        <v>0</v>
      </c>
      <c r="G558" s="633">
        <f>+_xlfn.XLOOKUP(D558,'BASE DATOS MANO DE OBRA'!A:A,'BASE DATOS MANO DE OBRA'!C:C)</f>
        <v/>
      </c>
      <c r="H558" s="634" t="n">
        <v>0</v>
      </c>
      <c r="I558" s="634">
        <f>+_xlfn.XLOOKUP(D558,'BASE DATOS MANO DE OBRA'!A:A,'BASE DATOS MANO DE OBRA'!E:E)</f>
        <v/>
      </c>
      <c r="J558" s="634" t="n">
        <v>0</v>
      </c>
      <c r="K558" s="634">
        <f>+F558*H558</f>
        <v/>
      </c>
      <c r="L558" s="634">
        <f>+F558*I558</f>
        <v/>
      </c>
      <c r="M558" s="634">
        <f>+F558*J558</f>
        <v/>
      </c>
      <c r="N558" s="634">
        <f>SUM(K558:M558)</f>
        <v/>
      </c>
      <c r="O558" s="635">
        <f>SUM(K558:M558)/tc</f>
        <v/>
      </c>
    </row>
    <row r="559" outlineLevel="1" ht="15" customHeight="1">
      <c r="A559" s="278" t="inlineStr">
        <is>
          <t xml:space="preserve">MO </t>
        </is>
      </c>
      <c r="B559" s="282" t="inlineStr">
        <is>
          <t>08-01-06</t>
        </is>
      </c>
      <c r="C559" s="578" t="n"/>
      <c r="D559" s="386" t="inlineStr">
        <is>
          <t xml:space="preserve">AYUDANTE </t>
        </is>
      </c>
      <c r="E559" s="632">
        <f>+_xlfn.XLOOKUP(D559,'BASE DATOS MANO DE OBRA'!A:A,'BASE DATOS MANO DE OBRA'!B:B)</f>
        <v/>
      </c>
      <c r="F559" s="388" t="n">
        <v>0</v>
      </c>
      <c r="G559" s="633">
        <f>+_xlfn.XLOOKUP(D559,'BASE DATOS MANO DE OBRA'!A:A,'BASE DATOS MANO DE OBRA'!C:C)</f>
        <v/>
      </c>
      <c r="H559" s="634" t="n">
        <v>0</v>
      </c>
      <c r="I559" s="634">
        <f>+_xlfn.XLOOKUP(D559,'BASE DATOS MANO DE OBRA'!A:A,'BASE DATOS MANO DE OBRA'!E:E)</f>
        <v/>
      </c>
      <c r="J559" s="634" t="n">
        <v>0</v>
      </c>
      <c r="K559" s="634">
        <f>+F559*H559</f>
        <v/>
      </c>
      <c r="L559" s="634">
        <f>+F559*I559</f>
        <v/>
      </c>
      <c r="M559" s="634">
        <f>+F559*J559</f>
        <v/>
      </c>
      <c r="N559" s="634">
        <f>SUM(K559:M559)</f>
        <v/>
      </c>
      <c r="O559" s="635">
        <f>SUM(K559:M559)/tc</f>
        <v/>
      </c>
    </row>
    <row r="560" ht="15" customHeight="1">
      <c r="A560" s="278" t="n"/>
      <c r="B560" s="282" t="inlineStr">
        <is>
          <t>09</t>
        </is>
      </c>
      <c r="C560" s="578" t="n"/>
      <c r="D560" s="372" t="n">
        <v>9</v>
      </c>
      <c r="E560" s="373" t="inlineStr">
        <is>
          <t xml:space="preserve">MUEBLES Y PUERTAS </t>
        </is>
      </c>
      <c r="F560" s="374" t="n"/>
      <c r="G560" s="375" t="n"/>
      <c r="H560" s="375" t="n"/>
      <c r="I560" s="375" t="n"/>
      <c r="J560" s="375" t="n"/>
      <c r="K560" s="612">
        <f>K561+K626</f>
        <v/>
      </c>
      <c r="L560" s="612">
        <f>L561+L626</f>
        <v/>
      </c>
      <c r="M560" s="612">
        <f>M561+M626</f>
        <v/>
      </c>
      <c r="N560" s="612">
        <f>N561+N626</f>
        <v/>
      </c>
      <c r="O560" s="613">
        <f>O561+O626</f>
        <v/>
      </c>
    </row>
    <row r="561" ht="15" customHeight="1">
      <c r="A561" s="278" t="n"/>
      <c r="B561" s="282" t="inlineStr">
        <is>
          <t>09-01</t>
        </is>
      </c>
      <c r="C561" s="578" t="n"/>
      <c r="D561" s="307" t="inlineStr">
        <is>
          <t>9.1</t>
        </is>
      </c>
      <c r="E561" s="308" t="inlineStr">
        <is>
          <t xml:space="preserve">MUEBLES </t>
        </is>
      </c>
      <c r="F561" s="309" t="n">
        <v>1</v>
      </c>
      <c r="G561" s="310" t="inlineStr">
        <is>
          <t>gb</t>
        </is>
      </c>
      <c r="H561" s="310" t="n"/>
      <c r="I561" s="310" t="n"/>
      <c r="J561" s="310" t="n"/>
      <c r="K561" s="636">
        <f>SUM(K562:K625)</f>
        <v/>
      </c>
      <c r="L561" s="636">
        <f>SUM(L562:L625)</f>
        <v/>
      </c>
      <c r="M561" s="636">
        <f>SUM(M562:M625)</f>
        <v/>
      </c>
      <c r="N561" s="636">
        <f>SUM(N562:N625)</f>
        <v/>
      </c>
      <c r="O561" s="636">
        <f>SUM(O562:O625)</f>
        <v/>
      </c>
    </row>
    <row r="562" outlineLevel="1" ht="15" customHeight="1">
      <c r="A562" s="278" t="n"/>
      <c r="B562" s="282" t="n"/>
      <c r="C562" s="578" t="n"/>
      <c r="D562" s="292" t="n"/>
      <c r="E562" s="476" t="inlineStr">
        <is>
          <t xml:space="preserve">CLOSET 1,5 m (Dormitorio secundario) </t>
        </is>
      </c>
      <c r="F562" s="294" t="n"/>
      <c r="G562" s="295" t="n"/>
      <c r="H562" s="295" t="n"/>
      <c r="I562" s="295" t="n"/>
      <c r="J562" s="295" t="n"/>
      <c r="K562" s="637" t="n"/>
      <c r="L562" s="637" t="n"/>
      <c r="M562" s="637" t="n"/>
      <c r="N562" s="637" t="n"/>
      <c r="O562" s="638" t="n"/>
    </row>
    <row r="563" outlineLevel="1" ht="15" customHeight="1">
      <c r="A563" s="278" t="inlineStr">
        <is>
          <t>MAT</t>
        </is>
      </c>
      <c r="B563" s="282" t="n"/>
      <c r="C563" s="578">
        <f>_xlfn.XLOOKUP(D563,'INSUMOS MAT '!B:B,'INSUMOS MAT '!C:C,"ERROR",0)</f>
        <v/>
      </c>
      <c r="D563" s="305" t="inlineStr">
        <is>
          <t>MAT14-0005</t>
        </is>
      </c>
      <c r="E563" s="618">
        <f>+_xlfn.XLOOKUP(D563,'BASE DATOS PRECIOS '!B:B,'BASE DATOS PRECIOS '!C:C)</f>
        <v/>
      </c>
      <c r="F563" s="301" t="n">
        <v>4</v>
      </c>
      <c r="G563" s="621">
        <f>+_xlfn.XLOOKUP(D563,'BASE DATOS PRECIOS '!B:B,'BASE DATOS PRECIOS '!D:D)</f>
        <v/>
      </c>
      <c r="H563" s="620">
        <f>+_xlfn.XLOOKUP(E563,'BASE DATOS PRECIOS '!C:C,'BASE DATOS PRECIOS '!F:F)</f>
        <v/>
      </c>
      <c r="I563" s="621" t="n"/>
      <c r="J563" s="621" t="n"/>
      <c r="K563" s="620">
        <f>+F563*H563</f>
        <v/>
      </c>
      <c r="L563" s="620">
        <f>+F563*I563</f>
        <v/>
      </c>
      <c r="M563" s="620">
        <f>+F563*J563</f>
        <v/>
      </c>
      <c r="N563" s="620">
        <f>SUM(K563:M563)</f>
        <v/>
      </c>
      <c r="O563" s="663">
        <f>SUM(K563:M563)/tc</f>
        <v/>
      </c>
    </row>
    <row r="564" outlineLevel="1" ht="15" customHeight="1">
      <c r="A564" s="278" t="inlineStr">
        <is>
          <t>MAT</t>
        </is>
      </c>
      <c r="B564" s="282" t="n"/>
      <c r="C564" s="578">
        <f>_xlfn.XLOOKUP(D564,'INSUMOS MAT '!B:B,'INSUMOS MAT '!C:C,"ERROR",0)</f>
        <v/>
      </c>
      <c r="D564" s="177" t="inlineStr">
        <is>
          <t>MAT14-0016</t>
        </is>
      </c>
      <c r="E564" s="618">
        <f>+_xlfn.XLOOKUP(D564,'BASE DATOS PRECIOS '!B:B,'BASE DATOS PRECIOS '!C:C)</f>
        <v/>
      </c>
      <c r="F564" s="301" t="n">
        <v>1</v>
      </c>
      <c r="G564" s="621">
        <f>+_xlfn.XLOOKUP(D564,'BASE DATOS PRECIOS '!B:B,'BASE DATOS PRECIOS '!D:D)</f>
        <v/>
      </c>
      <c r="H564" s="620">
        <f>+_xlfn.XLOOKUP(E564,'BASE DATOS PRECIOS '!C:C,'BASE DATOS PRECIOS '!F:F)</f>
        <v/>
      </c>
      <c r="I564" s="621" t="n"/>
      <c r="J564" s="621" t="n"/>
      <c r="K564" s="620">
        <f>+F564*H564</f>
        <v/>
      </c>
      <c r="L564" s="620">
        <f>+F564*I564</f>
        <v/>
      </c>
      <c r="M564" s="620">
        <f>+F564*J564</f>
        <v/>
      </c>
      <c r="N564" s="620">
        <f>SUM(K564:M564)</f>
        <v/>
      </c>
      <c r="O564" s="663">
        <f>SUM(K564:M564)/tc</f>
        <v/>
      </c>
    </row>
    <row r="565" outlineLevel="1" ht="15" customHeight="1">
      <c r="A565" s="278" t="inlineStr">
        <is>
          <t>MAT</t>
        </is>
      </c>
      <c r="B565" s="282" t="n"/>
      <c r="C565" s="580" t="n"/>
      <c r="D565" s="177" t="inlineStr">
        <is>
          <t>MAT14-0037</t>
        </is>
      </c>
      <c r="E565" s="618">
        <f>+_xlfn.XLOOKUP(D565,'BASE DATOS PRECIOS '!B:B,'BASE DATOS PRECIOS '!C:C)</f>
        <v/>
      </c>
      <c r="F565" s="301" t="n">
        <v>1</v>
      </c>
      <c r="G565" s="621">
        <f>+_xlfn.XLOOKUP(D565,'BASE DATOS PRECIOS '!B:B,'BASE DATOS PRECIOS '!D:D)</f>
        <v/>
      </c>
      <c r="H565" s="620">
        <f>+_xlfn.XLOOKUP(E565,'BASE DATOS PRECIOS '!C:C,'BASE DATOS PRECIOS '!F:F)</f>
        <v/>
      </c>
      <c r="I565" s="621" t="n"/>
      <c r="J565" s="621" t="n"/>
      <c r="K565" s="620">
        <f>+F565*H565</f>
        <v/>
      </c>
      <c r="L565" s="620">
        <f>+F565*I565</f>
        <v/>
      </c>
      <c r="M565" s="620">
        <f>+F565*J565</f>
        <v/>
      </c>
      <c r="N565" s="620">
        <f>SUM(K565:M565)</f>
        <v/>
      </c>
      <c r="O565" s="663">
        <f>SUM(K565:M565)/tc</f>
        <v/>
      </c>
    </row>
    <row r="566" outlineLevel="1" ht="15" customHeight="1">
      <c r="A566" s="278" t="inlineStr">
        <is>
          <t>MAT</t>
        </is>
      </c>
      <c r="B566" s="282" t="n"/>
      <c r="C566" s="578">
        <f>_xlfn.XLOOKUP(D566,'INSUMOS MAT '!B:B,'INSUMOS MAT '!C:C,"ERROR",0)</f>
        <v/>
      </c>
      <c r="D566" s="177" t="inlineStr">
        <is>
          <t>MAT14-0022</t>
        </is>
      </c>
      <c r="E566" s="618">
        <f>+_xlfn.XLOOKUP(D566,'BASE DATOS PRECIOS '!B:B,'BASE DATOS PRECIOS '!C:C)</f>
        <v/>
      </c>
      <c r="F566" s="301" t="n">
        <v>2</v>
      </c>
      <c r="G566" s="621">
        <f>+_xlfn.XLOOKUP(D566,'BASE DATOS PRECIOS '!B:B,'BASE DATOS PRECIOS '!D:D)</f>
        <v/>
      </c>
      <c r="H566" s="620">
        <f>+_xlfn.XLOOKUP(E566,'BASE DATOS PRECIOS '!C:C,'BASE DATOS PRECIOS '!F:F)</f>
        <v/>
      </c>
      <c r="I566" s="621" t="n"/>
      <c r="J566" s="621" t="n"/>
      <c r="K566" s="620">
        <f>+F566*H566</f>
        <v/>
      </c>
      <c r="L566" s="620">
        <f>+F566*I566</f>
        <v/>
      </c>
      <c r="M566" s="620">
        <f>+F566*J566</f>
        <v/>
      </c>
      <c r="N566" s="620">
        <f>SUM(K566:M566)</f>
        <v/>
      </c>
      <c r="O566" s="663">
        <f>SUM(K566:M566)/tc</f>
        <v/>
      </c>
    </row>
    <row r="567" outlineLevel="1" ht="15" customHeight="1">
      <c r="A567" s="278" t="inlineStr">
        <is>
          <t>MAT</t>
        </is>
      </c>
      <c r="B567" s="282" t="n"/>
      <c r="C567" s="578">
        <f>_xlfn.XLOOKUP(D567,'INSUMOS MAT '!B:B,'INSUMOS MAT '!C:C,"ERROR",0)</f>
        <v/>
      </c>
      <c r="D567" s="177" t="inlineStr">
        <is>
          <t>MAT14-0023</t>
        </is>
      </c>
      <c r="E567" s="618">
        <f>+_xlfn.XLOOKUP(D567,'BASE DATOS PRECIOS '!B:B,'BASE DATOS PRECIOS '!C:C)</f>
        <v/>
      </c>
      <c r="F567" s="301" t="n">
        <v>4</v>
      </c>
      <c r="G567" s="621">
        <f>+_xlfn.XLOOKUP(D567,'BASE DATOS PRECIOS '!B:B,'BASE DATOS PRECIOS '!D:D)</f>
        <v/>
      </c>
      <c r="H567" s="620">
        <f>+_xlfn.XLOOKUP(E567,'BASE DATOS PRECIOS '!C:C,'BASE DATOS PRECIOS '!F:F)</f>
        <v/>
      </c>
      <c r="I567" s="621" t="n"/>
      <c r="J567" s="621" t="n"/>
      <c r="K567" s="620">
        <f>+F567*H567</f>
        <v/>
      </c>
      <c r="L567" s="620">
        <f>+F567*I567</f>
        <v/>
      </c>
      <c r="M567" s="620">
        <f>+F567*J567</f>
        <v/>
      </c>
      <c r="N567" s="620">
        <f>SUM(K567:M567)</f>
        <v/>
      </c>
      <c r="O567" s="663">
        <f>SUM(K567:M567)/tc</f>
        <v/>
      </c>
    </row>
    <row r="568" outlineLevel="1" ht="15" customHeight="1">
      <c r="A568" s="278" t="inlineStr">
        <is>
          <t>MAT</t>
        </is>
      </c>
      <c r="B568" s="282" t="n"/>
      <c r="C568" s="578">
        <f>_xlfn.XLOOKUP(D568,'INSUMOS MAT '!B:B,'INSUMOS MAT '!C:C,"ERROR",0)</f>
        <v/>
      </c>
      <c r="D568" s="177" t="inlineStr">
        <is>
          <t>MAT14-0035</t>
        </is>
      </c>
      <c r="E568" s="618">
        <f>+_xlfn.XLOOKUP(D568,'BASE DATOS PRECIOS '!B:B,'BASE DATOS PRECIOS '!C:C)</f>
        <v/>
      </c>
      <c r="F568" s="301" t="n">
        <v>1</v>
      </c>
      <c r="G568" s="621">
        <f>+_xlfn.XLOOKUP(D568,'BASE DATOS PRECIOS '!B:B,'BASE DATOS PRECIOS '!D:D)</f>
        <v/>
      </c>
      <c r="H568" s="620">
        <f>+_xlfn.XLOOKUP(E568,'BASE DATOS PRECIOS '!C:C,'BASE DATOS PRECIOS '!F:F)</f>
        <v/>
      </c>
      <c r="I568" s="621" t="n"/>
      <c r="J568" s="621" t="n"/>
      <c r="K568" s="620">
        <f>+F568*H568</f>
        <v/>
      </c>
      <c r="L568" s="620">
        <f>+F568*I568</f>
        <v/>
      </c>
      <c r="M568" s="620">
        <f>+F568*J568</f>
        <v/>
      </c>
      <c r="N568" s="620">
        <f>SUM(K568:M568)</f>
        <v/>
      </c>
      <c r="O568" s="663">
        <f>SUM(K568:M568)/tc</f>
        <v/>
      </c>
    </row>
    <row r="569" outlineLevel="1" ht="15" customHeight="1">
      <c r="A569" s="278" t="inlineStr">
        <is>
          <t>MAT</t>
        </is>
      </c>
      <c r="B569" s="282" t="n"/>
      <c r="C569" s="578">
        <f>_xlfn.XLOOKUP(D569,'INSUMOS MAT '!B:B,'INSUMOS MAT '!C:C,"ERROR",0)</f>
        <v/>
      </c>
      <c r="D569" s="177" t="inlineStr">
        <is>
          <t>MAT14-0034</t>
        </is>
      </c>
      <c r="E569" s="618">
        <f>+_xlfn.XLOOKUP(D569,'BASE DATOS PRECIOS '!B:B,'BASE DATOS PRECIOS '!C:C)</f>
        <v/>
      </c>
      <c r="F569" s="301" t="n">
        <v>2</v>
      </c>
      <c r="G569" s="621">
        <f>+_xlfn.XLOOKUP(D569,'BASE DATOS PRECIOS '!B:B,'BASE DATOS PRECIOS '!D:D)</f>
        <v/>
      </c>
      <c r="H569" s="620">
        <f>+_xlfn.XLOOKUP(E569,'BASE DATOS PRECIOS '!C:C,'BASE DATOS PRECIOS '!F:F)</f>
        <v/>
      </c>
      <c r="I569" s="621" t="n"/>
      <c r="J569" s="621" t="n"/>
      <c r="K569" s="620">
        <f>+F569*H569</f>
        <v/>
      </c>
      <c r="L569" s="620">
        <f>+F569*I569</f>
        <v/>
      </c>
      <c r="M569" s="620">
        <f>+F569*J569</f>
        <v/>
      </c>
      <c r="N569" s="620">
        <f>SUM(K569:M569)</f>
        <v/>
      </c>
      <c r="O569" s="663">
        <f>SUM(K569:M569)/tc</f>
        <v/>
      </c>
    </row>
    <row r="570" outlineLevel="1" ht="15" customHeight="1">
      <c r="A570" s="278" t="inlineStr">
        <is>
          <t>MAT</t>
        </is>
      </c>
      <c r="B570" s="282" t="n"/>
      <c r="C570" s="578">
        <f>_xlfn.XLOOKUP(D570,'INSUMOS MAT '!B:B,'INSUMOS MAT '!C:C,"ERROR",0)</f>
        <v/>
      </c>
      <c r="D570" s="177" t="inlineStr">
        <is>
          <t>MAT14-0018</t>
        </is>
      </c>
      <c r="E570" s="618">
        <f>+_xlfn.XLOOKUP(D570,'BASE DATOS PRECIOS '!B:B,'BASE DATOS PRECIOS '!C:C)</f>
        <v/>
      </c>
      <c r="F570" s="301" t="n">
        <v>4</v>
      </c>
      <c r="G570" s="621">
        <f>+_xlfn.XLOOKUP(D570,'BASE DATOS PRECIOS '!B:B,'BASE DATOS PRECIOS '!D:D)</f>
        <v/>
      </c>
      <c r="H570" s="620">
        <f>+_xlfn.XLOOKUP(E570,'BASE DATOS PRECIOS '!C:C,'BASE DATOS PRECIOS '!F:F)</f>
        <v/>
      </c>
      <c r="I570" s="621" t="n"/>
      <c r="J570" s="621" t="n"/>
      <c r="K570" s="620">
        <f>+F570*H570</f>
        <v/>
      </c>
      <c r="L570" s="620">
        <f>+F570*I570</f>
        <v/>
      </c>
      <c r="M570" s="620">
        <f>+F570*J570</f>
        <v/>
      </c>
      <c r="N570" s="620">
        <f>SUM(K570:M570)</f>
        <v/>
      </c>
      <c r="O570" s="663">
        <f>SUM(K570:M570)/tc</f>
        <v/>
      </c>
    </row>
    <row r="571" outlineLevel="1">
      <c r="A571" s="278" t="inlineStr">
        <is>
          <t>MAT</t>
        </is>
      </c>
      <c r="B571" s="282" t="n"/>
      <c r="C571" s="578">
        <f>_xlfn.XLOOKUP(D571,'INSUMOS MAT '!B:B,'INSUMOS MAT '!C:C,"ERROR",0)</f>
        <v/>
      </c>
      <c r="D571" s="177" t="inlineStr">
        <is>
          <t>MAT14-0024</t>
        </is>
      </c>
      <c r="E571" s="618">
        <f>+_xlfn.XLOOKUP(D571,'BASE DATOS PRECIOS '!B:B,'BASE DATOS PRECIOS '!C:C)</f>
        <v/>
      </c>
      <c r="F571" s="301" t="n">
        <v>8</v>
      </c>
      <c r="G571" s="621">
        <f>+_xlfn.XLOOKUP(D571,'BASE DATOS PRECIOS '!B:B,'BASE DATOS PRECIOS '!D:D)</f>
        <v/>
      </c>
      <c r="H571" s="620">
        <f>+_xlfn.XLOOKUP(E571,'BASE DATOS PRECIOS '!C:C,'BASE DATOS PRECIOS '!F:F)</f>
        <v/>
      </c>
      <c r="I571" s="621" t="n"/>
      <c r="J571" s="621" t="n"/>
      <c r="K571" s="620">
        <f>+F571*H571</f>
        <v/>
      </c>
      <c r="L571" s="620">
        <f>+F571*I571</f>
        <v/>
      </c>
      <c r="M571" s="620">
        <f>+F571*J571</f>
        <v/>
      </c>
      <c r="N571" s="620">
        <f>SUM(K571:M571)</f>
        <v/>
      </c>
      <c r="O571" s="663">
        <f>SUM(K571:M571)/tc</f>
        <v/>
      </c>
      <c r="P571" s="610" t="n"/>
      <c r="Q571" s="610" t="n"/>
      <c r="R571" s="326" t="n"/>
    </row>
    <row r="572" outlineLevel="1" ht="15" customHeight="1">
      <c r="A572" s="278" t="inlineStr">
        <is>
          <t>MAT</t>
        </is>
      </c>
      <c r="B572" s="282" t="n"/>
      <c r="C572" s="578">
        <f>_xlfn.XLOOKUP(D572,'INSUMOS MAT '!B:B,'INSUMOS MAT '!C:C,"ERROR",0)</f>
        <v/>
      </c>
      <c r="D572" s="177" t="inlineStr">
        <is>
          <t>MAT14-0021</t>
        </is>
      </c>
      <c r="E572" s="618">
        <f>+_xlfn.XLOOKUP(D572,'BASE DATOS PRECIOS '!B:B,'BASE DATOS PRECIOS '!C:C)</f>
        <v/>
      </c>
      <c r="F572" s="301" t="n">
        <v>1</v>
      </c>
      <c r="G572" s="621">
        <f>+_xlfn.XLOOKUP(D572,'BASE DATOS PRECIOS '!B:B,'BASE DATOS PRECIOS '!D:D)</f>
        <v/>
      </c>
      <c r="H572" s="620">
        <f>+_xlfn.XLOOKUP(E572,'BASE DATOS PRECIOS '!C:C,'BASE DATOS PRECIOS '!F:F)</f>
        <v/>
      </c>
      <c r="I572" s="621" t="n"/>
      <c r="J572" s="621" t="n"/>
      <c r="K572" s="620">
        <f>+F572*H572</f>
        <v/>
      </c>
      <c r="L572" s="620">
        <f>+F572*I572</f>
        <v/>
      </c>
      <c r="M572" s="620">
        <f>+F572*J572</f>
        <v/>
      </c>
      <c r="N572" s="620">
        <f>SUM(K572:M572)</f>
        <v/>
      </c>
      <c r="O572" s="663">
        <f>SUM(K572:M572)/tc</f>
        <v/>
      </c>
    </row>
    <row r="573" outlineLevel="1" ht="15" customHeight="1">
      <c r="A573" s="278" t="inlineStr">
        <is>
          <t>MAT</t>
        </is>
      </c>
      <c r="B573" s="282" t="n"/>
      <c r="C573" s="578">
        <f>_xlfn.XLOOKUP(D573,'INSUMOS MAT '!B:B,'INSUMOS MAT '!C:C,"ERROR",0)</f>
        <v/>
      </c>
      <c r="D573" s="177" t="inlineStr">
        <is>
          <t>MAT14-0006</t>
        </is>
      </c>
      <c r="E573" s="618">
        <f>+_xlfn.XLOOKUP(D573,'BASE DATOS PRECIOS '!B:B,'BASE DATOS PRECIOS '!C:C)</f>
        <v/>
      </c>
      <c r="F573" s="301" t="n">
        <v>4</v>
      </c>
      <c r="G573" s="621">
        <f>+_xlfn.XLOOKUP(D573,'BASE DATOS PRECIOS '!B:B,'BASE DATOS PRECIOS '!D:D)</f>
        <v/>
      </c>
      <c r="H573" s="620">
        <f>+_xlfn.XLOOKUP(E573,'BASE DATOS PRECIOS '!C:C,'BASE DATOS PRECIOS '!F:F)</f>
        <v/>
      </c>
      <c r="I573" s="621" t="n"/>
      <c r="J573" s="621" t="n"/>
      <c r="K573" s="620">
        <f>+F573*H573</f>
        <v/>
      </c>
      <c r="L573" s="620">
        <f>+F573*I573</f>
        <v/>
      </c>
      <c r="M573" s="620">
        <f>+F573*J573</f>
        <v/>
      </c>
      <c r="N573" s="620">
        <f>SUM(K573:M573)</f>
        <v/>
      </c>
      <c r="O573" s="663">
        <f>SUM(K573:M573)/tc</f>
        <v/>
      </c>
    </row>
    <row r="574" outlineLevel="1" ht="15" customHeight="1">
      <c r="A574" s="278" t="inlineStr">
        <is>
          <t>MAT</t>
        </is>
      </c>
      <c r="B574" s="282" t="n"/>
      <c r="C574" s="578">
        <f>_xlfn.XLOOKUP(D574,'INSUMOS MAT '!B:B,'INSUMOS MAT '!C:C,"ERROR",0)</f>
        <v/>
      </c>
      <c r="D574" s="177" t="inlineStr">
        <is>
          <t>MAT14-0013</t>
        </is>
      </c>
      <c r="E574" s="618">
        <f>+_xlfn.XLOOKUP(D574,'BASE DATOS PRECIOS '!B:B,'BASE DATOS PRECIOS '!C:C)</f>
        <v/>
      </c>
      <c r="F574" s="301" t="n">
        <v>12</v>
      </c>
      <c r="G574" s="621">
        <f>+_xlfn.XLOOKUP(D574,'BASE DATOS PRECIOS '!B:B,'BASE DATOS PRECIOS '!D:D)</f>
        <v/>
      </c>
      <c r="H574" s="620">
        <f>+_xlfn.XLOOKUP(E574,'BASE DATOS PRECIOS '!C:C,'BASE DATOS PRECIOS '!F:F)</f>
        <v/>
      </c>
      <c r="I574" s="621" t="n"/>
      <c r="J574" s="621" t="n"/>
      <c r="K574" s="620">
        <f>+F574*H574</f>
        <v/>
      </c>
      <c r="L574" s="620">
        <f>+F574*I574</f>
        <v/>
      </c>
      <c r="M574" s="620">
        <f>+F574*J574</f>
        <v/>
      </c>
      <c r="N574" s="620">
        <f>SUM(K574:M574)</f>
        <v/>
      </c>
      <c r="O574" s="663">
        <f>SUM(K574:M574)/tc</f>
        <v/>
      </c>
    </row>
    <row r="575" outlineLevel="1" ht="15" customHeight="1">
      <c r="A575" s="278" t="n"/>
      <c r="B575" s="282" t="n"/>
      <c r="C575" s="578" t="n"/>
      <c r="D575" s="292" t="n"/>
      <c r="E575" s="476" t="inlineStr">
        <is>
          <t xml:space="preserve">WALK IN CLOSET </t>
        </is>
      </c>
      <c r="F575" s="294" t="n"/>
      <c r="G575" s="295" t="n"/>
      <c r="H575" s="295" t="n"/>
      <c r="I575" s="295" t="n"/>
      <c r="J575" s="295" t="n"/>
      <c r="K575" s="637" t="n"/>
      <c r="L575" s="637" t="n"/>
      <c r="M575" s="637" t="n"/>
      <c r="N575" s="637" t="n"/>
      <c r="O575" s="638" t="n"/>
    </row>
    <row r="576" outlineLevel="1" ht="15" customHeight="1">
      <c r="A576" s="278" t="inlineStr">
        <is>
          <t>MAT</t>
        </is>
      </c>
      <c r="B576" s="282" t="n"/>
      <c r="C576" s="578">
        <f>_xlfn.XLOOKUP(D576,'INSUMOS MAT '!B:B,'INSUMOS MAT '!C:C,"ERROR",0)</f>
        <v/>
      </c>
      <c r="D576" s="177" t="inlineStr">
        <is>
          <t>MAT14-0021</t>
        </is>
      </c>
      <c r="E576" s="618">
        <f>+_xlfn.XLOOKUP(D576,'BASE DATOS PRECIOS '!B:B,'BASE DATOS PRECIOS '!C:C)</f>
        <v/>
      </c>
      <c r="F576" s="301" t="n">
        <v>1</v>
      </c>
      <c r="G576" s="621">
        <f>+_xlfn.XLOOKUP(D576,'BASE DATOS PRECIOS '!B:B,'BASE DATOS PRECIOS '!D:D)</f>
        <v/>
      </c>
      <c r="H576" s="620">
        <f>+_xlfn.XLOOKUP(E576,'BASE DATOS PRECIOS '!C:C,'BASE DATOS PRECIOS '!F:F)</f>
        <v/>
      </c>
      <c r="I576" s="621" t="n"/>
      <c r="J576" s="621" t="n"/>
      <c r="K576" s="620">
        <f>+F576*H576</f>
        <v/>
      </c>
      <c r="L576" s="620">
        <f>+F576*I576</f>
        <v/>
      </c>
      <c r="M576" s="620">
        <f>+F576*J576</f>
        <v/>
      </c>
      <c r="N576" s="620">
        <f>SUM(K576:M576)</f>
        <v/>
      </c>
      <c r="O576" s="663">
        <f>SUM(K576:M576)/tc</f>
        <v/>
      </c>
    </row>
    <row r="577" outlineLevel="1" ht="15" customHeight="1">
      <c r="A577" s="278" t="inlineStr">
        <is>
          <t>MAT</t>
        </is>
      </c>
      <c r="B577" s="282" t="n"/>
      <c r="C577" s="578">
        <f>_xlfn.XLOOKUP(D577,'INSUMOS MAT '!B:B,'INSUMOS MAT '!C:C,"ERROR",0)</f>
        <v/>
      </c>
      <c r="D577" s="177" t="inlineStr">
        <is>
          <t>MAT14-0013</t>
        </is>
      </c>
      <c r="E577" s="618">
        <f>+_xlfn.XLOOKUP(D577,'BASE DATOS PRECIOS '!B:B,'BASE DATOS PRECIOS '!C:C)</f>
        <v/>
      </c>
      <c r="F577" s="301" t="n">
        <v>6</v>
      </c>
      <c r="G577" s="621">
        <f>+_xlfn.XLOOKUP(D577,'BASE DATOS PRECIOS '!B:B,'BASE DATOS PRECIOS '!D:D)</f>
        <v/>
      </c>
      <c r="H577" s="620">
        <f>+_xlfn.XLOOKUP(E577,'BASE DATOS PRECIOS '!C:C,'BASE DATOS PRECIOS '!F:F)</f>
        <v/>
      </c>
      <c r="I577" s="621" t="n"/>
      <c r="J577" s="621" t="n"/>
      <c r="K577" s="620">
        <f>+F577*H577</f>
        <v/>
      </c>
      <c r="L577" s="620">
        <f>+F577*I577</f>
        <v/>
      </c>
      <c r="M577" s="620">
        <f>+F577*J577</f>
        <v/>
      </c>
      <c r="N577" s="620">
        <f>SUM(K577:M577)</f>
        <v/>
      </c>
      <c r="O577" s="663">
        <f>SUM(K577:M577)/tc</f>
        <v/>
      </c>
    </row>
    <row r="578" outlineLevel="1" ht="15" customHeight="1">
      <c r="A578" s="278" t="inlineStr">
        <is>
          <t>MAT</t>
        </is>
      </c>
      <c r="B578" s="282" t="n"/>
      <c r="C578" s="578">
        <f>_xlfn.XLOOKUP(D578,'INSUMOS MAT '!B:B,'INSUMOS MAT '!C:C,"ERROR",0)</f>
        <v/>
      </c>
      <c r="D578" s="177" t="inlineStr">
        <is>
          <t>MAT14-0034</t>
        </is>
      </c>
      <c r="E578" s="618">
        <f>+_xlfn.XLOOKUP(D578,'BASE DATOS PRECIOS '!B:B,'BASE DATOS PRECIOS '!C:C)</f>
        <v/>
      </c>
      <c r="F578" s="301" t="n">
        <v>4</v>
      </c>
      <c r="G578" s="621">
        <f>+_xlfn.XLOOKUP(D578,'BASE DATOS PRECIOS '!B:B,'BASE DATOS PRECIOS '!D:D)</f>
        <v/>
      </c>
      <c r="H578" s="620">
        <f>+_xlfn.XLOOKUP(E578,'BASE DATOS PRECIOS '!C:C,'BASE DATOS PRECIOS '!F:F)</f>
        <v/>
      </c>
      <c r="I578" s="621" t="n"/>
      <c r="J578" s="621" t="n"/>
      <c r="K578" s="620">
        <f>+F578*H578</f>
        <v/>
      </c>
      <c r="L578" s="620">
        <f>+F578*I578</f>
        <v/>
      </c>
      <c r="M578" s="620">
        <f>+F578*J578</f>
        <v/>
      </c>
      <c r="N578" s="620">
        <f>SUM(K578:M578)</f>
        <v/>
      </c>
      <c r="O578" s="663">
        <f>SUM(K578:M578)/tc</f>
        <v/>
      </c>
    </row>
    <row r="579" outlineLevel="1" ht="15" customHeight="1">
      <c r="A579" s="278" t="inlineStr">
        <is>
          <t>MAT</t>
        </is>
      </c>
      <c r="B579" s="282" t="n"/>
      <c r="C579" s="578">
        <f>_xlfn.XLOOKUP(D579,'INSUMOS MAT '!B:B,'INSUMOS MAT '!C:C,"ERROR",0)</f>
        <v/>
      </c>
      <c r="D579" s="177" t="inlineStr">
        <is>
          <t>MAT14-0018</t>
        </is>
      </c>
      <c r="E579" s="618">
        <f>+_xlfn.XLOOKUP(D579,'BASE DATOS PRECIOS '!B:B,'BASE DATOS PRECIOS '!C:C)</f>
        <v/>
      </c>
      <c r="F579" s="301" t="n">
        <v>8</v>
      </c>
      <c r="G579" s="621">
        <f>+_xlfn.XLOOKUP(D579,'BASE DATOS PRECIOS '!B:B,'BASE DATOS PRECIOS '!D:D)</f>
        <v/>
      </c>
      <c r="H579" s="620">
        <f>+_xlfn.XLOOKUP(E579,'BASE DATOS PRECIOS '!C:C,'BASE DATOS PRECIOS '!F:F)</f>
        <v/>
      </c>
      <c r="I579" s="621" t="n"/>
      <c r="J579" s="621" t="n"/>
      <c r="K579" s="620">
        <f>+F579*H579</f>
        <v/>
      </c>
      <c r="L579" s="620">
        <f>+F579*I579</f>
        <v/>
      </c>
      <c r="M579" s="620">
        <f>+F579*J579</f>
        <v/>
      </c>
      <c r="N579" s="620">
        <f>SUM(K579:M579)</f>
        <v/>
      </c>
      <c r="O579" s="663">
        <f>SUM(K579:M579)/tc</f>
        <v/>
      </c>
    </row>
    <row r="580" outlineLevel="1" ht="15" customHeight="1">
      <c r="A580" s="278" t="inlineStr">
        <is>
          <t>MAT</t>
        </is>
      </c>
      <c r="B580" s="282" t="n"/>
      <c r="C580" s="578">
        <f>_xlfn.XLOOKUP(D580,'INSUMOS MAT '!B:B,'INSUMOS MAT '!C:C,"ERROR",0)</f>
        <v/>
      </c>
      <c r="D580" s="177" t="inlineStr">
        <is>
          <t>MAT14-0024</t>
        </is>
      </c>
      <c r="E580" s="618">
        <f>+_xlfn.XLOOKUP(D580,'BASE DATOS PRECIOS '!B:B,'BASE DATOS PRECIOS '!C:C)</f>
        <v/>
      </c>
      <c r="F580" s="301" t="n">
        <v>8</v>
      </c>
      <c r="G580" s="621">
        <f>+_xlfn.XLOOKUP(D580,'BASE DATOS PRECIOS '!B:B,'BASE DATOS PRECIOS '!D:D)</f>
        <v/>
      </c>
      <c r="H580" s="620">
        <f>+_xlfn.XLOOKUP(E580,'BASE DATOS PRECIOS '!C:C,'BASE DATOS PRECIOS '!F:F)</f>
        <v/>
      </c>
      <c r="I580" s="621" t="n"/>
      <c r="J580" s="621" t="n"/>
      <c r="K580" s="620">
        <f>+F580*H580</f>
        <v/>
      </c>
      <c r="L580" s="620">
        <f>+F580*I580</f>
        <v/>
      </c>
      <c r="M580" s="620">
        <f>+F580*J580</f>
        <v/>
      </c>
      <c r="N580" s="620">
        <f>SUM(K580:M580)</f>
        <v/>
      </c>
      <c r="O580" s="663">
        <f>SUM(K580:M580)/tc</f>
        <v/>
      </c>
    </row>
    <row r="581" outlineLevel="1" ht="15" customHeight="1">
      <c r="A581" s="278" t="inlineStr">
        <is>
          <t>MAT</t>
        </is>
      </c>
      <c r="B581" s="282" t="n"/>
      <c r="C581" s="578">
        <f>_xlfn.XLOOKUP(D581,'INSUMOS MAT '!B:B,'INSUMOS MAT '!C:C,"ERROR",0)</f>
        <v/>
      </c>
      <c r="D581" s="177" t="inlineStr">
        <is>
          <t>MAT14-0023</t>
        </is>
      </c>
      <c r="E581" s="618">
        <f>+_xlfn.XLOOKUP(D581,'BASE DATOS PRECIOS '!B:B,'BASE DATOS PRECIOS '!C:C)</f>
        <v/>
      </c>
      <c r="F581" s="301" t="n">
        <v>4</v>
      </c>
      <c r="G581" s="621">
        <f>+_xlfn.XLOOKUP(D581,'BASE DATOS PRECIOS '!B:B,'BASE DATOS PRECIOS '!D:D)</f>
        <v/>
      </c>
      <c r="H581" s="620">
        <f>+_xlfn.XLOOKUP(E581,'BASE DATOS PRECIOS '!C:C,'BASE DATOS PRECIOS '!F:F)</f>
        <v/>
      </c>
      <c r="I581" s="621" t="n"/>
      <c r="J581" s="621" t="n"/>
      <c r="K581" s="620">
        <f>+F581*H581</f>
        <v/>
      </c>
      <c r="L581" s="620">
        <f>+F581*I581</f>
        <v/>
      </c>
      <c r="M581" s="620">
        <f>+F581*J581</f>
        <v/>
      </c>
      <c r="N581" s="620">
        <f>SUM(K581:M581)</f>
        <v/>
      </c>
      <c r="O581" s="663">
        <f>SUM(K581:M581)/tc</f>
        <v/>
      </c>
    </row>
    <row r="582" outlineLevel="1" ht="15" customHeight="1">
      <c r="A582" s="278" t="inlineStr">
        <is>
          <t>MAT</t>
        </is>
      </c>
      <c r="B582" s="282" t="n"/>
      <c r="C582" s="578">
        <f>_xlfn.XLOOKUP(D582,'INSUMOS MAT '!B:B,'INSUMOS MAT '!C:C,"ERROR",0)</f>
        <v/>
      </c>
      <c r="D582" s="177" t="inlineStr">
        <is>
          <t>MAT14-0035</t>
        </is>
      </c>
      <c r="E582" s="618">
        <f>+_xlfn.XLOOKUP(D582,'BASE DATOS PRECIOS '!B:B,'BASE DATOS PRECIOS '!C:C)</f>
        <v/>
      </c>
      <c r="F582" s="301" t="n">
        <v>2</v>
      </c>
      <c r="G582" s="621">
        <f>+_xlfn.XLOOKUP(D582,'BASE DATOS PRECIOS '!B:B,'BASE DATOS PRECIOS '!D:D)</f>
        <v/>
      </c>
      <c r="H582" s="620">
        <f>+_xlfn.XLOOKUP(E582,'BASE DATOS PRECIOS '!C:C,'BASE DATOS PRECIOS '!F:F)</f>
        <v/>
      </c>
      <c r="I582" s="621" t="n"/>
      <c r="J582" s="621" t="n"/>
      <c r="K582" s="620">
        <f>+F582*H582</f>
        <v/>
      </c>
      <c r="L582" s="620">
        <f>+F582*I582</f>
        <v/>
      </c>
      <c r="M582" s="620">
        <f>+F582*J582</f>
        <v/>
      </c>
      <c r="N582" s="620">
        <f>SUM(K582:M582)</f>
        <v/>
      </c>
      <c r="O582" s="663">
        <f>SUM(K582:M582)/tc</f>
        <v/>
      </c>
    </row>
    <row r="583" outlineLevel="1" ht="15" customHeight="1">
      <c r="A583" s="278" t="n"/>
      <c r="B583" s="282" t="n"/>
      <c r="C583" s="578" t="n"/>
      <c r="D583" s="292" t="n"/>
      <c r="E583" s="476" t="inlineStr">
        <is>
          <t xml:space="preserve">ALACENA </t>
        </is>
      </c>
      <c r="F583" s="294" t="n"/>
      <c r="G583" s="295" t="n"/>
      <c r="H583" s="295" t="n"/>
      <c r="I583" s="295" t="n"/>
      <c r="J583" s="295" t="n"/>
      <c r="K583" s="637" t="n"/>
      <c r="L583" s="637" t="n"/>
      <c r="M583" s="637" t="n"/>
      <c r="N583" s="637" t="n"/>
      <c r="O583" s="638" t="n"/>
    </row>
    <row r="584" outlineLevel="1" ht="15" customHeight="1">
      <c r="A584" s="278" t="inlineStr">
        <is>
          <t>MAT</t>
        </is>
      </c>
      <c r="B584" s="282" t="n"/>
      <c r="C584" s="578">
        <f>_xlfn.XLOOKUP(D584,'INSUMOS MAT '!B:B,'INSUMOS MAT '!C:C,"ERROR",0)</f>
        <v/>
      </c>
      <c r="D584" s="177" t="inlineStr">
        <is>
          <t>MAT14-0034</t>
        </is>
      </c>
      <c r="E584" s="618">
        <f>+_xlfn.XLOOKUP(D584,'BASE DATOS PRECIOS '!B:B,'BASE DATOS PRECIOS '!C:C)</f>
        <v/>
      </c>
      <c r="F584" s="301" t="n">
        <v>4</v>
      </c>
      <c r="G584" s="621">
        <f>+_xlfn.XLOOKUP(D584,'BASE DATOS PRECIOS '!B:B,'BASE DATOS PRECIOS '!D:D)</f>
        <v/>
      </c>
      <c r="H584" s="620">
        <f>+_xlfn.XLOOKUP(E584,'BASE DATOS PRECIOS '!C:C,'BASE DATOS PRECIOS '!F:F)</f>
        <v/>
      </c>
      <c r="I584" s="621" t="n"/>
      <c r="J584" s="621" t="n"/>
      <c r="K584" s="620">
        <f>+F584*H584</f>
        <v/>
      </c>
      <c r="L584" s="620">
        <f>+F584*I584</f>
        <v/>
      </c>
      <c r="M584" s="620">
        <f>+F584*J584</f>
        <v/>
      </c>
      <c r="N584" s="620">
        <f>SUM(K584:M584)</f>
        <v/>
      </c>
      <c r="O584" s="663">
        <f>SUM(K584:M584)/tc</f>
        <v/>
      </c>
    </row>
    <row r="585" outlineLevel="1" ht="15" customHeight="1">
      <c r="A585" s="278" t="inlineStr">
        <is>
          <t>MAT</t>
        </is>
      </c>
      <c r="B585" s="282" t="n"/>
      <c r="C585" s="578">
        <f>_xlfn.XLOOKUP(D585,'INSUMOS MAT '!B:B,'INSUMOS MAT '!C:C,"ERROR",0)</f>
        <v/>
      </c>
      <c r="D585" s="177" t="inlineStr">
        <is>
          <t>MAT14-0004</t>
        </is>
      </c>
      <c r="E585" s="618">
        <f>+_xlfn.XLOOKUP(D585,'BASE DATOS PRECIOS '!B:B,'BASE DATOS PRECIOS '!C:C)</f>
        <v/>
      </c>
      <c r="F585" s="301" t="n">
        <v>8</v>
      </c>
      <c r="G585" s="621">
        <f>+_xlfn.XLOOKUP(D585,'BASE DATOS PRECIOS '!B:B,'BASE DATOS PRECIOS '!D:D)</f>
        <v/>
      </c>
      <c r="H585" s="620">
        <f>+_xlfn.XLOOKUP(E585,'BASE DATOS PRECIOS '!C:C,'BASE DATOS PRECIOS '!F:F)</f>
        <v/>
      </c>
      <c r="I585" s="621" t="n"/>
      <c r="J585" s="621" t="n"/>
      <c r="K585" s="620">
        <f>+F585*H585</f>
        <v/>
      </c>
      <c r="L585" s="620">
        <f>+F585*I585</f>
        <v/>
      </c>
      <c r="M585" s="620">
        <f>+F585*J585</f>
        <v/>
      </c>
      <c r="N585" s="620">
        <f>SUM(K585:M585)</f>
        <v/>
      </c>
      <c r="O585" s="663">
        <f>SUM(K585:M585)/tc</f>
        <v/>
      </c>
    </row>
    <row r="586" outlineLevel="1" ht="15" customHeight="1">
      <c r="A586" s="278" t="inlineStr">
        <is>
          <t>MAT</t>
        </is>
      </c>
      <c r="B586" s="282" t="n"/>
      <c r="C586" s="578">
        <f>_xlfn.XLOOKUP(D586,'INSUMOS MAT '!B:B,'INSUMOS MAT '!C:C,"ERROR",0)</f>
        <v/>
      </c>
      <c r="D586" s="177" t="inlineStr">
        <is>
          <t>MAT14-0024</t>
        </is>
      </c>
      <c r="E586" s="618">
        <f>+_xlfn.XLOOKUP(D586,'BASE DATOS PRECIOS '!B:B,'BASE DATOS PRECIOS '!C:C)</f>
        <v/>
      </c>
      <c r="F586" s="301" t="n">
        <v>12</v>
      </c>
      <c r="G586" s="621">
        <f>+_xlfn.XLOOKUP(D586,'BASE DATOS PRECIOS '!B:B,'BASE DATOS PRECIOS '!D:D)</f>
        <v/>
      </c>
      <c r="H586" s="620">
        <f>+_xlfn.XLOOKUP(E586,'BASE DATOS PRECIOS '!C:C,'BASE DATOS PRECIOS '!F:F)</f>
        <v/>
      </c>
      <c r="I586" s="621" t="n"/>
      <c r="J586" s="621" t="n"/>
      <c r="K586" s="620">
        <f>+F586*H586</f>
        <v/>
      </c>
      <c r="L586" s="620">
        <f>+F586*I586</f>
        <v/>
      </c>
      <c r="M586" s="620">
        <f>+F586*J586</f>
        <v/>
      </c>
      <c r="N586" s="620">
        <f>SUM(K586:M586)</f>
        <v/>
      </c>
      <c r="O586" s="663">
        <f>SUM(K586:M586)/tc</f>
        <v/>
      </c>
    </row>
    <row r="587" outlineLevel="1" ht="15" customHeight="1">
      <c r="A587" s="278" t="inlineStr">
        <is>
          <t>MAT</t>
        </is>
      </c>
      <c r="B587" s="282" t="n"/>
      <c r="C587" s="578">
        <f>_xlfn.XLOOKUP(D587,'INSUMOS MAT '!B:B,'INSUMOS MAT '!C:C,"ERROR",0)</f>
        <v/>
      </c>
      <c r="D587" s="177" t="inlineStr">
        <is>
          <t>MAT14-0013</t>
        </is>
      </c>
      <c r="E587" s="618">
        <f>+_xlfn.XLOOKUP(D587,'BASE DATOS PRECIOS '!B:B,'BASE DATOS PRECIOS '!C:C)</f>
        <v/>
      </c>
      <c r="F587" s="301" t="n">
        <v>4</v>
      </c>
      <c r="G587" s="621">
        <f>+_xlfn.XLOOKUP(D587,'BASE DATOS PRECIOS '!B:B,'BASE DATOS PRECIOS '!D:D)</f>
        <v/>
      </c>
      <c r="H587" s="620">
        <f>+_xlfn.XLOOKUP(E587,'BASE DATOS PRECIOS '!C:C,'BASE DATOS PRECIOS '!F:F)</f>
        <v/>
      </c>
      <c r="I587" s="621" t="n"/>
      <c r="J587" s="621" t="n"/>
      <c r="K587" s="620">
        <f>+F587*H587</f>
        <v/>
      </c>
      <c r="L587" s="620">
        <f>+F587*I587</f>
        <v/>
      </c>
      <c r="M587" s="620">
        <f>+F587*J587</f>
        <v/>
      </c>
      <c r="N587" s="620">
        <f>SUM(K587:M587)</f>
        <v/>
      </c>
      <c r="O587" s="663">
        <f>SUM(K587:M587)/tc</f>
        <v/>
      </c>
    </row>
    <row r="588" outlineLevel="1" ht="15" customHeight="1">
      <c r="A588" s="278" t="inlineStr">
        <is>
          <t>MAT</t>
        </is>
      </c>
      <c r="B588" s="282" t="n"/>
      <c r="C588" s="578">
        <f>_xlfn.XLOOKUP(D588,'INSUMOS MAT '!B:B,'INSUMOS MAT '!C:C,"ERROR",0)</f>
        <v/>
      </c>
      <c r="D588" s="177" t="inlineStr">
        <is>
          <t>MAT14-0021</t>
        </is>
      </c>
      <c r="E588" s="618">
        <f>+_xlfn.XLOOKUP(D588,'BASE DATOS PRECIOS '!B:B,'BASE DATOS PRECIOS '!C:C)</f>
        <v/>
      </c>
      <c r="F588" s="301" t="n">
        <v>0.5</v>
      </c>
      <c r="G588" s="621">
        <f>+_xlfn.XLOOKUP(D588,'BASE DATOS PRECIOS '!B:B,'BASE DATOS PRECIOS '!D:D)</f>
        <v/>
      </c>
      <c r="H588" s="620">
        <f>+_xlfn.XLOOKUP(E588,'BASE DATOS PRECIOS '!C:C,'BASE DATOS PRECIOS '!F:F)</f>
        <v/>
      </c>
      <c r="I588" s="621" t="n"/>
      <c r="J588" s="621" t="n"/>
      <c r="K588" s="620">
        <f>+F588*H588</f>
        <v/>
      </c>
      <c r="L588" s="620">
        <f>+F588*I588</f>
        <v/>
      </c>
      <c r="M588" s="620">
        <f>+F588*J588</f>
        <v/>
      </c>
      <c r="N588" s="620">
        <f>SUM(K588:M588)</f>
        <v/>
      </c>
      <c r="O588" s="663">
        <f>SUM(K588:M588)/tc</f>
        <v/>
      </c>
    </row>
    <row r="589" outlineLevel="1" ht="15" customHeight="1">
      <c r="A589" s="278" t="inlineStr">
        <is>
          <t>MAT</t>
        </is>
      </c>
      <c r="B589" s="282" t="n"/>
      <c r="C589" s="578">
        <f>_xlfn.XLOOKUP(D589,'INSUMOS MAT '!B:B,'INSUMOS MAT '!C:C,"ERROR",0)</f>
        <v/>
      </c>
      <c r="D589" s="177" t="inlineStr">
        <is>
          <t>MAT14-0006</t>
        </is>
      </c>
      <c r="E589" s="618">
        <f>+_xlfn.XLOOKUP(D589,'BASE DATOS PRECIOS '!B:B,'BASE DATOS PRECIOS '!C:C)</f>
        <v/>
      </c>
      <c r="F589" s="301" t="n">
        <v>1</v>
      </c>
      <c r="G589" s="621">
        <f>+_xlfn.XLOOKUP(D589,'BASE DATOS PRECIOS '!B:B,'BASE DATOS PRECIOS '!D:D)</f>
        <v/>
      </c>
      <c r="H589" s="620">
        <f>+_xlfn.XLOOKUP(E589,'BASE DATOS PRECIOS '!C:C,'BASE DATOS PRECIOS '!F:F)</f>
        <v/>
      </c>
      <c r="I589" s="621" t="n"/>
      <c r="J589" s="621" t="n"/>
      <c r="K589" s="620">
        <f>+F589*H589</f>
        <v/>
      </c>
      <c r="L589" s="620">
        <f>+F589*I589</f>
        <v/>
      </c>
      <c r="M589" s="620">
        <f>+F589*J589</f>
        <v/>
      </c>
      <c r="N589" s="620">
        <f>SUM(K589:M589)</f>
        <v/>
      </c>
      <c r="O589" s="663">
        <f>SUM(K589:M589)/tc</f>
        <v/>
      </c>
    </row>
    <row r="590" outlineLevel="1" ht="15" customHeight="1">
      <c r="A590" s="278" t="n"/>
      <c r="B590" s="282" t="n"/>
      <c r="C590" s="578" t="n"/>
      <c r="D590" s="292" t="n"/>
      <c r="E590" s="476" t="inlineStr">
        <is>
          <t xml:space="preserve">MODULO COCINA </t>
        </is>
      </c>
      <c r="F590" s="294" t="n"/>
      <c r="G590" s="295" t="n"/>
      <c r="H590" s="295" t="n"/>
      <c r="I590" s="295" t="n"/>
      <c r="J590" s="295" t="n"/>
      <c r="K590" s="637" t="n"/>
      <c r="L590" s="637" t="n"/>
      <c r="M590" s="637" t="n"/>
      <c r="N590" s="637" t="n"/>
      <c r="O590" s="638" t="n"/>
    </row>
    <row r="591" outlineLevel="1" ht="15" customHeight="1">
      <c r="A591" s="278" t="inlineStr">
        <is>
          <t>MAT</t>
        </is>
      </c>
      <c r="B591" s="282" t="n"/>
      <c r="C591" s="578">
        <f>_xlfn.XLOOKUP(D591,'INSUMOS MAT '!B:B,'INSUMOS MAT '!C:C,"ERROR",0)</f>
        <v/>
      </c>
      <c r="D591" s="177" t="inlineStr">
        <is>
          <t>MAT14-0034</t>
        </is>
      </c>
      <c r="E591" s="618">
        <f>+_xlfn.XLOOKUP(D591,'BASE DATOS PRECIOS '!B:B,'BASE DATOS PRECIOS '!C:C)</f>
        <v/>
      </c>
      <c r="F591" s="301" t="n">
        <v>14</v>
      </c>
      <c r="G591" s="621">
        <f>+_xlfn.XLOOKUP(D591,'BASE DATOS PRECIOS '!B:B,'BASE DATOS PRECIOS '!D:D)</f>
        <v/>
      </c>
      <c r="H591" s="620">
        <f>+_xlfn.XLOOKUP(E591,'BASE DATOS PRECIOS '!C:C,'BASE DATOS PRECIOS '!F:F)</f>
        <v/>
      </c>
      <c r="I591" s="621" t="n"/>
      <c r="J591" s="621" t="n"/>
      <c r="K591" s="620">
        <f>+F591*H591</f>
        <v/>
      </c>
      <c r="L591" s="620">
        <f>+F591*I591</f>
        <v/>
      </c>
      <c r="M591" s="620">
        <f>+F591*J591</f>
        <v/>
      </c>
      <c r="N591" s="620">
        <f>SUM(K591:M591)</f>
        <v/>
      </c>
      <c r="O591" s="663">
        <f>SUM(K591:M591)/tc</f>
        <v/>
      </c>
    </row>
    <row r="592" outlineLevel="1" ht="15" customHeight="1">
      <c r="A592" s="278" t="inlineStr">
        <is>
          <t>MAT</t>
        </is>
      </c>
      <c r="B592" s="282" t="n"/>
      <c r="C592" s="578">
        <f>_xlfn.XLOOKUP(D592,'INSUMOS MAT '!B:B,'INSUMOS MAT '!C:C,"ERROR",0)</f>
        <v/>
      </c>
      <c r="D592" s="177" t="inlineStr">
        <is>
          <t>MAT14-0024</t>
        </is>
      </c>
      <c r="E592" s="618">
        <f>+_xlfn.XLOOKUP(D592,'BASE DATOS PRECIOS '!B:B,'BASE DATOS PRECIOS '!C:C)</f>
        <v/>
      </c>
      <c r="F592" s="301" t="n">
        <v>12</v>
      </c>
      <c r="G592" s="621">
        <f>+_xlfn.XLOOKUP(D592,'BASE DATOS PRECIOS '!B:B,'BASE DATOS PRECIOS '!D:D)</f>
        <v/>
      </c>
      <c r="H592" s="620">
        <f>+_xlfn.XLOOKUP(E592,'BASE DATOS PRECIOS '!C:C,'BASE DATOS PRECIOS '!F:F)</f>
        <v/>
      </c>
      <c r="I592" s="621" t="n"/>
      <c r="J592" s="621" t="n"/>
      <c r="K592" s="620">
        <f>+F592*H592</f>
        <v/>
      </c>
      <c r="L592" s="620">
        <f>+F592*I592</f>
        <v/>
      </c>
      <c r="M592" s="620">
        <f>+F592*J592</f>
        <v/>
      </c>
      <c r="N592" s="620">
        <f>SUM(K592:M592)</f>
        <v/>
      </c>
      <c r="O592" s="663">
        <f>SUM(K592:M592)/tc</f>
        <v/>
      </c>
    </row>
    <row r="593" outlineLevel="1" ht="15" customHeight="1">
      <c r="A593" s="278" t="inlineStr">
        <is>
          <t>MAT</t>
        </is>
      </c>
      <c r="B593" s="282" t="n"/>
      <c r="C593" s="578">
        <f>_xlfn.XLOOKUP(D593,'INSUMOS MAT '!B:B,'INSUMOS MAT '!C:C,"ERROR",0)</f>
        <v/>
      </c>
      <c r="D593" s="177" t="inlineStr">
        <is>
          <t>MAT14-0004</t>
        </is>
      </c>
      <c r="E593" s="618">
        <f>+_xlfn.XLOOKUP(D593,'BASE DATOS PRECIOS '!B:B,'BASE DATOS PRECIOS '!C:C)</f>
        <v/>
      </c>
      <c r="F593" s="301" t="n">
        <v>22</v>
      </c>
      <c r="G593" s="621">
        <f>+_xlfn.XLOOKUP(D593,'BASE DATOS PRECIOS '!B:B,'BASE DATOS PRECIOS '!D:D)</f>
        <v/>
      </c>
      <c r="H593" s="620">
        <f>+_xlfn.XLOOKUP(E593,'BASE DATOS PRECIOS '!C:C,'BASE DATOS PRECIOS '!F:F)</f>
        <v/>
      </c>
      <c r="I593" s="621" t="n"/>
      <c r="J593" s="621" t="n"/>
      <c r="K593" s="620">
        <f>+F593*H593</f>
        <v/>
      </c>
      <c r="L593" s="620">
        <f>+F593*I593</f>
        <v/>
      </c>
      <c r="M593" s="620">
        <f>+F593*J593</f>
        <v/>
      </c>
      <c r="N593" s="620">
        <f>SUM(K593:M593)</f>
        <v/>
      </c>
      <c r="O593" s="663">
        <f>SUM(K593:M593)/tc</f>
        <v/>
      </c>
    </row>
    <row r="594" outlineLevel="1" ht="15" customHeight="1">
      <c r="A594" s="278" t="inlineStr">
        <is>
          <t>MAT</t>
        </is>
      </c>
      <c r="B594" s="282" t="n"/>
      <c r="C594" s="578">
        <f>_xlfn.XLOOKUP(D594,'INSUMOS MAT '!B:B,'INSUMOS MAT '!C:C,"ERROR",0)</f>
        <v/>
      </c>
      <c r="D594" s="177" t="inlineStr">
        <is>
          <t>MAT14-0053</t>
        </is>
      </c>
      <c r="E594" s="618">
        <f>+_xlfn.XLOOKUP(D594,'BASE DATOS PRECIOS '!B:B,'BASE DATOS PRECIOS '!C:C)</f>
        <v/>
      </c>
      <c r="F594" s="301" t="n">
        <v>1</v>
      </c>
      <c r="G594" s="621">
        <f>+_xlfn.XLOOKUP(D594,'BASE DATOS PRECIOS '!B:B,'BASE DATOS PRECIOS '!D:D)</f>
        <v/>
      </c>
      <c r="H594" s="620">
        <f>+_xlfn.XLOOKUP(E594,'BASE DATOS PRECIOS '!C:C,'BASE DATOS PRECIOS '!F:F)</f>
        <v/>
      </c>
      <c r="I594" s="621" t="n"/>
      <c r="J594" s="621" t="n"/>
      <c r="K594" s="620">
        <f>+F594*H594</f>
        <v/>
      </c>
      <c r="L594" s="620">
        <f>+F594*I594</f>
        <v/>
      </c>
      <c r="M594" s="620">
        <f>+F594*J594</f>
        <v/>
      </c>
      <c r="N594" s="620">
        <f>SUM(K594:M594)</f>
        <v/>
      </c>
      <c r="O594" s="663">
        <f>SUM(K594:M594)/tc</f>
        <v/>
      </c>
    </row>
    <row r="595" outlineLevel="1" ht="15" customHeight="1">
      <c r="A595" s="278" t="inlineStr">
        <is>
          <t>MAT</t>
        </is>
      </c>
      <c r="B595" s="282" t="n"/>
      <c r="C595" s="578">
        <f>_xlfn.XLOOKUP(D595,'INSUMOS MAT '!B:B,'INSUMOS MAT '!C:C,"ERROR",0)</f>
        <v/>
      </c>
      <c r="D595" s="177" t="inlineStr">
        <is>
          <t>MAT14-0013</t>
        </is>
      </c>
      <c r="E595" s="618">
        <f>+_xlfn.XLOOKUP(D595,'BASE DATOS PRECIOS '!B:B,'BASE DATOS PRECIOS '!C:C)</f>
        <v/>
      </c>
      <c r="F595" s="301" t="n">
        <v>10</v>
      </c>
      <c r="G595" s="621">
        <f>+_xlfn.XLOOKUP(D595,'BASE DATOS PRECIOS '!B:B,'BASE DATOS PRECIOS '!D:D)</f>
        <v/>
      </c>
      <c r="H595" s="620">
        <f>+_xlfn.XLOOKUP(E595,'BASE DATOS PRECIOS '!C:C,'BASE DATOS PRECIOS '!F:F)</f>
        <v/>
      </c>
      <c r="I595" s="621" t="n"/>
      <c r="J595" s="621" t="n"/>
      <c r="K595" s="620">
        <f>+F595*H595</f>
        <v/>
      </c>
      <c r="L595" s="620">
        <f>+F595*I595</f>
        <v/>
      </c>
      <c r="M595" s="620">
        <f>+F595*J595</f>
        <v/>
      </c>
      <c r="N595" s="620">
        <f>SUM(K595:M595)</f>
        <v/>
      </c>
      <c r="O595" s="663">
        <f>SUM(K595:M595)/tc</f>
        <v/>
      </c>
    </row>
    <row r="596" outlineLevel="1" ht="15" customHeight="1">
      <c r="A596" s="278" t="inlineStr">
        <is>
          <t>MAT</t>
        </is>
      </c>
      <c r="B596" s="282" t="n"/>
      <c r="C596" s="578">
        <f>_xlfn.XLOOKUP(D596,'INSUMOS MAT '!B:B,'INSUMOS MAT '!C:C,"ERROR",0)</f>
        <v/>
      </c>
      <c r="D596" s="177" t="inlineStr">
        <is>
          <t>MAT14-0021</t>
        </is>
      </c>
      <c r="E596" s="618">
        <f>+_xlfn.XLOOKUP(D596,'BASE DATOS PRECIOS '!B:B,'BASE DATOS PRECIOS '!C:C)</f>
        <v/>
      </c>
      <c r="F596" s="301" t="n">
        <v>1.5</v>
      </c>
      <c r="G596" s="621">
        <f>+_xlfn.XLOOKUP(D596,'BASE DATOS PRECIOS '!B:B,'BASE DATOS PRECIOS '!D:D)</f>
        <v/>
      </c>
      <c r="H596" s="620">
        <f>+_xlfn.XLOOKUP(E596,'BASE DATOS PRECIOS '!C:C,'BASE DATOS PRECIOS '!F:F)</f>
        <v/>
      </c>
      <c r="I596" s="621" t="n"/>
      <c r="J596" s="621" t="n"/>
      <c r="K596" s="620">
        <f>+F596*H596</f>
        <v/>
      </c>
      <c r="L596" s="620">
        <f>+F596*I596</f>
        <v/>
      </c>
      <c r="M596" s="620">
        <f>+F596*J596</f>
        <v/>
      </c>
      <c r="N596" s="620">
        <f>SUM(K596:M596)</f>
        <v/>
      </c>
      <c r="O596" s="663">
        <f>SUM(K596:M596)/tc</f>
        <v/>
      </c>
    </row>
    <row r="597" outlineLevel="1" ht="15" customHeight="1">
      <c r="A597" s="278" t="inlineStr">
        <is>
          <t>MAT</t>
        </is>
      </c>
      <c r="B597" s="282" t="n"/>
      <c r="C597" s="578">
        <f>_xlfn.XLOOKUP(D597,'INSUMOS MAT '!B:B,'INSUMOS MAT '!C:C,"ERROR",0)</f>
        <v/>
      </c>
      <c r="D597" s="177" t="inlineStr">
        <is>
          <t>MAT14-0006</t>
        </is>
      </c>
      <c r="E597" s="618">
        <f>+_xlfn.XLOOKUP(D597,'BASE DATOS PRECIOS '!B:B,'BASE DATOS PRECIOS '!C:C)</f>
        <v/>
      </c>
      <c r="F597" s="301" t="n">
        <v>4</v>
      </c>
      <c r="G597" s="621">
        <f>+_xlfn.XLOOKUP(D597,'BASE DATOS PRECIOS '!B:B,'BASE DATOS PRECIOS '!D:D)</f>
        <v/>
      </c>
      <c r="H597" s="620">
        <f>+_xlfn.XLOOKUP(E597,'BASE DATOS PRECIOS '!C:C,'BASE DATOS PRECIOS '!F:F)</f>
        <v/>
      </c>
      <c r="I597" s="621" t="n"/>
      <c r="J597" s="621" t="n"/>
      <c r="K597" s="620">
        <f>+F597*H597</f>
        <v/>
      </c>
      <c r="L597" s="620">
        <f>+F597*I597</f>
        <v/>
      </c>
      <c r="M597" s="620">
        <f>+F597*J597</f>
        <v/>
      </c>
      <c r="N597" s="620">
        <f>SUM(K597:M597)</f>
        <v/>
      </c>
      <c r="O597" s="663">
        <f>SUM(K597:M597)/tc</f>
        <v/>
      </c>
    </row>
    <row r="598" outlineLevel="1" ht="15" customHeight="1">
      <c r="A598" s="278" t="inlineStr">
        <is>
          <t>MAT</t>
        </is>
      </c>
      <c r="B598" s="282" t="n"/>
      <c r="C598" s="578">
        <f>_xlfn.XLOOKUP(D598,'INSUMOS MAT '!B:B,'INSUMOS MAT '!C:C,"ERROR",0)</f>
        <v/>
      </c>
      <c r="D598" s="177" t="inlineStr">
        <is>
          <t>MAT14-0020</t>
        </is>
      </c>
      <c r="E598" s="618">
        <f>+_xlfn.XLOOKUP(D598,'BASE DATOS PRECIOS '!B:B,'BASE DATOS PRECIOS '!C:C)</f>
        <v/>
      </c>
      <c r="F598" s="301" t="n">
        <v>6</v>
      </c>
      <c r="G598" s="621">
        <f>+_xlfn.XLOOKUP(D598,'BASE DATOS PRECIOS '!B:B,'BASE DATOS PRECIOS '!D:D)</f>
        <v/>
      </c>
      <c r="H598" s="620">
        <f>+_xlfn.XLOOKUP(E598,'BASE DATOS PRECIOS '!C:C,'BASE DATOS PRECIOS '!F:F)</f>
        <v/>
      </c>
      <c r="I598" s="621" t="n"/>
      <c r="J598" s="621" t="n"/>
      <c r="K598" s="620">
        <f>+F598*H598</f>
        <v/>
      </c>
      <c r="L598" s="620">
        <f>+F598*I598</f>
        <v/>
      </c>
      <c r="M598" s="620">
        <f>+F598*J598</f>
        <v/>
      </c>
      <c r="N598" s="620">
        <f>SUM(K598:M598)</f>
        <v/>
      </c>
      <c r="O598" s="663">
        <f>SUM(K598:M598)/tc</f>
        <v/>
      </c>
    </row>
    <row r="599" outlineLevel="1" ht="15" customHeight="1">
      <c r="A599" s="278" t="inlineStr">
        <is>
          <t>SUB</t>
        </is>
      </c>
      <c r="B599" s="282" t="n"/>
      <c r="C599" s="580" t="n"/>
      <c r="D599" s="177" t="inlineStr">
        <is>
          <t xml:space="preserve">GRANITO </t>
        </is>
      </c>
      <c r="E599" s="618">
        <f>+_xlfn.XLOOKUP(D599,'BASE DATOS EQUIPOS Y SUBCONTRAT'!A:A,'BASE DATOS EQUIPOS Y SUBCONTRAT'!B:B)</f>
        <v/>
      </c>
      <c r="F599" s="301" t="n">
        <v>4</v>
      </c>
      <c r="G599" s="621">
        <f>+_xlfn.XLOOKUP(D599,'BASE DATOS EQUIPOS Y SUBCONTRAT'!A:A,'BASE DATOS EQUIPOS Y SUBCONTRAT'!C:C)</f>
        <v/>
      </c>
      <c r="H599" s="620" t="n">
        <v>0</v>
      </c>
      <c r="I599" s="621" t="n"/>
      <c r="J599" s="620">
        <f>+_xlfn.XLOOKUP(D599,'BASE DATOS EQUIPOS Y SUBCONTRAT'!A:A,'BASE DATOS EQUIPOS Y SUBCONTRAT'!E:E)</f>
        <v/>
      </c>
      <c r="K599" s="620">
        <f>+F599*H599</f>
        <v/>
      </c>
      <c r="L599" s="620">
        <f>+F599*I599</f>
        <v/>
      </c>
      <c r="M599" s="620">
        <f>+F599*J599</f>
        <v/>
      </c>
      <c r="N599" s="620">
        <f>SUM(K599:M599)</f>
        <v/>
      </c>
      <c r="O599" s="663">
        <f>SUM(K599:M599)/tc</f>
        <v/>
      </c>
    </row>
    <row r="600" outlineLevel="1" ht="15" customHeight="1">
      <c r="A600" s="278" t="n"/>
      <c r="B600" s="282" t="n"/>
      <c r="C600" s="578" t="n"/>
      <c r="D600" s="292" t="n"/>
      <c r="E600" s="476" t="inlineStr">
        <is>
          <t xml:space="preserve">LIBRERO REFRIGERADOR </t>
        </is>
      </c>
      <c r="F600" s="294" t="n"/>
      <c r="G600" s="295" t="n"/>
      <c r="H600" s="295" t="n"/>
      <c r="I600" s="295" t="n"/>
      <c r="J600" s="295" t="n"/>
      <c r="K600" s="637" t="n"/>
      <c r="L600" s="637" t="n"/>
      <c r="M600" s="637" t="n"/>
      <c r="N600" s="637" t="n"/>
      <c r="O600" s="638" t="n"/>
    </row>
    <row r="601" outlineLevel="1" ht="15" customHeight="1">
      <c r="A601" s="278" t="inlineStr">
        <is>
          <t>MAT</t>
        </is>
      </c>
      <c r="B601" s="282" t="n"/>
      <c r="C601" s="578">
        <f>_xlfn.XLOOKUP(D601,'INSUMOS MAT '!B:B,'INSUMOS MAT '!C:C,"ERROR",0)</f>
        <v/>
      </c>
      <c r="D601" s="177" t="inlineStr">
        <is>
          <t>MAT14-0024</t>
        </is>
      </c>
      <c r="E601" s="618">
        <f>+_xlfn.XLOOKUP(D601,'BASE DATOS PRECIOS '!B:B,'BASE DATOS PRECIOS '!C:C)</f>
        <v/>
      </c>
      <c r="F601" s="301" t="n">
        <v>24</v>
      </c>
      <c r="G601" s="621">
        <f>+_xlfn.XLOOKUP(D601,'BASE DATOS PRECIOS '!B:B,'BASE DATOS PRECIOS '!D:D)</f>
        <v/>
      </c>
      <c r="H601" s="620">
        <f>+_xlfn.XLOOKUP(E601,'BASE DATOS PRECIOS '!C:C,'BASE DATOS PRECIOS '!F:F)</f>
        <v/>
      </c>
      <c r="I601" s="621" t="n"/>
      <c r="J601" s="621" t="n"/>
      <c r="K601" s="620">
        <f>+F601*H601</f>
        <v/>
      </c>
      <c r="L601" s="620">
        <f>+F601*I601</f>
        <v/>
      </c>
      <c r="M601" s="620">
        <f>+F601*J601</f>
        <v/>
      </c>
      <c r="N601" s="620">
        <f>SUM(K601:M601)</f>
        <v/>
      </c>
      <c r="O601" s="663">
        <f>SUM(K601:M601)/tc</f>
        <v/>
      </c>
    </row>
    <row r="602" outlineLevel="1" ht="15" customHeight="1">
      <c r="A602" s="278" t="inlineStr">
        <is>
          <t>MAT</t>
        </is>
      </c>
      <c r="B602" s="282" t="n"/>
      <c r="C602" s="578">
        <f>_xlfn.XLOOKUP(D602,'INSUMOS MAT '!B:B,'INSUMOS MAT '!C:C,"ERROR",0)</f>
        <v/>
      </c>
      <c r="D602" s="177" t="inlineStr">
        <is>
          <t>MAT14-0013</t>
        </is>
      </c>
      <c r="E602" s="618">
        <f>+_xlfn.XLOOKUP(D602,'BASE DATOS PRECIOS '!B:B,'BASE DATOS PRECIOS '!C:C)</f>
        <v/>
      </c>
      <c r="F602" s="301" t="n">
        <v>4</v>
      </c>
      <c r="G602" s="621">
        <f>+_xlfn.XLOOKUP(D602,'BASE DATOS PRECIOS '!B:B,'BASE DATOS PRECIOS '!D:D)</f>
        <v/>
      </c>
      <c r="H602" s="620">
        <f>+_xlfn.XLOOKUP(E602,'BASE DATOS PRECIOS '!C:C,'BASE DATOS PRECIOS '!F:F)</f>
        <v/>
      </c>
      <c r="I602" s="621" t="n"/>
      <c r="J602" s="621" t="n"/>
      <c r="K602" s="620">
        <f>+F602*H602</f>
        <v/>
      </c>
      <c r="L602" s="620">
        <f>+F602*I602</f>
        <v/>
      </c>
      <c r="M602" s="620">
        <f>+F602*J602</f>
        <v/>
      </c>
      <c r="N602" s="620">
        <f>SUM(K602:M602)</f>
        <v/>
      </c>
      <c r="O602" s="663">
        <f>SUM(K602:M602)/tc</f>
        <v/>
      </c>
    </row>
    <row r="603" outlineLevel="1" ht="15" customHeight="1">
      <c r="A603" s="278" t="inlineStr">
        <is>
          <t>MAT</t>
        </is>
      </c>
      <c r="B603" s="282" t="n"/>
      <c r="C603" s="578">
        <f>_xlfn.XLOOKUP(D603,'INSUMOS MAT '!B:B,'INSUMOS MAT '!C:C,"ERROR",0)</f>
        <v/>
      </c>
      <c r="D603" s="177" t="inlineStr">
        <is>
          <t>MAT14-0021</t>
        </is>
      </c>
      <c r="E603" s="618">
        <f>+_xlfn.XLOOKUP(D603,'BASE DATOS PRECIOS '!B:B,'BASE DATOS PRECIOS '!C:C)</f>
        <v/>
      </c>
      <c r="F603" s="301" t="n">
        <v>0.5</v>
      </c>
      <c r="G603" s="621">
        <f>+_xlfn.XLOOKUP(D603,'BASE DATOS PRECIOS '!B:B,'BASE DATOS PRECIOS '!D:D)</f>
        <v/>
      </c>
      <c r="H603" s="620">
        <f>+_xlfn.XLOOKUP(E603,'BASE DATOS PRECIOS '!C:C,'BASE DATOS PRECIOS '!F:F)</f>
        <v/>
      </c>
      <c r="I603" s="621" t="n"/>
      <c r="J603" s="621" t="n"/>
      <c r="K603" s="620">
        <f>+F603*H603</f>
        <v/>
      </c>
      <c r="L603" s="620">
        <f>+F603*I603</f>
        <v/>
      </c>
      <c r="M603" s="620">
        <f>+F603*J603</f>
        <v/>
      </c>
      <c r="N603" s="620">
        <f>SUM(K603:M603)</f>
        <v/>
      </c>
      <c r="O603" s="663">
        <f>SUM(K603:M603)/tc</f>
        <v/>
      </c>
    </row>
    <row r="604" outlineLevel="1" ht="15" customHeight="1">
      <c r="A604" s="278" t="inlineStr">
        <is>
          <t>MAT</t>
        </is>
      </c>
      <c r="B604" s="282" t="n"/>
      <c r="C604" s="578">
        <f>_xlfn.XLOOKUP(D604,'INSUMOS MAT '!B:B,'INSUMOS MAT '!C:C,"ERROR",0)</f>
        <v/>
      </c>
      <c r="D604" s="177" t="inlineStr">
        <is>
          <t>MAT14-0006</t>
        </is>
      </c>
      <c r="E604" s="618">
        <f>+_xlfn.XLOOKUP(D604,'BASE DATOS PRECIOS '!B:B,'BASE DATOS PRECIOS '!C:C)</f>
        <v/>
      </c>
      <c r="F604" s="301" t="n">
        <v>2</v>
      </c>
      <c r="G604" s="621">
        <f>+_xlfn.XLOOKUP(D604,'BASE DATOS PRECIOS '!B:B,'BASE DATOS PRECIOS '!D:D)</f>
        <v/>
      </c>
      <c r="H604" s="620">
        <f>+_xlfn.XLOOKUP(E604,'BASE DATOS PRECIOS '!C:C,'BASE DATOS PRECIOS '!F:F)</f>
        <v/>
      </c>
      <c r="I604" s="621" t="n"/>
      <c r="J604" s="621" t="n"/>
      <c r="K604" s="620">
        <f>+F604*H604</f>
        <v/>
      </c>
      <c r="L604" s="620">
        <f>+F604*I604</f>
        <v/>
      </c>
      <c r="M604" s="620">
        <f>+F604*J604</f>
        <v/>
      </c>
      <c r="N604" s="620">
        <f>SUM(K604:M604)</f>
        <v/>
      </c>
      <c r="O604" s="663">
        <f>SUM(K604:M604)/tc</f>
        <v/>
      </c>
    </row>
    <row r="605" outlineLevel="1" ht="15" customHeight="1">
      <c r="A605" s="278" t="n"/>
      <c r="B605" s="282" t="n"/>
      <c r="C605" s="578" t="n"/>
      <c r="D605" s="292" t="n"/>
      <c r="E605" s="476" t="inlineStr">
        <is>
          <t xml:space="preserve">MUEBLE BAÑO </t>
        </is>
      </c>
      <c r="F605" s="294" t="n"/>
      <c r="G605" s="295" t="n"/>
      <c r="H605" s="295" t="n"/>
      <c r="I605" s="295" t="n"/>
      <c r="J605" s="295" t="n"/>
      <c r="K605" s="637" t="n"/>
      <c r="L605" s="637" t="n"/>
      <c r="M605" s="637" t="n"/>
      <c r="N605" s="637" t="n"/>
      <c r="O605" s="638" t="n"/>
    </row>
    <row r="606" outlineLevel="1" ht="15" customHeight="1">
      <c r="A606" s="278" t="inlineStr">
        <is>
          <t>MAT</t>
        </is>
      </c>
      <c r="B606" s="282" t="n"/>
      <c r="C606" s="578">
        <f>_xlfn.XLOOKUP(D606,'INSUMOS MAT '!B:B,'INSUMOS MAT '!C:C,"ERROR",0)</f>
        <v/>
      </c>
      <c r="D606" s="177" t="inlineStr">
        <is>
          <t>MAT14-0034</t>
        </is>
      </c>
      <c r="E606" s="618">
        <f>+_xlfn.XLOOKUP(D606,'BASE DATOS PRECIOS '!B:B,'BASE DATOS PRECIOS '!C:C)</f>
        <v/>
      </c>
      <c r="F606" s="301" t="n">
        <v>1</v>
      </c>
      <c r="G606" s="621">
        <f>+_xlfn.XLOOKUP(D606,'BASE DATOS PRECIOS '!B:B,'BASE DATOS PRECIOS '!D:D)</f>
        <v/>
      </c>
      <c r="H606" s="620">
        <f>+_xlfn.XLOOKUP(E606,'BASE DATOS PRECIOS '!C:C,'BASE DATOS PRECIOS '!F:F)</f>
        <v/>
      </c>
      <c r="I606" s="621" t="n"/>
      <c r="J606" s="621" t="n"/>
      <c r="K606" s="620">
        <f>+F606*H606</f>
        <v/>
      </c>
      <c r="L606" s="620">
        <f>+F606*I606</f>
        <v/>
      </c>
      <c r="M606" s="620">
        <f>+F606*J606</f>
        <v/>
      </c>
      <c r="N606" s="620">
        <f>SUM(K606:M606)</f>
        <v/>
      </c>
      <c r="O606" s="663">
        <f>SUM(K606:M606)/tc</f>
        <v/>
      </c>
    </row>
    <row r="607" outlineLevel="1" ht="15" customHeight="1">
      <c r="A607" s="278" t="inlineStr">
        <is>
          <t>MAT</t>
        </is>
      </c>
      <c r="B607" s="282" t="n"/>
      <c r="C607" s="578">
        <f>_xlfn.XLOOKUP(D607,'INSUMOS MAT '!B:B,'INSUMOS MAT '!C:C,"ERROR",0)</f>
        <v/>
      </c>
      <c r="D607" s="177" t="inlineStr">
        <is>
          <t>MAT14-0004</t>
        </is>
      </c>
      <c r="E607" s="618">
        <f>+_xlfn.XLOOKUP(D607,'BASE DATOS PRECIOS '!B:B,'BASE DATOS PRECIOS '!C:C)</f>
        <v/>
      </c>
      <c r="F607" s="301" t="n">
        <v>2</v>
      </c>
      <c r="G607" s="621">
        <f>+_xlfn.XLOOKUP(D607,'BASE DATOS PRECIOS '!B:B,'BASE DATOS PRECIOS '!D:D)</f>
        <v/>
      </c>
      <c r="H607" s="620">
        <f>+_xlfn.XLOOKUP(E607,'BASE DATOS PRECIOS '!C:C,'BASE DATOS PRECIOS '!F:F)</f>
        <v/>
      </c>
      <c r="I607" s="621" t="n"/>
      <c r="J607" s="621" t="n"/>
      <c r="K607" s="620">
        <f>+F607*H607</f>
        <v/>
      </c>
      <c r="L607" s="620">
        <f>+F607*I607</f>
        <v/>
      </c>
      <c r="M607" s="620">
        <f>+F607*J607</f>
        <v/>
      </c>
      <c r="N607" s="620">
        <f>SUM(K607:M607)</f>
        <v/>
      </c>
      <c r="O607" s="663">
        <f>SUM(K607:M607)/tc</f>
        <v/>
      </c>
    </row>
    <row r="608" outlineLevel="1" ht="15" customHeight="1">
      <c r="A608" s="278" t="inlineStr">
        <is>
          <t>MAT</t>
        </is>
      </c>
      <c r="B608" s="282" t="n"/>
      <c r="C608" s="578">
        <f>_xlfn.XLOOKUP(D608,'INSUMOS MAT '!B:B,'INSUMOS MAT '!C:C,"ERROR",0)</f>
        <v/>
      </c>
      <c r="D608" s="177" t="inlineStr">
        <is>
          <t>MAT14-0013</t>
        </is>
      </c>
      <c r="E608" s="618">
        <f>+_xlfn.XLOOKUP(D608,'BASE DATOS PRECIOS '!B:B,'BASE DATOS PRECIOS '!C:C)</f>
        <v/>
      </c>
      <c r="F608" s="301" t="n">
        <v>4</v>
      </c>
      <c r="G608" s="621">
        <f>+_xlfn.XLOOKUP(D608,'BASE DATOS PRECIOS '!B:B,'BASE DATOS PRECIOS '!D:D)</f>
        <v/>
      </c>
      <c r="H608" s="620">
        <f>+_xlfn.XLOOKUP(E608,'BASE DATOS PRECIOS '!C:C,'BASE DATOS PRECIOS '!F:F)</f>
        <v/>
      </c>
      <c r="I608" s="621" t="n"/>
      <c r="J608" s="621" t="n"/>
      <c r="K608" s="620">
        <f>+F608*H608</f>
        <v/>
      </c>
      <c r="L608" s="620">
        <f>+F608*I608</f>
        <v/>
      </c>
      <c r="M608" s="620">
        <f>+F608*J608</f>
        <v/>
      </c>
      <c r="N608" s="620">
        <f>SUM(K608:M608)</f>
        <v/>
      </c>
      <c r="O608" s="663">
        <f>SUM(K608:M608)/tc</f>
        <v/>
      </c>
    </row>
    <row r="609" outlineLevel="1" ht="15" customHeight="1">
      <c r="A609" s="278" t="inlineStr">
        <is>
          <t>MAT</t>
        </is>
      </c>
      <c r="B609" s="282" t="n"/>
      <c r="C609" s="578">
        <f>_xlfn.XLOOKUP(D609,'INSUMOS MAT '!B:B,'INSUMOS MAT '!C:C,"ERROR",0)</f>
        <v/>
      </c>
      <c r="D609" s="177" t="inlineStr">
        <is>
          <t>MAT14-0021</t>
        </is>
      </c>
      <c r="E609" s="618">
        <f>+_xlfn.XLOOKUP(D609,'BASE DATOS PRECIOS '!B:B,'BASE DATOS PRECIOS '!C:C)</f>
        <v/>
      </c>
      <c r="F609" s="301" t="n">
        <v>0.5</v>
      </c>
      <c r="G609" s="621">
        <f>+_xlfn.XLOOKUP(D609,'BASE DATOS PRECIOS '!B:B,'BASE DATOS PRECIOS '!D:D)</f>
        <v/>
      </c>
      <c r="H609" s="620">
        <f>+_xlfn.XLOOKUP(E609,'BASE DATOS PRECIOS '!C:C,'BASE DATOS PRECIOS '!F:F)</f>
        <v/>
      </c>
      <c r="I609" s="621" t="n"/>
      <c r="J609" s="621" t="n"/>
      <c r="K609" s="620">
        <f>+F609*H609</f>
        <v/>
      </c>
      <c r="L609" s="620">
        <f>+F609*I609</f>
        <v/>
      </c>
      <c r="M609" s="620">
        <f>+F609*J609</f>
        <v/>
      </c>
      <c r="N609" s="620">
        <f>SUM(K609:M609)</f>
        <v/>
      </c>
      <c r="O609" s="663">
        <f>SUM(K609:M609)/tc</f>
        <v/>
      </c>
    </row>
    <row r="610" outlineLevel="1" ht="15" customHeight="1">
      <c r="A610" s="278" t="inlineStr">
        <is>
          <t>MAT</t>
        </is>
      </c>
      <c r="B610" s="282" t="n"/>
      <c r="C610" s="578">
        <f>_xlfn.XLOOKUP(D610,'INSUMOS MAT '!B:B,'INSUMOS MAT '!C:C,"ERROR",0)</f>
        <v/>
      </c>
      <c r="D610" s="177" t="inlineStr">
        <is>
          <t>MAT14-0006</t>
        </is>
      </c>
      <c r="E610" s="618">
        <f>+_xlfn.XLOOKUP(D610,'BASE DATOS PRECIOS '!B:B,'BASE DATOS PRECIOS '!C:C)</f>
        <v/>
      </c>
      <c r="F610" s="301" t="n">
        <v>1</v>
      </c>
      <c r="G610" s="621">
        <f>+_xlfn.XLOOKUP(D610,'BASE DATOS PRECIOS '!B:B,'BASE DATOS PRECIOS '!D:D)</f>
        <v/>
      </c>
      <c r="H610" s="620">
        <f>+_xlfn.XLOOKUP(E610,'BASE DATOS PRECIOS '!C:C,'BASE DATOS PRECIOS '!F:F)</f>
        <v/>
      </c>
      <c r="I610" s="621" t="n"/>
      <c r="J610" s="621" t="n"/>
      <c r="K610" s="620">
        <f>+F610*H610</f>
        <v/>
      </c>
      <c r="L610" s="620">
        <f>+F610*I610</f>
        <v/>
      </c>
      <c r="M610" s="620">
        <f>+F610*J610</f>
        <v/>
      </c>
      <c r="N610" s="620">
        <f>SUM(K610:M610)</f>
        <v/>
      </c>
      <c r="O610" s="663">
        <f>SUM(K610:M610)/tc</f>
        <v/>
      </c>
    </row>
    <row r="611" outlineLevel="1" ht="15" customHeight="1">
      <c r="A611" s="278" t="n"/>
      <c r="B611" s="282" t="n"/>
      <c r="C611" s="578" t="n"/>
      <c r="D611" s="292" t="n"/>
      <c r="E611" s="476" t="inlineStr">
        <is>
          <t xml:space="preserve">MATERIALES GENERALES MUEBLES </t>
        </is>
      </c>
      <c r="F611" s="294" t="n"/>
      <c r="G611" s="295" t="n"/>
      <c r="H611" s="295" t="n"/>
      <c r="I611" s="295" t="n"/>
      <c r="J611" s="295" t="n"/>
      <c r="K611" s="637" t="n"/>
      <c r="L611" s="637" t="n"/>
      <c r="M611" s="637" t="n"/>
      <c r="N611" s="637" t="n"/>
      <c r="O611" s="638" t="n"/>
    </row>
    <row r="612" outlineLevel="1" ht="15" customHeight="1">
      <c r="A612" s="278" t="inlineStr">
        <is>
          <t>MAT</t>
        </is>
      </c>
      <c r="B612" s="282" t="n"/>
      <c r="C612" s="578">
        <f>_xlfn.XLOOKUP(D612,'INSUMOS MAT '!B:B,'INSUMOS MAT '!C:C,"ERROR",0)</f>
        <v/>
      </c>
      <c r="D612" s="177" t="inlineStr">
        <is>
          <t>MAT14-0068</t>
        </is>
      </c>
      <c r="E612" s="618">
        <f>+_xlfn.XLOOKUP(D612,'BASE DATOS PRECIOS '!B:B,'BASE DATOS PRECIOS '!C:C)</f>
        <v/>
      </c>
      <c r="F612" s="301" t="n">
        <v>500</v>
      </c>
      <c r="G612" s="621">
        <f>+_xlfn.XLOOKUP(D612,'BASE DATOS PRECIOS '!B:B,'BASE DATOS PRECIOS '!D:D)</f>
        <v/>
      </c>
      <c r="H612" s="620">
        <f>+_xlfn.XLOOKUP(E612,'BASE DATOS PRECIOS '!C:C,'BASE DATOS PRECIOS '!F:F)</f>
        <v/>
      </c>
      <c r="I612" s="621" t="n"/>
      <c r="J612" s="621" t="n"/>
      <c r="K612" s="620">
        <f>+F612*H612</f>
        <v/>
      </c>
      <c r="L612" s="620">
        <f>+F612*I612</f>
        <v/>
      </c>
      <c r="M612" s="620">
        <f>+F612*J612</f>
        <v/>
      </c>
      <c r="N612" s="620">
        <f>SUM(K612:M612)</f>
        <v/>
      </c>
      <c r="O612" s="663">
        <f>SUM(K612:M612)/tc</f>
        <v/>
      </c>
    </row>
    <row r="613" outlineLevel="1" ht="15" customHeight="1">
      <c r="A613" s="278" t="inlineStr">
        <is>
          <t>MAT</t>
        </is>
      </c>
      <c r="B613" s="282" t="n"/>
      <c r="C613" s="578">
        <f>_xlfn.XLOOKUP(D613,'INSUMOS MAT '!B:B,'INSUMOS MAT '!C:C,"ERROR",0)</f>
        <v/>
      </c>
      <c r="D613" s="177" t="inlineStr">
        <is>
          <t>MAT14-0001</t>
        </is>
      </c>
      <c r="E613" s="618">
        <f>+_xlfn.XLOOKUP(D613,'BASE DATOS PRECIOS '!B:B,'BASE DATOS PRECIOS '!C:C)</f>
        <v/>
      </c>
      <c r="F613" s="301">
        <f>14+2</f>
        <v/>
      </c>
      <c r="G613" s="621">
        <f>+_xlfn.XLOOKUP(D613,'BASE DATOS PRECIOS '!B:B,'BASE DATOS PRECIOS '!D:D)</f>
        <v/>
      </c>
      <c r="H613" s="620">
        <f>+_xlfn.XLOOKUP(E613,'BASE DATOS PRECIOS '!C:C,'BASE DATOS PRECIOS '!F:F)</f>
        <v/>
      </c>
      <c r="I613" s="621" t="n"/>
      <c r="J613" s="621" t="n"/>
      <c r="K613" s="620">
        <f>+F613*H613</f>
        <v/>
      </c>
      <c r="L613" s="620">
        <f>+F613*I613</f>
        <v/>
      </c>
      <c r="M613" s="620">
        <f>+F613*J613</f>
        <v/>
      </c>
      <c r="N613" s="620">
        <f>SUM(K613:M613)</f>
        <v/>
      </c>
      <c r="O613" s="663">
        <f>SUM(K613:M613)/tc</f>
        <v/>
      </c>
    </row>
    <row r="614" outlineLevel="1" ht="15" customHeight="1">
      <c r="A614" s="278" t="inlineStr">
        <is>
          <t>MAT</t>
        </is>
      </c>
      <c r="B614" s="282" t="n"/>
      <c r="C614" s="578">
        <f>_xlfn.XLOOKUP(D614,'INSUMOS MAT '!B:B,'INSUMOS MAT '!C:C,"ERROR",0)</f>
        <v/>
      </c>
      <c r="D614" s="177" t="inlineStr">
        <is>
          <t>MAT14-0033</t>
        </is>
      </c>
      <c r="E614" s="618">
        <f>+_xlfn.XLOOKUP(D614,'BASE DATOS PRECIOS '!B:B,'BASE DATOS PRECIOS '!C:C)</f>
        <v/>
      </c>
      <c r="F614" s="301" t="n">
        <v>2</v>
      </c>
      <c r="G614" s="621">
        <f>+_xlfn.XLOOKUP(D614,'BASE DATOS PRECIOS '!B:B,'BASE DATOS PRECIOS '!D:D)</f>
        <v/>
      </c>
      <c r="H614" s="620">
        <f>+_xlfn.XLOOKUP(E614,'BASE DATOS PRECIOS '!C:C,'BASE DATOS PRECIOS '!F:F)</f>
        <v/>
      </c>
      <c r="I614" s="621" t="n"/>
      <c r="J614" s="621" t="n"/>
      <c r="K614" s="620">
        <f>+F614*H614</f>
        <v/>
      </c>
      <c r="L614" s="620">
        <f>+F614*I614</f>
        <v/>
      </c>
      <c r="M614" s="620">
        <f>+F614*J614</f>
        <v/>
      </c>
      <c r="N614" s="620">
        <f>SUM(K614:M614)</f>
        <v/>
      </c>
      <c r="O614" s="663">
        <f>SUM(K614:M614)/tc</f>
        <v/>
      </c>
    </row>
    <row r="615" outlineLevel="1" ht="15" customHeight="1">
      <c r="A615" s="278" t="inlineStr">
        <is>
          <t>MAT</t>
        </is>
      </c>
      <c r="B615" s="282" t="n"/>
      <c r="C615" s="578">
        <f>_xlfn.XLOOKUP(D615,'INSUMOS MAT '!B:B,'INSUMOS MAT '!C:C,"ERROR",0)</f>
        <v/>
      </c>
      <c r="D615" s="177" t="inlineStr">
        <is>
          <t>MAT07-0025</t>
        </is>
      </c>
      <c r="E615" s="618">
        <f>+_xlfn.XLOOKUP(D615,'BASE DATOS PRECIOS '!B:B,'BASE DATOS PRECIOS '!C:C)</f>
        <v/>
      </c>
      <c r="F615" s="301" t="n">
        <v>250</v>
      </c>
      <c r="G615" s="621">
        <f>+_xlfn.XLOOKUP(D615,'BASE DATOS PRECIOS '!B:B,'BASE DATOS PRECIOS '!D:D)</f>
        <v/>
      </c>
      <c r="H615" s="620">
        <f>+_xlfn.XLOOKUP(E615,'BASE DATOS PRECIOS '!C:C,'BASE DATOS PRECIOS '!F:F)</f>
        <v/>
      </c>
      <c r="I615" s="621" t="n"/>
      <c r="J615" s="621" t="n"/>
      <c r="K615" s="620">
        <f>+F615*H615</f>
        <v/>
      </c>
      <c r="L615" s="620">
        <f>+F615*I615</f>
        <v/>
      </c>
      <c r="M615" s="620">
        <f>+F615*J615</f>
        <v/>
      </c>
      <c r="N615" s="620">
        <f>SUM(K615:M615)</f>
        <v/>
      </c>
      <c r="O615" s="663">
        <f>SUM(K615:M615)/tc</f>
        <v/>
      </c>
    </row>
    <row r="616" outlineLevel="1" ht="15" customHeight="1">
      <c r="A616" s="278" t="inlineStr">
        <is>
          <t>MAT</t>
        </is>
      </c>
      <c r="B616" s="282" t="n"/>
      <c r="C616" s="578">
        <f>_xlfn.XLOOKUP(D616,'INSUMOS MAT '!B:B,'INSUMOS MAT '!C:C,"ERROR",0)</f>
        <v/>
      </c>
      <c r="D616" s="177" t="inlineStr">
        <is>
          <t>MAT07-0031</t>
        </is>
      </c>
      <c r="E616" s="618">
        <f>+_xlfn.XLOOKUP(D616,'BASE DATOS PRECIOS '!B:B,'BASE DATOS PRECIOS '!C:C)</f>
        <v/>
      </c>
      <c r="F616" s="301" t="n">
        <v>1500</v>
      </c>
      <c r="G616" s="621">
        <f>+_xlfn.XLOOKUP(D616,'BASE DATOS PRECIOS '!B:B,'BASE DATOS PRECIOS '!D:D)</f>
        <v/>
      </c>
      <c r="H616" s="620">
        <f>+_xlfn.XLOOKUP(E616,'BASE DATOS PRECIOS '!C:C,'BASE DATOS PRECIOS '!F:F)</f>
        <v/>
      </c>
      <c r="I616" s="621" t="n"/>
      <c r="J616" s="621" t="n"/>
      <c r="K616" s="620">
        <f>+F616*H616</f>
        <v/>
      </c>
      <c r="L616" s="620">
        <f>+F616*I616</f>
        <v/>
      </c>
      <c r="M616" s="620">
        <f>+F616*J616</f>
        <v/>
      </c>
      <c r="N616" s="620">
        <f>SUM(K616:M616)</f>
        <v/>
      </c>
      <c r="O616" s="663">
        <f>SUM(K616:M616)/tc</f>
        <v/>
      </c>
    </row>
    <row r="617" outlineLevel="1" ht="15" customHeight="1">
      <c r="A617" s="278" t="inlineStr">
        <is>
          <t>MAT</t>
        </is>
      </c>
      <c r="B617" s="282" t="n"/>
      <c r="C617" s="578">
        <f>_xlfn.XLOOKUP(D617,'INSUMOS MAT '!B:B,'INSUMOS MAT '!C:C,"ERROR",0)</f>
        <v/>
      </c>
      <c r="D617" s="177" t="inlineStr">
        <is>
          <t>MAT08-0307</t>
        </is>
      </c>
      <c r="E617" s="618">
        <f>+_xlfn.XLOOKUP(D617,'BASE DATOS PRECIOS '!B:B,'BASE DATOS PRECIOS '!C:C)</f>
        <v/>
      </c>
      <c r="F617" s="301" t="n">
        <v>100</v>
      </c>
      <c r="G617" s="621">
        <f>+_xlfn.XLOOKUP(D617,'BASE DATOS PRECIOS '!B:B,'BASE DATOS PRECIOS '!D:D)</f>
        <v/>
      </c>
      <c r="H617" s="620">
        <f>+_xlfn.XLOOKUP(E617,'BASE DATOS PRECIOS '!C:C,'BASE DATOS PRECIOS '!F:F)</f>
        <v/>
      </c>
      <c r="I617" s="621" t="n"/>
      <c r="J617" s="621" t="n"/>
      <c r="K617" s="620">
        <f>+F617*H617</f>
        <v/>
      </c>
      <c r="L617" s="620">
        <f>+F617*I617</f>
        <v/>
      </c>
      <c r="M617" s="620">
        <f>+F617*J617</f>
        <v/>
      </c>
      <c r="N617" s="620">
        <f>SUM(K617:M617)</f>
        <v/>
      </c>
      <c r="O617" s="663">
        <f>SUM(K617:M617)/tc</f>
        <v/>
      </c>
    </row>
    <row r="618" outlineLevel="1" ht="15" customHeight="1">
      <c r="A618" s="278" t="inlineStr">
        <is>
          <t>MAT</t>
        </is>
      </c>
      <c r="B618" s="282" t="n"/>
      <c r="C618" s="578">
        <f>_xlfn.XLOOKUP(D618,'INSUMOS MAT '!B:B,'INSUMOS MAT '!C:C,"ERROR",0)</f>
        <v/>
      </c>
      <c r="D618" s="177" t="inlineStr">
        <is>
          <t>MAT16-0018</t>
        </is>
      </c>
      <c r="E618" s="618">
        <f>+_xlfn.XLOOKUP(D618,'BASE DATOS PRECIOS '!B:B,'BASE DATOS PRECIOS '!C:C)</f>
        <v/>
      </c>
      <c r="F618" s="301" t="n">
        <v>2</v>
      </c>
      <c r="G618" s="621">
        <f>+_xlfn.XLOOKUP(D618,'BASE DATOS PRECIOS '!B:B,'BASE DATOS PRECIOS '!D:D)</f>
        <v/>
      </c>
      <c r="H618" s="620">
        <f>+_xlfn.XLOOKUP(E618,'BASE DATOS PRECIOS '!C:C,'BASE DATOS PRECIOS '!F:F)</f>
        <v/>
      </c>
      <c r="I618" s="621" t="n"/>
      <c r="J618" s="621" t="n"/>
      <c r="K618" s="620">
        <f>+F618*H618</f>
        <v/>
      </c>
      <c r="L618" s="620">
        <f>+F618*I618</f>
        <v/>
      </c>
      <c r="M618" s="620">
        <f>+F618*J618</f>
        <v/>
      </c>
      <c r="N618" s="620">
        <f>SUM(K618:M618)</f>
        <v/>
      </c>
      <c r="O618" s="663">
        <f>SUM(K618:M618)/tc</f>
        <v/>
      </c>
    </row>
    <row r="619" outlineLevel="1" ht="15" customHeight="1">
      <c r="A619" s="278" t="inlineStr">
        <is>
          <t>MAT</t>
        </is>
      </c>
      <c r="B619" s="282" t="n"/>
      <c r="C619" s="578">
        <f>_xlfn.XLOOKUP(D619,'INSUMOS MAT '!B:B,'INSUMOS MAT '!C:C,"ERROR",0)</f>
        <v/>
      </c>
      <c r="D619" s="177" t="inlineStr">
        <is>
          <t>MAT08-0091</t>
        </is>
      </c>
      <c r="E619" s="618">
        <f>+_xlfn.XLOOKUP(D619,'BASE DATOS PRECIOS '!B:B,'BASE DATOS PRECIOS '!C:C)</f>
        <v/>
      </c>
      <c r="F619" s="301" t="n">
        <v>1</v>
      </c>
      <c r="G619" s="621">
        <f>+_xlfn.XLOOKUP(D619,'BASE DATOS PRECIOS '!B:B,'BASE DATOS PRECIOS '!D:D)</f>
        <v/>
      </c>
      <c r="H619" s="620">
        <f>+_xlfn.XLOOKUP(E619,'BASE DATOS PRECIOS '!C:C,'BASE DATOS PRECIOS '!F:F)</f>
        <v/>
      </c>
      <c r="I619" s="621" t="n"/>
      <c r="J619" s="621" t="n"/>
      <c r="K619" s="620">
        <f>+F619*H619</f>
        <v/>
      </c>
      <c r="L619" s="620">
        <f>+F619*I619</f>
        <v/>
      </c>
      <c r="M619" s="620">
        <f>+F619*J619</f>
        <v/>
      </c>
      <c r="N619" s="620">
        <f>SUM(K619:M619)</f>
        <v/>
      </c>
      <c r="O619" s="663">
        <f>SUM(K619:M619)/tc</f>
        <v/>
      </c>
    </row>
    <row r="620" outlineLevel="1" ht="15" customHeight="1">
      <c r="A620" s="278" t="inlineStr">
        <is>
          <t>MAT</t>
        </is>
      </c>
      <c r="B620" s="282" t="n"/>
      <c r="C620" s="578">
        <f>_xlfn.XLOOKUP(D620,'INSUMOS MAT '!B:B,'INSUMOS MAT '!C:C,"ERROR",0)</f>
        <v/>
      </c>
      <c r="D620" s="177" t="inlineStr">
        <is>
          <t>MAT21-0017</t>
        </is>
      </c>
      <c r="E620" s="618">
        <f>+_xlfn.XLOOKUP(D620,'BASE DATOS PRECIOS '!B:B,'BASE DATOS PRECIOS '!C:C)</f>
        <v/>
      </c>
      <c r="F620" s="301" t="n">
        <v>1</v>
      </c>
      <c r="G620" s="621">
        <f>+_xlfn.XLOOKUP(D620,'BASE DATOS PRECIOS '!B:B,'BASE DATOS PRECIOS '!D:D)</f>
        <v/>
      </c>
      <c r="H620" s="620">
        <f>+_xlfn.XLOOKUP(E620,'BASE DATOS PRECIOS '!C:C,'BASE DATOS PRECIOS '!F:F)</f>
        <v/>
      </c>
      <c r="I620" s="621" t="n"/>
      <c r="J620" s="621" t="n"/>
      <c r="K620" s="620">
        <f>+F620*H620</f>
        <v/>
      </c>
      <c r="L620" s="620">
        <f>+F620*I620</f>
        <v/>
      </c>
      <c r="M620" s="620">
        <f>+F620*J620</f>
        <v/>
      </c>
      <c r="N620" s="620">
        <f>SUM(K620:M620)</f>
        <v/>
      </c>
      <c r="O620" s="663">
        <f>SUM(K620:M620)/tc</f>
        <v/>
      </c>
    </row>
    <row r="621" outlineLevel="1" ht="15" customHeight="1">
      <c r="A621" s="278" t="inlineStr">
        <is>
          <t>MAT</t>
        </is>
      </c>
      <c r="B621" s="282" t="n"/>
      <c r="C621" s="578">
        <f>_xlfn.XLOOKUP(D621,'INSUMOS MAT '!B:B,'INSUMOS MAT '!C:C,"ERROR",0)</f>
        <v/>
      </c>
      <c r="D621" s="177" t="inlineStr">
        <is>
          <t>MAT07-0039</t>
        </is>
      </c>
      <c r="E621" s="618">
        <f>+_xlfn.XLOOKUP(D621,'BASE DATOS PRECIOS '!B:B,'BASE DATOS PRECIOS '!C:C)</f>
        <v/>
      </c>
      <c r="F621" s="301" t="n">
        <v>250</v>
      </c>
      <c r="G621" s="621">
        <f>+_xlfn.XLOOKUP(D621,'BASE DATOS PRECIOS '!B:B,'BASE DATOS PRECIOS '!D:D)</f>
        <v/>
      </c>
      <c r="H621" s="620">
        <f>+_xlfn.XLOOKUP(E621,'BASE DATOS PRECIOS '!C:C,'BASE DATOS PRECIOS '!F:F)</f>
        <v/>
      </c>
      <c r="I621" s="621" t="n"/>
      <c r="J621" s="621" t="n"/>
      <c r="K621" s="620">
        <f>+F621*H621</f>
        <v/>
      </c>
      <c r="L621" s="620">
        <f>+F621*I621</f>
        <v/>
      </c>
      <c r="M621" s="620">
        <f>+F621*J621</f>
        <v/>
      </c>
      <c r="N621" s="620">
        <f>SUM(K621:M621)</f>
        <v/>
      </c>
      <c r="O621" s="663">
        <f>SUM(K621:M621)/tc</f>
        <v/>
      </c>
    </row>
    <row r="622" outlineLevel="1" ht="15" customHeight="1">
      <c r="A622" s="278" t="inlineStr">
        <is>
          <t xml:space="preserve">MO </t>
        </is>
      </c>
      <c r="B622" s="282" t="inlineStr">
        <is>
          <t>09-01-01</t>
        </is>
      </c>
      <c r="C622" s="578" t="n"/>
      <c r="D622" s="386" t="inlineStr">
        <is>
          <t xml:space="preserve">OP CALIFICADO </t>
        </is>
      </c>
      <c r="E622" s="632">
        <f>+_xlfn.XLOOKUP(D622,'BASE DATOS MANO DE OBRA'!A:A,'BASE DATOS MANO DE OBRA'!B:B)</f>
        <v/>
      </c>
      <c r="F622" s="388">
        <f>65+10</f>
        <v/>
      </c>
      <c r="G622" s="633">
        <f>+_xlfn.XLOOKUP(D622,'BASE DATOS MANO DE OBRA'!A:A,'BASE DATOS MANO DE OBRA'!C:C)</f>
        <v/>
      </c>
      <c r="H622" s="634" t="n">
        <v>0</v>
      </c>
      <c r="I622" s="634">
        <f>+_xlfn.XLOOKUP(D622,'BASE DATOS MANO DE OBRA'!A:A,'BASE DATOS MANO DE OBRA'!E:E)</f>
        <v/>
      </c>
      <c r="J622" s="634" t="n">
        <v>0</v>
      </c>
      <c r="K622" s="634">
        <f>+F622*H622</f>
        <v/>
      </c>
      <c r="L622" s="634">
        <f>+F622*I622</f>
        <v/>
      </c>
      <c r="M622" s="634">
        <f>+F622*J622</f>
        <v/>
      </c>
      <c r="N622" s="634">
        <f>SUM(K622:M622)</f>
        <v/>
      </c>
      <c r="O622" s="635">
        <f>SUM(K622:M622)/tc</f>
        <v/>
      </c>
    </row>
    <row r="623" outlineLevel="1" ht="15" customHeight="1">
      <c r="A623" s="278" t="inlineStr">
        <is>
          <t xml:space="preserve">MO </t>
        </is>
      </c>
      <c r="B623" s="282" t="inlineStr">
        <is>
          <t>09-01-01</t>
        </is>
      </c>
      <c r="C623" s="578" t="n"/>
      <c r="D623" s="386" t="inlineStr">
        <is>
          <t xml:space="preserve">OP CALIFICADO </t>
        </is>
      </c>
      <c r="E623" s="632">
        <f>+_xlfn.XLOOKUP(D623,'BASE DATOS MANO DE OBRA'!A:A,'BASE DATOS MANO DE OBRA'!B:B)</f>
        <v/>
      </c>
      <c r="F623" s="388">
        <f>65+10</f>
        <v/>
      </c>
      <c r="G623" s="633">
        <f>+_xlfn.XLOOKUP(D623,'BASE DATOS MANO DE OBRA'!A:A,'BASE DATOS MANO DE OBRA'!C:C)</f>
        <v/>
      </c>
      <c r="H623" s="634" t="n">
        <v>0</v>
      </c>
      <c r="I623" s="634">
        <f>+_xlfn.XLOOKUP(D623,'BASE DATOS MANO DE OBRA'!A:A,'BASE DATOS MANO DE OBRA'!E:E)</f>
        <v/>
      </c>
      <c r="J623" s="634" t="n">
        <v>0</v>
      </c>
      <c r="K623" s="634">
        <f>+F623*H623</f>
        <v/>
      </c>
      <c r="L623" s="634">
        <f>+F623*I623</f>
        <v/>
      </c>
      <c r="M623" s="634">
        <f>+F623*J623</f>
        <v/>
      </c>
      <c r="N623" s="634">
        <f>SUM(K623:M623)</f>
        <v/>
      </c>
      <c r="O623" s="635">
        <f>SUM(K623:M623)/tc</f>
        <v/>
      </c>
    </row>
    <row r="624" outlineLevel="1" ht="15" customHeight="1">
      <c r="A624" s="278" t="inlineStr">
        <is>
          <t xml:space="preserve">MO </t>
        </is>
      </c>
      <c r="B624" s="282" t="inlineStr">
        <is>
          <t>09-01-02</t>
        </is>
      </c>
      <c r="C624" s="578" t="n"/>
      <c r="D624" s="386" t="inlineStr">
        <is>
          <t xml:space="preserve">OP CALIFICADO </t>
        </is>
      </c>
      <c r="E624" s="632">
        <f>+_xlfn.XLOOKUP(D624,'BASE DATOS MANO DE OBRA'!A:A,'BASE DATOS MANO DE OBRA'!B:B)</f>
        <v/>
      </c>
      <c r="F624" s="388" t="n">
        <v>0</v>
      </c>
      <c r="G624" s="633">
        <f>+_xlfn.XLOOKUP(D624,'BASE DATOS MANO DE OBRA'!A:A,'BASE DATOS MANO DE OBRA'!C:C)</f>
        <v/>
      </c>
      <c r="H624" s="634" t="n">
        <v>0</v>
      </c>
      <c r="I624" s="634">
        <f>+_xlfn.XLOOKUP(D624,'BASE DATOS MANO DE OBRA'!A:A,'BASE DATOS MANO DE OBRA'!E:E)</f>
        <v/>
      </c>
      <c r="J624" s="634" t="n">
        <v>0</v>
      </c>
      <c r="K624" s="634">
        <f>+F624*H624</f>
        <v/>
      </c>
      <c r="L624" s="634">
        <f>+F624*I624</f>
        <v/>
      </c>
      <c r="M624" s="634">
        <f>+F624*J624</f>
        <v/>
      </c>
      <c r="N624" s="634">
        <f>SUM(K624:M624)</f>
        <v/>
      </c>
      <c r="O624" s="635">
        <f>SUM(K624:M624)/tc</f>
        <v/>
      </c>
    </row>
    <row r="625" outlineLevel="1" ht="15" customHeight="1">
      <c r="A625" s="278" t="inlineStr">
        <is>
          <t xml:space="preserve">MO </t>
        </is>
      </c>
      <c r="B625" s="282" t="inlineStr">
        <is>
          <t>09-01-02</t>
        </is>
      </c>
      <c r="C625" s="578" t="n"/>
      <c r="D625" s="386" t="inlineStr">
        <is>
          <t xml:space="preserve">OP CALIFICADO </t>
        </is>
      </c>
      <c r="E625" s="632">
        <f>+_xlfn.XLOOKUP(D625,'BASE DATOS MANO DE OBRA'!A:A,'BASE DATOS MANO DE OBRA'!B:B)</f>
        <v/>
      </c>
      <c r="F625" s="388" t="n">
        <v>0</v>
      </c>
      <c r="G625" s="633">
        <f>+_xlfn.XLOOKUP(D625,'BASE DATOS MANO DE OBRA'!A:A,'BASE DATOS MANO DE OBRA'!C:C)</f>
        <v/>
      </c>
      <c r="H625" s="634" t="n">
        <v>0</v>
      </c>
      <c r="I625" s="634">
        <f>+_xlfn.XLOOKUP(D625,'BASE DATOS MANO DE OBRA'!A:A,'BASE DATOS MANO DE OBRA'!E:E)</f>
        <v/>
      </c>
      <c r="J625" s="634" t="n">
        <v>0</v>
      </c>
      <c r="K625" s="634">
        <f>+F625*H625</f>
        <v/>
      </c>
      <c r="L625" s="634">
        <f>+F625*I625</f>
        <v/>
      </c>
      <c r="M625" s="634">
        <f>+F625*J625</f>
        <v/>
      </c>
      <c r="N625" s="634">
        <f>SUM(K625:M625)</f>
        <v/>
      </c>
      <c r="O625" s="635">
        <f>SUM(K625:M625)/tc</f>
        <v/>
      </c>
    </row>
    <row r="626" ht="15" customHeight="1">
      <c r="A626" s="278" t="n"/>
      <c r="B626" s="282" t="inlineStr">
        <is>
          <t>09-02</t>
        </is>
      </c>
      <c r="C626" s="578" t="n"/>
      <c r="D626" s="307" t="inlineStr">
        <is>
          <t>9.2</t>
        </is>
      </c>
      <c r="E626" s="308" t="inlineStr">
        <is>
          <t xml:space="preserve">PUERTAS Y RODAPIE </t>
        </is>
      </c>
      <c r="F626" s="309" t="n">
        <v>1</v>
      </c>
      <c r="G626" s="310" t="inlineStr">
        <is>
          <t>gb</t>
        </is>
      </c>
      <c r="H626" s="310" t="n"/>
      <c r="I626" s="310" t="n"/>
      <c r="J626" s="310" t="n"/>
      <c r="K626" s="636">
        <f>SUM(K627:K637)</f>
        <v/>
      </c>
      <c r="L626" s="636">
        <f>SUM(L627:L637)</f>
        <v/>
      </c>
      <c r="M626" s="636">
        <f>SUM(M627:M637)</f>
        <v/>
      </c>
      <c r="N626" s="636">
        <f>SUM(N627:N637)</f>
        <v/>
      </c>
      <c r="O626" s="664">
        <f>SUM(O627:O637)</f>
        <v/>
      </c>
    </row>
    <row r="627" outlineLevel="1" ht="15" customHeight="1">
      <c r="A627" s="278" t="inlineStr">
        <is>
          <t>MAT</t>
        </is>
      </c>
      <c r="B627" s="282" t="n"/>
      <c r="C627" s="578">
        <f>_xlfn.XLOOKUP(D627,'INSUMOS MAT '!B:B,'INSUMOS MAT '!C:C,"ERROR",0)</f>
        <v/>
      </c>
      <c r="D627" s="177" t="inlineStr">
        <is>
          <t>MAT18-0007</t>
        </is>
      </c>
      <c r="E627" s="618">
        <f>+_xlfn.XLOOKUP(D627,'BASE DATOS PRECIOS '!B:B,'BASE DATOS PRECIOS '!C:C)</f>
        <v/>
      </c>
      <c r="F627" s="301" t="n">
        <v>4</v>
      </c>
      <c r="G627" s="621">
        <f>+_xlfn.XLOOKUP(D627,'BASE DATOS PRECIOS '!B:B,'BASE DATOS PRECIOS '!D:D)</f>
        <v/>
      </c>
      <c r="H627" s="620">
        <f>+_xlfn.XLOOKUP(E627,'BASE DATOS PRECIOS '!C:C,'BASE DATOS PRECIOS '!F:F)</f>
        <v/>
      </c>
      <c r="I627" s="621" t="n"/>
      <c r="J627" s="621" t="n"/>
      <c r="K627" s="620">
        <f>+F627*H627</f>
        <v/>
      </c>
      <c r="L627" s="620">
        <f>+F627*I627</f>
        <v/>
      </c>
      <c r="M627" s="620">
        <f>+F627*J627</f>
        <v/>
      </c>
      <c r="N627" s="620">
        <f>SUM(K627:M627)</f>
        <v/>
      </c>
      <c r="O627" s="622">
        <f>SUM(K627:M627)/tc</f>
        <v/>
      </c>
    </row>
    <row r="628" outlineLevel="1" ht="15" customHeight="1">
      <c r="A628" s="278" t="inlineStr">
        <is>
          <t>MAT</t>
        </is>
      </c>
      <c r="B628" s="282" t="n"/>
      <c r="C628" s="578">
        <f>_xlfn.XLOOKUP(D628,'INSUMOS MAT '!B:B,'INSUMOS MAT '!C:C,"ERROR",0)</f>
        <v/>
      </c>
      <c r="D628" s="177" t="inlineStr">
        <is>
          <t>MAT18-0008</t>
        </is>
      </c>
      <c r="E628" s="618">
        <f>+_xlfn.XLOOKUP(D628,'BASE DATOS PRECIOS '!B:B,'BASE DATOS PRECIOS '!C:C)</f>
        <v/>
      </c>
      <c r="F628" s="301" t="n">
        <v>1</v>
      </c>
      <c r="G628" s="621">
        <f>+_xlfn.XLOOKUP(D628,'BASE DATOS PRECIOS '!B:B,'BASE DATOS PRECIOS '!D:D)</f>
        <v/>
      </c>
      <c r="H628" s="620">
        <f>+_xlfn.XLOOKUP(E628,'BASE DATOS PRECIOS '!C:C,'BASE DATOS PRECIOS '!F:F)</f>
        <v/>
      </c>
      <c r="I628" s="621" t="n"/>
      <c r="J628" s="621" t="n"/>
      <c r="K628" s="620">
        <f>+F628*H628</f>
        <v/>
      </c>
      <c r="L628" s="620">
        <f>+F628*I628</f>
        <v/>
      </c>
      <c r="M628" s="620">
        <f>+F628*J628</f>
        <v/>
      </c>
      <c r="N628" s="620">
        <f>SUM(K628:M628)</f>
        <v/>
      </c>
      <c r="O628" s="622">
        <f>SUM(K628:M628)/tc</f>
        <v/>
      </c>
    </row>
    <row r="629" outlineLevel="1" ht="15" customHeight="1">
      <c r="A629" s="278" t="inlineStr">
        <is>
          <t>MAT</t>
        </is>
      </c>
      <c r="B629" s="282" t="n"/>
      <c r="C629" s="578">
        <f>_xlfn.XLOOKUP(D629,'INSUMOS MAT '!B:B,'INSUMOS MAT '!C:C,"ERROR",0)</f>
        <v/>
      </c>
      <c r="D629" s="305" t="inlineStr">
        <is>
          <t>MAT08-0046</t>
        </is>
      </c>
      <c r="E629" s="653">
        <f>+_xlfn.XLOOKUP(D629,'BASE DATOS PRECIOS '!B:B,'BASE DATOS PRECIOS '!C:C)</f>
        <v/>
      </c>
      <c r="F629" s="301" t="n">
        <v>3</v>
      </c>
      <c r="G629" s="654">
        <f>+_xlfn.XLOOKUP(D629,'BASE DATOS PRECIOS '!B:B,'BASE DATOS PRECIOS '!D:D)</f>
        <v/>
      </c>
      <c r="H629" s="620">
        <f>+_xlfn.XLOOKUP(E629,'BASE DATOS PRECIOS '!C:C,'BASE DATOS PRECIOS '!F:F)</f>
        <v/>
      </c>
      <c r="I629" s="654" t="n"/>
      <c r="J629" s="654" t="n"/>
      <c r="K629" s="655">
        <f>+F629*H629</f>
        <v/>
      </c>
      <c r="L629" s="655">
        <f>+F629*I629</f>
        <v/>
      </c>
      <c r="M629" s="655">
        <f>+F629*J629</f>
        <v/>
      </c>
      <c r="N629" s="655">
        <f>SUM(K629:M629)</f>
        <v/>
      </c>
      <c r="O629" s="656">
        <f>SUM(K629:M629)/tc</f>
        <v/>
      </c>
    </row>
    <row r="630" outlineLevel="1" ht="15" customHeight="1">
      <c r="A630" s="278" t="inlineStr">
        <is>
          <t>MAT</t>
        </is>
      </c>
      <c r="B630" s="282" t="n"/>
      <c r="C630" s="580" t="n"/>
      <c r="D630" s="305" t="inlineStr">
        <is>
          <t>MAT08-0499</t>
        </is>
      </c>
      <c r="E630" s="618">
        <f>+_xlfn.XLOOKUP(D630,'BASE DATOS PRECIOS '!B:B,'BASE DATOS PRECIOS '!C:C)</f>
        <v/>
      </c>
      <c r="F630" s="301" t="n">
        <v>75</v>
      </c>
      <c r="G630" s="621">
        <f>+_xlfn.XLOOKUP(D630,'BASE DATOS PRECIOS '!B:B,'BASE DATOS PRECIOS '!D:D)</f>
        <v/>
      </c>
      <c r="H630" s="620">
        <f>+_xlfn.XLOOKUP(E630,'BASE DATOS PRECIOS '!C:C,'BASE DATOS PRECIOS '!F:F)</f>
        <v/>
      </c>
      <c r="I630" s="621" t="n"/>
      <c r="J630" s="621" t="n"/>
      <c r="K630" s="620">
        <f>+F630*H630</f>
        <v/>
      </c>
      <c r="L630" s="620">
        <f>+F630*I630</f>
        <v/>
      </c>
      <c r="M630" s="620">
        <f>+F630*J630</f>
        <v/>
      </c>
      <c r="N630" s="620">
        <f>SUM(K630:M630)</f>
        <v/>
      </c>
      <c r="O630" s="622">
        <f>SUM(K630:M630)/tc</f>
        <v/>
      </c>
    </row>
    <row r="631" outlineLevel="1" ht="15" customHeight="1">
      <c r="A631" s="278" t="inlineStr">
        <is>
          <t>MAT</t>
        </is>
      </c>
      <c r="B631" s="282" t="n"/>
      <c r="C631" s="578">
        <f>_xlfn.XLOOKUP(D631,'INSUMOS MAT '!B:B,'INSUMOS MAT '!C:C,"ERROR",0)</f>
        <v/>
      </c>
      <c r="D631" s="305" t="inlineStr">
        <is>
          <t>MAT18-0083</t>
        </is>
      </c>
      <c r="E631" s="618">
        <f>+_xlfn.XLOOKUP(D631,'BASE DATOS PRECIOS '!B:B,'BASE DATOS PRECIOS '!C:C)</f>
        <v/>
      </c>
      <c r="F631" s="301" t="n">
        <v>52</v>
      </c>
      <c r="G631" s="621">
        <f>+_xlfn.XLOOKUP(D631,'BASE DATOS PRECIOS '!B:B,'BASE DATOS PRECIOS '!D:D)</f>
        <v/>
      </c>
      <c r="H631" s="620">
        <f>+_xlfn.XLOOKUP(E631,'BASE DATOS PRECIOS '!C:C,'BASE DATOS PRECIOS '!F:F)</f>
        <v/>
      </c>
      <c r="I631" s="621" t="n"/>
      <c r="J631" s="621" t="n"/>
      <c r="K631" s="620">
        <f>+F631*H631</f>
        <v/>
      </c>
      <c r="L631" s="620">
        <f>+F631*I631</f>
        <v/>
      </c>
      <c r="M631" s="620">
        <f>+F631*J631</f>
        <v/>
      </c>
      <c r="N631" s="620">
        <f>SUM(K631:M631)</f>
        <v/>
      </c>
      <c r="O631" s="622">
        <f>SUM(K631:M631)/tc</f>
        <v/>
      </c>
    </row>
    <row r="632" outlineLevel="1" ht="15" customHeight="1">
      <c r="A632" s="278" t="inlineStr">
        <is>
          <t>MAT</t>
        </is>
      </c>
      <c r="B632" s="282" t="n"/>
      <c r="C632" s="578">
        <f>_xlfn.XLOOKUP(D632,'INSUMOS MAT '!B:B,'INSUMOS MAT '!C:C,"ERROR",0)</f>
        <v/>
      </c>
      <c r="D632" s="305" t="inlineStr">
        <is>
          <t>MAT08-0197</t>
        </is>
      </c>
      <c r="E632" s="618">
        <f>+_xlfn.XLOOKUP(D632,'BASE DATOS PRECIOS '!B:B,'BASE DATOS PRECIOS '!C:C)</f>
        <v/>
      </c>
      <c r="F632" s="301" t="n">
        <v>250</v>
      </c>
      <c r="G632" s="654">
        <f>+_xlfn.XLOOKUP(D632,'BASE DATOS PRECIOS '!B:B,'BASE DATOS PRECIOS '!D:D)</f>
        <v/>
      </c>
      <c r="H632" s="620">
        <f>+_xlfn.XLOOKUP(E632,'BASE DATOS PRECIOS '!C:C,'BASE DATOS PRECIOS '!F:F)</f>
        <v/>
      </c>
      <c r="I632" s="654" t="n"/>
      <c r="J632" s="654" t="n"/>
      <c r="K632" s="655">
        <f>+F632*H632</f>
        <v/>
      </c>
      <c r="L632" s="655">
        <f>+F632*I632</f>
        <v/>
      </c>
      <c r="M632" s="655">
        <f>+F632*J632</f>
        <v/>
      </c>
      <c r="N632" s="655">
        <f>SUM(K632:M632)</f>
        <v/>
      </c>
      <c r="O632" s="656">
        <f>SUM(K632:M632)/tc</f>
        <v/>
      </c>
    </row>
    <row r="633" outlineLevel="1" ht="15" customHeight="1">
      <c r="A633" s="278" t="inlineStr">
        <is>
          <t>MAT</t>
        </is>
      </c>
      <c r="B633" s="282" t="n"/>
      <c r="C633" s="578">
        <f>_xlfn.XLOOKUP(D633,'INSUMOS MAT '!B:B,'INSUMOS MAT '!C:C,"ERROR",0)</f>
        <v/>
      </c>
      <c r="D633" s="305" t="inlineStr">
        <is>
          <t>MAT18-0032</t>
        </is>
      </c>
      <c r="E633" s="618">
        <f>+_xlfn.XLOOKUP(D633,'BASE DATOS PRECIOS '!B:B,'BASE DATOS PRECIOS '!C:C)</f>
        <v/>
      </c>
      <c r="F633" s="301" t="n">
        <v>1</v>
      </c>
      <c r="G633" s="621">
        <f>+_xlfn.XLOOKUP(D633,'BASE DATOS PRECIOS '!B:B,'BASE DATOS PRECIOS '!D:D)</f>
        <v/>
      </c>
      <c r="H633" s="620">
        <f>+_xlfn.XLOOKUP(E633,'BASE DATOS PRECIOS '!C:C,'BASE DATOS PRECIOS '!F:F)</f>
        <v/>
      </c>
      <c r="I633" s="621" t="n"/>
      <c r="J633" s="621" t="n"/>
      <c r="K633" s="620">
        <f>+F633*H633</f>
        <v/>
      </c>
      <c r="L633" s="620">
        <f>+F633*I633</f>
        <v/>
      </c>
      <c r="M633" s="620">
        <f>+F633*J633</f>
        <v/>
      </c>
      <c r="N633" s="620">
        <f>SUM(K633:M633)</f>
        <v/>
      </c>
      <c r="O633" s="622">
        <f>SUM(K633:M633)/tc</f>
        <v/>
      </c>
    </row>
    <row r="634" outlineLevel="1" ht="15" customHeight="1">
      <c r="A634" s="278" t="inlineStr">
        <is>
          <t>MAT</t>
        </is>
      </c>
      <c r="B634" s="282" t="n"/>
      <c r="C634" s="578">
        <f>_xlfn.XLOOKUP(D634,'INSUMOS MAT '!B:B,'INSUMOS MAT '!C:C,"ERROR",0)</f>
        <v/>
      </c>
      <c r="D634" s="305" t="inlineStr">
        <is>
          <t>MAT18-0035</t>
        </is>
      </c>
      <c r="E634" s="618">
        <f>+_xlfn.XLOOKUP(D634,'BASE DATOS PRECIOS '!B:B,'BASE DATOS PRECIOS '!C:C)</f>
        <v/>
      </c>
      <c r="F634" s="301" t="n">
        <v>2</v>
      </c>
      <c r="G634" s="621">
        <f>+_xlfn.XLOOKUP(D634,'BASE DATOS PRECIOS '!B:B,'BASE DATOS PRECIOS '!D:D)</f>
        <v/>
      </c>
      <c r="H634" s="620">
        <f>+_xlfn.XLOOKUP(E634,'BASE DATOS PRECIOS '!C:C,'BASE DATOS PRECIOS '!F:F)</f>
        <v/>
      </c>
      <c r="I634" s="621" t="n"/>
      <c r="J634" s="621" t="n"/>
      <c r="K634" s="620">
        <f>+F634*H634</f>
        <v/>
      </c>
      <c r="L634" s="620">
        <f>+F634*I634</f>
        <v/>
      </c>
      <c r="M634" s="620">
        <f>+F634*J634</f>
        <v/>
      </c>
      <c r="N634" s="620">
        <f>SUM(K634:M634)</f>
        <v/>
      </c>
      <c r="O634" s="622">
        <f>SUM(K634:M634)/tc</f>
        <v/>
      </c>
    </row>
    <row r="635" outlineLevel="1" ht="15" customHeight="1">
      <c r="A635" s="278" t="inlineStr">
        <is>
          <t>MAT</t>
        </is>
      </c>
      <c r="B635" s="282" t="n"/>
      <c r="C635" s="578">
        <f>_xlfn.XLOOKUP(D635,'INSUMOS MAT '!B:B,'INSUMOS MAT '!C:C,"ERROR",0)</f>
        <v/>
      </c>
      <c r="D635" s="305" t="inlineStr">
        <is>
          <t>MAT18-0036</t>
        </is>
      </c>
      <c r="E635" s="618">
        <f>+_xlfn.XLOOKUP(D635,'BASE DATOS PRECIOS '!B:B,'BASE DATOS PRECIOS '!C:C)</f>
        <v/>
      </c>
      <c r="F635" s="301" t="n">
        <v>2</v>
      </c>
      <c r="G635" s="621">
        <f>+_xlfn.XLOOKUP(D635,'BASE DATOS PRECIOS '!B:B,'BASE DATOS PRECIOS '!D:D)</f>
        <v/>
      </c>
      <c r="H635" s="620">
        <f>+_xlfn.XLOOKUP(E635,'BASE DATOS PRECIOS '!C:C,'BASE DATOS PRECIOS '!F:F)</f>
        <v/>
      </c>
      <c r="I635" s="621" t="n"/>
      <c r="J635" s="621" t="n"/>
      <c r="K635" s="620">
        <f>+F635*H635</f>
        <v/>
      </c>
      <c r="L635" s="620">
        <f>+F635*I635</f>
        <v/>
      </c>
      <c r="M635" s="620">
        <f>+F635*J635</f>
        <v/>
      </c>
      <c r="N635" s="620">
        <f>SUM(K635:M635)</f>
        <v/>
      </c>
      <c r="O635" s="622">
        <f>SUM(K635:M635)/tc</f>
        <v/>
      </c>
    </row>
    <row r="636" outlineLevel="1" ht="15" customHeight="1">
      <c r="A636" s="278" t="inlineStr">
        <is>
          <t xml:space="preserve">MO </t>
        </is>
      </c>
      <c r="B636" s="282" t="inlineStr">
        <is>
          <t>09-02-01</t>
        </is>
      </c>
      <c r="C636" s="578" t="n"/>
      <c r="D636" s="386" t="inlineStr">
        <is>
          <t xml:space="preserve">OPERARIO </t>
        </is>
      </c>
      <c r="E636" s="632">
        <f>+_xlfn.XLOOKUP(D636,'BASE DATOS MANO DE OBRA'!A:A,'BASE DATOS MANO DE OBRA'!B:B)</f>
        <v/>
      </c>
      <c r="F636" s="388" t="n">
        <v>22.5</v>
      </c>
      <c r="G636" s="633">
        <f>+_xlfn.XLOOKUP(D636,'BASE DATOS MANO DE OBRA'!A:A,'BASE DATOS MANO DE OBRA'!C:C)</f>
        <v/>
      </c>
      <c r="H636" s="634" t="n">
        <v>0</v>
      </c>
      <c r="I636" s="634">
        <f>+_xlfn.XLOOKUP(D636,'BASE DATOS MANO DE OBRA'!A:A,'BASE DATOS MANO DE OBRA'!E:E)</f>
        <v/>
      </c>
      <c r="J636" s="634" t="n">
        <v>0</v>
      </c>
      <c r="K636" s="634">
        <f>+F636*H636</f>
        <v/>
      </c>
      <c r="L636" s="634">
        <f>+F636*I636</f>
        <v/>
      </c>
      <c r="M636" s="634">
        <f>+F636*J636</f>
        <v/>
      </c>
      <c r="N636" s="634">
        <f>SUM(K636:M636)</f>
        <v/>
      </c>
      <c r="O636" s="635">
        <f>SUM(K636:M636)/tc</f>
        <v/>
      </c>
    </row>
    <row r="637" outlineLevel="1" ht="15" customHeight="1">
      <c r="A637" s="278" t="inlineStr">
        <is>
          <t xml:space="preserve">MO </t>
        </is>
      </c>
      <c r="B637" s="282" t="inlineStr">
        <is>
          <t>09-02-01</t>
        </is>
      </c>
      <c r="C637" s="578" t="n"/>
      <c r="D637" s="386" t="inlineStr">
        <is>
          <t xml:space="preserve">AYUDANTE </t>
        </is>
      </c>
      <c r="E637" s="632">
        <f>+_xlfn.XLOOKUP(D637,'BASE DATOS MANO DE OBRA'!A:A,'BASE DATOS MANO DE OBRA'!B:B)</f>
        <v/>
      </c>
      <c r="F637" s="388" t="n">
        <v>22.5</v>
      </c>
      <c r="G637" s="633">
        <f>+_xlfn.XLOOKUP(D637,'BASE DATOS MANO DE OBRA'!A:A,'BASE DATOS MANO DE OBRA'!C:C)</f>
        <v/>
      </c>
      <c r="H637" s="634" t="n">
        <v>0</v>
      </c>
      <c r="I637" s="634">
        <f>+_xlfn.XLOOKUP(D637,'BASE DATOS MANO DE OBRA'!A:A,'BASE DATOS MANO DE OBRA'!E:E)</f>
        <v/>
      </c>
      <c r="J637" s="634" t="n">
        <v>0</v>
      </c>
      <c r="K637" s="634">
        <f>+F637*H637</f>
        <v/>
      </c>
      <c r="L637" s="634">
        <f>+F637*I637</f>
        <v/>
      </c>
      <c r="M637" s="634">
        <f>+F637*J637</f>
        <v/>
      </c>
      <c r="N637" s="634">
        <f>SUM(K637:M637)</f>
        <v/>
      </c>
      <c r="O637" s="635">
        <f>SUM(K637:M637)/tc</f>
        <v/>
      </c>
    </row>
    <row r="638" ht="15" customHeight="1">
      <c r="A638" s="278" t="n"/>
      <c r="B638" s="282" t="inlineStr">
        <is>
          <t>10</t>
        </is>
      </c>
      <c r="C638" s="578" t="n"/>
      <c r="D638" s="372" t="n">
        <v>10</v>
      </c>
      <c r="E638" s="373" t="inlineStr">
        <is>
          <t xml:space="preserve">OBRAS ADICIONALES </t>
        </is>
      </c>
      <c r="F638" s="374" t="n"/>
      <c r="G638" s="375" t="n"/>
      <c r="H638" s="375" t="n"/>
      <c r="I638" s="375" t="n"/>
      <c r="J638" s="375" t="n"/>
      <c r="K638" s="612">
        <f>K639+K647+K657</f>
        <v/>
      </c>
      <c r="L638" s="612">
        <f>L639+L647+L657</f>
        <v/>
      </c>
      <c r="M638" s="612">
        <f>M639+M647+M657</f>
        <v/>
      </c>
      <c r="N638" s="612">
        <f>N639+N647+N657</f>
        <v/>
      </c>
      <c r="O638" s="665">
        <f>O639+O647+O657</f>
        <v/>
      </c>
    </row>
    <row r="639" ht="15" customHeight="1">
      <c r="A639" s="278" t="n"/>
      <c r="B639" s="282" t="inlineStr">
        <is>
          <t>10-01</t>
        </is>
      </c>
      <c r="C639" s="578" t="n"/>
      <c r="D639" s="307" t="inlineStr">
        <is>
          <t>10.1</t>
        </is>
      </c>
      <c r="E639" s="308" t="inlineStr">
        <is>
          <t xml:space="preserve">ZACATE </t>
        </is>
      </c>
      <c r="F639" s="309" t="n">
        <v>24</v>
      </c>
      <c r="G639" s="310" t="inlineStr">
        <is>
          <t>m2</t>
        </is>
      </c>
      <c r="H639" s="310" t="n"/>
      <c r="I639" s="310" t="n"/>
      <c r="J639" s="310" t="n"/>
      <c r="K639" s="658">
        <f>SUM(K640:K646)</f>
        <v/>
      </c>
      <c r="L639" s="658">
        <f>SUM(L640:L646)</f>
        <v/>
      </c>
      <c r="M639" s="658">
        <f>SUM(M640:M646)</f>
        <v/>
      </c>
      <c r="N639" s="658">
        <f>SUM(N640:N646)</f>
        <v/>
      </c>
      <c r="O639" s="664">
        <f>SUM(O640:O646)</f>
        <v/>
      </c>
    </row>
    <row r="640" outlineLevel="1" ht="15" customHeight="1">
      <c r="A640" s="278" t="inlineStr">
        <is>
          <t>MAT</t>
        </is>
      </c>
      <c r="B640" s="282" t="n"/>
      <c r="C640" s="578">
        <f>_xlfn.XLOOKUP(D640,'INSUMOS MAT '!B:B,'INSUMOS MAT '!C:C,"ERROR",0)</f>
        <v/>
      </c>
      <c r="D640" s="177" t="inlineStr">
        <is>
          <t>MAT22-0001</t>
        </is>
      </c>
      <c r="E640" s="618">
        <f>+_xlfn.XLOOKUP(D640,'BASE DATOS PRECIOS '!B:B,'BASE DATOS PRECIOS '!C:C)</f>
        <v/>
      </c>
      <c r="F640" s="301" t="n">
        <v>24</v>
      </c>
      <c r="G640" s="621">
        <f>+_xlfn.XLOOKUP(D640,'BASE DATOS PRECIOS '!B:B,'BASE DATOS PRECIOS '!D:D)</f>
        <v/>
      </c>
      <c r="H640" s="620">
        <f>+_xlfn.XLOOKUP(E640,'BASE DATOS PRECIOS '!C:C,'BASE DATOS PRECIOS '!F:F)</f>
        <v/>
      </c>
      <c r="I640" s="621" t="n"/>
      <c r="J640" s="621" t="n"/>
      <c r="K640" s="620">
        <f>+F640*H640</f>
        <v/>
      </c>
      <c r="L640" s="620">
        <f>+F640*I640</f>
        <v/>
      </c>
      <c r="M640" s="620">
        <f>+F640*J640</f>
        <v/>
      </c>
      <c r="N640" s="620">
        <f>SUM(K640:M640)</f>
        <v/>
      </c>
      <c r="O640" s="622">
        <f>SUM(K640:M640)/tc</f>
        <v/>
      </c>
    </row>
    <row r="641" outlineLevel="1" ht="15" customHeight="1">
      <c r="A641" s="278" t="inlineStr">
        <is>
          <t>MAT</t>
        </is>
      </c>
      <c r="B641" s="282" t="n"/>
      <c r="C641" s="578">
        <f>_xlfn.XLOOKUP(D641,'INSUMOS MAT '!B:B,'INSUMOS MAT '!C:C,"ERROR",0)</f>
        <v/>
      </c>
      <c r="D641" s="177" t="inlineStr">
        <is>
          <t>MAT08-0099</t>
        </is>
      </c>
      <c r="E641" s="618">
        <f>+_xlfn.XLOOKUP(D641,'BASE DATOS PRECIOS '!B:B,'BASE DATOS PRECIOS '!C:C)</f>
        <v/>
      </c>
      <c r="F641" s="301" t="n">
        <v>0.1</v>
      </c>
      <c r="G641" s="621">
        <f>+_xlfn.XLOOKUP(D641,'BASE DATOS PRECIOS '!B:B,'BASE DATOS PRECIOS '!D:D)</f>
        <v/>
      </c>
      <c r="H641" s="620">
        <f>+_xlfn.XLOOKUP(E641,'BASE DATOS PRECIOS '!C:C,'BASE DATOS PRECIOS '!F:F)</f>
        <v/>
      </c>
      <c r="I641" s="621" t="n"/>
      <c r="J641" s="621" t="n"/>
      <c r="K641" s="620">
        <f>+F641*H641</f>
        <v/>
      </c>
      <c r="L641" s="620">
        <f>+F641*I641</f>
        <v/>
      </c>
      <c r="M641" s="620">
        <f>+F641*J641</f>
        <v/>
      </c>
      <c r="N641" s="620">
        <f>SUM(K641:M641)</f>
        <v/>
      </c>
      <c r="O641" s="622">
        <f>SUM(K641:M641)/tc</f>
        <v/>
      </c>
    </row>
    <row r="642" outlineLevel="1">
      <c r="A642" s="278" t="inlineStr">
        <is>
          <t>MAT</t>
        </is>
      </c>
      <c r="B642" s="282" t="n"/>
      <c r="C642" s="578">
        <f>_xlfn.XLOOKUP(D642,'INSUMOS MAT '!B:B,'INSUMOS MAT '!C:C,"ERROR",0)</f>
        <v/>
      </c>
      <c r="D642" s="177" t="inlineStr">
        <is>
          <t>MAT03-0006</t>
        </is>
      </c>
      <c r="E642" s="618">
        <f>+_xlfn.XLOOKUP(D642,'BASE DATOS PRECIOS '!B:B,'BASE DATOS PRECIOS '!C:C)</f>
        <v/>
      </c>
      <c r="F642" s="301" t="n">
        <v>1.5</v>
      </c>
      <c r="G642" s="621">
        <f>+_xlfn.XLOOKUP(D642,'BASE DATOS PRECIOS '!B:B,'BASE DATOS PRECIOS '!D:D)</f>
        <v/>
      </c>
      <c r="H642" s="620">
        <f>+_xlfn.XLOOKUP(E642,'BASE DATOS PRECIOS '!C:C,'BASE DATOS PRECIOS '!F:F)</f>
        <v/>
      </c>
      <c r="I642" s="621" t="n"/>
      <c r="J642" s="621" t="n"/>
      <c r="K642" s="620">
        <f>+F642*H642</f>
        <v/>
      </c>
      <c r="L642" s="620">
        <f>+F642*I642</f>
        <v/>
      </c>
      <c r="M642" s="620">
        <f>+F642*J642</f>
        <v/>
      </c>
      <c r="N642" s="620">
        <f>SUM(K642:M642)</f>
        <v/>
      </c>
      <c r="O642" s="622">
        <f>SUM(K642:M642)/tc</f>
        <v/>
      </c>
      <c r="P642" s="610" t="n"/>
      <c r="Q642" s="610" t="n"/>
      <c r="R642" s="326" t="n"/>
    </row>
    <row r="643" outlineLevel="1">
      <c r="A643" s="278" t="inlineStr">
        <is>
          <t xml:space="preserve">MO </t>
        </is>
      </c>
      <c r="B643" s="282" t="inlineStr">
        <is>
          <t>10-01-01</t>
        </is>
      </c>
      <c r="C643" s="578" t="n"/>
      <c r="D643" s="386" t="inlineStr">
        <is>
          <t xml:space="preserve">OPERARIO </t>
        </is>
      </c>
      <c r="E643" s="632">
        <f>+_xlfn.XLOOKUP(D643,'BASE DATOS MANO DE OBRA'!A:A,'BASE DATOS MANO DE OBRA'!B:B)</f>
        <v/>
      </c>
      <c r="F643" s="388" t="n">
        <v>5</v>
      </c>
      <c r="G643" s="633">
        <f>+_xlfn.XLOOKUP(D643,'BASE DATOS MANO DE OBRA'!A:A,'BASE DATOS MANO DE OBRA'!C:C)</f>
        <v/>
      </c>
      <c r="H643" s="634" t="n">
        <v>0</v>
      </c>
      <c r="I643" s="634">
        <f>+_xlfn.XLOOKUP(D643,'BASE DATOS MANO DE OBRA'!A:A,'BASE DATOS MANO DE OBRA'!E:E)</f>
        <v/>
      </c>
      <c r="J643" s="634" t="n">
        <v>0</v>
      </c>
      <c r="K643" s="634">
        <f>+F643*H643</f>
        <v/>
      </c>
      <c r="L643" s="634">
        <f>+F643*I643</f>
        <v/>
      </c>
      <c r="M643" s="634">
        <f>+F643*J643</f>
        <v/>
      </c>
      <c r="N643" s="634">
        <f>SUM(K643:M643)</f>
        <v/>
      </c>
      <c r="O643" s="635">
        <f>SUM(K643:M643)/tc</f>
        <v/>
      </c>
      <c r="P643" s="610" t="n"/>
      <c r="Q643" s="610" t="n"/>
      <c r="R643" s="326" t="n"/>
    </row>
    <row r="644" outlineLevel="1">
      <c r="A644" s="278" t="inlineStr">
        <is>
          <t xml:space="preserve">MO </t>
        </is>
      </c>
      <c r="B644" s="282" t="inlineStr">
        <is>
          <t>10-01-01</t>
        </is>
      </c>
      <c r="C644" s="578" t="n"/>
      <c r="D644" s="386" t="inlineStr">
        <is>
          <t xml:space="preserve">AYUDANTE </t>
        </is>
      </c>
      <c r="E644" s="632">
        <f>+_xlfn.XLOOKUP(D644,'BASE DATOS MANO DE OBRA'!A:A,'BASE DATOS MANO DE OBRA'!B:B)</f>
        <v/>
      </c>
      <c r="F644" s="388" t="n">
        <v>5</v>
      </c>
      <c r="G644" s="633">
        <f>+_xlfn.XLOOKUP(D644,'BASE DATOS MANO DE OBRA'!A:A,'BASE DATOS MANO DE OBRA'!C:C)</f>
        <v/>
      </c>
      <c r="H644" s="634" t="n">
        <v>0</v>
      </c>
      <c r="I644" s="634">
        <f>+_xlfn.XLOOKUP(D644,'BASE DATOS MANO DE OBRA'!A:A,'BASE DATOS MANO DE OBRA'!E:E)</f>
        <v/>
      </c>
      <c r="J644" s="634" t="n">
        <v>0</v>
      </c>
      <c r="K644" s="634">
        <f>+F644*H644</f>
        <v/>
      </c>
      <c r="L644" s="634">
        <f>+F644*I644</f>
        <v/>
      </c>
      <c r="M644" s="634">
        <f>+F644*J644</f>
        <v/>
      </c>
      <c r="N644" s="634">
        <f>SUM(K644:M644)</f>
        <v/>
      </c>
      <c r="O644" s="635">
        <f>SUM(K644:M644)/tc</f>
        <v/>
      </c>
      <c r="P644" s="610" t="n"/>
      <c r="Q644" s="610" t="n"/>
      <c r="R644" s="326" t="n"/>
    </row>
    <row r="645" outlineLevel="1">
      <c r="A645" s="278" t="inlineStr">
        <is>
          <t xml:space="preserve">MO </t>
        </is>
      </c>
      <c r="B645" s="282" t="inlineStr">
        <is>
          <t>10-01-02</t>
        </is>
      </c>
      <c r="C645" s="578" t="n"/>
      <c r="D645" s="386" t="inlineStr">
        <is>
          <t xml:space="preserve">OPERARIO </t>
        </is>
      </c>
      <c r="E645" s="632">
        <f>+_xlfn.XLOOKUP(D645,'BASE DATOS MANO DE OBRA'!A:A,'BASE DATOS MANO DE OBRA'!B:B)</f>
        <v/>
      </c>
      <c r="F645" s="388" t="n">
        <v>7.5</v>
      </c>
      <c r="G645" s="633">
        <f>+_xlfn.XLOOKUP(D645,'BASE DATOS MANO DE OBRA'!A:A,'BASE DATOS MANO DE OBRA'!C:C)</f>
        <v/>
      </c>
      <c r="H645" s="634" t="n">
        <v>0</v>
      </c>
      <c r="I645" s="634">
        <f>+_xlfn.XLOOKUP(D645,'BASE DATOS MANO DE OBRA'!A:A,'BASE DATOS MANO DE OBRA'!E:E)</f>
        <v/>
      </c>
      <c r="J645" s="634" t="n">
        <v>0</v>
      </c>
      <c r="K645" s="634">
        <f>+F645*H645</f>
        <v/>
      </c>
      <c r="L645" s="634">
        <f>+F645*I645</f>
        <v/>
      </c>
      <c r="M645" s="634">
        <f>+F645*J645</f>
        <v/>
      </c>
      <c r="N645" s="634">
        <f>SUM(K645:M645)</f>
        <v/>
      </c>
      <c r="O645" s="635">
        <f>SUM(K645:M645)/tc</f>
        <v/>
      </c>
      <c r="P645" s="610" t="n"/>
      <c r="Q645" s="610" t="n"/>
      <c r="R645" s="326" t="n"/>
    </row>
    <row r="646" outlineLevel="1">
      <c r="A646" s="278" t="inlineStr">
        <is>
          <t xml:space="preserve">MO </t>
        </is>
      </c>
      <c r="B646" s="282" t="inlineStr">
        <is>
          <t>10-01-02</t>
        </is>
      </c>
      <c r="C646" s="578" t="n"/>
      <c r="D646" s="386" t="inlineStr">
        <is>
          <t xml:space="preserve">AYUDANTE </t>
        </is>
      </c>
      <c r="E646" s="632">
        <f>+_xlfn.XLOOKUP(D646,'BASE DATOS MANO DE OBRA'!A:A,'BASE DATOS MANO DE OBRA'!B:B)</f>
        <v/>
      </c>
      <c r="F646" s="388" t="n">
        <v>7.5</v>
      </c>
      <c r="G646" s="633">
        <f>+_xlfn.XLOOKUP(D646,'BASE DATOS MANO DE OBRA'!A:A,'BASE DATOS MANO DE OBRA'!C:C)</f>
        <v/>
      </c>
      <c r="H646" s="634" t="n">
        <v>0</v>
      </c>
      <c r="I646" s="634">
        <f>+_xlfn.XLOOKUP(D646,'BASE DATOS MANO DE OBRA'!A:A,'BASE DATOS MANO DE OBRA'!E:E)</f>
        <v/>
      </c>
      <c r="J646" s="634" t="n">
        <v>0</v>
      </c>
      <c r="K646" s="634">
        <f>+F646*H646</f>
        <v/>
      </c>
      <c r="L646" s="634">
        <f>+F646*I646</f>
        <v/>
      </c>
      <c r="M646" s="634">
        <f>+F646*J646</f>
        <v/>
      </c>
      <c r="N646" s="634">
        <f>SUM(K646:M646)</f>
        <v/>
      </c>
      <c r="O646" s="635">
        <f>SUM(K646:M646)/tc</f>
        <v/>
      </c>
      <c r="P646" s="610" t="n"/>
      <c r="Q646" s="610" t="n"/>
      <c r="R646" s="326" t="n"/>
    </row>
    <row r="647" ht="15" customHeight="1">
      <c r="A647" s="278" t="n"/>
      <c r="B647" s="282" t="inlineStr">
        <is>
          <t>10-02</t>
        </is>
      </c>
      <c r="C647" s="578" t="n"/>
      <c r="D647" s="307" t="inlineStr">
        <is>
          <t>10.2</t>
        </is>
      </c>
      <c r="E647" s="308" t="inlineStr">
        <is>
          <t xml:space="preserve">TAPIAS PREFABRICADAS </t>
        </is>
      </c>
      <c r="F647" s="309" t="n">
        <v>1</v>
      </c>
      <c r="G647" s="310" t="inlineStr">
        <is>
          <t>gb</t>
        </is>
      </c>
      <c r="H647" s="310" t="n"/>
      <c r="I647" s="310" t="n"/>
      <c r="J647" s="310" t="n"/>
      <c r="K647" s="658">
        <f>SUM(K648:K656)</f>
        <v/>
      </c>
      <c r="L647" s="658">
        <f>SUM(L648:L656)</f>
        <v/>
      </c>
      <c r="M647" s="658">
        <f>SUM(M648:M656)</f>
        <v/>
      </c>
      <c r="N647" s="658">
        <f>SUM(N648:N656)</f>
        <v/>
      </c>
      <c r="O647" s="664">
        <f>SUM(O648:O656)</f>
        <v/>
      </c>
      <c r="P647" s="616" t="n"/>
    </row>
    <row r="648" outlineLevel="1" ht="15" customHeight="1">
      <c r="A648" s="278" t="inlineStr">
        <is>
          <t>MAT</t>
        </is>
      </c>
      <c r="B648" s="282" t="n"/>
      <c r="C648" s="578">
        <f>_xlfn.XLOOKUP(D648,'INSUMOS MAT '!B:B,'INSUMOS MAT '!C:C,"ERROR",0)</f>
        <v/>
      </c>
      <c r="D648" s="305" t="inlineStr">
        <is>
          <t>MAT04-0049</t>
        </is>
      </c>
      <c r="E648" s="618">
        <f>+_xlfn.XLOOKUP(D648,'BASE DATOS PRECIOS '!B:B,'BASE DATOS PRECIOS '!C:C)</f>
        <v/>
      </c>
      <c r="F648" s="322" t="n">
        <v>1</v>
      </c>
      <c r="G648" s="621">
        <f>+_xlfn.XLOOKUP(D648,'BASE DATOS PRECIOS '!B:B,'BASE DATOS PRECIOS '!D:D)</f>
        <v/>
      </c>
      <c r="H648" s="620">
        <f>+_xlfn.XLOOKUP(E648,'BASE DATOS PRECIOS '!C:C,'BASE DATOS PRECIOS '!F:F)</f>
        <v/>
      </c>
      <c r="I648" s="621" t="n"/>
      <c r="J648" s="621" t="n"/>
      <c r="K648" s="620">
        <f>+F648*H648</f>
        <v/>
      </c>
      <c r="L648" s="620">
        <f>+F648*I648</f>
        <v/>
      </c>
      <c r="M648" s="620">
        <f>+F648*J648</f>
        <v/>
      </c>
      <c r="N648" s="620">
        <f>SUM(K648:M648)</f>
        <v/>
      </c>
      <c r="O648" s="622">
        <f>SUM(K648:M648)/tc</f>
        <v/>
      </c>
      <c r="P648" s="616" t="n"/>
    </row>
    <row r="649" outlineLevel="1">
      <c r="A649" s="278" t="inlineStr">
        <is>
          <t>MAT</t>
        </is>
      </c>
      <c r="B649" s="282" t="n"/>
      <c r="C649" s="578">
        <f>_xlfn.XLOOKUP(D649,'INSUMOS MAT '!B:B,'INSUMOS MAT '!C:C,"ERROR",0)</f>
        <v/>
      </c>
      <c r="D649" s="305" t="inlineStr">
        <is>
          <t>MAT04-0050</t>
        </is>
      </c>
      <c r="E649" s="618">
        <f>+_xlfn.XLOOKUP(D649,'BASE DATOS PRECIOS '!B:B,'BASE DATOS PRECIOS '!C:C)</f>
        <v/>
      </c>
      <c r="F649" s="322" t="n">
        <v>6</v>
      </c>
      <c r="G649" s="621">
        <f>+_xlfn.XLOOKUP(D649,'BASE DATOS PRECIOS '!B:B,'BASE DATOS PRECIOS '!D:D)</f>
        <v/>
      </c>
      <c r="H649" s="620">
        <f>+_xlfn.XLOOKUP(E649,'BASE DATOS PRECIOS '!C:C,'BASE DATOS PRECIOS '!F:F)</f>
        <v/>
      </c>
      <c r="I649" s="621" t="n"/>
      <c r="J649" s="621" t="n"/>
      <c r="K649" s="620">
        <f>+F649*H649</f>
        <v/>
      </c>
      <c r="L649" s="620">
        <f>+F649*I649</f>
        <v/>
      </c>
      <c r="M649" s="620">
        <f>+F649*J649</f>
        <v/>
      </c>
      <c r="N649" s="620">
        <f>SUM(K649:M649)</f>
        <v/>
      </c>
      <c r="O649" s="622">
        <f>SUM(K649:M649)/tc</f>
        <v/>
      </c>
      <c r="P649" s="610" t="n"/>
      <c r="Q649" s="610" t="n"/>
      <c r="R649" s="326" t="n"/>
    </row>
    <row r="650" outlineLevel="1" ht="15" customHeight="1">
      <c r="A650" s="278" t="inlineStr">
        <is>
          <t>MAT</t>
        </is>
      </c>
      <c r="B650" s="282" t="n"/>
      <c r="C650" s="578">
        <f>_xlfn.XLOOKUP(D650,'INSUMOS MAT '!B:B,'INSUMOS MAT '!C:C,"ERROR",0)</f>
        <v/>
      </c>
      <c r="D650" s="305" t="inlineStr">
        <is>
          <t>MAT04-0052</t>
        </is>
      </c>
      <c r="E650" s="618">
        <f>+_xlfn.XLOOKUP(D650,'BASE DATOS PRECIOS '!B:B,'BASE DATOS PRECIOS '!C:C)</f>
        <v/>
      </c>
      <c r="F650" s="322" t="n">
        <v>30</v>
      </c>
      <c r="G650" s="621">
        <f>+_xlfn.XLOOKUP(D650,'BASE DATOS PRECIOS '!B:B,'BASE DATOS PRECIOS '!D:D)</f>
        <v/>
      </c>
      <c r="H650" s="620">
        <f>+_xlfn.XLOOKUP(E650,'BASE DATOS PRECIOS '!C:C,'BASE DATOS PRECIOS '!F:F)</f>
        <v/>
      </c>
      <c r="I650" s="621" t="n"/>
      <c r="J650" s="621" t="n"/>
      <c r="K650" s="620">
        <f>+F650*H650</f>
        <v/>
      </c>
      <c r="L650" s="620">
        <f>+F650*I650</f>
        <v/>
      </c>
      <c r="M650" s="620">
        <f>+F650*J650</f>
        <v/>
      </c>
      <c r="N650" s="620">
        <f>SUM(K650:M650)</f>
        <v/>
      </c>
      <c r="O650" s="622">
        <f>SUM(K650:M650)/tc</f>
        <v/>
      </c>
    </row>
    <row r="651" outlineLevel="1" ht="15" customHeight="1">
      <c r="A651" s="278" t="inlineStr">
        <is>
          <t>MAT</t>
        </is>
      </c>
      <c r="B651" s="282" t="n"/>
      <c r="C651" s="578">
        <f>_xlfn.XLOOKUP(D651,'INSUMOS MAT '!B:B,'INSUMOS MAT '!C:C,"ERROR",0)</f>
        <v/>
      </c>
      <c r="D651" s="473" t="inlineStr">
        <is>
          <t>MAT08-0116</t>
        </is>
      </c>
      <c r="E651" s="653">
        <f>+_xlfn.XLOOKUP(D651,'BASE DATOS PRECIOS '!B:B,'BASE DATOS PRECIOS '!C:C)</f>
        <v/>
      </c>
      <c r="F651" s="322" t="n">
        <v>0.5</v>
      </c>
      <c r="G651" s="654">
        <f>+_xlfn.XLOOKUP(D651,'BASE DATOS PRECIOS '!B:B,'BASE DATOS PRECIOS '!D:D)</f>
        <v/>
      </c>
      <c r="H651" s="655">
        <f>+_xlfn.XLOOKUP(E651,'BASE DATOS PRECIOS '!C:C,'BASE DATOS PRECIOS '!F:F)</f>
        <v/>
      </c>
      <c r="I651" s="654" t="n"/>
      <c r="J651" s="654" t="n"/>
      <c r="K651" s="655">
        <f>+F651*H651</f>
        <v/>
      </c>
      <c r="L651" s="655">
        <f>+F651*I651</f>
        <v/>
      </c>
      <c r="M651" s="655">
        <f>+F651*J651</f>
        <v/>
      </c>
      <c r="N651" s="655">
        <f>SUM(K651:M651)</f>
        <v/>
      </c>
      <c r="O651" s="656">
        <f>SUM(K651:M651)/tc</f>
        <v/>
      </c>
    </row>
    <row r="652" outlineLevel="1" ht="15" customHeight="1">
      <c r="A652" s="278" t="inlineStr">
        <is>
          <t>MAT</t>
        </is>
      </c>
      <c r="B652" s="282" t="n"/>
      <c r="C652" s="578">
        <f>_xlfn.XLOOKUP(D652,'INSUMOS MAT '!B:B,'INSUMOS MAT '!C:C,"ERROR",0)</f>
        <v/>
      </c>
      <c r="D652" s="473" t="inlineStr">
        <is>
          <t>MAT02-0038</t>
        </is>
      </c>
      <c r="E652" s="653">
        <f>+_xlfn.XLOOKUP(D652,'BASE DATOS PRECIOS '!B:B,'BASE DATOS PRECIOS '!C:C)</f>
        <v/>
      </c>
      <c r="F652" s="322" t="n">
        <v>2</v>
      </c>
      <c r="G652" s="654">
        <f>+_xlfn.XLOOKUP(D652,'BASE DATOS PRECIOS '!B:B,'BASE DATOS PRECIOS '!D:D)</f>
        <v/>
      </c>
      <c r="H652" s="655">
        <f>+_xlfn.XLOOKUP(E652,'BASE DATOS PRECIOS '!C:C,'BASE DATOS PRECIOS '!F:F)</f>
        <v/>
      </c>
      <c r="I652" s="654" t="n"/>
      <c r="J652" s="654" t="n"/>
      <c r="K652" s="655">
        <f>+F652*H652</f>
        <v/>
      </c>
      <c r="L652" s="655">
        <f>+F652*I652</f>
        <v/>
      </c>
      <c r="M652" s="655">
        <f>+F652*J652</f>
        <v/>
      </c>
      <c r="N652" s="655">
        <f>SUM(K652:M652)</f>
        <v/>
      </c>
      <c r="O652" s="656">
        <f>SUM(K652:M652)/tc</f>
        <v/>
      </c>
    </row>
    <row r="653" outlineLevel="1" ht="15" customHeight="1">
      <c r="A653" s="278" t="inlineStr">
        <is>
          <t xml:space="preserve">MO </t>
        </is>
      </c>
      <c r="B653" s="282" t="inlineStr">
        <is>
          <t>10-02-01</t>
        </is>
      </c>
      <c r="C653" s="578" t="n"/>
      <c r="D653" s="386" t="inlineStr">
        <is>
          <t xml:space="preserve">OPERARIO </t>
        </is>
      </c>
      <c r="E653" s="632">
        <f>+_xlfn.XLOOKUP(D653,'BASE DATOS MANO DE OBRA'!A:A,'BASE DATOS MANO DE OBRA'!B:B)</f>
        <v/>
      </c>
      <c r="F653" s="388" t="n">
        <v>22.5</v>
      </c>
      <c r="G653" s="633">
        <f>+_xlfn.XLOOKUP(D653,'BASE DATOS MANO DE OBRA'!A:A,'BASE DATOS MANO DE OBRA'!C:C)</f>
        <v/>
      </c>
      <c r="H653" s="634" t="n">
        <v>0</v>
      </c>
      <c r="I653" s="634">
        <f>+_xlfn.XLOOKUP(D653,'BASE DATOS MANO DE OBRA'!A:A,'BASE DATOS MANO DE OBRA'!E:E)</f>
        <v/>
      </c>
      <c r="J653" s="634" t="n">
        <v>0</v>
      </c>
      <c r="K653" s="634">
        <f>+F653*H653</f>
        <v/>
      </c>
      <c r="L653" s="634">
        <f>+F653*I653</f>
        <v/>
      </c>
      <c r="M653" s="634">
        <f>+F653*J653</f>
        <v/>
      </c>
      <c r="N653" s="634">
        <f>SUM(K653:M653)</f>
        <v/>
      </c>
      <c r="O653" s="635">
        <f>SUM(K653:M653)/tc</f>
        <v/>
      </c>
    </row>
    <row r="654" outlineLevel="1" ht="15" customHeight="1">
      <c r="A654" s="278" t="inlineStr">
        <is>
          <t xml:space="preserve">MO </t>
        </is>
      </c>
      <c r="B654" s="282" t="inlineStr">
        <is>
          <t>10-02-01</t>
        </is>
      </c>
      <c r="C654" s="578" t="n"/>
      <c r="D654" s="386" t="inlineStr">
        <is>
          <t xml:space="preserve">AYUDANTE </t>
        </is>
      </c>
      <c r="E654" s="632">
        <f>+_xlfn.XLOOKUP(D654,'BASE DATOS MANO DE OBRA'!A:A,'BASE DATOS MANO DE OBRA'!B:B)</f>
        <v/>
      </c>
      <c r="F654" s="388" t="n">
        <v>22.5</v>
      </c>
      <c r="G654" s="633">
        <f>+_xlfn.XLOOKUP(D654,'BASE DATOS MANO DE OBRA'!A:A,'BASE DATOS MANO DE OBRA'!C:C)</f>
        <v/>
      </c>
      <c r="H654" s="634" t="n">
        <v>0</v>
      </c>
      <c r="I654" s="634">
        <f>+_xlfn.XLOOKUP(D654,'BASE DATOS MANO DE OBRA'!A:A,'BASE DATOS MANO DE OBRA'!E:E)</f>
        <v/>
      </c>
      <c r="J654" s="634" t="n">
        <v>0</v>
      </c>
      <c r="K654" s="634">
        <f>+F654*H654</f>
        <v/>
      </c>
      <c r="L654" s="634">
        <f>+F654*I654</f>
        <v/>
      </c>
      <c r="M654" s="634">
        <f>+F654*J654</f>
        <v/>
      </c>
      <c r="N654" s="634">
        <f>SUM(K654:M654)</f>
        <v/>
      </c>
      <c r="O654" s="635">
        <f>SUM(K654:M654)/tc</f>
        <v/>
      </c>
    </row>
    <row r="655" outlineLevel="1" ht="15" customHeight="1">
      <c r="A655" s="278" t="inlineStr">
        <is>
          <t xml:space="preserve">MO </t>
        </is>
      </c>
      <c r="B655" s="282" t="inlineStr">
        <is>
          <t>10-02-02</t>
        </is>
      </c>
      <c r="C655" s="578" t="n"/>
      <c r="D655" s="386" t="inlineStr">
        <is>
          <t xml:space="preserve">OPERARIO </t>
        </is>
      </c>
      <c r="E655" s="632">
        <f>+_xlfn.XLOOKUP(D655,'BASE DATOS MANO DE OBRA'!A:A,'BASE DATOS MANO DE OBRA'!B:B)</f>
        <v/>
      </c>
      <c r="F655" s="388" t="n">
        <v>4</v>
      </c>
      <c r="G655" s="633">
        <f>+_xlfn.XLOOKUP(D655,'BASE DATOS MANO DE OBRA'!A:A,'BASE DATOS MANO DE OBRA'!C:C)</f>
        <v/>
      </c>
      <c r="H655" s="634" t="n">
        <v>0</v>
      </c>
      <c r="I655" s="634">
        <f>+_xlfn.XLOOKUP(D655,'BASE DATOS MANO DE OBRA'!A:A,'BASE DATOS MANO DE OBRA'!E:E)</f>
        <v/>
      </c>
      <c r="J655" s="634" t="n">
        <v>0</v>
      </c>
      <c r="K655" s="634">
        <f>+F655*H655</f>
        <v/>
      </c>
      <c r="L655" s="634">
        <f>+F655*I655</f>
        <v/>
      </c>
      <c r="M655" s="634">
        <f>+F655*J655</f>
        <v/>
      </c>
      <c r="N655" s="634">
        <f>SUM(K655:M655)</f>
        <v/>
      </c>
      <c r="O655" s="635">
        <f>SUM(K655:M655)/tc</f>
        <v/>
      </c>
    </row>
    <row r="656" outlineLevel="1" ht="15" customHeight="1">
      <c r="A656" s="278" t="inlineStr">
        <is>
          <t xml:space="preserve">MO </t>
        </is>
      </c>
      <c r="B656" s="282" t="inlineStr">
        <is>
          <t>10-02-02</t>
        </is>
      </c>
      <c r="C656" s="578" t="n"/>
      <c r="D656" s="386" t="inlineStr">
        <is>
          <t xml:space="preserve">AYUDANTE </t>
        </is>
      </c>
      <c r="E656" s="632">
        <f>+_xlfn.XLOOKUP(D656,'BASE DATOS MANO DE OBRA'!A:A,'BASE DATOS MANO DE OBRA'!B:B)</f>
        <v/>
      </c>
      <c r="F656" s="388" t="n">
        <v>4</v>
      </c>
      <c r="G656" s="633">
        <f>+_xlfn.XLOOKUP(D656,'BASE DATOS MANO DE OBRA'!A:A,'BASE DATOS MANO DE OBRA'!C:C)</f>
        <v/>
      </c>
      <c r="H656" s="634" t="n">
        <v>0</v>
      </c>
      <c r="I656" s="634">
        <f>+_xlfn.XLOOKUP(D656,'BASE DATOS MANO DE OBRA'!A:A,'BASE DATOS MANO DE OBRA'!E:E)</f>
        <v/>
      </c>
      <c r="J656" s="634" t="n">
        <v>0</v>
      </c>
      <c r="K656" s="634">
        <f>+F656*H656</f>
        <v/>
      </c>
      <c r="L656" s="634">
        <f>+F656*I656</f>
        <v/>
      </c>
      <c r="M656" s="634">
        <f>+F656*J656</f>
        <v/>
      </c>
      <c r="N656" s="634">
        <f>SUM(K656:M656)</f>
        <v/>
      </c>
      <c r="O656" s="635">
        <f>SUM(K656:M656)/tc</f>
        <v/>
      </c>
    </row>
    <row r="657" ht="15" customHeight="1">
      <c r="A657" s="278" t="n"/>
      <c r="B657" s="282" t="inlineStr">
        <is>
          <t>10-03</t>
        </is>
      </c>
      <c r="C657" s="578" t="n"/>
      <c r="D657" s="307" t="inlineStr">
        <is>
          <t>10.3</t>
        </is>
      </c>
      <c r="E657" s="308" t="inlineStr">
        <is>
          <t>ACERAS</t>
        </is>
      </c>
      <c r="F657" s="309" t="n">
        <v>11.78</v>
      </c>
      <c r="G657" s="310" t="inlineStr">
        <is>
          <t>m2</t>
        </is>
      </c>
      <c r="H657" s="310" t="n"/>
      <c r="I657" s="310" t="n"/>
      <c r="J657" s="310" t="n"/>
      <c r="K657" s="658">
        <f>SUM(K658:K666)</f>
        <v/>
      </c>
      <c r="L657" s="658">
        <f>SUM(L658:L666)</f>
        <v/>
      </c>
      <c r="M657" s="658">
        <f>SUM(M658:M666)</f>
        <v/>
      </c>
      <c r="N657" s="658">
        <f>SUM(N658:N666)</f>
        <v/>
      </c>
      <c r="O657" s="664">
        <f>SUM(O658:O666)</f>
        <v/>
      </c>
    </row>
    <row r="658" outlineLevel="1" ht="15" customHeight="1">
      <c r="A658" s="278" t="inlineStr">
        <is>
          <t>MAT</t>
        </is>
      </c>
      <c r="B658" s="282" t="n"/>
      <c r="C658" s="578">
        <f>_xlfn.XLOOKUP(D658,'INSUMOS MAT '!B:B,'INSUMOS MAT '!C:C,"ERROR",0)</f>
        <v/>
      </c>
      <c r="D658" s="305" t="inlineStr">
        <is>
          <t>MAT04-0062</t>
        </is>
      </c>
      <c r="E658" s="623">
        <f>+_xlfn.XLOOKUP(D658,'BASE DATOS PRECIOS '!B:B,'BASE DATOS PRECIOS '!C:C)</f>
        <v/>
      </c>
      <c r="F658" s="287" t="n">
        <v>412</v>
      </c>
      <c r="G658" s="621">
        <f>+_xlfn.XLOOKUP(D658,'BASE DATOS PRECIOS '!B:B,'BASE DATOS PRECIOS '!D:D)</f>
        <v/>
      </c>
      <c r="H658" s="620">
        <f>+_xlfn.XLOOKUP(E658,'BASE DATOS PRECIOS '!C:C,'BASE DATOS PRECIOS '!F:F)</f>
        <v/>
      </c>
      <c r="I658" s="621" t="n"/>
      <c r="J658" s="621" t="n"/>
      <c r="K658" s="620">
        <f>+F658*H658</f>
        <v/>
      </c>
      <c r="L658" s="620">
        <f>+F658*I658</f>
        <v/>
      </c>
      <c r="M658" s="620">
        <f>+F658*J658</f>
        <v/>
      </c>
      <c r="N658" s="620">
        <f>SUM(K658:M658)</f>
        <v/>
      </c>
      <c r="O658" s="622">
        <f>SUM(K658:M658)/tc</f>
        <v/>
      </c>
    </row>
    <row r="659" outlineLevel="1" ht="15" customHeight="1">
      <c r="A659" s="278" t="inlineStr">
        <is>
          <t>MAT</t>
        </is>
      </c>
      <c r="B659" s="282" t="n"/>
      <c r="C659" s="578">
        <f>_xlfn.XLOOKUP(D659,'INSUMOS MAT '!B:B,'INSUMOS MAT '!C:C,"ERROR",0)</f>
        <v/>
      </c>
      <c r="D659" s="305" t="inlineStr">
        <is>
          <t>MAT03-0006</t>
        </is>
      </c>
      <c r="E659" s="623">
        <f>+_xlfn.XLOOKUP(D659,'BASE DATOS PRECIOS '!B:B,'BASE DATOS PRECIOS '!C:C)</f>
        <v/>
      </c>
      <c r="F659" s="287" t="n">
        <v>1</v>
      </c>
      <c r="G659" s="621">
        <f>+_xlfn.XLOOKUP(D659,'BASE DATOS PRECIOS '!B:B,'BASE DATOS PRECIOS '!D:D)</f>
        <v/>
      </c>
      <c r="H659" s="620">
        <f>+_xlfn.XLOOKUP(E659,'BASE DATOS PRECIOS '!C:C,'BASE DATOS PRECIOS '!F:F)</f>
        <v/>
      </c>
      <c r="I659" s="621" t="n"/>
      <c r="J659" s="621" t="n"/>
      <c r="K659" s="620">
        <f>+F659*H659</f>
        <v/>
      </c>
      <c r="L659" s="620">
        <f>+F659*I659</f>
        <v/>
      </c>
      <c r="M659" s="620">
        <f>+F659*J659</f>
        <v/>
      </c>
      <c r="N659" s="620">
        <f>SUM(K659:M659)</f>
        <v/>
      </c>
      <c r="O659" s="622">
        <f>SUM(K659:M659)/tc</f>
        <v/>
      </c>
    </row>
    <row r="660" outlineLevel="1" ht="15" customHeight="1">
      <c r="A660" s="278" t="inlineStr">
        <is>
          <t>MAT</t>
        </is>
      </c>
      <c r="B660" s="282" t="n"/>
      <c r="C660" s="578">
        <f>_xlfn.XLOOKUP(D660,'INSUMOS MAT '!B:B,'INSUMOS MAT '!C:C,"ERROR",0)</f>
        <v/>
      </c>
      <c r="D660" s="305" t="inlineStr">
        <is>
          <t>MAT03-0002</t>
        </is>
      </c>
      <c r="E660" s="623">
        <f>+_xlfn.XLOOKUP(D660,'BASE DATOS PRECIOS '!B:B,'BASE DATOS PRECIOS '!C:C)</f>
        <v/>
      </c>
      <c r="F660" s="287" t="n">
        <v>1</v>
      </c>
      <c r="G660" s="621">
        <f>+_xlfn.XLOOKUP(D660,'BASE DATOS PRECIOS '!B:B,'BASE DATOS PRECIOS '!D:D)</f>
        <v/>
      </c>
      <c r="H660" s="620">
        <f>+_xlfn.XLOOKUP(E660,'BASE DATOS PRECIOS '!C:C,'BASE DATOS PRECIOS '!F:F)</f>
        <v/>
      </c>
      <c r="I660" s="621" t="n"/>
      <c r="J660" s="621" t="n"/>
      <c r="K660" s="620">
        <f>+F660*H660</f>
        <v/>
      </c>
      <c r="L660" s="620">
        <f>+F660*I660</f>
        <v/>
      </c>
      <c r="M660" s="620">
        <f>+F660*J660</f>
        <v/>
      </c>
      <c r="N660" s="620">
        <f>SUM(K660:M660)</f>
        <v/>
      </c>
      <c r="O660" s="622">
        <f>SUM(K660:M660)/tc</f>
        <v/>
      </c>
    </row>
    <row r="661" outlineLevel="1" ht="15" customHeight="1">
      <c r="A661" s="278" t="inlineStr">
        <is>
          <t>MAT</t>
        </is>
      </c>
      <c r="B661" s="282" t="n"/>
      <c r="C661" s="578">
        <f>_xlfn.XLOOKUP(D661,'INSUMOS MAT '!B:B,'INSUMOS MAT '!C:C,"ERROR",0)</f>
        <v/>
      </c>
      <c r="D661" s="305" t="inlineStr">
        <is>
          <t>MAT22-0002</t>
        </is>
      </c>
      <c r="E661" s="623">
        <f>+_xlfn.XLOOKUP(D661,'BASE DATOS PRECIOS '!B:B,'BASE DATOS PRECIOS '!C:C)</f>
        <v/>
      </c>
      <c r="F661" s="287" t="n">
        <v>40</v>
      </c>
      <c r="G661" s="621">
        <f>+_xlfn.XLOOKUP(D661,'BASE DATOS PRECIOS '!B:B,'BASE DATOS PRECIOS '!D:D)</f>
        <v/>
      </c>
      <c r="H661" s="620">
        <f>+_xlfn.XLOOKUP(E661,'BASE DATOS PRECIOS '!C:C,'BASE DATOS PRECIOS '!F:F)</f>
        <v/>
      </c>
      <c r="I661" s="621" t="n"/>
      <c r="J661" s="621" t="n"/>
      <c r="K661" s="620">
        <f>+F661*H661</f>
        <v/>
      </c>
      <c r="L661" s="620">
        <f>+F661*I661</f>
        <v/>
      </c>
      <c r="M661" s="620">
        <f>+F661*J661</f>
        <v/>
      </c>
      <c r="N661" s="620">
        <f>SUM(K661:M661)</f>
        <v/>
      </c>
      <c r="O661" s="622">
        <f>SUM(K661:M661)/tc</f>
        <v/>
      </c>
    </row>
    <row r="662" outlineLevel="1" ht="15" customHeight="1">
      <c r="A662" s="278" t="inlineStr">
        <is>
          <t>MAT</t>
        </is>
      </c>
      <c r="B662" s="282" t="n"/>
      <c r="C662" s="578">
        <f>_xlfn.XLOOKUP(D662,'INSUMOS MAT '!B:B,'INSUMOS MAT '!C:C,"ERROR",0)</f>
        <v/>
      </c>
      <c r="D662" s="305" t="inlineStr">
        <is>
          <t>MAT03-0007</t>
        </is>
      </c>
      <c r="E662" s="623">
        <f>+_xlfn.XLOOKUP(D662,'BASE DATOS PRECIOS '!B:B,'BASE DATOS PRECIOS '!C:C)</f>
        <v/>
      </c>
      <c r="F662" s="287" t="n">
        <v>0.5</v>
      </c>
      <c r="G662" s="621">
        <f>+_xlfn.XLOOKUP(D662,'BASE DATOS PRECIOS '!B:B,'BASE DATOS PRECIOS '!D:D)</f>
        <v/>
      </c>
      <c r="H662" s="620">
        <f>+_xlfn.XLOOKUP(E662,'BASE DATOS PRECIOS '!C:C,'BASE DATOS PRECIOS '!F:F)</f>
        <v/>
      </c>
      <c r="I662" s="621" t="n"/>
      <c r="J662" s="621" t="n"/>
      <c r="K662" s="620">
        <f>+F662*H662</f>
        <v/>
      </c>
      <c r="L662" s="620">
        <f>+F662*I662</f>
        <v/>
      </c>
      <c r="M662" s="620">
        <f>+F662*J662</f>
        <v/>
      </c>
      <c r="N662" s="620">
        <f>SUM(K662:M662)</f>
        <v/>
      </c>
      <c r="O662" s="622">
        <f>SUM(K662:M662)/tc</f>
        <v/>
      </c>
    </row>
    <row r="663" outlineLevel="1" ht="15" customHeight="1">
      <c r="A663" s="278" t="inlineStr">
        <is>
          <t xml:space="preserve">MO </t>
        </is>
      </c>
      <c r="B663" s="282" t="inlineStr">
        <is>
          <t>10-03-01</t>
        </is>
      </c>
      <c r="C663" s="578" t="n"/>
      <c r="D663" s="386" t="inlineStr">
        <is>
          <t xml:space="preserve">OPERARIO </t>
        </is>
      </c>
      <c r="E663" s="632">
        <f>+_xlfn.XLOOKUP(D663,'BASE DATOS MANO DE OBRA'!A:A,'BASE DATOS MANO DE OBRA'!B:B)</f>
        <v/>
      </c>
      <c r="F663" s="388" t="n">
        <v>2.5</v>
      </c>
      <c r="G663" s="633">
        <f>+_xlfn.XLOOKUP(D663,'BASE DATOS MANO DE OBRA'!A:A,'BASE DATOS MANO DE OBRA'!C:C)</f>
        <v/>
      </c>
      <c r="H663" s="634" t="n">
        <v>0</v>
      </c>
      <c r="I663" s="634">
        <f>+_xlfn.XLOOKUP(D663,'BASE DATOS MANO DE OBRA'!A:A,'BASE DATOS MANO DE OBRA'!E:E)</f>
        <v/>
      </c>
      <c r="J663" s="634" t="n">
        <v>0</v>
      </c>
      <c r="K663" s="634">
        <f>+F663*H663</f>
        <v/>
      </c>
      <c r="L663" s="634">
        <f>+F663*I663</f>
        <v/>
      </c>
      <c r="M663" s="634">
        <f>+F663*J663</f>
        <v/>
      </c>
      <c r="N663" s="634">
        <f>SUM(K663:M663)</f>
        <v/>
      </c>
      <c r="O663" s="635">
        <f>SUM(K663:M663)/tc</f>
        <v/>
      </c>
    </row>
    <row r="664" outlineLevel="1" ht="15" customHeight="1">
      <c r="A664" s="278" t="inlineStr">
        <is>
          <t xml:space="preserve">MO </t>
        </is>
      </c>
      <c r="B664" s="282" t="inlineStr">
        <is>
          <t>10-03-01</t>
        </is>
      </c>
      <c r="C664" s="578" t="n"/>
      <c r="D664" s="386" t="inlineStr">
        <is>
          <t xml:space="preserve">AYUDANTE </t>
        </is>
      </c>
      <c r="E664" s="632">
        <f>+_xlfn.XLOOKUP(D664,'BASE DATOS MANO DE OBRA'!A:A,'BASE DATOS MANO DE OBRA'!B:B)</f>
        <v/>
      </c>
      <c r="F664" s="388" t="n">
        <v>2.5</v>
      </c>
      <c r="G664" s="633">
        <f>+_xlfn.XLOOKUP(D664,'BASE DATOS MANO DE OBRA'!A:A,'BASE DATOS MANO DE OBRA'!C:C)</f>
        <v/>
      </c>
      <c r="H664" s="634" t="n">
        <v>0</v>
      </c>
      <c r="I664" s="634">
        <f>+_xlfn.XLOOKUP(D664,'BASE DATOS MANO DE OBRA'!A:A,'BASE DATOS MANO DE OBRA'!E:E)</f>
        <v/>
      </c>
      <c r="J664" s="634" t="n">
        <v>0</v>
      </c>
      <c r="K664" s="634">
        <f>+F664*H664</f>
        <v/>
      </c>
      <c r="L664" s="634">
        <f>+F664*I664</f>
        <v/>
      </c>
      <c r="M664" s="634">
        <f>+F664*J664</f>
        <v/>
      </c>
      <c r="N664" s="634">
        <f>SUM(K664:M664)</f>
        <v/>
      </c>
      <c r="O664" s="635">
        <f>SUM(K664:M664)/tc</f>
        <v/>
      </c>
    </row>
    <row r="665" outlineLevel="1" ht="15" customHeight="1">
      <c r="A665" s="278" t="inlineStr">
        <is>
          <t xml:space="preserve">MO </t>
        </is>
      </c>
      <c r="B665" s="282" t="inlineStr">
        <is>
          <t>10-03-02</t>
        </is>
      </c>
      <c r="C665" s="578" t="n"/>
      <c r="D665" s="386" t="inlineStr">
        <is>
          <t xml:space="preserve">OPERARIO </t>
        </is>
      </c>
      <c r="E665" s="632">
        <f>+_xlfn.XLOOKUP(D665,'BASE DATOS MANO DE OBRA'!A:A,'BASE DATOS MANO DE OBRA'!B:B)</f>
        <v/>
      </c>
      <c r="F665" s="388" t="n">
        <v>7.5</v>
      </c>
      <c r="G665" s="633">
        <f>+_xlfn.XLOOKUP(D665,'BASE DATOS MANO DE OBRA'!A:A,'BASE DATOS MANO DE OBRA'!C:C)</f>
        <v/>
      </c>
      <c r="H665" s="634" t="n">
        <v>0</v>
      </c>
      <c r="I665" s="634">
        <f>+_xlfn.XLOOKUP(D665,'BASE DATOS MANO DE OBRA'!A:A,'BASE DATOS MANO DE OBRA'!E:E)</f>
        <v/>
      </c>
      <c r="J665" s="634" t="n">
        <v>0</v>
      </c>
      <c r="K665" s="634">
        <f>+F665*H665</f>
        <v/>
      </c>
      <c r="L665" s="634">
        <f>+F665*I665</f>
        <v/>
      </c>
      <c r="M665" s="634">
        <f>+F665*J665</f>
        <v/>
      </c>
      <c r="N665" s="634">
        <f>SUM(K665:M665)</f>
        <v/>
      </c>
      <c r="O665" s="635">
        <f>SUM(K665:M665)/tc</f>
        <v/>
      </c>
    </row>
    <row r="666" outlineLevel="1" ht="15" customHeight="1">
      <c r="A666" s="278" t="inlineStr">
        <is>
          <t xml:space="preserve">MO </t>
        </is>
      </c>
      <c r="B666" s="282" t="inlineStr">
        <is>
          <t>10-03-02</t>
        </is>
      </c>
      <c r="C666" s="578" t="n"/>
      <c r="D666" s="386" t="inlineStr">
        <is>
          <t xml:space="preserve">AYUDANTE </t>
        </is>
      </c>
      <c r="E666" s="632">
        <f>+_xlfn.XLOOKUP(D666,'BASE DATOS MANO DE OBRA'!A:A,'BASE DATOS MANO DE OBRA'!B:B)</f>
        <v/>
      </c>
      <c r="F666" s="388" t="n">
        <v>7.5</v>
      </c>
      <c r="G666" s="633">
        <f>+_xlfn.XLOOKUP(D666,'BASE DATOS MANO DE OBRA'!A:A,'BASE DATOS MANO DE OBRA'!C:C)</f>
        <v/>
      </c>
      <c r="H666" s="634" t="n">
        <v>0</v>
      </c>
      <c r="I666" s="634">
        <f>+_xlfn.XLOOKUP(D666,'BASE DATOS MANO DE OBRA'!A:A,'BASE DATOS MANO DE OBRA'!E:E)</f>
        <v/>
      </c>
      <c r="J666" s="634" t="n">
        <v>0</v>
      </c>
      <c r="K666" s="634">
        <f>+F666*H666</f>
        <v/>
      </c>
      <c r="L666" s="634">
        <f>+F666*I666</f>
        <v/>
      </c>
      <c r="M666" s="634">
        <f>+F666*J666</f>
        <v/>
      </c>
      <c r="N666" s="634">
        <f>SUM(K666:M666)</f>
        <v/>
      </c>
      <c r="O666" s="635">
        <f>SUM(K666:M666)/tc</f>
        <v/>
      </c>
    </row>
    <row r="667" ht="15" customHeight="1">
      <c r="A667" s="278" t="n"/>
      <c r="B667" s="282" t="inlineStr">
        <is>
          <t>11</t>
        </is>
      </c>
      <c r="C667" s="578" t="n"/>
      <c r="D667" s="372" t="n">
        <v>11</v>
      </c>
      <c r="E667" s="373" t="inlineStr">
        <is>
          <t xml:space="preserve">ACABADOS </t>
        </is>
      </c>
      <c r="F667" s="374" t="n"/>
      <c r="G667" s="375" t="n"/>
      <c r="H667" s="375" t="n"/>
      <c r="I667" s="375" t="n"/>
      <c r="J667" s="375" t="n"/>
      <c r="K667" s="612">
        <f>K668+K697+K717+K731</f>
        <v/>
      </c>
      <c r="L667" s="612">
        <f>L668+L697+L717+L731</f>
        <v/>
      </c>
      <c r="M667" s="612">
        <f>M668+M697+M717+M731</f>
        <v/>
      </c>
      <c r="N667" s="612">
        <f>N668+N697+N717+N731</f>
        <v/>
      </c>
      <c r="O667" s="612">
        <f>O668+O697+O717+O731</f>
        <v/>
      </c>
    </row>
    <row r="668" ht="15.75" customHeight="1">
      <c r="A668" s="278" t="n"/>
      <c r="B668" s="282" t="inlineStr">
        <is>
          <t>11-01</t>
        </is>
      </c>
      <c r="C668" s="578" t="n"/>
      <c r="D668" s="307" t="inlineStr">
        <is>
          <t>11.1</t>
        </is>
      </c>
      <c r="E668" s="410" t="inlineStr">
        <is>
          <t xml:space="preserve">PINTURA </t>
        </is>
      </c>
      <c r="F668" s="309" t="n">
        <v>1</v>
      </c>
      <c r="G668" s="310" t="inlineStr">
        <is>
          <t>gb</t>
        </is>
      </c>
      <c r="H668" s="310" t="n"/>
      <c r="I668" s="310" t="n"/>
      <c r="J668" s="310" t="n"/>
      <c r="K668" s="636">
        <f>SUM(K669:K696)</f>
        <v/>
      </c>
      <c r="L668" s="636">
        <f>SUM(L669:L696)</f>
        <v/>
      </c>
      <c r="M668" s="636">
        <f>SUM(M669:M696)</f>
        <v/>
      </c>
      <c r="N668" s="636">
        <f>SUM(N669:N696)</f>
        <v/>
      </c>
      <c r="O668" s="615">
        <f>SUM(O669:O696)</f>
        <v/>
      </c>
    </row>
    <row r="669" outlineLevel="1" ht="15.75" customHeight="1">
      <c r="A669" s="278" t="inlineStr">
        <is>
          <t>MAT</t>
        </is>
      </c>
      <c r="B669" s="282" t="n"/>
      <c r="C669" s="578">
        <f>_xlfn.XLOOKUP(D669,'INSUMOS MAT '!B:B,'INSUMOS MAT '!C:C,"ERROR",0)</f>
        <v/>
      </c>
      <c r="D669" s="545" t="inlineStr">
        <is>
          <t>MAT16-0090</t>
        </is>
      </c>
      <c r="E669" s="644">
        <f>+_xlfn.XLOOKUP(D669,'BASE DATOS PRECIOS '!B:B,'BASE DATOS PRECIOS '!C:C)</f>
        <v/>
      </c>
      <c r="F669" s="549" t="n">
        <v>3</v>
      </c>
      <c r="G669" s="660">
        <f>+_xlfn.XLOOKUP(D669,'BASE DATOS PRECIOS '!B:B,'BASE DATOS PRECIOS '!D:D)</f>
        <v/>
      </c>
      <c r="H669" s="620">
        <f>+_xlfn.XLOOKUP(E669,'BASE DATOS PRECIOS '!C:C,'BASE DATOS PRECIOS '!F:F)</f>
        <v/>
      </c>
      <c r="I669" s="621" t="n"/>
      <c r="J669" s="621" t="n"/>
      <c r="K669" s="620">
        <f>+F669*H669</f>
        <v/>
      </c>
      <c r="L669" s="620">
        <f>+F669*I669</f>
        <v/>
      </c>
      <c r="M669" s="620">
        <f>+F669*J669</f>
        <v/>
      </c>
      <c r="N669" s="620">
        <f>SUM(K669:M669)</f>
        <v/>
      </c>
      <c r="O669" s="622">
        <f>SUM(K669:M669)/tc</f>
        <v/>
      </c>
    </row>
    <row r="670" outlineLevel="1" ht="15.75" customHeight="1">
      <c r="A670" s="278" t="inlineStr">
        <is>
          <t>MAT</t>
        </is>
      </c>
      <c r="B670" s="282" t="n"/>
      <c r="C670" s="578">
        <f>_xlfn.XLOOKUP(D670,'INSUMOS MAT '!B:B,'INSUMOS MAT '!C:C,"ERROR",0)</f>
        <v/>
      </c>
      <c r="D670" s="545" t="inlineStr">
        <is>
          <t>MAT16-0096</t>
        </is>
      </c>
      <c r="E670" s="644">
        <f>+_xlfn.XLOOKUP(D670,'BASE DATOS PRECIOS '!B:B,'BASE DATOS PRECIOS '!C:C)</f>
        <v/>
      </c>
      <c r="F670" s="549" t="n">
        <v>2</v>
      </c>
      <c r="G670" s="660">
        <f>+_xlfn.XLOOKUP(D670,'BASE DATOS PRECIOS '!B:B,'BASE DATOS PRECIOS '!D:D)</f>
        <v/>
      </c>
      <c r="H670" s="620">
        <f>+_xlfn.XLOOKUP(E670,'BASE DATOS PRECIOS '!C:C,'BASE DATOS PRECIOS '!F:F)</f>
        <v/>
      </c>
      <c r="I670" s="621" t="n"/>
      <c r="J670" s="621" t="n"/>
      <c r="K670" s="620">
        <f>+F670*H670</f>
        <v/>
      </c>
      <c r="L670" s="620">
        <f>+F670*I670</f>
        <v/>
      </c>
      <c r="M670" s="620">
        <f>+F670*J670</f>
        <v/>
      </c>
      <c r="N670" s="620">
        <f>SUM(K670:M670)</f>
        <v/>
      </c>
      <c r="O670" s="622">
        <f>SUM(K670:M670)/tc</f>
        <v/>
      </c>
    </row>
    <row r="671" outlineLevel="1" ht="15.75" customHeight="1">
      <c r="A671" s="278" t="inlineStr">
        <is>
          <t>MAT</t>
        </is>
      </c>
      <c r="B671" s="282" t="n"/>
      <c r="C671" s="578">
        <f>_xlfn.XLOOKUP(D671,'INSUMOS MAT '!B:B,'INSUMOS MAT '!C:C,"ERROR",0)</f>
        <v/>
      </c>
      <c r="D671" s="545" t="inlineStr">
        <is>
          <t>MAT16-0059</t>
        </is>
      </c>
      <c r="E671" s="644">
        <f>+_xlfn.XLOOKUP(D671,'BASE DATOS PRECIOS '!B:B,'BASE DATOS PRECIOS '!C:C)</f>
        <v/>
      </c>
      <c r="F671" s="549" t="n">
        <v>3</v>
      </c>
      <c r="G671" s="660">
        <f>+_xlfn.XLOOKUP(D671,'BASE DATOS PRECIOS '!B:B,'BASE DATOS PRECIOS '!D:D)</f>
        <v/>
      </c>
      <c r="H671" s="620">
        <f>+_xlfn.XLOOKUP(E671,'BASE DATOS PRECIOS '!C:C,'BASE DATOS PRECIOS '!F:F)</f>
        <v/>
      </c>
      <c r="I671" s="621" t="n"/>
      <c r="J671" s="621" t="n"/>
      <c r="K671" s="620">
        <f>+F671*H671</f>
        <v/>
      </c>
      <c r="L671" s="620">
        <f>+F671*I671</f>
        <v/>
      </c>
      <c r="M671" s="620">
        <f>+F671*J671</f>
        <v/>
      </c>
      <c r="N671" s="620">
        <f>SUM(K671:M671)</f>
        <v/>
      </c>
      <c r="O671" s="622">
        <f>SUM(K671:M671)/tc</f>
        <v/>
      </c>
    </row>
    <row r="672" outlineLevel="1" ht="15.75" customHeight="1">
      <c r="A672" s="278" t="inlineStr">
        <is>
          <t>MAT</t>
        </is>
      </c>
      <c r="B672" s="282" t="n"/>
      <c r="C672" s="578">
        <f>_xlfn.XLOOKUP(D672,'INSUMOS MAT '!B:B,'INSUMOS MAT '!C:C,"ERROR",0)</f>
        <v/>
      </c>
      <c r="D672" s="545" t="inlineStr">
        <is>
          <t>MAT16-0065</t>
        </is>
      </c>
      <c r="E672" s="644">
        <f>+_xlfn.XLOOKUP(D672,'BASE DATOS PRECIOS '!B:B,'BASE DATOS PRECIOS '!C:C)</f>
        <v/>
      </c>
      <c r="F672" s="549" t="n">
        <v>1</v>
      </c>
      <c r="G672" s="660">
        <f>+_xlfn.XLOOKUP(D672,'BASE DATOS PRECIOS '!B:B,'BASE DATOS PRECIOS '!D:D)</f>
        <v/>
      </c>
      <c r="H672" s="620">
        <f>+_xlfn.XLOOKUP(E672,'BASE DATOS PRECIOS '!C:C,'BASE DATOS PRECIOS '!F:F)</f>
        <v/>
      </c>
      <c r="I672" s="621" t="n"/>
      <c r="J672" s="621" t="n"/>
      <c r="K672" s="620">
        <f>+F672*H672</f>
        <v/>
      </c>
      <c r="L672" s="620">
        <f>+F672*I672</f>
        <v/>
      </c>
      <c r="M672" s="620">
        <f>+F672*J672</f>
        <v/>
      </c>
      <c r="N672" s="620">
        <f>SUM(K672:M672)</f>
        <v/>
      </c>
      <c r="O672" s="622">
        <f>SUM(K672:M672)/tc</f>
        <v/>
      </c>
    </row>
    <row r="673" outlineLevel="1" ht="15.75" customHeight="1">
      <c r="A673" s="278" t="inlineStr">
        <is>
          <t>MAT</t>
        </is>
      </c>
      <c r="B673" s="282" t="n"/>
      <c r="C673" s="578">
        <f>_xlfn.XLOOKUP(D673,'INSUMOS MAT '!B:B,'INSUMOS MAT '!C:C,"ERROR",0)</f>
        <v/>
      </c>
      <c r="D673" s="545" t="inlineStr">
        <is>
          <t>MAT08-0069</t>
        </is>
      </c>
      <c r="E673" s="644">
        <f>+_xlfn.XLOOKUP(D673,'BASE DATOS PRECIOS '!B:B,'BASE DATOS PRECIOS '!C:C)</f>
        <v/>
      </c>
      <c r="F673" s="549" t="n">
        <v>5</v>
      </c>
      <c r="G673" s="660">
        <f>+_xlfn.XLOOKUP(D673,'BASE DATOS PRECIOS '!B:B,'BASE DATOS PRECIOS '!D:D)</f>
        <v/>
      </c>
      <c r="H673" s="620">
        <f>+_xlfn.XLOOKUP(E673,'BASE DATOS PRECIOS '!C:C,'BASE DATOS PRECIOS '!F:F)</f>
        <v/>
      </c>
      <c r="I673" s="621" t="n"/>
      <c r="J673" s="621" t="n"/>
      <c r="K673" s="620">
        <f>+F673*H673</f>
        <v/>
      </c>
      <c r="L673" s="620">
        <f>+F673*I673</f>
        <v/>
      </c>
      <c r="M673" s="620">
        <f>+F673*J673</f>
        <v/>
      </c>
      <c r="N673" s="620">
        <f>SUM(K673:M673)</f>
        <v/>
      </c>
      <c r="O673" s="622">
        <f>SUM(K673:M673)/tc</f>
        <v/>
      </c>
    </row>
    <row r="674" outlineLevel="1" ht="15.75" customHeight="1">
      <c r="A674" s="278" t="inlineStr">
        <is>
          <t>MAT</t>
        </is>
      </c>
      <c r="B674" s="282" t="n"/>
      <c r="C674" s="578">
        <f>_xlfn.XLOOKUP(D674,'INSUMOS MAT '!B:B,'INSUMOS MAT '!C:C,"ERROR",0)</f>
        <v/>
      </c>
      <c r="D674" s="545" t="inlineStr">
        <is>
          <t>MAT21-0005</t>
        </is>
      </c>
      <c r="E674" s="644">
        <f>+_xlfn.XLOOKUP(D674,'BASE DATOS PRECIOS '!B:B,'BASE DATOS PRECIOS '!C:C)</f>
        <v/>
      </c>
      <c r="F674" s="549" t="n">
        <v>1</v>
      </c>
      <c r="G674" s="660">
        <f>+_xlfn.XLOOKUP(D674,'BASE DATOS PRECIOS '!B:B,'BASE DATOS PRECIOS '!D:D)</f>
        <v/>
      </c>
      <c r="H674" s="620">
        <f>+_xlfn.XLOOKUP(E674,'BASE DATOS PRECIOS '!C:C,'BASE DATOS PRECIOS '!F:F)</f>
        <v/>
      </c>
      <c r="I674" s="621" t="n"/>
      <c r="J674" s="621" t="n"/>
      <c r="K674" s="620">
        <f>+F674*H674</f>
        <v/>
      </c>
      <c r="L674" s="620">
        <f>+F674*I674</f>
        <v/>
      </c>
      <c r="M674" s="620">
        <f>+F674*J674</f>
        <v/>
      </c>
      <c r="N674" s="620">
        <f>SUM(K674:M674)</f>
        <v/>
      </c>
      <c r="O674" s="622">
        <f>SUM(K674:M674)/tc</f>
        <v/>
      </c>
    </row>
    <row r="675" outlineLevel="1" ht="15.75" customHeight="1">
      <c r="A675" s="278" t="inlineStr">
        <is>
          <t>MAT</t>
        </is>
      </c>
      <c r="B675" s="282" t="n"/>
      <c r="C675" s="578">
        <f>_xlfn.XLOOKUP(D675,'INSUMOS MAT '!B:B,'INSUMOS MAT '!C:C,"ERROR",0)</f>
        <v/>
      </c>
      <c r="D675" s="545" t="inlineStr">
        <is>
          <t>MAT21-0018</t>
        </is>
      </c>
      <c r="E675" s="644">
        <f>+_xlfn.XLOOKUP(D675,'BASE DATOS PRECIOS '!B:B,'BASE DATOS PRECIOS '!C:C)</f>
        <v/>
      </c>
      <c r="F675" s="549" t="n">
        <v>1</v>
      </c>
      <c r="G675" s="660">
        <f>+_xlfn.XLOOKUP(D675,'BASE DATOS PRECIOS '!B:B,'BASE DATOS PRECIOS '!D:D)</f>
        <v/>
      </c>
      <c r="H675" s="620">
        <f>+_xlfn.XLOOKUP(E675,'BASE DATOS PRECIOS '!C:C,'BASE DATOS PRECIOS '!F:F)</f>
        <v/>
      </c>
      <c r="I675" s="621" t="n"/>
      <c r="J675" s="621" t="n"/>
      <c r="K675" s="620">
        <f>+F675*H675</f>
        <v/>
      </c>
      <c r="L675" s="620">
        <f>+F675*I675</f>
        <v/>
      </c>
      <c r="M675" s="620">
        <f>+F675*J675</f>
        <v/>
      </c>
      <c r="N675" s="620">
        <f>SUM(K675:M675)</f>
        <v/>
      </c>
      <c r="O675" s="622">
        <f>SUM(K675:M675)/tc</f>
        <v/>
      </c>
    </row>
    <row r="676" outlineLevel="1" ht="15.75" customHeight="1">
      <c r="A676" s="278" t="inlineStr">
        <is>
          <t>MAT</t>
        </is>
      </c>
      <c r="B676" s="282" t="n"/>
      <c r="C676" s="578">
        <f>_xlfn.XLOOKUP(D676,'INSUMOS MAT '!B:B,'INSUMOS MAT '!C:C,"ERROR",0)</f>
        <v/>
      </c>
      <c r="D676" s="545" t="inlineStr">
        <is>
          <t>MAT08-0091</t>
        </is>
      </c>
      <c r="E676" s="644">
        <f>+_xlfn.XLOOKUP(D676,'BASE DATOS PRECIOS '!B:B,'BASE DATOS PRECIOS '!C:C)</f>
        <v/>
      </c>
      <c r="F676" s="549" t="n">
        <v>1</v>
      </c>
      <c r="G676" s="660">
        <f>+_xlfn.XLOOKUP(D676,'BASE DATOS PRECIOS '!B:B,'BASE DATOS PRECIOS '!D:D)</f>
        <v/>
      </c>
      <c r="H676" s="620">
        <f>+_xlfn.XLOOKUP(E676,'BASE DATOS PRECIOS '!C:C,'BASE DATOS PRECIOS '!F:F)</f>
        <v/>
      </c>
      <c r="I676" s="621" t="n"/>
      <c r="J676" s="621" t="n"/>
      <c r="K676" s="620">
        <f>+F676*H676</f>
        <v/>
      </c>
      <c r="L676" s="620">
        <f>+F676*I676</f>
        <v/>
      </c>
      <c r="M676" s="620">
        <f>+F676*J676</f>
        <v/>
      </c>
      <c r="N676" s="620">
        <f>SUM(K676:M676)</f>
        <v/>
      </c>
      <c r="O676" s="622">
        <f>SUM(K676:M676)/tc</f>
        <v/>
      </c>
    </row>
    <row r="677" outlineLevel="1" ht="15.75" customHeight="1">
      <c r="A677" s="278" t="inlineStr">
        <is>
          <t>MAT</t>
        </is>
      </c>
      <c r="B677" s="282" t="n"/>
      <c r="C677" s="578">
        <f>_xlfn.XLOOKUP(D677,'INSUMOS MAT '!B:B,'INSUMOS MAT '!C:C,"ERROR",0)</f>
        <v/>
      </c>
      <c r="D677" s="545" t="inlineStr">
        <is>
          <t>MAT16-0018</t>
        </is>
      </c>
      <c r="E677" s="644">
        <f>+_xlfn.XLOOKUP(D677,'BASE DATOS PRECIOS '!B:B,'BASE DATOS PRECIOS '!C:C)</f>
        <v/>
      </c>
      <c r="F677" s="549" t="n">
        <v>3</v>
      </c>
      <c r="G677" s="660">
        <f>+_xlfn.XLOOKUP(D677,'BASE DATOS PRECIOS '!B:B,'BASE DATOS PRECIOS '!D:D)</f>
        <v/>
      </c>
      <c r="H677" s="620">
        <f>+_xlfn.XLOOKUP(E677,'BASE DATOS PRECIOS '!C:C,'BASE DATOS PRECIOS '!F:F)</f>
        <v/>
      </c>
      <c r="I677" s="621" t="n"/>
      <c r="J677" s="621" t="n"/>
      <c r="K677" s="620">
        <f>+F677*H677</f>
        <v/>
      </c>
      <c r="L677" s="620">
        <f>+F677*I677</f>
        <v/>
      </c>
      <c r="M677" s="620">
        <f>+F677*J677</f>
        <v/>
      </c>
      <c r="N677" s="620">
        <f>SUM(K677:M677)</f>
        <v/>
      </c>
      <c r="O677" s="622">
        <f>SUM(K677:M677)/tc</f>
        <v/>
      </c>
    </row>
    <row r="678" outlineLevel="1" ht="15.75" customHeight="1">
      <c r="A678" s="278" t="inlineStr">
        <is>
          <t>MAT</t>
        </is>
      </c>
      <c r="B678" s="282" t="n"/>
      <c r="C678" s="578">
        <f>_xlfn.XLOOKUP(D678,'INSUMOS MAT '!B:B,'INSUMOS MAT '!C:C,"ERROR",0)</f>
        <v/>
      </c>
      <c r="D678" s="545" t="inlineStr">
        <is>
          <t>MAT16-0056</t>
        </is>
      </c>
      <c r="E678" s="644">
        <f>+_xlfn.XLOOKUP(D678,'BASE DATOS PRECIOS '!B:B,'BASE DATOS PRECIOS '!C:C)</f>
        <v/>
      </c>
      <c r="F678" s="549" t="n">
        <v>0.5</v>
      </c>
      <c r="G678" s="660">
        <f>+_xlfn.XLOOKUP(D678,'BASE DATOS PRECIOS '!B:B,'BASE DATOS PRECIOS '!D:D)</f>
        <v/>
      </c>
      <c r="H678" s="620">
        <f>+_xlfn.XLOOKUP(E678,'BASE DATOS PRECIOS '!C:C,'BASE DATOS PRECIOS '!F:F)</f>
        <v/>
      </c>
      <c r="I678" s="621" t="n"/>
      <c r="J678" s="621" t="n"/>
      <c r="K678" s="620">
        <f>+F678*H678</f>
        <v/>
      </c>
      <c r="L678" s="620">
        <f>+F678*I678</f>
        <v/>
      </c>
      <c r="M678" s="620">
        <f>+F678*J678</f>
        <v/>
      </c>
      <c r="N678" s="620">
        <f>SUM(K678:M678)</f>
        <v/>
      </c>
      <c r="O678" s="622">
        <f>SUM(K678:M678)/tc</f>
        <v/>
      </c>
    </row>
    <row r="679" outlineLevel="1" ht="15.75" customHeight="1">
      <c r="A679" s="278" t="inlineStr">
        <is>
          <t>MAT</t>
        </is>
      </c>
      <c r="B679" s="282" t="n"/>
      <c r="C679" s="578">
        <f>_xlfn.XLOOKUP(D679,'INSUMOS MAT '!B:B,'INSUMOS MAT '!C:C,"ERROR",0)</f>
        <v/>
      </c>
      <c r="D679" s="305" t="inlineStr">
        <is>
          <t>MAT08-0012</t>
        </is>
      </c>
      <c r="E679" s="623">
        <f>+_xlfn.XLOOKUP(D679,'BASE DATOS PRECIOS '!B:B,'BASE DATOS PRECIOS '!C:C)</f>
        <v/>
      </c>
      <c r="F679" s="301" t="n">
        <v>2</v>
      </c>
      <c r="G679" s="621">
        <f>+_xlfn.XLOOKUP(D679,'BASE DATOS PRECIOS '!B:B,'BASE DATOS PRECIOS '!D:D)</f>
        <v/>
      </c>
      <c r="H679" s="620">
        <f>+_xlfn.XLOOKUP(E679,'BASE DATOS PRECIOS '!C:C,'BASE DATOS PRECIOS '!F:F)</f>
        <v/>
      </c>
      <c r="I679" s="621" t="n"/>
      <c r="J679" s="621" t="n"/>
      <c r="K679" s="620">
        <f>+F679*H679</f>
        <v/>
      </c>
      <c r="L679" s="620">
        <f>+F679*I679</f>
        <v/>
      </c>
      <c r="M679" s="620">
        <f>+F679*J679</f>
        <v/>
      </c>
      <c r="N679" s="620">
        <f>SUM(K679:M679)</f>
        <v/>
      </c>
      <c r="O679" s="622">
        <f>SUM(K679:M679)/tc</f>
        <v/>
      </c>
      <c r="P679" s="328" t="n"/>
      <c r="Q679" s="328" t="n"/>
    </row>
    <row r="680" outlineLevel="1" ht="15.75" customHeight="1">
      <c r="A680" s="278" t="inlineStr">
        <is>
          <t>MAT</t>
        </is>
      </c>
      <c r="B680" s="282" t="n"/>
      <c r="C680" s="578">
        <f>_xlfn.XLOOKUP(D680,'INSUMOS MAT '!B:B,'INSUMOS MAT '!C:C,"ERROR",0)</f>
        <v/>
      </c>
      <c r="D680" s="305" t="inlineStr">
        <is>
          <t>MAT08-0013</t>
        </is>
      </c>
      <c r="E680" s="623">
        <f>+_xlfn.XLOOKUP(D680,'BASE DATOS PRECIOS '!B:B,'BASE DATOS PRECIOS '!C:C)</f>
        <v/>
      </c>
      <c r="F680" s="301" t="n">
        <v>3</v>
      </c>
      <c r="G680" s="621">
        <f>+_xlfn.XLOOKUP(D680,'BASE DATOS PRECIOS '!B:B,'BASE DATOS PRECIOS '!D:D)</f>
        <v/>
      </c>
      <c r="H680" s="620">
        <f>+_xlfn.XLOOKUP(E680,'BASE DATOS PRECIOS '!C:C,'BASE DATOS PRECIOS '!F:F)</f>
        <v/>
      </c>
      <c r="I680" s="621" t="n"/>
      <c r="J680" s="621" t="n"/>
      <c r="K680" s="620">
        <f>+F680*H680</f>
        <v/>
      </c>
      <c r="L680" s="620">
        <f>+F680*I680</f>
        <v/>
      </c>
      <c r="M680" s="620">
        <f>+F680*J680</f>
        <v/>
      </c>
      <c r="N680" s="620">
        <f>SUM(K680:M680)</f>
        <v/>
      </c>
      <c r="O680" s="622">
        <f>SUM(K680:M680)/tc</f>
        <v/>
      </c>
    </row>
    <row r="681" outlineLevel="1" ht="15.75" customHeight="1">
      <c r="A681" s="278" t="inlineStr">
        <is>
          <t>MAT</t>
        </is>
      </c>
      <c r="B681" s="282" t="n"/>
      <c r="C681" s="578">
        <f>_xlfn.XLOOKUP(D681,'INSUMOS MAT '!B:B,'INSUMOS MAT '!C:C,"ERROR",0)</f>
        <v/>
      </c>
      <c r="D681" s="305" t="inlineStr">
        <is>
          <t>MAT08-0049</t>
        </is>
      </c>
      <c r="E681" s="623">
        <f>+_xlfn.XLOOKUP(D681,'BASE DATOS PRECIOS '!B:B,'BASE DATOS PRECIOS '!C:C)</f>
        <v/>
      </c>
      <c r="F681" s="301" t="n">
        <v>3</v>
      </c>
      <c r="G681" s="621">
        <f>+_xlfn.XLOOKUP(D681,'BASE DATOS PRECIOS '!B:B,'BASE DATOS PRECIOS '!D:D)</f>
        <v/>
      </c>
      <c r="H681" s="620">
        <f>+_xlfn.XLOOKUP(E681,'BASE DATOS PRECIOS '!C:C,'BASE DATOS PRECIOS '!F:F)</f>
        <v/>
      </c>
      <c r="I681" s="621" t="n"/>
      <c r="J681" s="621" t="n"/>
      <c r="K681" s="620">
        <f>+F681*H681</f>
        <v/>
      </c>
      <c r="L681" s="620">
        <f>+F681*I681</f>
        <v/>
      </c>
      <c r="M681" s="620">
        <f>+F681*J681</f>
        <v/>
      </c>
      <c r="N681" s="620">
        <f>SUM(K681:M681)</f>
        <v/>
      </c>
      <c r="O681" s="622">
        <f>SUM(K681:M681)/tc</f>
        <v/>
      </c>
    </row>
    <row r="682" outlineLevel="1" ht="15.75" customHeight="1">
      <c r="A682" s="278" t="inlineStr">
        <is>
          <t>MAT</t>
        </is>
      </c>
      <c r="B682" s="282" t="n"/>
      <c r="C682" s="578">
        <f>_xlfn.XLOOKUP(D682,'INSUMOS MAT '!B:B,'INSUMOS MAT '!C:C,"ERROR",0)</f>
        <v/>
      </c>
      <c r="D682" s="305" t="inlineStr">
        <is>
          <t>MAT08-0105</t>
        </is>
      </c>
      <c r="E682" s="623">
        <f>+_xlfn.XLOOKUP(D682,'BASE DATOS PRECIOS '!B:B,'BASE DATOS PRECIOS '!C:C)</f>
        <v/>
      </c>
      <c r="F682" s="301" t="n">
        <v>3</v>
      </c>
      <c r="G682" s="621">
        <f>+_xlfn.XLOOKUP(D682,'BASE DATOS PRECIOS '!B:B,'BASE DATOS PRECIOS '!D:D)</f>
        <v/>
      </c>
      <c r="H682" s="620">
        <f>+_xlfn.XLOOKUP(E682,'BASE DATOS PRECIOS '!C:C,'BASE DATOS PRECIOS '!F:F)</f>
        <v/>
      </c>
      <c r="I682" s="621" t="n"/>
      <c r="J682" s="621" t="n"/>
      <c r="K682" s="620">
        <f>+F682*H682</f>
        <v/>
      </c>
      <c r="L682" s="620">
        <f>+F682*I682</f>
        <v/>
      </c>
      <c r="M682" s="620">
        <f>+F682*J682</f>
        <v/>
      </c>
      <c r="N682" s="620">
        <f>SUM(K682:M682)</f>
        <v/>
      </c>
      <c r="O682" s="622">
        <f>SUM(K682:M682)/tc</f>
        <v/>
      </c>
    </row>
    <row r="683" outlineLevel="1" ht="15.75" customHeight="1">
      <c r="A683" s="278" t="inlineStr">
        <is>
          <t>MAT</t>
        </is>
      </c>
      <c r="B683" s="282" t="n"/>
      <c r="C683" s="578">
        <f>_xlfn.XLOOKUP(D683,'INSUMOS MAT '!B:B,'INSUMOS MAT '!C:C,"ERROR",0)</f>
        <v/>
      </c>
      <c r="D683" s="305" t="inlineStr">
        <is>
          <t>MAT08-0087</t>
        </is>
      </c>
      <c r="E683" s="623">
        <f>+_xlfn.XLOOKUP(D683,'BASE DATOS PRECIOS '!B:B,'BASE DATOS PRECIOS '!C:C)</f>
        <v/>
      </c>
      <c r="F683" s="301" t="n">
        <v>3</v>
      </c>
      <c r="G683" s="621">
        <f>+_xlfn.XLOOKUP(D683,'BASE DATOS PRECIOS '!B:B,'BASE DATOS PRECIOS '!D:D)</f>
        <v/>
      </c>
      <c r="H683" s="620">
        <f>+_xlfn.XLOOKUP(E683,'BASE DATOS PRECIOS '!C:C,'BASE DATOS PRECIOS '!F:F)</f>
        <v/>
      </c>
      <c r="I683" s="621" t="n"/>
      <c r="J683" s="621" t="n"/>
      <c r="K683" s="620">
        <f>+F683*H683</f>
        <v/>
      </c>
      <c r="L683" s="620">
        <f>+F683*I683</f>
        <v/>
      </c>
      <c r="M683" s="620">
        <f>+F683*J683</f>
        <v/>
      </c>
      <c r="N683" s="620">
        <f>SUM(K683:M683)</f>
        <v/>
      </c>
      <c r="O683" s="622">
        <f>SUM(K683:M683)/tc</f>
        <v/>
      </c>
    </row>
    <row r="684" outlineLevel="1" ht="15.75" customHeight="1">
      <c r="A684" s="278" t="inlineStr">
        <is>
          <t>MAT</t>
        </is>
      </c>
      <c r="B684" s="282" t="n"/>
      <c r="C684" s="578">
        <f>_xlfn.XLOOKUP(D684,'INSUMOS MAT '!B:B,'INSUMOS MAT '!C:C,"ERROR",0)</f>
        <v/>
      </c>
      <c r="D684" s="305" t="inlineStr">
        <is>
          <t>MAT08-0137</t>
        </is>
      </c>
      <c r="E684" s="623">
        <f>+_xlfn.XLOOKUP(D684,'BASE DATOS PRECIOS '!B:B,'BASE DATOS PRECIOS '!C:C)</f>
        <v/>
      </c>
      <c r="F684" s="301" t="n">
        <v>1</v>
      </c>
      <c r="G684" s="621">
        <f>+_xlfn.XLOOKUP(D684,'BASE DATOS PRECIOS '!B:B,'BASE DATOS PRECIOS '!D:D)</f>
        <v/>
      </c>
      <c r="H684" s="620">
        <f>+_xlfn.XLOOKUP(E684,'BASE DATOS PRECIOS '!C:C,'BASE DATOS PRECIOS '!F:F)</f>
        <v/>
      </c>
      <c r="I684" s="621" t="n"/>
      <c r="J684" s="621" t="n"/>
      <c r="K684" s="620">
        <f>+F684*H684</f>
        <v/>
      </c>
      <c r="L684" s="620">
        <f>+F684*I684</f>
        <v/>
      </c>
      <c r="M684" s="620">
        <f>+F684*J684</f>
        <v/>
      </c>
      <c r="N684" s="620">
        <f>SUM(K684:M684)</f>
        <v/>
      </c>
      <c r="O684" s="622">
        <f>SUM(K684:M684)/tc</f>
        <v/>
      </c>
    </row>
    <row r="685" outlineLevel="1" ht="15.75" customHeight="1">
      <c r="A685" s="278" t="inlineStr">
        <is>
          <t xml:space="preserve">MO </t>
        </is>
      </c>
      <c r="B685" s="282" t="inlineStr">
        <is>
          <t>11-01-01</t>
        </is>
      </c>
      <c r="C685" s="578" t="n"/>
      <c r="D685" s="386" t="inlineStr">
        <is>
          <t xml:space="preserve">OPERARIO </t>
        </is>
      </c>
      <c r="E685" s="632">
        <f>+_xlfn.XLOOKUP(D685,'BASE DATOS MANO DE OBRA'!A:A,'BASE DATOS MANO DE OBRA'!B:B)</f>
        <v/>
      </c>
      <c r="F685" s="388" t="n">
        <v>5</v>
      </c>
      <c r="G685" s="633">
        <f>+_xlfn.XLOOKUP(D685,'BASE DATOS MANO DE OBRA'!A:A,'BASE DATOS MANO DE OBRA'!C:C)</f>
        <v/>
      </c>
      <c r="H685" s="634" t="n">
        <v>0</v>
      </c>
      <c r="I685" s="634">
        <f>+_xlfn.XLOOKUP(D685,'BASE DATOS MANO DE OBRA'!A:A,'BASE DATOS MANO DE OBRA'!E:E)</f>
        <v/>
      </c>
      <c r="J685" s="634" t="n">
        <v>0</v>
      </c>
      <c r="K685" s="634">
        <f>+F685*H685</f>
        <v/>
      </c>
      <c r="L685" s="634">
        <f>+F685*I685</f>
        <v/>
      </c>
      <c r="M685" s="634">
        <f>+F685*J685</f>
        <v/>
      </c>
      <c r="N685" s="634">
        <f>SUM(K685:M685)</f>
        <v/>
      </c>
      <c r="O685" s="635">
        <f>SUM(K685:M685)/tc</f>
        <v/>
      </c>
    </row>
    <row r="686" outlineLevel="1" ht="15.75" customHeight="1">
      <c r="A686" s="278" t="inlineStr">
        <is>
          <t xml:space="preserve">MO </t>
        </is>
      </c>
      <c r="B686" s="282" t="inlineStr">
        <is>
          <t>11-01-01</t>
        </is>
      </c>
      <c r="C686" s="578" t="n"/>
      <c r="D686" s="386" t="inlineStr">
        <is>
          <t xml:space="preserve">AYUDANTE </t>
        </is>
      </c>
      <c r="E686" s="632">
        <f>+_xlfn.XLOOKUP(D686,'BASE DATOS MANO DE OBRA'!A:A,'BASE DATOS MANO DE OBRA'!B:B)</f>
        <v/>
      </c>
      <c r="F686" s="388" t="n">
        <v>5</v>
      </c>
      <c r="G686" s="633">
        <f>+_xlfn.XLOOKUP(D686,'BASE DATOS MANO DE OBRA'!A:A,'BASE DATOS MANO DE OBRA'!C:C)</f>
        <v/>
      </c>
      <c r="H686" s="634" t="n">
        <v>0</v>
      </c>
      <c r="I686" s="634">
        <f>+_xlfn.XLOOKUP(D686,'BASE DATOS MANO DE OBRA'!A:A,'BASE DATOS MANO DE OBRA'!E:E)</f>
        <v/>
      </c>
      <c r="J686" s="634" t="n">
        <v>0</v>
      </c>
      <c r="K686" s="634">
        <f>+F686*H686</f>
        <v/>
      </c>
      <c r="L686" s="634">
        <f>+F686*I686</f>
        <v/>
      </c>
      <c r="M686" s="634">
        <f>+F686*J686</f>
        <v/>
      </c>
      <c r="N686" s="634">
        <f>SUM(K686:M686)</f>
        <v/>
      </c>
      <c r="O686" s="635">
        <f>SUM(K686:M686)/tc</f>
        <v/>
      </c>
    </row>
    <row r="687" outlineLevel="1" ht="15.75" customHeight="1">
      <c r="A687" s="278" t="inlineStr">
        <is>
          <t xml:space="preserve">MO </t>
        </is>
      </c>
      <c r="B687" s="282" t="inlineStr">
        <is>
          <t>11-01-02</t>
        </is>
      </c>
      <c r="C687" s="578" t="n"/>
      <c r="D687" s="386" t="inlineStr">
        <is>
          <t xml:space="preserve">OPERARIO </t>
        </is>
      </c>
      <c r="E687" s="632">
        <f>+_xlfn.XLOOKUP(D687,'BASE DATOS MANO DE OBRA'!A:A,'BASE DATOS MANO DE OBRA'!B:B)</f>
        <v/>
      </c>
      <c r="F687" s="388" t="n">
        <v>13</v>
      </c>
      <c r="G687" s="633">
        <f>+_xlfn.XLOOKUP(D687,'BASE DATOS MANO DE OBRA'!A:A,'BASE DATOS MANO DE OBRA'!C:C)</f>
        <v/>
      </c>
      <c r="H687" s="634" t="n">
        <v>0</v>
      </c>
      <c r="I687" s="634">
        <f>+_xlfn.XLOOKUP(D687,'BASE DATOS MANO DE OBRA'!A:A,'BASE DATOS MANO DE OBRA'!E:E)</f>
        <v/>
      </c>
      <c r="J687" s="634" t="n">
        <v>0</v>
      </c>
      <c r="K687" s="634">
        <f>+F687*H687</f>
        <v/>
      </c>
      <c r="L687" s="634">
        <f>+F687*I687</f>
        <v/>
      </c>
      <c r="M687" s="634">
        <f>+F687*J687</f>
        <v/>
      </c>
      <c r="N687" s="634">
        <f>SUM(K687:M687)</f>
        <v/>
      </c>
      <c r="O687" s="635">
        <f>SUM(K687:M687)/tc</f>
        <v/>
      </c>
    </row>
    <row r="688" outlineLevel="1" ht="15.75" customHeight="1">
      <c r="A688" s="278" t="inlineStr">
        <is>
          <t xml:space="preserve">MO </t>
        </is>
      </c>
      <c r="B688" s="282" t="inlineStr">
        <is>
          <t>11-01-02</t>
        </is>
      </c>
      <c r="C688" s="578" t="n"/>
      <c r="D688" s="386" t="inlineStr">
        <is>
          <t xml:space="preserve">AYUDANTE </t>
        </is>
      </c>
      <c r="E688" s="632">
        <f>+_xlfn.XLOOKUP(D688,'BASE DATOS MANO DE OBRA'!A:A,'BASE DATOS MANO DE OBRA'!B:B)</f>
        <v/>
      </c>
      <c r="F688" s="388" t="n">
        <v>13</v>
      </c>
      <c r="G688" s="633">
        <f>+_xlfn.XLOOKUP(D688,'BASE DATOS MANO DE OBRA'!A:A,'BASE DATOS MANO DE OBRA'!C:C)</f>
        <v/>
      </c>
      <c r="H688" s="634" t="n">
        <v>0</v>
      </c>
      <c r="I688" s="634">
        <f>+_xlfn.XLOOKUP(D688,'BASE DATOS MANO DE OBRA'!A:A,'BASE DATOS MANO DE OBRA'!E:E)</f>
        <v/>
      </c>
      <c r="J688" s="634" t="n">
        <v>0</v>
      </c>
      <c r="K688" s="634">
        <f>+F688*H688</f>
        <v/>
      </c>
      <c r="L688" s="634">
        <f>+F688*I688</f>
        <v/>
      </c>
      <c r="M688" s="634">
        <f>+F688*J688</f>
        <v/>
      </c>
      <c r="N688" s="634">
        <f>SUM(K688:M688)</f>
        <v/>
      </c>
      <c r="O688" s="635">
        <f>SUM(K688:M688)/tc</f>
        <v/>
      </c>
    </row>
    <row r="689" outlineLevel="1" ht="15.75" customHeight="1">
      <c r="A689" s="278" t="inlineStr">
        <is>
          <t xml:space="preserve">MO </t>
        </is>
      </c>
      <c r="B689" s="282" t="inlineStr">
        <is>
          <t>11-01-03</t>
        </is>
      </c>
      <c r="C689" s="578" t="n"/>
      <c r="D689" s="386" t="inlineStr">
        <is>
          <t xml:space="preserve">OPERARIO </t>
        </is>
      </c>
      <c r="E689" s="632">
        <f>+_xlfn.XLOOKUP(D689,'BASE DATOS MANO DE OBRA'!A:A,'BASE DATOS MANO DE OBRA'!B:B)</f>
        <v/>
      </c>
      <c r="F689" s="388" t="n">
        <v>2.5</v>
      </c>
      <c r="G689" s="633">
        <f>+_xlfn.XLOOKUP(D689,'BASE DATOS MANO DE OBRA'!A:A,'BASE DATOS MANO DE OBRA'!C:C)</f>
        <v/>
      </c>
      <c r="H689" s="634" t="n">
        <v>0</v>
      </c>
      <c r="I689" s="634">
        <f>+_xlfn.XLOOKUP(D689,'BASE DATOS MANO DE OBRA'!A:A,'BASE DATOS MANO DE OBRA'!E:E)</f>
        <v/>
      </c>
      <c r="J689" s="634" t="n">
        <v>0</v>
      </c>
      <c r="K689" s="634">
        <f>+F689*H689</f>
        <v/>
      </c>
      <c r="L689" s="634">
        <f>+F689*I689</f>
        <v/>
      </c>
      <c r="M689" s="634">
        <f>+F689*J689</f>
        <v/>
      </c>
      <c r="N689" s="634">
        <f>SUM(K689:M689)</f>
        <v/>
      </c>
      <c r="O689" s="635">
        <f>SUM(K689:M689)/tc</f>
        <v/>
      </c>
    </row>
    <row r="690" outlineLevel="1" ht="15.75" customHeight="1">
      <c r="A690" s="278" t="inlineStr">
        <is>
          <t xml:space="preserve">MO </t>
        </is>
      </c>
      <c r="B690" s="282" t="inlineStr">
        <is>
          <t>11-01-03</t>
        </is>
      </c>
      <c r="C690" s="578" t="n"/>
      <c r="D690" s="386" t="inlineStr">
        <is>
          <t xml:space="preserve">AYUDANTE </t>
        </is>
      </c>
      <c r="E690" s="632">
        <f>+_xlfn.XLOOKUP(D690,'BASE DATOS MANO DE OBRA'!A:A,'BASE DATOS MANO DE OBRA'!B:B)</f>
        <v/>
      </c>
      <c r="F690" s="388" t="n">
        <v>2.5</v>
      </c>
      <c r="G690" s="633">
        <f>+_xlfn.XLOOKUP(D690,'BASE DATOS MANO DE OBRA'!A:A,'BASE DATOS MANO DE OBRA'!C:C)</f>
        <v/>
      </c>
      <c r="H690" s="634" t="n">
        <v>0</v>
      </c>
      <c r="I690" s="634">
        <f>+_xlfn.XLOOKUP(D690,'BASE DATOS MANO DE OBRA'!A:A,'BASE DATOS MANO DE OBRA'!E:E)</f>
        <v/>
      </c>
      <c r="J690" s="634" t="n">
        <v>0</v>
      </c>
      <c r="K690" s="634">
        <f>+F690*H690</f>
        <v/>
      </c>
      <c r="L690" s="634">
        <f>+F690*I690</f>
        <v/>
      </c>
      <c r="M690" s="634">
        <f>+F690*J690</f>
        <v/>
      </c>
      <c r="N690" s="634">
        <f>SUM(K690:M690)</f>
        <v/>
      </c>
      <c r="O690" s="635">
        <f>SUM(K690:M690)/tc</f>
        <v/>
      </c>
    </row>
    <row r="691" outlineLevel="1" ht="15.75" customHeight="1">
      <c r="A691" s="278" t="inlineStr">
        <is>
          <t xml:space="preserve">MO </t>
        </is>
      </c>
      <c r="B691" s="282" t="inlineStr">
        <is>
          <t>11-01-04</t>
        </is>
      </c>
      <c r="C691" s="578" t="n"/>
      <c r="D691" s="386" t="inlineStr">
        <is>
          <t xml:space="preserve">OPERARIO </t>
        </is>
      </c>
      <c r="E691" s="632">
        <f>+_xlfn.XLOOKUP(D691,'BASE DATOS MANO DE OBRA'!A:A,'BASE DATOS MANO DE OBRA'!B:B)</f>
        <v/>
      </c>
      <c r="F691" s="388" t="n">
        <v>4</v>
      </c>
      <c r="G691" s="633">
        <f>+_xlfn.XLOOKUP(D691,'BASE DATOS MANO DE OBRA'!A:A,'BASE DATOS MANO DE OBRA'!C:C)</f>
        <v/>
      </c>
      <c r="H691" s="634" t="n">
        <v>0</v>
      </c>
      <c r="I691" s="634">
        <f>+_xlfn.XLOOKUP(D691,'BASE DATOS MANO DE OBRA'!A:A,'BASE DATOS MANO DE OBRA'!E:E)</f>
        <v/>
      </c>
      <c r="J691" s="634" t="n">
        <v>0</v>
      </c>
      <c r="K691" s="634">
        <f>+F691*H691</f>
        <v/>
      </c>
      <c r="L691" s="634">
        <f>+F691*I691</f>
        <v/>
      </c>
      <c r="M691" s="634">
        <f>+F691*J691</f>
        <v/>
      </c>
      <c r="N691" s="634">
        <f>SUM(K691:M691)</f>
        <v/>
      </c>
      <c r="O691" s="635">
        <f>SUM(K691:M691)/tc</f>
        <v/>
      </c>
    </row>
    <row r="692" outlineLevel="1" ht="15.75" customHeight="1">
      <c r="A692" s="278" t="inlineStr">
        <is>
          <t xml:space="preserve">MO </t>
        </is>
      </c>
      <c r="B692" s="282" t="inlineStr">
        <is>
          <t>11-01-04</t>
        </is>
      </c>
      <c r="C692" s="578" t="n"/>
      <c r="D692" s="386" t="inlineStr">
        <is>
          <t xml:space="preserve">AYUDANTE </t>
        </is>
      </c>
      <c r="E692" s="632">
        <f>+_xlfn.XLOOKUP(D692,'BASE DATOS MANO DE OBRA'!A:A,'BASE DATOS MANO DE OBRA'!B:B)</f>
        <v/>
      </c>
      <c r="F692" s="388" t="n">
        <v>4</v>
      </c>
      <c r="G692" s="633">
        <f>+_xlfn.XLOOKUP(D692,'BASE DATOS MANO DE OBRA'!A:A,'BASE DATOS MANO DE OBRA'!C:C)</f>
        <v/>
      </c>
      <c r="H692" s="634" t="n">
        <v>0</v>
      </c>
      <c r="I692" s="634">
        <f>+_xlfn.XLOOKUP(D692,'BASE DATOS MANO DE OBRA'!A:A,'BASE DATOS MANO DE OBRA'!E:E)</f>
        <v/>
      </c>
      <c r="J692" s="634" t="n">
        <v>0</v>
      </c>
      <c r="K692" s="634">
        <f>+F692*H692</f>
        <v/>
      </c>
      <c r="L692" s="634">
        <f>+F692*I692</f>
        <v/>
      </c>
      <c r="M692" s="634">
        <f>+F692*J692</f>
        <v/>
      </c>
      <c r="N692" s="634">
        <f>SUM(K692:M692)</f>
        <v/>
      </c>
      <c r="O692" s="635">
        <f>SUM(K692:M692)/tc</f>
        <v/>
      </c>
    </row>
    <row r="693" outlineLevel="1" ht="15.75" customHeight="1">
      <c r="A693" s="278" t="inlineStr">
        <is>
          <t xml:space="preserve">MO </t>
        </is>
      </c>
      <c r="B693" s="282" t="inlineStr">
        <is>
          <t>11-01-05</t>
        </is>
      </c>
      <c r="C693" s="578" t="n"/>
      <c r="D693" s="386" t="inlineStr">
        <is>
          <t xml:space="preserve">OPERARIO </t>
        </is>
      </c>
      <c r="E693" s="632">
        <f>+_xlfn.XLOOKUP(D693,'BASE DATOS MANO DE OBRA'!A:A,'BASE DATOS MANO DE OBRA'!B:B)</f>
        <v/>
      </c>
      <c r="F693" s="388" t="n">
        <v>22</v>
      </c>
      <c r="G693" s="633">
        <f>+_xlfn.XLOOKUP(D693,'BASE DATOS MANO DE OBRA'!A:A,'BASE DATOS MANO DE OBRA'!C:C)</f>
        <v/>
      </c>
      <c r="H693" s="634" t="n">
        <v>0</v>
      </c>
      <c r="I693" s="634">
        <f>+_xlfn.XLOOKUP(D693,'BASE DATOS MANO DE OBRA'!A:A,'BASE DATOS MANO DE OBRA'!E:E)</f>
        <v/>
      </c>
      <c r="J693" s="634" t="n">
        <v>0</v>
      </c>
      <c r="K693" s="634">
        <f>+F693*H693</f>
        <v/>
      </c>
      <c r="L693" s="634">
        <f>+F693*I693</f>
        <v/>
      </c>
      <c r="M693" s="634">
        <f>+F693*J693</f>
        <v/>
      </c>
      <c r="N693" s="634">
        <f>SUM(K693:M693)</f>
        <v/>
      </c>
      <c r="O693" s="635">
        <f>SUM(K693:M693)/tc</f>
        <v/>
      </c>
    </row>
    <row r="694" outlineLevel="1" ht="15.75" customHeight="1">
      <c r="A694" s="278" t="inlineStr">
        <is>
          <t xml:space="preserve">MO </t>
        </is>
      </c>
      <c r="B694" s="282" t="inlineStr">
        <is>
          <t>11-01-05</t>
        </is>
      </c>
      <c r="C694" s="578" t="n"/>
      <c r="D694" s="386" t="inlineStr">
        <is>
          <t xml:space="preserve">AYUDANTE </t>
        </is>
      </c>
      <c r="E694" s="632">
        <f>+_xlfn.XLOOKUP(D694,'BASE DATOS MANO DE OBRA'!A:A,'BASE DATOS MANO DE OBRA'!B:B)</f>
        <v/>
      </c>
      <c r="F694" s="388" t="n">
        <v>22</v>
      </c>
      <c r="G694" s="633">
        <f>+_xlfn.XLOOKUP(D694,'BASE DATOS MANO DE OBRA'!A:A,'BASE DATOS MANO DE OBRA'!C:C)</f>
        <v/>
      </c>
      <c r="H694" s="634" t="n">
        <v>0</v>
      </c>
      <c r="I694" s="634">
        <f>+_xlfn.XLOOKUP(D694,'BASE DATOS MANO DE OBRA'!A:A,'BASE DATOS MANO DE OBRA'!E:E)</f>
        <v/>
      </c>
      <c r="J694" s="634" t="n">
        <v>0</v>
      </c>
      <c r="K694" s="634">
        <f>+F694*H694</f>
        <v/>
      </c>
      <c r="L694" s="634">
        <f>+F694*I694</f>
        <v/>
      </c>
      <c r="M694" s="634">
        <f>+F694*J694</f>
        <v/>
      </c>
      <c r="N694" s="634">
        <f>SUM(K694:M694)</f>
        <v/>
      </c>
      <c r="O694" s="635">
        <f>SUM(K694:M694)/tc</f>
        <v/>
      </c>
    </row>
    <row r="695" outlineLevel="1" ht="15.75" customHeight="1">
      <c r="A695" s="278" t="inlineStr">
        <is>
          <t xml:space="preserve">MO </t>
        </is>
      </c>
      <c r="B695" s="282" t="inlineStr">
        <is>
          <t>11-01-06</t>
        </is>
      </c>
      <c r="C695" s="578" t="n"/>
      <c r="D695" s="386" t="inlineStr">
        <is>
          <t xml:space="preserve">OPERARIO </t>
        </is>
      </c>
      <c r="E695" s="632">
        <f>+_xlfn.XLOOKUP(D695,'BASE DATOS MANO DE OBRA'!A:A,'BASE DATOS MANO DE OBRA'!B:B)</f>
        <v/>
      </c>
      <c r="F695" s="388" t="n">
        <v>2.5</v>
      </c>
      <c r="G695" s="633">
        <f>+_xlfn.XLOOKUP(D695,'BASE DATOS MANO DE OBRA'!A:A,'BASE DATOS MANO DE OBRA'!C:C)</f>
        <v/>
      </c>
      <c r="H695" s="634" t="n">
        <v>0</v>
      </c>
      <c r="I695" s="634">
        <f>+_xlfn.XLOOKUP(D695,'BASE DATOS MANO DE OBRA'!A:A,'BASE DATOS MANO DE OBRA'!E:E)</f>
        <v/>
      </c>
      <c r="J695" s="634" t="n">
        <v>0</v>
      </c>
      <c r="K695" s="634">
        <f>+F695*H695</f>
        <v/>
      </c>
      <c r="L695" s="634">
        <f>+F695*I695</f>
        <v/>
      </c>
      <c r="M695" s="634">
        <f>+F695*J695</f>
        <v/>
      </c>
      <c r="N695" s="634">
        <f>SUM(K695:M695)</f>
        <v/>
      </c>
      <c r="O695" s="635">
        <f>SUM(K695:M695)/tc</f>
        <v/>
      </c>
    </row>
    <row r="696" outlineLevel="1" ht="15.75" customHeight="1">
      <c r="A696" s="278" t="inlineStr">
        <is>
          <t xml:space="preserve">MO </t>
        </is>
      </c>
      <c r="B696" s="282" t="inlineStr">
        <is>
          <t>11-01-06</t>
        </is>
      </c>
      <c r="C696" s="578" t="n"/>
      <c r="D696" s="386" t="inlineStr">
        <is>
          <t xml:space="preserve">AYUDANTE </t>
        </is>
      </c>
      <c r="E696" s="632">
        <f>+_xlfn.XLOOKUP(D696,'BASE DATOS MANO DE OBRA'!A:A,'BASE DATOS MANO DE OBRA'!B:B)</f>
        <v/>
      </c>
      <c r="F696" s="388" t="n">
        <v>2.5</v>
      </c>
      <c r="G696" s="633">
        <f>+_xlfn.XLOOKUP(D696,'BASE DATOS MANO DE OBRA'!A:A,'BASE DATOS MANO DE OBRA'!C:C)</f>
        <v/>
      </c>
      <c r="H696" s="634" t="n">
        <v>0</v>
      </c>
      <c r="I696" s="634">
        <f>+_xlfn.XLOOKUP(D696,'BASE DATOS MANO DE OBRA'!A:A,'BASE DATOS MANO DE OBRA'!E:E)</f>
        <v/>
      </c>
      <c r="J696" s="634" t="n">
        <v>0</v>
      </c>
      <c r="K696" s="634">
        <f>+F696*H696</f>
        <v/>
      </c>
      <c r="L696" s="634">
        <f>+F696*I696</f>
        <v/>
      </c>
      <c r="M696" s="634">
        <f>+F696*J696</f>
        <v/>
      </c>
      <c r="N696" s="634">
        <f>SUM(K696:M696)</f>
        <v/>
      </c>
      <c r="O696" s="635">
        <f>SUM(K696:M696)/tc</f>
        <v/>
      </c>
    </row>
    <row r="697">
      <c r="A697" s="278" t="n"/>
      <c r="B697" s="282" t="inlineStr">
        <is>
          <t>11-02</t>
        </is>
      </c>
      <c r="C697" s="578" t="n"/>
      <c r="D697" s="307" t="inlineStr">
        <is>
          <t>11.2</t>
        </is>
      </c>
      <c r="E697" s="308" t="inlineStr">
        <is>
          <t>LOSA SANITARIA, GRIFERIA</t>
        </is>
      </c>
      <c r="F697" s="309" t="n">
        <v>1</v>
      </c>
      <c r="G697" s="310" t="inlineStr">
        <is>
          <t>gb</t>
        </is>
      </c>
      <c r="H697" s="310" t="n"/>
      <c r="I697" s="310" t="n"/>
      <c r="J697" s="310" t="n"/>
      <c r="K697" s="636">
        <f>SUM(K698:K716)</f>
        <v/>
      </c>
      <c r="L697" s="636">
        <f>SUM(L698:L716)</f>
        <v/>
      </c>
      <c r="M697" s="636">
        <f>SUM(M698:M716)</f>
        <v/>
      </c>
      <c r="N697" s="636">
        <f>SUM(N698:N716)</f>
        <v/>
      </c>
      <c r="O697" s="615">
        <f>SUM(O698:O716)</f>
        <v/>
      </c>
    </row>
    <row r="698" outlineLevel="1">
      <c r="A698" s="278" t="inlineStr">
        <is>
          <t>MAT</t>
        </is>
      </c>
      <c r="B698" s="282" t="n"/>
      <c r="C698" s="578">
        <f>_xlfn.XLOOKUP(D698,'INSUMOS MAT '!B:B,'INSUMOS MAT '!C:C,"ERROR",0)</f>
        <v/>
      </c>
      <c r="D698" s="305" t="inlineStr">
        <is>
          <t>MAT01-0008</t>
        </is>
      </c>
      <c r="E698" s="618">
        <f>+_xlfn.XLOOKUP(D698,'BASE DATOS PRECIOS '!B:B,'BASE DATOS PRECIOS '!C:C)</f>
        <v/>
      </c>
      <c r="F698" s="301" t="n">
        <v>2</v>
      </c>
      <c r="G698" s="621">
        <f>+_xlfn.XLOOKUP(D698,'BASE DATOS PRECIOS '!B:B,'BASE DATOS PRECIOS '!D:D)</f>
        <v/>
      </c>
      <c r="H698" s="620">
        <f>+_xlfn.XLOOKUP(E698,'BASE DATOS PRECIOS '!C:C,'BASE DATOS PRECIOS '!F:F)</f>
        <v/>
      </c>
      <c r="I698" s="621" t="n"/>
      <c r="J698" s="621" t="n"/>
      <c r="K698" s="620">
        <f>+F698*H698</f>
        <v/>
      </c>
      <c r="L698" s="620">
        <f>+F698*I698</f>
        <v/>
      </c>
      <c r="M698" s="620">
        <f>+F698*J698</f>
        <v/>
      </c>
      <c r="N698" s="620">
        <f>SUM(K698:M698)</f>
        <v/>
      </c>
      <c r="O698" s="622">
        <f>SUM(K698:M698)/tc</f>
        <v/>
      </c>
    </row>
    <row r="699" outlineLevel="1">
      <c r="A699" s="278" t="inlineStr">
        <is>
          <t>MAT</t>
        </is>
      </c>
      <c r="B699" s="282" t="n"/>
      <c r="C699" s="580" t="n"/>
      <c r="D699" s="305" t="inlineStr">
        <is>
          <t>MAT08-0009</t>
        </is>
      </c>
      <c r="E699" s="618">
        <f>+_xlfn.XLOOKUP(D699,'BASE DATOS PRECIOS '!B:B,'BASE DATOS PRECIOS '!C:C)</f>
        <v/>
      </c>
      <c r="F699" s="301" t="n">
        <v>2</v>
      </c>
      <c r="G699" s="621">
        <f>+_xlfn.XLOOKUP(D699,'BASE DATOS PRECIOS '!B:B,'BASE DATOS PRECIOS '!D:D)</f>
        <v/>
      </c>
      <c r="H699" s="620">
        <f>+_xlfn.XLOOKUP(E699,'BASE DATOS PRECIOS '!C:C,'BASE DATOS PRECIOS '!F:F)</f>
        <v/>
      </c>
      <c r="I699" s="621" t="n"/>
      <c r="J699" s="621" t="n"/>
      <c r="K699" s="620">
        <f>+F699*H699</f>
        <v/>
      </c>
      <c r="L699" s="620">
        <f>+F699*I699</f>
        <v/>
      </c>
      <c r="M699" s="620">
        <f>+F699*J699</f>
        <v/>
      </c>
      <c r="N699" s="620">
        <f>SUM(K699:M699)</f>
        <v/>
      </c>
      <c r="O699" s="622">
        <f>SUM(K699:M699)/tc</f>
        <v/>
      </c>
    </row>
    <row r="700" outlineLevel="1">
      <c r="A700" s="278" t="inlineStr">
        <is>
          <t>MAT</t>
        </is>
      </c>
      <c r="B700" s="282" t="n"/>
      <c r="C700" s="578">
        <f>_xlfn.XLOOKUP(D700,'INSUMOS MAT '!B:B,'INSUMOS MAT '!C:C,"ERROR",0)</f>
        <v/>
      </c>
      <c r="D700" s="305" t="inlineStr">
        <is>
          <t>MAT08-0081</t>
        </is>
      </c>
      <c r="E700" s="618">
        <f>+_xlfn.XLOOKUP(D700,'BASE DATOS PRECIOS '!B:B,'BASE DATOS PRECIOS '!C:C)</f>
        <v/>
      </c>
      <c r="F700" s="301" t="n">
        <v>2</v>
      </c>
      <c r="G700" s="621">
        <f>+_xlfn.XLOOKUP(D700,'BASE DATOS PRECIOS '!B:B,'BASE DATOS PRECIOS '!D:D)</f>
        <v/>
      </c>
      <c r="H700" s="620">
        <f>+_xlfn.XLOOKUP(E700,'BASE DATOS PRECIOS '!C:C,'BASE DATOS PRECIOS '!F:F)</f>
        <v/>
      </c>
      <c r="I700" s="621" t="n"/>
      <c r="J700" s="621" t="n"/>
      <c r="K700" s="620">
        <f>+F700*H700</f>
        <v/>
      </c>
      <c r="L700" s="620">
        <f>+F700*I700</f>
        <v/>
      </c>
      <c r="M700" s="620">
        <f>+F700*J700</f>
        <v/>
      </c>
      <c r="N700" s="620">
        <f>SUM(K700:M700)</f>
        <v/>
      </c>
      <c r="O700" s="622">
        <f>SUM(K700:M700)/tc</f>
        <v/>
      </c>
    </row>
    <row r="701" outlineLevel="1">
      <c r="A701" s="278" t="inlineStr">
        <is>
          <t>MAT</t>
        </is>
      </c>
      <c r="B701" s="282" t="n"/>
      <c r="C701" s="578">
        <f>_xlfn.XLOOKUP(D701,'INSUMOS MAT '!B:B,'INSUMOS MAT '!C:C,"ERROR",0)</f>
        <v/>
      </c>
      <c r="D701" s="305" t="inlineStr">
        <is>
          <t>MAT01-0010</t>
        </is>
      </c>
      <c r="E701" s="618">
        <f>+_xlfn.XLOOKUP(D701,'BASE DATOS PRECIOS '!B:B,'BASE DATOS PRECIOS '!C:C)</f>
        <v/>
      </c>
      <c r="F701" s="301" t="n">
        <v>1</v>
      </c>
      <c r="G701" s="621">
        <f>+_xlfn.XLOOKUP(D701,'BASE DATOS PRECIOS '!B:B,'BASE DATOS PRECIOS '!D:D)</f>
        <v/>
      </c>
      <c r="H701" s="620">
        <f>+_xlfn.XLOOKUP(E701,'BASE DATOS PRECIOS '!C:C,'BASE DATOS PRECIOS '!F:F)</f>
        <v/>
      </c>
      <c r="I701" s="621" t="n"/>
      <c r="J701" s="621" t="n"/>
      <c r="K701" s="620">
        <f>+F701*H701</f>
        <v/>
      </c>
      <c r="L701" s="620">
        <f>+F701*I701</f>
        <v/>
      </c>
      <c r="M701" s="620">
        <f>+F701*J701</f>
        <v/>
      </c>
      <c r="N701" s="620">
        <f>SUM(K701:M701)</f>
        <v/>
      </c>
      <c r="O701" s="622">
        <f>SUM(K701:M701)/tc</f>
        <v/>
      </c>
    </row>
    <row r="702" outlineLevel="1">
      <c r="A702" s="278" t="inlineStr">
        <is>
          <t>MAT</t>
        </is>
      </c>
      <c r="B702" s="282" t="n"/>
      <c r="C702" s="578">
        <f>_xlfn.XLOOKUP(D702,'INSUMOS MAT '!B:B,'INSUMOS MAT '!C:C,"ERROR",0)</f>
        <v/>
      </c>
      <c r="D702" s="305" t="inlineStr">
        <is>
          <t>MAT01-0012</t>
        </is>
      </c>
      <c r="E702" s="618">
        <f>+_xlfn.XLOOKUP(D702,'BASE DATOS PRECIOS '!B:B,'BASE DATOS PRECIOS '!C:C)</f>
        <v/>
      </c>
      <c r="F702" s="301" t="n">
        <v>1</v>
      </c>
      <c r="G702" s="621">
        <f>+_xlfn.XLOOKUP(D702,'BASE DATOS PRECIOS '!B:B,'BASE DATOS PRECIOS '!D:D)</f>
        <v/>
      </c>
      <c r="H702" s="620">
        <f>+_xlfn.XLOOKUP(E702,'BASE DATOS PRECIOS '!C:C,'BASE DATOS PRECIOS '!F:F)</f>
        <v/>
      </c>
      <c r="I702" s="621" t="n"/>
      <c r="J702" s="621" t="n"/>
      <c r="K702" s="620">
        <f>+F702*H702</f>
        <v/>
      </c>
      <c r="L702" s="620">
        <f>+F702*I702</f>
        <v/>
      </c>
      <c r="M702" s="620">
        <f>+F702*J702</f>
        <v/>
      </c>
      <c r="N702" s="620">
        <f>SUM(K702:M702)</f>
        <v/>
      </c>
      <c r="O702" s="622">
        <f>SUM(K702:M702)/tc</f>
        <v/>
      </c>
    </row>
    <row r="703" outlineLevel="1">
      <c r="A703" s="278" t="inlineStr">
        <is>
          <t>MAT</t>
        </is>
      </c>
      <c r="B703" s="282" t="n"/>
      <c r="C703" s="578">
        <f>_xlfn.XLOOKUP(D703,'INSUMOS MAT '!B:B,'INSUMOS MAT '!C:C,"ERROR",0)</f>
        <v/>
      </c>
      <c r="D703" s="305" t="inlineStr">
        <is>
          <t>MAT01-0001</t>
        </is>
      </c>
      <c r="E703" s="618">
        <f>+_xlfn.XLOOKUP(D703,'BASE DATOS PRECIOS '!B:B,'BASE DATOS PRECIOS '!C:C)</f>
        <v/>
      </c>
      <c r="F703" s="301" t="n">
        <v>1</v>
      </c>
      <c r="G703" s="621">
        <f>+_xlfn.XLOOKUP(D703,'BASE DATOS PRECIOS '!B:B,'BASE DATOS PRECIOS '!D:D)</f>
        <v/>
      </c>
      <c r="H703" s="620">
        <f>+_xlfn.XLOOKUP(E703,'BASE DATOS PRECIOS '!C:C,'BASE DATOS PRECIOS '!F:F)</f>
        <v/>
      </c>
      <c r="I703" s="621" t="n"/>
      <c r="J703" s="621" t="n"/>
      <c r="K703" s="620">
        <f>+F703*H703</f>
        <v/>
      </c>
      <c r="L703" s="620">
        <f>+F703*I703</f>
        <v/>
      </c>
      <c r="M703" s="620">
        <f>+F703*J703</f>
        <v/>
      </c>
      <c r="N703" s="620">
        <f>SUM(K703:M703)</f>
        <v/>
      </c>
      <c r="O703" s="622">
        <f>SUM(K703:M703)/tc</f>
        <v/>
      </c>
    </row>
    <row r="704" outlineLevel="1">
      <c r="A704" s="278" t="inlineStr">
        <is>
          <t>MAT</t>
        </is>
      </c>
      <c r="B704" s="282" t="n"/>
      <c r="C704" s="578">
        <f>_xlfn.XLOOKUP(D704,'INSUMOS MAT '!B:B,'INSUMOS MAT '!C:C,"ERROR",0)</f>
        <v/>
      </c>
      <c r="D704" s="305" t="inlineStr">
        <is>
          <t>MAT01-0006</t>
        </is>
      </c>
      <c r="E704" s="618">
        <f>+_xlfn.XLOOKUP(D704,'BASE DATOS PRECIOS '!B:B,'BASE DATOS PRECIOS '!C:C)</f>
        <v/>
      </c>
      <c r="F704" s="301" t="n">
        <v>1</v>
      </c>
      <c r="G704" s="621">
        <f>+_xlfn.XLOOKUP(D704,'BASE DATOS PRECIOS '!B:B,'BASE DATOS PRECIOS '!D:D)</f>
        <v/>
      </c>
      <c r="H704" s="620">
        <f>+_xlfn.XLOOKUP(E704,'BASE DATOS PRECIOS '!C:C,'BASE DATOS PRECIOS '!F:F)</f>
        <v/>
      </c>
      <c r="I704" s="621" t="n"/>
      <c r="J704" s="621" t="n"/>
      <c r="K704" s="620">
        <f>+F704*H704</f>
        <v/>
      </c>
      <c r="L704" s="620">
        <f>+F704*I704</f>
        <v/>
      </c>
      <c r="M704" s="620">
        <f>+F704*J704</f>
        <v/>
      </c>
      <c r="N704" s="620">
        <f>SUM(K704:M704)</f>
        <v/>
      </c>
      <c r="O704" s="622">
        <f>SUM(K704:M704)/tc</f>
        <v/>
      </c>
    </row>
    <row r="705" outlineLevel="1">
      <c r="A705" s="278" t="inlineStr">
        <is>
          <t>MAT</t>
        </is>
      </c>
      <c r="B705" s="282" t="n"/>
      <c r="C705" s="578">
        <f>_xlfn.XLOOKUP(D705,'INSUMOS MAT '!B:B,'INSUMOS MAT '!C:C,"ERROR",0)</f>
        <v/>
      </c>
      <c r="D705" s="305" t="inlineStr">
        <is>
          <t>MAT01-0007</t>
        </is>
      </c>
      <c r="E705" s="618">
        <f>+_xlfn.XLOOKUP(D705,'BASE DATOS PRECIOS '!B:B,'BASE DATOS PRECIOS '!C:C)</f>
        <v/>
      </c>
      <c r="F705" s="301" t="n">
        <v>1</v>
      </c>
      <c r="G705" s="621">
        <f>+_xlfn.XLOOKUP(D705,'BASE DATOS PRECIOS '!B:B,'BASE DATOS PRECIOS '!D:D)</f>
        <v/>
      </c>
      <c r="H705" s="620">
        <f>+_xlfn.XLOOKUP(E705,'BASE DATOS PRECIOS '!C:C,'BASE DATOS PRECIOS '!F:F)</f>
        <v/>
      </c>
      <c r="I705" s="621" t="n"/>
      <c r="J705" s="621" t="n"/>
      <c r="K705" s="620">
        <f>+F705*H705</f>
        <v/>
      </c>
      <c r="L705" s="620">
        <f>+F705*I705</f>
        <v/>
      </c>
      <c r="M705" s="620">
        <f>+F705*J705</f>
        <v/>
      </c>
      <c r="N705" s="620">
        <f>SUM(K705:M705)</f>
        <v/>
      </c>
      <c r="O705" s="622">
        <f>SUM(K705:M705)/tc</f>
        <v/>
      </c>
    </row>
    <row r="706" outlineLevel="1">
      <c r="A706" s="278" t="inlineStr">
        <is>
          <t>MAT</t>
        </is>
      </c>
      <c r="B706" s="282" t="n"/>
      <c r="C706" s="578">
        <f>_xlfn.XLOOKUP(D706,'INSUMOS MAT '!B:B,'INSUMOS MAT '!C:C,"ERROR",0)</f>
        <v/>
      </c>
      <c r="D706" s="305" t="inlineStr">
        <is>
          <t>MAT21-0018</t>
        </is>
      </c>
      <c r="E706" s="618">
        <f>+_xlfn.XLOOKUP(D706,'BASE DATOS PRECIOS '!B:B,'BASE DATOS PRECIOS '!C:C)</f>
        <v/>
      </c>
      <c r="F706" s="301" t="n">
        <v>1</v>
      </c>
      <c r="G706" s="621">
        <f>+_xlfn.XLOOKUP(D706,'BASE DATOS PRECIOS '!B:B,'BASE DATOS PRECIOS '!D:D)</f>
        <v/>
      </c>
      <c r="H706" s="620">
        <f>+_xlfn.XLOOKUP(E706,'BASE DATOS PRECIOS '!C:C,'BASE DATOS PRECIOS '!F:F)</f>
        <v/>
      </c>
      <c r="I706" s="621" t="n"/>
      <c r="J706" s="621" t="n"/>
      <c r="K706" s="620">
        <f>+F706*H706</f>
        <v/>
      </c>
      <c r="L706" s="620">
        <f>+F706*I706</f>
        <v/>
      </c>
      <c r="M706" s="620">
        <f>+F706*J706</f>
        <v/>
      </c>
      <c r="N706" s="620">
        <f>SUM(K706:M706)</f>
        <v/>
      </c>
      <c r="O706" s="622">
        <f>SUM(K706:M706)/tc</f>
        <v/>
      </c>
    </row>
    <row r="707" outlineLevel="1">
      <c r="A707" s="278" t="inlineStr">
        <is>
          <t>MAT</t>
        </is>
      </c>
      <c r="B707" s="282" t="n"/>
      <c r="C707" s="578">
        <f>_xlfn.XLOOKUP(D707,'INSUMOS MAT '!B:B,'INSUMOS MAT '!C:C,"ERROR",0)</f>
        <v/>
      </c>
      <c r="D707" s="305" t="inlineStr">
        <is>
          <t>MAT08-0113</t>
        </is>
      </c>
      <c r="E707" s="618">
        <f>+_xlfn.XLOOKUP(D707,'BASE DATOS PRECIOS '!B:B,'BASE DATOS PRECIOS '!C:C)</f>
        <v/>
      </c>
      <c r="F707" s="301" t="n">
        <v>2</v>
      </c>
      <c r="G707" s="621">
        <f>+_xlfn.XLOOKUP(D707,'BASE DATOS PRECIOS '!B:B,'BASE DATOS PRECIOS '!D:D)</f>
        <v/>
      </c>
      <c r="H707" s="620">
        <f>+_xlfn.XLOOKUP(E707,'BASE DATOS PRECIOS '!C:C,'BASE DATOS PRECIOS '!F:F)</f>
        <v/>
      </c>
      <c r="I707" s="621" t="n"/>
      <c r="J707" s="621" t="n"/>
      <c r="K707" s="620">
        <f>+F707*H707</f>
        <v/>
      </c>
      <c r="L707" s="620">
        <f>+F707*I707</f>
        <v/>
      </c>
      <c r="M707" s="620">
        <f>+F707*J707</f>
        <v/>
      </c>
      <c r="N707" s="620">
        <f>SUM(K707:M707)</f>
        <v/>
      </c>
      <c r="O707" s="622">
        <f>SUM(K707:M707)/tc</f>
        <v/>
      </c>
    </row>
    <row r="708" outlineLevel="1">
      <c r="A708" s="278" t="inlineStr">
        <is>
          <t>MAT</t>
        </is>
      </c>
      <c r="B708" s="282" t="n"/>
      <c r="C708" s="578">
        <f>_xlfn.XLOOKUP(D708,'INSUMOS MAT '!B:B,'INSUMOS MAT '!C:C,"ERROR",0)</f>
        <v/>
      </c>
      <c r="D708" s="305" t="inlineStr">
        <is>
          <t>MAT08-0047</t>
        </is>
      </c>
      <c r="E708" s="618">
        <f>+_xlfn.XLOOKUP(D708,'BASE DATOS PRECIOS '!B:B,'BASE DATOS PRECIOS '!C:C)</f>
        <v/>
      </c>
      <c r="F708" s="301" t="n">
        <v>2</v>
      </c>
      <c r="G708" s="621">
        <f>+_xlfn.XLOOKUP(D708,'BASE DATOS PRECIOS '!B:B,'BASE DATOS PRECIOS '!D:D)</f>
        <v/>
      </c>
      <c r="H708" s="620">
        <f>+_xlfn.XLOOKUP(E708,'BASE DATOS PRECIOS '!C:C,'BASE DATOS PRECIOS '!F:F)</f>
        <v/>
      </c>
      <c r="I708" s="621" t="n"/>
      <c r="J708" s="621" t="n"/>
      <c r="K708" s="620">
        <f>+F708*H708</f>
        <v/>
      </c>
      <c r="L708" s="620">
        <f>+F708*I708</f>
        <v/>
      </c>
      <c r="M708" s="620">
        <f>+F708*J708</f>
        <v/>
      </c>
      <c r="N708" s="620">
        <f>SUM(K708:M708)</f>
        <v/>
      </c>
      <c r="O708" s="622">
        <f>SUM(K708:M708)/tc</f>
        <v/>
      </c>
    </row>
    <row r="709" outlineLevel="1">
      <c r="A709" s="278" t="inlineStr">
        <is>
          <t>MAT</t>
        </is>
      </c>
      <c r="B709" s="282" t="n"/>
      <c r="C709" s="578">
        <f>_xlfn.XLOOKUP(D709,'INSUMOS MAT '!B:B,'INSUMOS MAT '!C:C,"ERROR",0)</f>
        <v/>
      </c>
      <c r="D709" s="305" t="inlineStr">
        <is>
          <t>MAT01-0025</t>
        </is>
      </c>
      <c r="E709" s="618">
        <f>+_xlfn.XLOOKUP(D709,'BASE DATOS PRECIOS '!B:B,'BASE DATOS PRECIOS '!C:C)</f>
        <v/>
      </c>
      <c r="F709" s="301" t="n">
        <v>1</v>
      </c>
      <c r="G709" s="621">
        <f>+_xlfn.XLOOKUP(D709,'BASE DATOS PRECIOS '!B:B,'BASE DATOS PRECIOS '!D:D)</f>
        <v/>
      </c>
      <c r="H709" s="620">
        <f>+_xlfn.XLOOKUP(E709,'BASE DATOS PRECIOS '!C:C,'BASE DATOS PRECIOS '!F:F)</f>
        <v/>
      </c>
      <c r="I709" s="621" t="n"/>
      <c r="J709" s="621" t="n"/>
      <c r="K709" s="620">
        <f>+F709*H709</f>
        <v/>
      </c>
      <c r="L709" s="620">
        <f>+F709*I709</f>
        <v/>
      </c>
      <c r="M709" s="620">
        <f>+F709*J709</f>
        <v/>
      </c>
      <c r="N709" s="620">
        <f>SUM(K709:M709)</f>
        <v/>
      </c>
      <c r="O709" s="622">
        <f>SUM(K709:M709)/tc</f>
        <v/>
      </c>
    </row>
    <row r="710" outlineLevel="1">
      <c r="A710" s="278" t="inlineStr">
        <is>
          <t>MAT</t>
        </is>
      </c>
      <c r="B710" s="282" t="n"/>
      <c r="C710" s="578">
        <f>_xlfn.XLOOKUP(D710,'INSUMOS MAT '!B:B,'INSUMOS MAT '!C:C,"ERROR",0)</f>
        <v/>
      </c>
      <c r="D710" s="305" t="inlineStr">
        <is>
          <t>MAT08-0073</t>
        </is>
      </c>
      <c r="E710" s="618">
        <f>+_xlfn.XLOOKUP(D710,'BASE DATOS PRECIOS '!B:B,'BASE DATOS PRECIOS '!C:C)</f>
        <v/>
      </c>
      <c r="F710" s="301" t="n">
        <v>1</v>
      </c>
      <c r="G710" s="621">
        <f>+_xlfn.XLOOKUP(D710,'BASE DATOS PRECIOS '!B:B,'BASE DATOS PRECIOS '!D:D)</f>
        <v/>
      </c>
      <c r="H710" s="620">
        <f>+_xlfn.XLOOKUP(E710,'BASE DATOS PRECIOS '!C:C,'BASE DATOS PRECIOS '!F:F)</f>
        <v/>
      </c>
      <c r="I710" s="621" t="n"/>
      <c r="J710" s="621" t="n"/>
      <c r="K710" s="620">
        <f>+F710*H710</f>
        <v/>
      </c>
      <c r="L710" s="620">
        <f>+F710*I710</f>
        <v/>
      </c>
      <c r="M710" s="620">
        <f>+F710*J710</f>
        <v/>
      </c>
      <c r="N710" s="620">
        <f>SUM(K710:M710)</f>
        <v/>
      </c>
      <c r="O710" s="622">
        <f>SUM(K710:M710)/tc</f>
        <v/>
      </c>
    </row>
    <row r="711" outlineLevel="1">
      <c r="A711" s="278" t="inlineStr">
        <is>
          <t>MAT</t>
        </is>
      </c>
      <c r="B711" s="282" t="n"/>
      <c r="C711" s="578">
        <f>_xlfn.XLOOKUP(D711,'INSUMOS MAT '!B:B,'INSUMOS MAT '!C:C,"ERROR",0)</f>
        <v/>
      </c>
      <c r="D711" s="305" t="inlineStr">
        <is>
          <t>MAT01-0002</t>
        </is>
      </c>
      <c r="E711" s="618">
        <f>+_xlfn.XLOOKUP(D711,'BASE DATOS PRECIOS '!B:B,'BASE DATOS PRECIOS '!C:C)</f>
        <v/>
      </c>
      <c r="F711" s="301" t="n">
        <v>2</v>
      </c>
      <c r="G711" s="621">
        <f>+_xlfn.XLOOKUP(D711,'BASE DATOS PRECIOS '!B:B,'BASE DATOS PRECIOS '!D:D)</f>
        <v/>
      </c>
      <c r="H711" s="620">
        <f>+_xlfn.XLOOKUP(E711,'BASE DATOS PRECIOS '!C:C,'BASE DATOS PRECIOS '!F:F)</f>
        <v/>
      </c>
      <c r="I711" s="621" t="n"/>
      <c r="J711" s="621" t="n"/>
      <c r="K711" s="620">
        <f>+F711*H711</f>
        <v/>
      </c>
      <c r="L711" s="620">
        <f>+F711*I711</f>
        <v/>
      </c>
      <c r="M711" s="620">
        <f>+F711*J711</f>
        <v/>
      </c>
      <c r="N711" s="620">
        <f>SUM(K711:M711)</f>
        <v/>
      </c>
      <c r="O711" s="622">
        <f>SUM(K711:M711)/tc</f>
        <v/>
      </c>
    </row>
    <row r="712" outlineLevel="1">
      <c r="A712" s="278" t="inlineStr">
        <is>
          <t>MAT</t>
        </is>
      </c>
      <c r="B712" s="282" t="n"/>
      <c r="C712" s="578">
        <f>_xlfn.XLOOKUP(D712,'INSUMOS MAT '!B:B,'INSUMOS MAT '!C:C,"ERROR",0)</f>
        <v/>
      </c>
      <c r="D712" s="305" t="inlineStr">
        <is>
          <t>MAT14-0007</t>
        </is>
      </c>
      <c r="E712" s="618">
        <f>+_xlfn.XLOOKUP(D712,'BASE DATOS PRECIOS '!B:B,'BASE DATOS PRECIOS '!C:C)</f>
        <v/>
      </c>
      <c r="F712" s="301" t="n">
        <v>1</v>
      </c>
      <c r="G712" s="621">
        <f>+_xlfn.XLOOKUP(D712,'BASE DATOS PRECIOS '!B:B,'BASE DATOS PRECIOS '!D:D)</f>
        <v/>
      </c>
      <c r="H712" s="620">
        <f>+_xlfn.XLOOKUP(E712,'BASE DATOS PRECIOS '!C:C,'BASE DATOS PRECIOS '!F:F)</f>
        <v/>
      </c>
      <c r="I712" s="621" t="n"/>
      <c r="J712" s="621" t="n"/>
      <c r="K712" s="620">
        <f>+F712*H712</f>
        <v/>
      </c>
      <c r="L712" s="620">
        <f>+F712*I712</f>
        <v/>
      </c>
      <c r="M712" s="620">
        <f>+F712*J712</f>
        <v/>
      </c>
      <c r="N712" s="620">
        <f>SUM(K712:M712)</f>
        <v/>
      </c>
      <c r="O712" s="622">
        <f>SUM(K712:M712)/tc</f>
        <v/>
      </c>
    </row>
    <row r="713" outlineLevel="1">
      <c r="A713" s="278" t="inlineStr">
        <is>
          <t xml:space="preserve">MO </t>
        </is>
      </c>
      <c r="B713" s="282" t="inlineStr">
        <is>
          <t>11-02-01</t>
        </is>
      </c>
      <c r="C713" s="578" t="n"/>
      <c r="D713" s="386" t="inlineStr">
        <is>
          <t xml:space="preserve">OPERARIO </t>
        </is>
      </c>
      <c r="E713" s="632">
        <f>+_xlfn.XLOOKUP(D713,'BASE DATOS MANO DE OBRA'!A:A,'BASE DATOS MANO DE OBRA'!B:B)</f>
        <v/>
      </c>
      <c r="F713" s="388" t="n">
        <v>10</v>
      </c>
      <c r="G713" s="633">
        <f>+_xlfn.XLOOKUP(D713,'BASE DATOS MANO DE OBRA'!A:A,'BASE DATOS MANO DE OBRA'!C:C)</f>
        <v/>
      </c>
      <c r="H713" s="634" t="n">
        <v>0</v>
      </c>
      <c r="I713" s="634">
        <f>+_xlfn.XLOOKUP(D713,'BASE DATOS MANO DE OBRA'!A:A,'BASE DATOS MANO DE OBRA'!E:E)</f>
        <v/>
      </c>
      <c r="J713" s="634" t="n">
        <v>0</v>
      </c>
      <c r="K713" s="634">
        <f>+F713*H713</f>
        <v/>
      </c>
      <c r="L713" s="634">
        <f>+F713*I713</f>
        <v/>
      </c>
      <c r="M713" s="634">
        <f>+F713*J713</f>
        <v/>
      </c>
      <c r="N713" s="634">
        <f>SUM(K713:M713)</f>
        <v/>
      </c>
      <c r="O713" s="635">
        <f>SUM(K713:M713)/tc</f>
        <v/>
      </c>
    </row>
    <row r="714" outlineLevel="1">
      <c r="A714" s="278" t="inlineStr">
        <is>
          <t xml:space="preserve">MO </t>
        </is>
      </c>
      <c r="B714" s="282" t="inlineStr">
        <is>
          <t>11-02-01</t>
        </is>
      </c>
      <c r="C714" s="578" t="n"/>
      <c r="D714" s="386" t="inlineStr">
        <is>
          <t xml:space="preserve">AYUDANTE </t>
        </is>
      </c>
      <c r="E714" s="632">
        <f>+_xlfn.XLOOKUP(D714,'BASE DATOS MANO DE OBRA'!A:A,'BASE DATOS MANO DE OBRA'!B:B)</f>
        <v/>
      </c>
      <c r="F714" s="388" t="n">
        <v>10</v>
      </c>
      <c r="G714" s="633">
        <f>+_xlfn.XLOOKUP(D714,'BASE DATOS MANO DE OBRA'!A:A,'BASE DATOS MANO DE OBRA'!C:C)</f>
        <v/>
      </c>
      <c r="H714" s="634" t="n">
        <v>0</v>
      </c>
      <c r="I714" s="634">
        <f>+_xlfn.XLOOKUP(D714,'BASE DATOS MANO DE OBRA'!A:A,'BASE DATOS MANO DE OBRA'!E:E)</f>
        <v/>
      </c>
      <c r="J714" s="634" t="n">
        <v>0</v>
      </c>
      <c r="K714" s="634">
        <f>+F714*H714</f>
        <v/>
      </c>
      <c r="L714" s="634">
        <f>+F714*I714</f>
        <v/>
      </c>
      <c r="M714" s="634">
        <f>+F714*J714</f>
        <v/>
      </c>
      <c r="N714" s="634">
        <f>SUM(K714:M714)</f>
        <v/>
      </c>
      <c r="O714" s="635">
        <f>SUM(K714:M714)/tc</f>
        <v/>
      </c>
    </row>
    <row r="715" outlineLevel="1">
      <c r="A715" s="278" t="inlineStr">
        <is>
          <t xml:space="preserve">MO </t>
        </is>
      </c>
      <c r="B715" s="282" t="inlineStr">
        <is>
          <t>11-02-02</t>
        </is>
      </c>
      <c r="C715" s="578" t="n"/>
      <c r="D715" s="386" t="inlineStr">
        <is>
          <t xml:space="preserve">OPERARIO </t>
        </is>
      </c>
      <c r="E715" s="632">
        <f>+_xlfn.XLOOKUP(D715,'BASE DATOS MANO DE OBRA'!A:A,'BASE DATOS MANO DE OBRA'!B:B)</f>
        <v/>
      </c>
      <c r="F715" s="388" t="n">
        <v>7.5</v>
      </c>
      <c r="G715" s="633">
        <f>+_xlfn.XLOOKUP(D715,'BASE DATOS MANO DE OBRA'!A:A,'BASE DATOS MANO DE OBRA'!C:C)</f>
        <v/>
      </c>
      <c r="H715" s="634" t="n">
        <v>0</v>
      </c>
      <c r="I715" s="634">
        <f>+_xlfn.XLOOKUP(D715,'BASE DATOS MANO DE OBRA'!A:A,'BASE DATOS MANO DE OBRA'!E:E)</f>
        <v/>
      </c>
      <c r="J715" s="634" t="n">
        <v>0</v>
      </c>
      <c r="K715" s="634">
        <f>+F715*H715</f>
        <v/>
      </c>
      <c r="L715" s="634">
        <f>+F715*I715</f>
        <v/>
      </c>
      <c r="M715" s="634">
        <f>+F715*J715</f>
        <v/>
      </c>
      <c r="N715" s="634">
        <f>SUM(K715:M715)</f>
        <v/>
      </c>
      <c r="O715" s="635">
        <f>SUM(K715:M715)/tc</f>
        <v/>
      </c>
    </row>
    <row r="716" outlineLevel="1">
      <c r="A716" s="278" t="inlineStr">
        <is>
          <t xml:space="preserve">MO </t>
        </is>
      </c>
      <c r="B716" s="282" t="inlineStr">
        <is>
          <t>11-02-02</t>
        </is>
      </c>
      <c r="C716" s="578" t="n"/>
      <c r="D716" s="386" t="inlineStr">
        <is>
          <t xml:space="preserve">AYUDANTE </t>
        </is>
      </c>
      <c r="E716" s="632">
        <f>+_xlfn.XLOOKUP(D716,'BASE DATOS MANO DE OBRA'!A:A,'BASE DATOS MANO DE OBRA'!B:B)</f>
        <v/>
      </c>
      <c r="F716" s="388" t="n">
        <v>7.5</v>
      </c>
      <c r="G716" s="633">
        <f>+_xlfn.XLOOKUP(D716,'BASE DATOS MANO DE OBRA'!A:A,'BASE DATOS MANO DE OBRA'!C:C)</f>
        <v/>
      </c>
      <c r="H716" s="634" t="n">
        <v>0</v>
      </c>
      <c r="I716" s="634">
        <f>+_xlfn.XLOOKUP(D716,'BASE DATOS MANO DE OBRA'!A:A,'BASE DATOS MANO DE OBRA'!E:E)</f>
        <v/>
      </c>
      <c r="J716" s="634" t="n">
        <v>0</v>
      </c>
      <c r="K716" s="634">
        <f>+F716*H716</f>
        <v/>
      </c>
      <c r="L716" s="634">
        <f>+F716*I716</f>
        <v/>
      </c>
      <c r="M716" s="634">
        <f>+F716*J716</f>
        <v/>
      </c>
      <c r="N716" s="634">
        <f>SUM(K716:M716)</f>
        <v/>
      </c>
      <c r="O716" s="635">
        <f>SUM(K716:M716)/tc</f>
        <v/>
      </c>
    </row>
    <row r="717">
      <c r="A717" s="278" t="n"/>
      <c r="B717" s="282" t="inlineStr">
        <is>
          <t>11-03</t>
        </is>
      </c>
      <c r="C717" s="578" t="n"/>
      <c r="D717" s="307" t="inlineStr">
        <is>
          <t>11.3</t>
        </is>
      </c>
      <c r="E717" s="308" t="inlineStr">
        <is>
          <t>ACABADOS DE AZOTEA</t>
        </is>
      </c>
      <c r="F717" s="309" t="n">
        <v>1</v>
      </c>
      <c r="G717" s="310" t="inlineStr">
        <is>
          <t>gb</t>
        </is>
      </c>
      <c r="H717" s="310" t="n"/>
      <c r="I717" s="310" t="n"/>
      <c r="J717" s="310" t="n"/>
      <c r="K717" s="636">
        <f>SUM(K718:K730)</f>
        <v/>
      </c>
      <c r="L717" s="636">
        <f>SUM(L718:L730)</f>
        <v/>
      </c>
      <c r="M717" s="636">
        <f>SUM(M718:M730)</f>
        <v/>
      </c>
      <c r="N717" s="636">
        <f>SUM(N718:N730)</f>
        <v/>
      </c>
      <c r="O717" s="615">
        <f>SUM(O718:O730)</f>
        <v/>
      </c>
    </row>
    <row r="718" outlineLevel="1">
      <c r="A718" s="278" t="n"/>
      <c r="B718" s="282" t="n"/>
      <c r="C718" s="578" t="n"/>
      <c r="D718" s="329" t="n"/>
      <c r="E718" s="618" t="n"/>
      <c r="F718" s="301" t="n"/>
      <c r="G718" s="621" t="n"/>
      <c r="H718" s="621" t="n"/>
      <c r="I718" s="621" t="n"/>
      <c r="J718" s="621" t="n"/>
      <c r="K718" s="619" t="n"/>
      <c r="L718" s="619" t="n"/>
      <c r="M718" s="619" t="n"/>
      <c r="N718" s="619" t="n"/>
      <c r="O718" s="663" t="n"/>
    </row>
    <row r="719" outlineLevel="1">
      <c r="A719" s="278" t="n"/>
      <c r="B719" s="282" t="n"/>
      <c r="C719" s="578" t="n"/>
      <c r="D719" s="329" t="n"/>
      <c r="E719" s="618" t="n"/>
      <c r="F719" s="301" t="n"/>
      <c r="G719" s="621" t="n"/>
      <c r="H719" s="621" t="n"/>
      <c r="I719" s="621" t="n"/>
      <c r="J719" s="621" t="n"/>
      <c r="K719" s="619" t="n"/>
      <c r="L719" s="619" t="n"/>
      <c r="M719" s="619" t="n"/>
      <c r="N719" s="619" t="n"/>
      <c r="O719" s="663" t="n"/>
    </row>
    <row r="720" outlineLevel="1">
      <c r="A720" s="278" t="n"/>
      <c r="B720" s="282" t="n"/>
      <c r="C720" s="578" t="n"/>
      <c r="D720" s="329" t="n"/>
      <c r="E720" s="618" t="n"/>
      <c r="F720" s="301" t="n"/>
      <c r="G720" s="621" t="n"/>
      <c r="H720" s="621" t="n"/>
      <c r="I720" s="621" t="n"/>
      <c r="J720" s="621" t="n"/>
      <c r="K720" s="619" t="n"/>
      <c r="L720" s="619" t="n"/>
      <c r="M720" s="619" t="n"/>
      <c r="N720" s="619" t="n"/>
      <c r="O720" s="663" t="n"/>
    </row>
    <row r="721" outlineLevel="1">
      <c r="A721" s="278" t="n"/>
      <c r="B721" s="282" t="n"/>
      <c r="C721" s="578" t="n"/>
      <c r="D721" s="329" t="n"/>
      <c r="E721" s="618" t="n"/>
      <c r="F721" s="301" t="n"/>
      <c r="G721" s="621" t="n"/>
      <c r="H721" s="621" t="n"/>
      <c r="I721" s="621" t="n"/>
      <c r="J721" s="621" t="n"/>
      <c r="K721" s="619" t="n"/>
      <c r="L721" s="619" t="n"/>
      <c r="M721" s="619" t="n"/>
      <c r="N721" s="619" t="n"/>
      <c r="O721" s="663" t="n"/>
    </row>
    <row r="722" outlineLevel="1">
      <c r="A722" s="278" t="n"/>
      <c r="B722" s="282" t="n"/>
      <c r="C722" s="578" t="n"/>
      <c r="D722" s="329" t="n"/>
      <c r="E722" s="618" t="n"/>
      <c r="F722" s="301" t="n"/>
      <c r="G722" s="621" t="n"/>
      <c r="H722" s="621" t="n"/>
      <c r="I722" s="621" t="n"/>
      <c r="J722" s="621" t="n"/>
      <c r="K722" s="619" t="n"/>
      <c r="L722" s="619" t="n"/>
      <c r="M722" s="619" t="n"/>
      <c r="N722" s="619" t="n"/>
      <c r="O722" s="663" t="n"/>
    </row>
    <row r="723" outlineLevel="1">
      <c r="A723" s="278" t="n"/>
      <c r="B723" s="282" t="n"/>
      <c r="C723" s="578" t="n"/>
      <c r="D723" s="329" t="n"/>
      <c r="E723" s="618" t="n"/>
      <c r="F723" s="301" t="n"/>
      <c r="G723" s="621" t="n"/>
      <c r="H723" s="621" t="n"/>
      <c r="I723" s="621" t="n"/>
      <c r="J723" s="621" t="n"/>
      <c r="K723" s="619" t="n"/>
      <c r="L723" s="619" t="n"/>
      <c r="M723" s="619" t="n"/>
      <c r="N723" s="619" t="n"/>
      <c r="O723" s="663" t="n"/>
    </row>
    <row r="724" outlineLevel="1">
      <c r="A724" s="278" t="n"/>
      <c r="B724" s="282" t="n"/>
      <c r="C724" s="578" t="n"/>
      <c r="D724" s="329" t="n"/>
      <c r="E724" s="618" t="n"/>
      <c r="F724" s="301" t="n"/>
      <c r="G724" s="621" t="n"/>
      <c r="H724" s="621" t="n"/>
      <c r="I724" s="621" t="n"/>
      <c r="J724" s="621" t="n"/>
      <c r="K724" s="619" t="n"/>
      <c r="L724" s="619" t="n"/>
      <c r="M724" s="619" t="n"/>
      <c r="N724" s="619" t="n"/>
      <c r="O724" s="663" t="n"/>
    </row>
    <row r="725" outlineLevel="1">
      <c r="A725" s="278" t="inlineStr">
        <is>
          <t xml:space="preserve">MO </t>
        </is>
      </c>
      <c r="B725" s="282" t="inlineStr">
        <is>
          <t>11-03-01</t>
        </is>
      </c>
      <c r="C725" s="578" t="n"/>
      <c r="D725" s="386" t="inlineStr">
        <is>
          <t xml:space="preserve">OPERARIO </t>
        </is>
      </c>
      <c r="E725" s="632">
        <f>+_xlfn.XLOOKUP(D725,'BASE DATOS MANO DE OBRA'!A:A,'BASE DATOS MANO DE OBRA'!B:B)</f>
        <v/>
      </c>
      <c r="F725" s="388" t="n">
        <v>0</v>
      </c>
      <c r="G725" s="633">
        <f>+_xlfn.XLOOKUP(D725,'BASE DATOS MANO DE OBRA'!A:A,'BASE DATOS MANO DE OBRA'!C:C)</f>
        <v/>
      </c>
      <c r="H725" s="634" t="n">
        <v>0</v>
      </c>
      <c r="I725" s="634">
        <f>+_xlfn.XLOOKUP(D725,'BASE DATOS MANO DE OBRA'!A:A,'BASE DATOS MANO DE OBRA'!E:E)</f>
        <v/>
      </c>
      <c r="J725" s="634" t="n">
        <v>0</v>
      </c>
      <c r="K725" s="634">
        <f>+F725*H725</f>
        <v/>
      </c>
      <c r="L725" s="634">
        <f>+F725*I725</f>
        <v/>
      </c>
      <c r="M725" s="634">
        <f>+F725*J725</f>
        <v/>
      </c>
      <c r="N725" s="634">
        <f>SUM(K725:M725)</f>
        <v/>
      </c>
      <c r="O725" s="635">
        <f>SUM(K725:M725)/tc</f>
        <v/>
      </c>
    </row>
    <row r="726" outlineLevel="1">
      <c r="A726" s="278" t="inlineStr">
        <is>
          <t xml:space="preserve">MO </t>
        </is>
      </c>
      <c r="B726" s="282" t="inlineStr">
        <is>
          <t>11-03-01</t>
        </is>
      </c>
      <c r="C726" s="578" t="n"/>
      <c r="D726" s="386" t="inlineStr">
        <is>
          <t xml:space="preserve">AYUDANTE </t>
        </is>
      </c>
      <c r="E726" s="632">
        <f>+_xlfn.XLOOKUP(D726,'BASE DATOS MANO DE OBRA'!A:A,'BASE DATOS MANO DE OBRA'!B:B)</f>
        <v/>
      </c>
      <c r="F726" s="388" t="n">
        <v>0</v>
      </c>
      <c r="G726" s="633">
        <f>+_xlfn.XLOOKUP(D726,'BASE DATOS MANO DE OBRA'!A:A,'BASE DATOS MANO DE OBRA'!C:C)</f>
        <v/>
      </c>
      <c r="H726" s="634" t="n">
        <v>0</v>
      </c>
      <c r="I726" s="634">
        <f>+_xlfn.XLOOKUP(D726,'BASE DATOS MANO DE OBRA'!A:A,'BASE DATOS MANO DE OBRA'!E:E)</f>
        <v/>
      </c>
      <c r="J726" s="634" t="n">
        <v>0</v>
      </c>
      <c r="K726" s="634">
        <f>+F726*H726</f>
        <v/>
      </c>
      <c r="L726" s="634">
        <f>+F726*I726</f>
        <v/>
      </c>
      <c r="M726" s="634">
        <f>+F726*J726</f>
        <v/>
      </c>
      <c r="N726" s="634">
        <f>SUM(K726:M726)</f>
        <v/>
      </c>
      <c r="O726" s="635">
        <f>SUM(K726:M726)/tc</f>
        <v/>
      </c>
    </row>
    <row r="727" outlineLevel="1">
      <c r="A727" s="278" t="inlineStr">
        <is>
          <t xml:space="preserve">MO </t>
        </is>
      </c>
      <c r="B727" s="282" t="inlineStr">
        <is>
          <t>11-03-02</t>
        </is>
      </c>
      <c r="C727" s="578" t="n"/>
      <c r="D727" s="386" t="inlineStr">
        <is>
          <t xml:space="preserve">OPERARIO </t>
        </is>
      </c>
      <c r="E727" s="632">
        <f>+_xlfn.XLOOKUP(D727,'BASE DATOS MANO DE OBRA'!A:A,'BASE DATOS MANO DE OBRA'!B:B)</f>
        <v/>
      </c>
      <c r="F727" s="388" t="n">
        <v>0</v>
      </c>
      <c r="G727" s="633">
        <f>+_xlfn.XLOOKUP(D727,'BASE DATOS MANO DE OBRA'!A:A,'BASE DATOS MANO DE OBRA'!C:C)</f>
        <v/>
      </c>
      <c r="H727" s="634" t="n">
        <v>0</v>
      </c>
      <c r="I727" s="634">
        <f>+_xlfn.XLOOKUP(D727,'BASE DATOS MANO DE OBRA'!A:A,'BASE DATOS MANO DE OBRA'!E:E)</f>
        <v/>
      </c>
      <c r="J727" s="634" t="n">
        <v>0</v>
      </c>
      <c r="K727" s="634">
        <f>+F727*H727</f>
        <v/>
      </c>
      <c r="L727" s="634">
        <f>+F727*I727</f>
        <v/>
      </c>
      <c r="M727" s="634">
        <f>+F727*J727</f>
        <v/>
      </c>
      <c r="N727" s="634">
        <f>SUM(K727:M727)</f>
        <v/>
      </c>
      <c r="O727" s="635">
        <f>SUM(K727:M727)/tc</f>
        <v/>
      </c>
    </row>
    <row r="728" outlineLevel="1">
      <c r="A728" s="278" t="inlineStr">
        <is>
          <t xml:space="preserve">MO </t>
        </is>
      </c>
      <c r="B728" s="282" t="inlineStr">
        <is>
          <t>11-03-02</t>
        </is>
      </c>
      <c r="C728" s="578" t="n"/>
      <c r="D728" s="386" t="inlineStr">
        <is>
          <t xml:space="preserve">AYUDANTE </t>
        </is>
      </c>
      <c r="E728" s="632">
        <f>+_xlfn.XLOOKUP(D728,'BASE DATOS MANO DE OBRA'!A:A,'BASE DATOS MANO DE OBRA'!B:B)</f>
        <v/>
      </c>
      <c r="F728" s="388" t="n">
        <v>0</v>
      </c>
      <c r="G728" s="633">
        <f>+_xlfn.XLOOKUP(D728,'BASE DATOS MANO DE OBRA'!A:A,'BASE DATOS MANO DE OBRA'!C:C)</f>
        <v/>
      </c>
      <c r="H728" s="634" t="n">
        <v>0</v>
      </c>
      <c r="I728" s="634">
        <f>+_xlfn.XLOOKUP(D728,'BASE DATOS MANO DE OBRA'!A:A,'BASE DATOS MANO DE OBRA'!E:E)</f>
        <v/>
      </c>
      <c r="J728" s="634" t="n">
        <v>0</v>
      </c>
      <c r="K728" s="634">
        <f>+F728*H728</f>
        <v/>
      </c>
      <c r="L728" s="634">
        <f>+F728*I728</f>
        <v/>
      </c>
      <c r="M728" s="634">
        <f>+F728*J728</f>
        <v/>
      </c>
      <c r="N728" s="634">
        <f>SUM(K728:M728)</f>
        <v/>
      </c>
      <c r="O728" s="635">
        <f>SUM(K728:M728)/tc</f>
        <v/>
      </c>
    </row>
    <row r="729" outlineLevel="1">
      <c r="A729" s="278" t="inlineStr">
        <is>
          <t xml:space="preserve">MO </t>
        </is>
      </c>
      <c r="B729" s="282" t="inlineStr">
        <is>
          <t>11-03-03</t>
        </is>
      </c>
      <c r="C729" s="578" t="n"/>
      <c r="D729" s="386" t="inlineStr">
        <is>
          <t xml:space="preserve">OPERARIO </t>
        </is>
      </c>
      <c r="E729" s="632">
        <f>+_xlfn.XLOOKUP(D729,'BASE DATOS MANO DE OBRA'!A:A,'BASE DATOS MANO DE OBRA'!B:B)</f>
        <v/>
      </c>
      <c r="F729" s="388" t="n">
        <v>0</v>
      </c>
      <c r="G729" s="633">
        <f>+_xlfn.XLOOKUP(D729,'BASE DATOS MANO DE OBRA'!A:A,'BASE DATOS MANO DE OBRA'!C:C)</f>
        <v/>
      </c>
      <c r="H729" s="634" t="n">
        <v>0</v>
      </c>
      <c r="I729" s="634">
        <f>+_xlfn.XLOOKUP(D729,'BASE DATOS MANO DE OBRA'!A:A,'BASE DATOS MANO DE OBRA'!E:E)</f>
        <v/>
      </c>
      <c r="J729" s="634" t="n">
        <v>0</v>
      </c>
      <c r="K729" s="634">
        <f>+F729*H729</f>
        <v/>
      </c>
      <c r="L729" s="634">
        <f>+F729*I729</f>
        <v/>
      </c>
      <c r="M729" s="634">
        <f>+F729*J729</f>
        <v/>
      </c>
      <c r="N729" s="634">
        <f>SUM(K729:M729)</f>
        <v/>
      </c>
      <c r="O729" s="635">
        <f>SUM(K729:M729)/tc</f>
        <v/>
      </c>
    </row>
    <row r="730" outlineLevel="1">
      <c r="A730" s="278" t="inlineStr">
        <is>
          <t xml:space="preserve">MO </t>
        </is>
      </c>
      <c r="B730" s="282" t="inlineStr">
        <is>
          <t>11-03-03</t>
        </is>
      </c>
      <c r="C730" s="578" t="n"/>
      <c r="D730" s="386" t="inlineStr">
        <is>
          <t xml:space="preserve">AYUDANTE </t>
        </is>
      </c>
      <c r="E730" s="632">
        <f>+_xlfn.XLOOKUP(D730,'BASE DATOS MANO DE OBRA'!A:A,'BASE DATOS MANO DE OBRA'!B:B)</f>
        <v/>
      </c>
      <c r="F730" s="388" t="n">
        <v>0</v>
      </c>
      <c r="G730" s="633">
        <f>+_xlfn.XLOOKUP(D730,'BASE DATOS MANO DE OBRA'!A:A,'BASE DATOS MANO DE OBRA'!C:C)</f>
        <v/>
      </c>
      <c r="H730" s="634" t="n">
        <v>0</v>
      </c>
      <c r="I730" s="634">
        <f>+_xlfn.XLOOKUP(D730,'BASE DATOS MANO DE OBRA'!A:A,'BASE DATOS MANO DE OBRA'!E:E)</f>
        <v/>
      </c>
      <c r="J730" s="634" t="n">
        <v>0</v>
      </c>
      <c r="K730" s="634">
        <f>+F730*H730</f>
        <v/>
      </c>
      <c r="L730" s="634">
        <f>+F730*I730</f>
        <v/>
      </c>
      <c r="M730" s="634">
        <f>+F730*J730</f>
        <v/>
      </c>
      <c r="N730" s="634">
        <f>SUM(K730:M730)</f>
        <v/>
      </c>
      <c r="O730" s="635">
        <f>SUM(K730:M730)/tc</f>
        <v/>
      </c>
    </row>
    <row r="731">
      <c r="A731" s="278" t="n"/>
      <c r="B731" s="282" t="inlineStr">
        <is>
          <t>11-04</t>
        </is>
      </c>
      <c r="C731" s="578" t="n"/>
      <c r="D731" s="307" t="inlineStr">
        <is>
          <t>11.4</t>
        </is>
      </c>
      <c r="E731" s="308" t="inlineStr">
        <is>
          <t xml:space="preserve">PONCHEO FINAL </t>
        </is>
      </c>
      <c r="F731" s="309" t="n">
        <v>1</v>
      </c>
      <c r="G731" s="310" t="inlineStr">
        <is>
          <t>gb</t>
        </is>
      </c>
      <c r="H731" s="310" t="n"/>
      <c r="I731" s="310" t="n"/>
      <c r="J731" s="310" t="n"/>
      <c r="K731" s="636">
        <f>SUM(K732:K737)</f>
        <v/>
      </c>
      <c r="L731" s="636">
        <f>SUM(L732:L737)</f>
        <v/>
      </c>
      <c r="M731" s="636">
        <f>SUM(M732:M737)</f>
        <v/>
      </c>
      <c r="N731" s="636">
        <f>SUM(N732:N737)</f>
        <v/>
      </c>
      <c r="O731" s="615">
        <f>SUM(O732:O737)</f>
        <v/>
      </c>
    </row>
    <row r="732">
      <c r="A732" s="278" t="inlineStr">
        <is>
          <t xml:space="preserve">MO </t>
        </is>
      </c>
      <c r="B732" s="282" t="inlineStr">
        <is>
          <t>11-04-01</t>
        </is>
      </c>
      <c r="C732" s="578" t="n"/>
      <c r="D732" s="386" t="inlineStr">
        <is>
          <t xml:space="preserve">OPERARIO </t>
        </is>
      </c>
      <c r="E732" s="632">
        <f>+_xlfn.XLOOKUP(D732,'BASE DATOS MANO DE OBRA'!A:A,'BASE DATOS MANO DE OBRA'!B:B)</f>
        <v/>
      </c>
      <c r="F732" s="388" t="n">
        <v>26.25</v>
      </c>
      <c r="G732" s="633">
        <f>+_xlfn.XLOOKUP(D732,'BASE DATOS MANO DE OBRA'!A:A,'BASE DATOS MANO DE OBRA'!C:C)</f>
        <v/>
      </c>
      <c r="H732" s="634" t="n">
        <v>0</v>
      </c>
      <c r="I732" s="634">
        <f>+_xlfn.XLOOKUP(D732,'BASE DATOS MANO DE OBRA'!A:A,'BASE DATOS MANO DE OBRA'!E:E)</f>
        <v/>
      </c>
      <c r="J732" s="634" t="n">
        <v>0</v>
      </c>
      <c r="K732" s="634">
        <f>+F732*H732</f>
        <v/>
      </c>
      <c r="L732" s="634">
        <f>+F732*I732</f>
        <v/>
      </c>
      <c r="M732" s="634">
        <f>+F732*J732</f>
        <v/>
      </c>
      <c r="N732" s="634">
        <f>SUM(K732:M732)</f>
        <v/>
      </c>
      <c r="O732" s="635">
        <f>SUM(K732:M732)/tc</f>
        <v/>
      </c>
    </row>
    <row r="733">
      <c r="A733" s="278" t="inlineStr">
        <is>
          <t xml:space="preserve">MO </t>
        </is>
      </c>
      <c r="B733" s="282" t="inlineStr">
        <is>
          <t>11-04-01</t>
        </is>
      </c>
      <c r="C733" s="578" t="n"/>
      <c r="D733" s="386" t="inlineStr">
        <is>
          <t xml:space="preserve">AYUDANTE </t>
        </is>
      </c>
      <c r="E733" s="632">
        <f>+_xlfn.XLOOKUP(D733,'BASE DATOS MANO DE OBRA'!A:A,'BASE DATOS MANO DE OBRA'!B:B)</f>
        <v/>
      </c>
      <c r="F733" s="388" t="n">
        <v>26.25</v>
      </c>
      <c r="G733" s="633">
        <f>+_xlfn.XLOOKUP(D733,'BASE DATOS MANO DE OBRA'!A:A,'BASE DATOS MANO DE OBRA'!C:C)</f>
        <v/>
      </c>
      <c r="H733" s="634" t="n">
        <v>0</v>
      </c>
      <c r="I733" s="634">
        <f>+_xlfn.XLOOKUP(D733,'BASE DATOS MANO DE OBRA'!A:A,'BASE DATOS MANO DE OBRA'!E:E)</f>
        <v/>
      </c>
      <c r="J733" s="634" t="n">
        <v>0</v>
      </c>
      <c r="K733" s="634">
        <f>+F733*H733</f>
        <v/>
      </c>
      <c r="L733" s="634">
        <f>+F733*I733</f>
        <v/>
      </c>
      <c r="M733" s="634">
        <f>+F733*J733</f>
        <v/>
      </c>
      <c r="N733" s="634">
        <f>SUM(K733:M733)</f>
        <v/>
      </c>
      <c r="O733" s="635">
        <f>SUM(K733:M733)/tc</f>
        <v/>
      </c>
    </row>
    <row r="734">
      <c r="A734" s="278" t="inlineStr">
        <is>
          <t xml:space="preserve">MO </t>
        </is>
      </c>
      <c r="B734" s="282" t="inlineStr">
        <is>
          <t>11-04-02</t>
        </is>
      </c>
      <c r="C734" s="578" t="n"/>
      <c r="D734" s="386" t="inlineStr">
        <is>
          <t xml:space="preserve">OPERARIO </t>
        </is>
      </c>
      <c r="E734" s="632">
        <f>+_xlfn.XLOOKUP(D734,'BASE DATOS MANO DE OBRA'!A:A,'BASE DATOS MANO DE OBRA'!B:B)</f>
        <v/>
      </c>
      <c r="F734" s="388" t="n">
        <v>11.25</v>
      </c>
      <c r="G734" s="633">
        <f>+_xlfn.XLOOKUP(D734,'BASE DATOS MANO DE OBRA'!A:A,'BASE DATOS MANO DE OBRA'!C:C)</f>
        <v/>
      </c>
      <c r="H734" s="634" t="n">
        <v>0</v>
      </c>
      <c r="I734" s="634">
        <f>+_xlfn.XLOOKUP(D734,'BASE DATOS MANO DE OBRA'!A:A,'BASE DATOS MANO DE OBRA'!E:E)</f>
        <v/>
      </c>
      <c r="J734" s="634" t="n">
        <v>0</v>
      </c>
      <c r="K734" s="634">
        <f>+F734*H734</f>
        <v/>
      </c>
      <c r="L734" s="634">
        <f>+F734*I734</f>
        <v/>
      </c>
      <c r="M734" s="634">
        <f>+F734*J734</f>
        <v/>
      </c>
      <c r="N734" s="634">
        <f>SUM(K734:M734)</f>
        <v/>
      </c>
      <c r="O734" s="635">
        <f>SUM(K734:M734)/tc</f>
        <v/>
      </c>
    </row>
    <row r="735">
      <c r="A735" s="278" t="inlineStr">
        <is>
          <t xml:space="preserve">MO </t>
        </is>
      </c>
      <c r="B735" s="282" t="inlineStr">
        <is>
          <t>11-04-02</t>
        </is>
      </c>
      <c r="C735" s="578" t="n"/>
      <c r="D735" s="386" t="inlineStr">
        <is>
          <t xml:space="preserve">AYUDANTE </t>
        </is>
      </c>
      <c r="E735" s="632">
        <f>+_xlfn.XLOOKUP(D735,'BASE DATOS MANO DE OBRA'!A:A,'BASE DATOS MANO DE OBRA'!B:B)</f>
        <v/>
      </c>
      <c r="F735" s="388" t="n">
        <v>11.25</v>
      </c>
      <c r="G735" s="633">
        <f>+_xlfn.XLOOKUP(D735,'BASE DATOS MANO DE OBRA'!A:A,'BASE DATOS MANO DE OBRA'!C:C)</f>
        <v/>
      </c>
      <c r="H735" s="634" t="n">
        <v>0</v>
      </c>
      <c r="I735" s="634">
        <f>+_xlfn.XLOOKUP(D735,'BASE DATOS MANO DE OBRA'!A:A,'BASE DATOS MANO DE OBRA'!E:E)</f>
        <v/>
      </c>
      <c r="J735" s="634" t="n">
        <v>0</v>
      </c>
      <c r="K735" s="634">
        <f>+F735*H735</f>
        <v/>
      </c>
      <c r="L735" s="634">
        <f>+F735*I735</f>
        <v/>
      </c>
      <c r="M735" s="634">
        <f>+F735*J735</f>
        <v/>
      </c>
      <c r="N735" s="634">
        <f>SUM(K735:M735)</f>
        <v/>
      </c>
      <c r="O735" s="635">
        <f>SUM(K735:M735)/tc</f>
        <v/>
      </c>
    </row>
    <row r="736">
      <c r="A736" s="278" t="inlineStr">
        <is>
          <t xml:space="preserve">MO </t>
        </is>
      </c>
      <c r="B736" s="282" t="inlineStr">
        <is>
          <t>11-04-03</t>
        </is>
      </c>
      <c r="C736" s="578" t="n"/>
      <c r="D736" s="386" t="inlineStr">
        <is>
          <t xml:space="preserve">OPERARIO </t>
        </is>
      </c>
      <c r="E736" s="632">
        <f>+_xlfn.XLOOKUP(D736,'BASE DATOS MANO DE OBRA'!A:A,'BASE DATOS MANO DE OBRA'!B:B)</f>
        <v/>
      </c>
      <c r="F736" s="388" t="n">
        <v>5</v>
      </c>
      <c r="G736" s="633">
        <f>+_xlfn.XLOOKUP(D736,'BASE DATOS MANO DE OBRA'!A:A,'BASE DATOS MANO DE OBRA'!C:C)</f>
        <v/>
      </c>
      <c r="H736" s="634" t="n">
        <v>0</v>
      </c>
      <c r="I736" s="634">
        <f>+_xlfn.XLOOKUP(D736,'BASE DATOS MANO DE OBRA'!A:A,'BASE DATOS MANO DE OBRA'!E:E)</f>
        <v/>
      </c>
      <c r="J736" s="634" t="n">
        <v>0</v>
      </c>
      <c r="K736" s="634">
        <f>+F736*H736</f>
        <v/>
      </c>
      <c r="L736" s="634">
        <f>+F736*I736</f>
        <v/>
      </c>
      <c r="M736" s="634">
        <f>+F736*J736</f>
        <v/>
      </c>
      <c r="N736" s="634">
        <f>SUM(K736:M736)</f>
        <v/>
      </c>
      <c r="O736" s="635">
        <f>SUM(K736:M736)/tc</f>
        <v/>
      </c>
    </row>
    <row r="737">
      <c r="A737" s="278" t="inlineStr">
        <is>
          <t xml:space="preserve">MO </t>
        </is>
      </c>
      <c r="B737" s="282" t="inlineStr">
        <is>
          <t>11-04-03</t>
        </is>
      </c>
      <c r="C737" s="578" t="n"/>
      <c r="D737" s="386" t="inlineStr">
        <is>
          <t xml:space="preserve">AYUDANTE </t>
        </is>
      </c>
      <c r="E737" s="632">
        <f>+_xlfn.XLOOKUP(D737,'BASE DATOS MANO DE OBRA'!A:A,'BASE DATOS MANO DE OBRA'!B:B)</f>
        <v/>
      </c>
      <c r="F737" s="388" t="n">
        <v>5</v>
      </c>
      <c r="G737" s="633">
        <f>+_xlfn.XLOOKUP(D737,'BASE DATOS MANO DE OBRA'!A:A,'BASE DATOS MANO DE OBRA'!C:C)</f>
        <v/>
      </c>
      <c r="H737" s="634" t="n">
        <v>0</v>
      </c>
      <c r="I737" s="634">
        <f>+_xlfn.XLOOKUP(D737,'BASE DATOS MANO DE OBRA'!A:A,'BASE DATOS MANO DE OBRA'!E:E)</f>
        <v/>
      </c>
      <c r="J737" s="634" t="n">
        <v>0</v>
      </c>
      <c r="K737" s="634">
        <f>+F737*H737</f>
        <v/>
      </c>
      <c r="L737" s="634">
        <f>+F737*I737</f>
        <v/>
      </c>
      <c r="M737" s="634">
        <f>+F737*J737</f>
        <v/>
      </c>
      <c r="N737" s="634">
        <f>SUM(K737:M737)</f>
        <v/>
      </c>
      <c r="O737" s="635">
        <f>SUM(K737:M737)/tc</f>
        <v/>
      </c>
    </row>
    <row r="738" ht="15" customHeight="1">
      <c r="A738" s="278" t="n"/>
      <c r="B738" s="282" t="inlineStr">
        <is>
          <t>12</t>
        </is>
      </c>
      <c r="C738" s="578" t="n"/>
      <c r="D738" s="372" t="n">
        <v>12</v>
      </c>
      <c r="E738" s="373" t="inlineStr">
        <is>
          <t xml:space="preserve">VENTANERIA </t>
        </is>
      </c>
      <c r="F738" s="374" t="n"/>
      <c r="G738" s="375" t="n"/>
      <c r="H738" s="375" t="n"/>
      <c r="I738" s="375" t="n"/>
      <c r="J738" s="375" t="n"/>
      <c r="K738" s="612">
        <f>K739</f>
        <v/>
      </c>
      <c r="L738" s="612">
        <f>L739</f>
        <v/>
      </c>
      <c r="M738" s="612">
        <f>M739</f>
        <v/>
      </c>
      <c r="N738" s="612">
        <f>N739</f>
        <v/>
      </c>
      <c r="O738" s="613">
        <f>O739</f>
        <v/>
      </c>
    </row>
    <row r="739" ht="15" customHeight="1">
      <c r="A739" s="278" t="n"/>
      <c r="B739" s="282" t="inlineStr">
        <is>
          <t>12-01</t>
        </is>
      </c>
      <c r="C739" s="578" t="n"/>
      <c r="D739" s="307" t="inlineStr">
        <is>
          <t>12.1</t>
        </is>
      </c>
      <c r="E739" s="410" t="inlineStr">
        <is>
          <t xml:space="preserve">VENTANERIA (INCLUYE PUERTAS DE ALUMINIO) </t>
        </is>
      </c>
      <c r="F739" s="309" t="n">
        <v>1</v>
      </c>
      <c r="G739" s="310" t="inlineStr">
        <is>
          <t>gb</t>
        </is>
      </c>
      <c r="H739" s="310" t="n"/>
      <c r="I739" s="310" t="n"/>
      <c r="J739" s="310" t="n"/>
      <c r="K739" s="636">
        <f>SUM(K740:K742)</f>
        <v/>
      </c>
      <c r="L739" s="636">
        <f>SUM(L740:L742)</f>
        <v/>
      </c>
      <c r="M739" s="636">
        <f>SUM(M740:M742)</f>
        <v/>
      </c>
      <c r="N739" s="636">
        <f>SUM(N740:N742)</f>
        <v/>
      </c>
      <c r="O739" s="615">
        <f>SUM(O740:O742)</f>
        <v/>
      </c>
    </row>
    <row r="740" outlineLevel="1" ht="15" customHeight="1">
      <c r="A740" s="278" t="inlineStr">
        <is>
          <t>SUB</t>
        </is>
      </c>
      <c r="B740" s="282" t="n"/>
      <c r="C740" s="578" t="n"/>
      <c r="D740" s="386" t="inlineStr">
        <is>
          <t xml:space="preserve">VENTANERIA IKARIA  </t>
        </is>
      </c>
      <c r="E740" s="632">
        <f>+_xlfn.XLOOKUP(D740,'BASE DATOS EQUIPOS Y SUBCONTRAT'!A:A,'BASE DATOS EQUIPOS Y SUBCONTRAT'!B:B)</f>
        <v/>
      </c>
      <c r="F740" s="496" t="n">
        <v>1</v>
      </c>
      <c r="G740" s="666">
        <f>+_xlfn.XLOOKUP(D740,'BASE DATOS EQUIPOS Y SUBCONTRAT'!A:A,'BASE DATOS EQUIPOS Y SUBCONTRAT'!C:C)</f>
        <v/>
      </c>
      <c r="H740" s="667" t="n">
        <v>0</v>
      </c>
      <c r="I740" s="666" t="n"/>
      <c r="J740" s="667">
        <f>+_xlfn.XLOOKUP(D740,'BASE DATOS EQUIPOS Y SUBCONTRAT'!A:A,'BASE DATOS EQUIPOS Y SUBCONTRAT'!E:E)</f>
        <v/>
      </c>
      <c r="K740" s="667">
        <f>+F740*H740</f>
        <v/>
      </c>
      <c r="L740" s="667">
        <f>+F740*I740</f>
        <v/>
      </c>
      <c r="M740" s="667">
        <f>+F740*J740</f>
        <v/>
      </c>
      <c r="N740" s="667">
        <f>SUM(K740:M740)</f>
        <v/>
      </c>
      <c r="O740" s="668">
        <f>SUM(K740:M740)/tc</f>
        <v/>
      </c>
    </row>
    <row r="741" outlineLevel="1" ht="15" customHeight="1">
      <c r="A741" s="278" t="inlineStr">
        <is>
          <t xml:space="preserve">MO </t>
        </is>
      </c>
      <c r="B741" s="282" t="inlineStr">
        <is>
          <t>12-01-01</t>
        </is>
      </c>
      <c r="C741" s="578" t="n"/>
      <c r="D741" s="386" t="inlineStr">
        <is>
          <t xml:space="preserve">OPERARIO </t>
        </is>
      </c>
      <c r="E741" s="632">
        <f>+_xlfn.XLOOKUP(D741,'BASE DATOS MANO DE OBRA'!A:A,'BASE DATOS MANO DE OBRA'!B:B)</f>
        <v/>
      </c>
      <c r="F741" s="388" t="n">
        <v>0</v>
      </c>
      <c r="G741" s="633">
        <f>+_xlfn.XLOOKUP(D741,'BASE DATOS MANO DE OBRA'!A:A,'BASE DATOS MANO DE OBRA'!C:C)</f>
        <v/>
      </c>
      <c r="H741" s="634" t="n">
        <v>0</v>
      </c>
      <c r="I741" s="634">
        <f>+_xlfn.XLOOKUP(D741,'BASE DATOS MANO DE OBRA'!A:A,'BASE DATOS MANO DE OBRA'!E:E)</f>
        <v/>
      </c>
      <c r="J741" s="634" t="n">
        <v>0</v>
      </c>
      <c r="K741" s="634">
        <f>+F741*H741</f>
        <v/>
      </c>
      <c r="L741" s="634">
        <f>+F741*I741</f>
        <v/>
      </c>
      <c r="M741" s="634">
        <f>+F741*J741</f>
        <v/>
      </c>
      <c r="N741" s="634">
        <f>SUM(K741:M741)</f>
        <v/>
      </c>
      <c r="O741" s="635">
        <f>SUM(K741:M741)/tc</f>
        <v/>
      </c>
    </row>
    <row r="742" outlineLevel="1" ht="15" customHeight="1">
      <c r="A742" s="278" t="inlineStr">
        <is>
          <t xml:space="preserve">MO </t>
        </is>
      </c>
      <c r="B742" s="282" t="inlineStr">
        <is>
          <t>12-01-01</t>
        </is>
      </c>
      <c r="C742" s="578" t="n"/>
      <c r="D742" s="386" t="inlineStr">
        <is>
          <t xml:space="preserve">AYUDANTE </t>
        </is>
      </c>
      <c r="E742" s="632">
        <f>+_xlfn.XLOOKUP(D742,'BASE DATOS MANO DE OBRA'!A:A,'BASE DATOS MANO DE OBRA'!B:B)</f>
        <v/>
      </c>
      <c r="F742" s="388" t="n">
        <v>0</v>
      </c>
      <c r="G742" s="633">
        <f>+_xlfn.XLOOKUP(D742,'BASE DATOS MANO DE OBRA'!A:A,'BASE DATOS MANO DE OBRA'!C:C)</f>
        <v/>
      </c>
      <c r="H742" s="634" t="n">
        <v>0</v>
      </c>
      <c r="I742" s="634">
        <f>+_xlfn.XLOOKUP(D742,'BASE DATOS MANO DE OBRA'!A:A,'BASE DATOS MANO DE OBRA'!E:E)</f>
        <v/>
      </c>
      <c r="J742" s="634" t="n">
        <v>0</v>
      </c>
      <c r="K742" s="634">
        <f>+F742*H742</f>
        <v/>
      </c>
      <c r="L742" s="634">
        <f>+F742*I742</f>
        <v/>
      </c>
      <c r="M742" s="634">
        <f>+F742*J742</f>
        <v/>
      </c>
      <c r="N742" s="634">
        <f>SUM(K742:M742)</f>
        <v/>
      </c>
      <c r="O742" s="635">
        <f>SUM(K742:M742)/tc</f>
        <v/>
      </c>
    </row>
    <row r="743" ht="15" customHeight="1">
      <c r="A743" s="278" t="n"/>
      <c r="B743" s="282" t="inlineStr">
        <is>
          <t>13</t>
        </is>
      </c>
      <c r="C743" s="578" t="n"/>
      <c r="D743" s="372" t="n">
        <v>13</v>
      </c>
      <c r="E743" s="373" t="inlineStr">
        <is>
          <t xml:space="preserve">ELÉCTRICO </t>
        </is>
      </c>
      <c r="F743" s="374" t="n"/>
      <c r="G743" s="375" t="n"/>
      <c r="H743" s="375" t="n"/>
      <c r="I743" s="375" t="n"/>
      <c r="J743" s="375" t="n"/>
      <c r="K743" s="612">
        <f>K744+K748+K752+K756+K762+K771+K781+K813+K822</f>
        <v/>
      </c>
      <c r="L743" s="612">
        <f>L744+L748+L752+L756+L762+L771+L781+L813+L822</f>
        <v/>
      </c>
      <c r="M743" s="612">
        <f>M744+M748+M752+M756+M762+M771+M781+M813+M822</f>
        <v/>
      </c>
      <c r="N743" s="612">
        <f>N744+N748+N752+N756+N762+N771+N781+N813+N822</f>
        <v/>
      </c>
      <c r="O743" s="613">
        <f>O744+O748+O752+O756+O762+O771+O781+O813+O822</f>
        <v/>
      </c>
    </row>
    <row r="744" ht="15" customHeight="1">
      <c r="A744" s="278" t="n"/>
      <c r="B744" s="282" t="inlineStr">
        <is>
          <t>13-01</t>
        </is>
      </c>
      <c r="C744" s="578" t="n"/>
      <c r="D744" s="307" t="inlineStr">
        <is>
          <t>13.01</t>
        </is>
      </c>
      <c r="E744" s="410" t="inlineStr">
        <is>
          <t>ACOMETIDA</t>
        </is>
      </c>
      <c r="F744" s="309" t="n">
        <v>1</v>
      </c>
      <c r="G744" s="310" t="inlineStr">
        <is>
          <t>gb</t>
        </is>
      </c>
      <c r="H744" s="310" t="n"/>
      <c r="I744" s="310" t="n"/>
      <c r="J744" s="310" t="n"/>
      <c r="K744" s="636">
        <f>SUM(K745:K747)</f>
        <v/>
      </c>
      <c r="L744" s="636">
        <f>SUM(L745:L747)</f>
        <v/>
      </c>
      <c r="M744" s="636">
        <f>SUM(M745:M747)</f>
        <v/>
      </c>
      <c r="N744" s="636">
        <f>SUM(N745:N747)</f>
        <v/>
      </c>
      <c r="O744" s="615">
        <f>SUM(O745:O747)</f>
        <v/>
      </c>
    </row>
    <row r="745" outlineLevel="1" ht="15" customHeight="1">
      <c r="A745" s="278" t="inlineStr">
        <is>
          <t>SUB</t>
        </is>
      </c>
      <c r="B745" s="282" t="n"/>
      <c r="C745" s="578" t="n"/>
      <c r="D745" s="386" t="inlineStr">
        <is>
          <t xml:space="preserve">SUB ACOMETIDA </t>
        </is>
      </c>
      <c r="E745" s="632">
        <f>+_xlfn.XLOOKUP(D745,'BASE DATOS EQUIPOS Y SUBCONTRAT'!A:A,'BASE DATOS EQUIPOS Y SUBCONTRAT'!B:B)</f>
        <v/>
      </c>
      <c r="F745" s="496" t="n">
        <v>1</v>
      </c>
      <c r="G745" s="666">
        <f>+_xlfn.XLOOKUP(D745,'BASE DATOS EQUIPOS Y SUBCONTRAT'!A:A,'BASE DATOS EQUIPOS Y SUBCONTRAT'!C:C)</f>
        <v/>
      </c>
      <c r="H745" s="667" t="n">
        <v>0</v>
      </c>
      <c r="I745" s="666" t="n"/>
      <c r="J745" s="667">
        <f>+_xlfn.XLOOKUP(D745,'BASE DATOS EQUIPOS Y SUBCONTRAT'!A:A,'BASE DATOS EQUIPOS Y SUBCONTRAT'!E:E)</f>
        <v/>
      </c>
      <c r="K745" s="667">
        <f>+F745*H745</f>
        <v/>
      </c>
      <c r="L745" s="667">
        <f>+F745*I745</f>
        <v/>
      </c>
      <c r="M745" s="667">
        <f>+F745*J745</f>
        <v/>
      </c>
      <c r="N745" s="667">
        <f>SUM(K745:M745)</f>
        <v/>
      </c>
      <c r="O745" s="668">
        <f>SUM(K745:M745)/tc</f>
        <v/>
      </c>
    </row>
    <row r="746" outlineLevel="1" ht="15" customHeight="1">
      <c r="A746" s="278" t="inlineStr">
        <is>
          <t xml:space="preserve">MO </t>
        </is>
      </c>
      <c r="B746" s="282" t="inlineStr">
        <is>
          <t>13-01-01</t>
        </is>
      </c>
      <c r="C746" s="578" t="n"/>
      <c r="D746" s="386" t="inlineStr">
        <is>
          <t xml:space="preserve">OPERARIO </t>
        </is>
      </c>
      <c r="E746" s="632">
        <f>+_xlfn.XLOOKUP(D746,'BASE DATOS MANO DE OBRA'!A:A,'BASE DATOS MANO DE OBRA'!B:B)</f>
        <v/>
      </c>
      <c r="F746" s="388" t="n">
        <v>0</v>
      </c>
      <c r="G746" s="633">
        <f>+_xlfn.XLOOKUP(D746,'BASE DATOS MANO DE OBRA'!A:A,'BASE DATOS MANO DE OBRA'!C:C)</f>
        <v/>
      </c>
      <c r="H746" s="634" t="n">
        <v>0</v>
      </c>
      <c r="I746" s="634">
        <f>+_xlfn.XLOOKUP(D746,'BASE DATOS MANO DE OBRA'!A:A,'BASE DATOS MANO DE OBRA'!E:E)</f>
        <v/>
      </c>
      <c r="J746" s="634" t="n">
        <v>0</v>
      </c>
      <c r="K746" s="634">
        <f>+F746*H746</f>
        <v/>
      </c>
      <c r="L746" s="634">
        <f>+F746*I746</f>
        <v/>
      </c>
      <c r="M746" s="634">
        <f>+F746*J746</f>
        <v/>
      </c>
      <c r="N746" s="634">
        <f>SUM(K746:M746)</f>
        <v/>
      </c>
      <c r="O746" s="635">
        <f>SUM(K746:M746)/tc</f>
        <v/>
      </c>
    </row>
    <row r="747" outlineLevel="1" ht="15" customHeight="1">
      <c r="A747" s="278" t="inlineStr">
        <is>
          <t xml:space="preserve">MO </t>
        </is>
      </c>
      <c r="B747" s="282" t="inlineStr">
        <is>
          <t>13-01-01</t>
        </is>
      </c>
      <c r="C747" s="578" t="n"/>
      <c r="D747" s="386" t="inlineStr">
        <is>
          <t xml:space="preserve">AYUDANTE </t>
        </is>
      </c>
      <c r="E747" s="632">
        <f>+_xlfn.XLOOKUP(D747,'BASE DATOS MANO DE OBRA'!A:A,'BASE DATOS MANO DE OBRA'!B:B)</f>
        <v/>
      </c>
      <c r="F747" s="388" t="n">
        <v>0</v>
      </c>
      <c r="G747" s="633">
        <f>+_xlfn.XLOOKUP(D747,'BASE DATOS MANO DE OBRA'!A:A,'BASE DATOS MANO DE OBRA'!C:C)</f>
        <v/>
      </c>
      <c r="H747" s="634" t="n">
        <v>0</v>
      </c>
      <c r="I747" s="634">
        <f>+_xlfn.XLOOKUP(D747,'BASE DATOS MANO DE OBRA'!A:A,'BASE DATOS MANO DE OBRA'!E:E)</f>
        <v/>
      </c>
      <c r="J747" s="634" t="n">
        <v>0</v>
      </c>
      <c r="K747" s="634">
        <f>+F747*H747</f>
        <v/>
      </c>
      <c r="L747" s="634">
        <f>+F747*I747</f>
        <v/>
      </c>
      <c r="M747" s="634">
        <f>+F747*J747</f>
        <v/>
      </c>
      <c r="N747" s="634">
        <f>SUM(K747:M747)</f>
        <v/>
      </c>
      <c r="O747" s="635">
        <f>SUM(K747:M747)/tc</f>
        <v/>
      </c>
    </row>
    <row r="748" ht="15" customHeight="1">
      <c r="A748" s="278" t="n"/>
      <c r="B748" s="282" t="inlineStr">
        <is>
          <t>13-02</t>
        </is>
      </c>
      <c r="C748" s="578" t="n"/>
      <c r="D748" s="307" t="inlineStr">
        <is>
          <t>13.02</t>
        </is>
      </c>
      <c r="E748" s="410" t="inlineStr">
        <is>
          <t xml:space="preserve">ELÉCTRICO LOSA </t>
        </is>
      </c>
      <c r="F748" s="309" t="n">
        <v>1</v>
      </c>
      <c r="G748" s="310" t="inlineStr">
        <is>
          <t>gb</t>
        </is>
      </c>
      <c r="H748" s="310" t="n"/>
      <c r="I748" s="310" t="n"/>
      <c r="J748" s="310" t="n"/>
      <c r="K748" s="636">
        <f>SUM(K749:K751)</f>
        <v/>
      </c>
      <c r="L748" s="636">
        <f>SUM(L749:L751)</f>
        <v/>
      </c>
      <c r="M748" s="636">
        <f>SUM(M749:M751)</f>
        <v/>
      </c>
      <c r="N748" s="636">
        <f>SUM(N749:N751)</f>
        <v/>
      </c>
      <c r="O748" s="615">
        <f>SUM(O749:O751)</f>
        <v/>
      </c>
    </row>
    <row r="749" outlineLevel="1" ht="15" customHeight="1">
      <c r="A749" s="278" t="inlineStr">
        <is>
          <t>SUB</t>
        </is>
      </c>
      <c r="B749" s="282" t="n"/>
      <c r="C749" s="578" t="n"/>
      <c r="D749" s="386" t="inlineStr">
        <is>
          <t xml:space="preserve">SUB ELECTRICO LOSA </t>
        </is>
      </c>
      <c r="E749" s="632">
        <f>+_xlfn.XLOOKUP(D749,'BASE DATOS EQUIPOS Y SUBCONTRAT'!A:A,'BASE DATOS EQUIPOS Y SUBCONTRAT'!B:B)</f>
        <v/>
      </c>
      <c r="F749" s="496" t="n">
        <v>1</v>
      </c>
      <c r="G749" s="666">
        <f>+_xlfn.XLOOKUP(D749,'BASE DATOS EQUIPOS Y SUBCONTRAT'!A:A,'BASE DATOS EQUIPOS Y SUBCONTRAT'!C:C)</f>
        <v/>
      </c>
      <c r="H749" s="667" t="n">
        <v>0</v>
      </c>
      <c r="I749" s="666" t="n"/>
      <c r="J749" s="667">
        <f>+_xlfn.XLOOKUP(D749,'BASE DATOS EQUIPOS Y SUBCONTRAT'!A:A,'BASE DATOS EQUIPOS Y SUBCONTRAT'!E:E)</f>
        <v/>
      </c>
      <c r="K749" s="667">
        <f>+F749*H749</f>
        <v/>
      </c>
      <c r="L749" s="667">
        <f>+F749*I749</f>
        <v/>
      </c>
      <c r="M749" s="667">
        <f>+F749*J749</f>
        <v/>
      </c>
      <c r="N749" s="667">
        <f>SUM(K749:M749)</f>
        <v/>
      </c>
      <c r="O749" s="668">
        <f>SUM(K749:M749)/tc</f>
        <v/>
      </c>
    </row>
    <row r="750" outlineLevel="1" ht="15" customHeight="1">
      <c r="A750" s="278" t="inlineStr">
        <is>
          <t xml:space="preserve">MO </t>
        </is>
      </c>
      <c r="B750" s="282" t="inlineStr">
        <is>
          <t>13-02-01</t>
        </is>
      </c>
      <c r="C750" s="578" t="n"/>
      <c r="D750" s="386" t="inlineStr">
        <is>
          <t xml:space="preserve">OPERARIO </t>
        </is>
      </c>
      <c r="E750" s="632">
        <f>+_xlfn.XLOOKUP(D750,'BASE DATOS MANO DE OBRA'!A:A,'BASE DATOS MANO DE OBRA'!B:B)</f>
        <v/>
      </c>
      <c r="F750" s="388" t="n">
        <v>0</v>
      </c>
      <c r="G750" s="633">
        <f>+_xlfn.XLOOKUP(D750,'BASE DATOS MANO DE OBRA'!A:A,'BASE DATOS MANO DE OBRA'!C:C)</f>
        <v/>
      </c>
      <c r="H750" s="634" t="n">
        <v>0</v>
      </c>
      <c r="I750" s="634">
        <f>+_xlfn.XLOOKUP(D750,'BASE DATOS MANO DE OBRA'!A:A,'BASE DATOS MANO DE OBRA'!E:E)</f>
        <v/>
      </c>
      <c r="J750" s="634" t="n">
        <v>0</v>
      </c>
      <c r="K750" s="634">
        <f>+F750*H750</f>
        <v/>
      </c>
      <c r="L750" s="634">
        <f>+F750*I750</f>
        <v/>
      </c>
      <c r="M750" s="634">
        <f>+F750*J750</f>
        <v/>
      </c>
      <c r="N750" s="634">
        <f>SUM(K750:M750)</f>
        <v/>
      </c>
      <c r="O750" s="635">
        <f>SUM(K750:M750)/tc</f>
        <v/>
      </c>
    </row>
    <row r="751" outlineLevel="1" ht="15" customHeight="1">
      <c r="A751" s="278" t="inlineStr">
        <is>
          <t xml:space="preserve">MO </t>
        </is>
      </c>
      <c r="B751" s="282" t="inlineStr">
        <is>
          <t>13-02-01</t>
        </is>
      </c>
      <c r="C751" s="578" t="n"/>
      <c r="D751" s="386" t="inlineStr">
        <is>
          <t xml:space="preserve">AYUDANTE </t>
        </is>
      </c>
      <c r="E751" s="632">
        <f>+_xlfn.XLOOKUP(D751,'BASE DATOS MANO DE OBRA'!A:A,'BASE DATOS MANO DE OBRA'!B:B)</f>
        <v/>
      </c>
      <c r="F751" s="388" t="n">
        <v>0</v>
      </c>
      <c r="G751" s="633">
        <f>+_xlfn.XLOOKUP(D751,'BASE DATOS MANO DE OBRA'!A:A,'BASE DATOS MANO DE OBRA'!C:C)</f>
        <v/>
      </c>
      <c r="H751" s="634" t="n">
        <v>0</v>
      </c>
      <c r="I751" s="634">
        <f>+_xlfn.XLOOKUP(D751,'BASE DATOS MANO DE OBRA'!A:A,'BASE DATOS MANO DE OBRA'!E:E)</f>
        <v/>
      </c>
      <c r="J751" s="634" t="n">
        <v>0</v>
      </c>
      <c r="K751" s="634">
        <f>+F751*H751</f>
        <v/>
      </c>
      <c r="L751" s="634">
        <f>+F751*I751</f>
        <v/>
      </c>
      <c r="M751" s="634">
        <f>+F751*J751</f>
        <v/>
      </c>
      <c r="N751" s="634">
        <f>SUM(K751:M751)</f>
        <v/>
      </c>
      <c r="O751" s="635">
        <f>SUM(K751:M751)/tc</f>
        <v/>
      </c>
    </row>
    <row r="752" ht="15" customHeight="1">
      <c r="A752" s="278" t="n"/>
      <c r="B752" s="282" t="inlineStr">
        <is>
          <t>13-03</t>
        </is>
      </c>
      <c r="C752" s="578" t="n"/>
      <c r="D752" s="307" t="inlineStr">
        <is>
          <t>13.03</t>
        </is>
      </c>
      <c r="E752" s="410" t="inlineStr">
        <is>
          <t xml:space="preserve">ELÉCTRICO MUROS </t>
        </is>
      </c>
      <c r="F752" s="309" t="n">
        <v>1</v>
      </c>
      <c r="G752" s="310" t="inlineStr">
        <is>
          <t>gb</t>
        </is>
      </c>
      <c r="H752" s="310" t="n"/>
      <c r="I752" s="310" t="n"/>
      <c r="J752" s="310" t="n"/>
      <c r="K752" s="636">
        <f>SUM(K753:K755)</f>
        <v/>
      </c>
      <c r="L752" s="636">
        <f>SUM(L753:L755)</f>
        <v/>
      </c>
      <c r="M752" s="636">
        <f>SUM(M753:M755)</f>
        <v/>
      </c>
      <c r="N752" s="636">
        <f>SUM(N753:N755)</f>
        <v/>
      </c>
      <c r="O752" s="615">
        <f>SUM(O753:O755)</f>
        <v/>
      </c>
    </row>
    <row r="753" outlineLevel="1" ht="15" customHeight="1">
      <c r="A753" s="278" t="inlineStr">
        <is>
          <t>SUB</t>
        </is>
      </c>
      <c r="B753" s="282" t="n"/>
      <c r="C753" s="578" t="n"/>
      <c r="D753" s="386" t="inlineStr">
        <is>
          <t>SUB ELECTRICO MUROS</t>
        </is>
      </c>
      <c r="E753" s="632">
        <f>+_xlfn.XLOOKUP(D753,'BASE DATOS EQUIPOS Y SUBCONTRAT'!A:A,'BASE DATOS EQUIPOS Y SUBCONTRAT'!B:B)</f>
        <v/>
      </c>
      <c r="F753" s="496" t="n">
        <v>1</v>
      </c>
      <c r="G753" s="666">
        <f>+_xlfn.XLOOKUP(D753,'BASE DATOS EQUIPOS Y SUBCONTRAT'!A:A,'BASE DATOS EQUIPOS Y SUBCONTRAT'!C:C)</f>
        <v/>
      </c>
      <c r="H753" s="667" t="n">
        <v>0</v>
      </c>
      <c r="I753" s="666" t="n"/>
      <c r="J753" s="667">
        <f>+_xlfn.XLOOKUP(D753,'BASE DATOS EQUIPOS Y SUBCONTRAT'!A:A,'BASE DATOS EQUIPOS Y SUBCONTRAT'!E:E)</f>
        <v/>
      </c>
      <c r="K753" s="667">
        <f>+F753*H753</f>
        <v/>
      </c>
      <c r="L753" s="667">
        <f>+F753*I753</f>
        <v/>
      </c>
      <c r="M753" s="667">
        <f>+F753*J753</f>
        <v/>
      </c>
      <c r="N753" s="667">
        <f>SUM(K753:M753)</f>
        <v/>
      </c>
      <c r="O753" s="668">
        <f>SUM(K753:M753)/tc</f>
        <v/>
      </c>
    </row>
    <row r="754" outlineLevel="1" ht="15" customHeight="1">
      <c r="A754" s="278" t="inlineStr">
        <is>
          <t xml:space="preserve">MO </t>
        </is>
      </c>
      <c r="B754" s="282" t="inlineStr">
        <is>
          <t>13-03-01</t>
        </is>
      </c>
      <c r="C754" s="578" t="n"/>
      <c r="D754" s="386" t="inlineStr">
        <is>
          <t xml:space="preserve">OPERARIO </t>
        </is>
      </c>
      <c r="E754" s="632">
        <f>+_xlfn.XLOOKUP(D754,'BASE DATOS MANO DE OBRA'!A:A,'BASE DATOS MANO DE OBRA'!B:B)</f>
        <v/>
      </c>
      <c r="F754" s="388" t="n">
        <v>0</v>
      </c>
      <c r="G754" s="633">
        <f>+_xlfn.XLOOKUP(D754,'BASE DATOS MANO DE OBRA'!A:A,'BASE DATOS MANO DE OBRA'!C:C)</f>
        <v/>
      </c>
      <c r="H754" s="634" t="n">
        <v>0</v>
      </c>
      <c r="I754" s="634">
        <f>+_xlfn.XLOOKUP(D754,'BASE DATOS MANO DE OBRA'!A:A,'BASE DATOS MANO DE OBRA'!E:E)</f>
        <v/>
      </c>
      <c r="J754" s="634" t="n">
        <v>0</v>
      </c>
      <c r="K754" s="634">
        <f>+F754*H754</f>
        <v/>
      </c>
      <c r="L754" s="634">
        <f>+F754*I754</f>
        <v/>
      </c>
      <c r="M754" s="634">
        <f>+F754*J754</f>
        <v/>
      </c>
      <c r="N754" s="634">
        <f>SUM(K754:M754)</f>
        <v/>
      </c>
      <c r="O754" s="635">
        <f>SUM(K754:M754)/tc</f>
        <v/>
      </c>
    </row>
    <row r="755" outlineLevel="1" ht="15" customHeight="1">
      <c r="A755" s="278" t="inlineStr">
        <is>
          <t xml:space="preserve">MO </t>
        </is>
      </c>
      <c r="B755" s="282" t="inlineStr">
        <is>
          <t>13-03-01</t>
        </is>
      </c>
      <c r="C755" s="578" t="n"/>
      <c r="D755" s="386" t="inlineStr">
        <is>
          <t xml:space="preserve">AYUDANTE </t>
        </is>
      </c>
      <c r="E755" s="632">
        <f>+_xlfn.XLOOKUP(D755,'BASE DATOS MANO DE OBRA'!A:A,'BASE DATOS MANO DE OBRA'!B:B)</f>
        <v/>
      </c>
      <c r="F755" s="388" t="n">
        <v>0</v>
      </c>
      <c r="G755" s="633">
        <f>+_xlfn.XLOOKUP(D755,'BASE DATOS MANO DE OBRA'!A:A,'BASE DATOS MANO DE OBRA'!C:C)</f>
        <v/>
      </c>
      <c r="H755" s="634" t="n">
        <v>0</v>
      </c>
      <c r="I755" s="634">
        <f>+_xlfn.XLOOKUP(D755,'BASE DATOS MANO DE OBRA'!A:A,'BASE DATOS MANO DE OBRA'!E:E)</f>
        <v/>
      </c>
      <c r="J755" s="634" t="n">
        <v>0</v>
      </c>
      <c r="K755" s="634">
        <f>+F755*H755</f>
        <v/>
      </c>
      <c r="L755" s="634">
        <f>+F755*I755</f>
        <v/>
      </c>
      <c r="M755" s="634">
        <f>+F755*J755</f>
        <v/>
      </c>
      <c r="N755" s="634">
        <f>SUM(K755:M755)</f>
        <v/>
      </c>
      <c r="O755" s="635">
        <f>SUM(K755:M755)/tc</f>
        <v/>
      </c>
    </row>
    <row r="756" ht="15" customHeight="1">
      <c r="A756" s="278" t="n"/>
      <c r="B756" s="282" t="inlineStr">
        <is>
          <t>13-04</t>
        </is>
      </c>
      <c r="C756" s="578" t="n"/>
      <c r="D756" s="307" t="inlineStr">
        <is>
          <t>13.04</t>
        </is>
      </c>
      <c r="E756" s="410" t="inlineStr">
        <is>
          <t xml:space="preserve">BASE MEDIDOR </t>
        </is>
      </c>
      <c r="F756" s="309" t="n">
        <v>1</v>
      </c>
      <c r="G756" s="310" t="inlineStr">
        <is>
          <t>gb</t>
        </is>
      </c>
      <c r="H756" s="310" t="n"/>
      <c r="I756" s="310" t="n"/>
      <c r="J756" s="310" t="n"/>
      <c r="K756" s="636">
        <f>SUM(K757:K761)</f>
        <v/>
      </c>
      <c r="L756" s="636">
        <f>SUM(L757:L761)</f>
        <v/>
      </c>
      <c r="M756" s="636">
        <f>SUM(M757:M761)</f>
        <v/>
      </c>
      <c r="N756" s="636">
        <f>SUM(N757:N761)</f>
        <v/>
      </c>
      <c r="O756" s="615">
        <f>SUM(O757:O761)</f>
        <v/>
      </c>
    </row>
    <row r="757" outlineLevel="1" ht="15" customHeight="1">
      <c r="A757" s="278" t="inlineStr">
        <is>
          <t>SUB</t>
        </is>
      </c>
      <c r="B757" s="282" t="n"/>
      <c r="C757" s="578" t="n"/>
      <c r="D757" s="386" t="inlineStr">
        <is>
          <t xml:space="preserve">SUB BASE MEDIDOR </t>
        </is>
      </c>
      <c r="E757" s="632">
        <f>+_xlfn.XLOOKUP(D757,'BASE DATOS EQUIPOS Y SUBCONTRAT'!A:A,'BASE DATOS EQUIPOS Y SUBCONTRAT'!B:B)</f>
        <v/>
      </c>
      <c r="F757" s="496" t="n">
        <v>1</v>
      </c>
      <c r="G757" s="666">
        <f>+_xlfn.XLOOKUP(D757,'BASE DATOS EQUIPOS Y SUBCONTRAT'!A:A,'BASE DATOS EQUIPOS Y SUBCONTRAT'!C:C)</f>
        <v/>
      </c>
      <c r="H757" s="667" t="n">
        <v>0</v>
      </c>
      <c r="I757" s="666" t="n"/>
      <c r="J757" s="667">
        <f>+_xlfn.XLOOKUP(D757,'BASE DATOS EQUIPOS Y SUBCONTRAT'!A:A,'BASE DATOS EQUIPOS Y SUBCONTRAT'!E:E)</f>
        <v/>
      </c>
      <c r="K757" s="667">
        <f>+F757*H757</f>
        <v/>
      </c>
      <c r="L757" s="667">
        <f>+F757*I757</f>
        <v/>
      </c>
      <c r="M757" s="667">
        <f>+F757*J757</f>
        <v/>
      </c>
      <c r="N757" s="667">
        <f>SUM(K757:M757)</f>
        <v/>
      </c>
      <c r="O757" s="668">
        <f>SUM(K757:M757)/tc</f>
        <v/>
      </c>
    </row>
    <row r="758" outlineLevel="1" ht="15" customHeight="1">
      <c r="A758" s="278" t="inlineStr">
        <is>
          <t xml:space="preserve">MO </t>
        </is>
      </c>
      <c r="B758" s="282" t="inlineStr">
        <is>
          <t>13-04-01</t>
        </is>
      </c>
      <c r="C758" s="578" t="n"/>
      <c r="D758" s="386" t="inlineStr">
        <is>
          <t xml:space="preserve">OPERARIO </t>
        </is>
      </c>
      <c r="E758" s="632">
        <f>+_xlfn.XLOOKUP(D758,'BASE DATOS MANO DE OBRA'!A:A,'BASE DATOS MANO DE OBRA'!B:B)</f>
        <v/>
      </c>
      <c r="F758" s="388" t="n">
        <v>0</v>
      </c>
      <c r="G758" s="633">
        <f>+_xlfn.XLOOKUP(D758,'BASE DATOS MANO DE OBRA'!A:A,'BASE DATOS MANO DE OBRA'!C:C)</f>
        <v/>
      </c>
      <c r="H758" s="634" t="n">
        <v>0</v>
      </c>
      <c r="I758" s="634">
        <f>+_xlfn.XLOOKUP(D758,'BASE DATOS MANO DE OBRA'!A:A,'BASE DATOS MANO DE OBRA'!E:E)</f>
        <v/>
      </c>
      <c r="J758" s="634" t="n">
        <v>0</v>
      </c>
      <c r="K758" s="634">
        <f>+F758*H758</f>
        <v/>
      </c>
      <c r="L758" s="634">
        <f>+F758*I758</f>
        <v/>
      </c>
      <c r="M758" s="634">
        <f>+F758*J758</f>
        <v/>
      </c>
      <c r="N758" s="634">
        <f>SUM(K758:M758)</f>
        <v/>
      </c>
      <c r="O758" s="635">
        <f>SUM(K758:M758)/tc</f>
        <v/>
      </c>
    </row>
    <row r="759" outlineLevel="1" ht="15" customHeight="1">
      <c r="A759" s="278" t="inlineStr">
        <is>
          <t xml:space="preserve">MO </t>
        </is>
      </c>
      <c r="B759" s="282" t="inlineStr">
        <is>
          <t>13-04-01</t>
        </is>
      </c>
      <c r="C759" s="578" t="n"/>
      <c r="D759" s="386" t="inlineStr">
        <is>
          <t xml:space="preserve">AYUDANTE </t>
        </is>
      </c>
      <c r="E759" s="632">
        <f>+_xlfn.XLOOKUP(D759,'BASE DATOS MANO DE OBRA'!A:A,'BASE DATOS MANO DE OBRA'!B:B)</f>
        <v/>
      </c>
      <c r="F759" s="388" t="n">
        <v>0</v>
      </c>
      <c r="G759" s="633">
        <f>+_xlfn.XLOOKUP(D759,'BASE DATOS MANO DE OBRA'!A:A,'BASE DATOS MANO DE OBRA'!C:C)</f>
        <v/>
      </c>
      <c r="H759" s="634" t="n">
        <v>0</v>
      </c>
      <c r="I759" s="634">
        <f>+_xlfn.XLOOKUP(D759,'BASE DATOS MANO DE OBRA'!A:A,'BASE DATOS MANO DE OBRA'!E:E)</f>
        <v/>
      </c>
      <c r="J759" s="634" t="n">
        <v>0</v>
      </c>
      <c r="K759" s="634">
        <f>+F759*H759</f>
        <v/>
      </c>
      <c r="L759" s="634">
        <f>+F759*I759</f>
        <v/>
      </c>
      <c r="M759" s="634">
        <f>+F759*J759</f>
        <v/>
      </c>
      <c r="N759" s="634">
        <f>SUM(K759:M759)</f>
        <v/>
      </c>
      <c r="O759" s="635">
        <f>SUM(K759:M759)/tc</f>
        <v/>
      </c>
    </row>
    <row r="760" outlineLevel="1" ht="15" customHeight="1">
      <c r="A760" s="278" t="inlineStr">
        <is>
          <t xml:space="preserve">MO </t>
        </is>
      </c>
      <c r="B760" s="282" t="inlineStr">
        <is>
          <t>13-04-02</t>
        </is>
      </c>
      <c r="C760" s="578" t="n"/>
      <c r="D760" s="386" t="inlineStr">
        <is>
          <t xml:space="preserve">OPERARIO </t>
        </is>
      </c>
      <c r="E760" s="632">
        <f>+_xlfn.XLOOKUP(D760,'BASE DATOS MANO DE OBRA'!A:A,'BASE DATOS MANO DE OBRA'!B:B)</f>
        <v/>
      </c>
      <c r="F760" s="388" t="n">
        <v>0</v>
      </c>
      <c r="G760" s="633">
        <f>+_xlfn.XLOOKUP(D760,'BASE DATOS MANO DE OBRA'!A:A,'BASE DATOS MANO DE OBRA'!C:C)</f>
        <v/>
      </c>
      <c r="H760" s="634" t="n">
        <v>0</v>
      </c>
      <c r="I760" s="634">
        <f>+_xlfn.XLOOKUP(D760,'BASE DATOS MANO DE OBRA'!A:A,'BASE DATOS MANO DE OBRA'!E:E)</f>
        <v/>
      </c>
      <c r="J760" s="634" t="n">
        <v>0</v>
      </c>
      <c r="K760" s="634">
        <f>+F760*H760</f>
        <v/>
      </c>
      <c r="L760" s="634">
        <f>+F760*I760</f>
        <v/>
      </c>
      <c r="M760" s="634">
        <f>+F760*J760</f>
        <v/>
      </c>
      <c r="N760" s="634">
        <f>SUM(K760:M760)</f>
        <v/>
      </c>
      <c r="O760" s="635">
        <f>SUM(K760:M760)/tc</f>
        <v/>
      </c>
    </row>
    <row r="761" outlineLevel="1" ht="15" customHeight="1">
      <c r="A761" s="278" t="inlineStr">
        <is>
          <t xml:space="preserve">MO </t>
        </is>
      </c>
      <c r="B761" s="282" t="inlineStr">
        <is>
          <t>13-04-02</t>
        </is>
      </c>
      <c r="C761" s="578" t="n"/>
      <c r="D761" s="386" t="inlineStr">
        <is>
          <t xml:space="preserve">AYUDANTE </t>
        </is>
      </c>
      <c r="E761" s="632">
        <f>+_xlfn.XLOOKUP(D761,'BASE DATOS MANO DE OBRA'!A:A,'BASE DATOS MANO DE OBRA'!B:B)</f>
        <v/>
      </c>
      <c r="F761" s="388" t="n">
        <v>0</v>
      </c>
      <c r="G761" s="633">
        <f>+_xlfn.XLOOKUP(D761,'BASE DATOS MANO DE OBRA'!A:A,'BASE DATOS MANO DE OBRA'!C:C)</f>
        <v/>
      </c>
      <c r="H761" s="634" t="n">
        <v>0</v>
      </c>
      <c r="I761" s="634">
        <f>+_xlfn.XLOOKUP(D761,'BASE DATOS MANO DE OBRA'!A:A,'BASE DATOS MANO DE OBRA'!E:E)</f>
        <v/>
      </c>
      <c r="J761" s="634" t="n">
        <v>0</v>
      </c>
      <c r="K761" s="634">
        <f>+F761*H761</f>
        <v/>
      </c>
      <c r="L761" s="634">
        <f>+F761*I761</f>
        <v/>
      </c>
      <c r="M761" s="634">
        <f>+F761*J761</f>
        <v/>
      </c>
      <c r="N761" s="634">
        <f>SUM(K761:M761)</f>
        <v/>
      </c>
      <c r="O761" s="635">
        <f>SUM(K761:M761)/tc</f>
        <v/>
      </c>
    </row>
    <row r="762">
      <c r="A762" s="278" t="n"/>
      <c r="B762" s="282" t="inlineStr">
        <is>
          <t>13-05</t>
        </is>
      </c>
      <c r="C762" s="578" t="n"/>
      <c r="D762" s="307" t="inlineStr">
        <is>
          <t>13.05</t>
        </is>
      </c>
      <c r="E762" s="410" t="inlineStr">
        <is>
          <t xml:space="preserve">ELÉCTRICO ILUMINACIÓN </t>
        </is>
      </c>
      <c r="F762" s="309" t="n">
        <v>1</v>
      </c>
      <c r="G762" s="310" t="inlineStr">
        <is>
          <t>gb</t>
        </is>
      </c>
      <c r="H762" s="310" t="n"/>
      <c r="I762" s="310" t="n"/>
      <c r="J762" s="310" t="n"/>
      <c r="K762" s="636">
        <f>SUM(K763:K770)</f>
        <v/>
      </c>
      <c r="L762" s="636">
        <f>SUM(L763:L770)</f>
        <v/>
      </c>
      <c r="M762" s="636">
        <f>SUM(M763:M770)</f>
        <v/>
      </c>
      <c r="N762" s="636">
        <f>SUM(N763:N770)</f>
        <v/>
      </c>
      <c r="O762" s="615">
        <f>SUM(O763:O770)</f>
        <v/>
      </c>
    </row>
    <row r="763" outlineLevel="1">
      <c r="A763" s="278" t="inlineStr">
        <is>
          <t>MAT</t>
        </is>
      </c>
      <c r="B763" s="282" t="n"/>
      <c r="C763" s="578">
        <f>_xlfn.XLOOKUP(D763,'INSUMOS MAT '!B:B,'INSUMOS MAT '!C:C,"ERROR",0)</f>
        <v/>
      </c>
      <c r="D763" s="305" t="inlineStr">
        <is>
          <t>MAT06-0006</t>
        </is>
      </c>
      <c r="E763" s="618">
        <f>+_xlfn.XLOOKUP(D763,'BASE DATOS PRECIOS '!B:B,'BASE DATOS PRECIOS '!C:C)</f>
        <v/>
      </c>
      <c r="F763" s="301" t="n">
        <v>2</v>
      </c>
      <c r="G763" s="621">
        <f>+_xlfn.XLOOKUP(D763,'BASE DATOS PRECIOS '!B:B,'BASE DATOS PRECIOS '!D:D)</f>
        <v/>
      </c>
      <c r="H763" s="620">
        <f>+_xlfn.XLOOKUP(E763,'BASE DATOS PRECIOS '!C:C,'BASE DATOS PRECIOS '!F:F)</f>
        <v/>
      </c>
      <c r="I763" s="621" t="n"/>
      <c r="J763" s="621" t="n"/>
      <c r="K763" s="620">
        <f>+F763*H763</f>
        <v/>
      </c>
      <c r="L763" s="620">
        <f>+F763*I763</f>
        <v/>
      </c>
      <c r="M763" s="620">
        <f>+F763*J763</f>
        <v/>
      </c>
      <c r="N763" s="620">
        <f>SUM(K763:M763)</f>
        <v/>
      </c>
      <c r="O763" s="669">
        <f>SUM(K763:M763)/tc</f>
        <v/>
      </c>
    </row>
    <row r="764" outlineLevel="1">
      <c r="A764" s="278" t="inlineStr">
        <is>
          <t>MAT</t>
        </is>
      </c>
      <c r="B764" s="282" t="n"/>
      <c r="C764" s="578">
        <f>_xlfn.XLOOKUP(D764,'INSUMOS MAT '!B:B,'INSUMOS MAT '!C:C,"ERROR",0)</f>
        <v/>
      </c>
      <c r="D764" s="305" t="inlineStr">
        <is>
          <t>MAT06-0009</t>
        </is>
      </c>
      <c r="E764" s="618">
        <f>+_xlfn.XLOOKUP(D764,'BASE DATOS PRECIOS '!B:B,'BASE DATOS PRECIOS '!C:C)</f>
        <v/>
      </c>
      <c r="F764" s="301" t="n">
        <v>5</v>
      </c>
      <c r="G764" s="621">
        <f>+_xlfn.XLOOKUP(D764,'BASE DATOS PRECIOS '!B:B,'BASE DATOS PRECIOS '!D:D)</f>
        <v/>
      </c>
      <c r="H764" s="620">
        <f>+_xlfn.XLOOKUP(E764,'BASE DATOS PRECIOS '!C:C,'BASE DATOS PRECIOS '!F:F)</f>
        <v/>
      </c>
      <c r="I764" s="621" t="n"/>
      <c r="J764" s="621" t="n"/>
      <c r="K764" s="620">
        <f>+F764*H764</f>
        <v/>
      </c>
      <c r="L764" s="620">
        <f>+F764*I764</f>
        <v/>
      </c>
      <c r="M764" s="620">
        <f>+F764*J764</f>
        <v/>
      </c>
      <c r="N764" s="620">
        <f>SUM(K764:M764)</f>
        <v/>
      </c>
      <c r="O764" s="669">
        <f>SUM(K764:M764)/tc</f>
        <v/>
      </c>
    </row>
    <row r="765" outlineLevel="1">
      <c r="A765" s="278" t="inlineStr">
        <is>
          <t>MAT</t>
        </is>
      </c>
      <c r="B765" s="282" t="n"/>
      <c r="C765" s="578">
        <f>_xlfn.XLOOKUP(D765,'INSUMOS MAT '!B:B,'INSUMOS MAT '!C:C,"ERROR",0)</f>
        <v/>
      </c>
      <c r="D765" s="305" t="inlineStr">
        <is>
          <t>MAT06-0012</t>
        </is>
      </c>
      <c r="E765" s="618">
        <f>+_xlfn.XLOOKUP(D765,'BASE DATOS PRECIOS '!B:B,'BASE DATOS PRECIOS '!C:C)</f>
        <v/>
      </c>
      <c r="F765" s="301" t="n">
        <v>1</v>
      </c>
      <c r="G765" s="621">
        <f>+_xlfn.XLOOKUP(D765,'BASE DATOS PRECIOS '!B:B,'BASE DATOS PRECIOS '!D:D)</f>
        <v/>
      </c>
      <c r="H765" s="620">
        <f>+_xlfn.XLOOKUP(E765,'BASE DATOS PRECIOS '!C:C,'BASE DATOS PRECIOS '!F:F)</f>
        <v/>
      </c>
      <c r="I765" s="621" t="n"/>
      <c r="J765" s="621" t="n"/>
      <c r="K765" s="620">
        <f>+F765*H765</f>
        <v/>
      </c>
      <c r="L765" s="620">
        <f>+F765*I765</f>
        <v/>
      </c>
      <c r="M765" s="620">
        <f>+F765*J765</f>
        <v/>
      </c>
      <c r="N765" s="620">
        <f>SUM(K765:M765)</f>
        <v/>
      </c>
      <c r="O765" s="669">
        <f>SUM(K765:M765)/tc</f>
        <v/>
      </c>
    </row>
    <row r="766" outlineLevel="1">
      <c r="A766" s="278" t="inlineStr">
        <is>
          <t>MAT</t>
        </is>
      </c>
      <c r="B766" s="282" t="n"/>
      <c r="C766" s="578">
        <f>_xlfn.XLOOKUP(D766,'INSUMOS MAT '!B:B,'INSUMOS MAT '!C:C,"ERROR",0)</f>
        <v/>
      </c>
      <c r="D766" s="305" t="inlineStr">
        <is>
          <t>MAT06-0087</t>
        </is>
      </c>
      <c r="E766" s="618">
        <f>+_xlfn.XLOOKUP(D766,'BASE DATOS PRECIOS '!B:B,'BASE DATOS PRECIOS '!C:C)</f>
        <v/>
      </c>
      <c r="F766" s="301" t="n">
        <v>13</v>
      </c>
      <c r="G766" s="621">
        <f>+_xlfn.XLOOKUP(D766,'BASE DATOS PRECIOS '!B:B,'BASE DATOS PRECIOS '!D:D)</f>
        <v/>
      </c>
      <c r="H766" s="620">
        <f>+_xlfn.XLOOKUP(E766,'BASE DATOS PRECIOS '!C:C,'BASE DATOS PRECIOS '!F:F)</f>
        <v/>
      </c>
      <c r="I766" s="621" t="n"/>
      <c r="J766" s="621" t="n"/>
      <c r="K766" s="620">
        <f>+F766*H766</f>
        <v/>
      </c>
      <c r="L766" s="620">
        <f>+F766*I766</f>
        <v/>
      </c>
      <c r="M766" s="620">
        <f>+F766*J766</f>
        <v/>
      </c>
      <c r="N766" s="620">
        <f>SUM(K766:M766)</f>
        <v/>
      </c>
      <c r="O766" s="669">
        <f>SUM(K766:M766)/tc</f>
        <v/>
      </c>
    </row>
    <row r="767" outlineLevel="1">
      <c r="A767" s="278" t="inlineStr">
        <is>
          <t>MAT</t>
        </is>
      </c>
      <c r="B767" s="282" t="n"/>
      <c r="C767" s="578">
        <f>_xlfn.XLOOKUP(D767,'INSUMOS MAT '!B:B,'INSUMOS MAT '!C:C,"ERROR",0)</f>
        <v/>
      </c>
      <c r="D767" s="305" t="inlineStr">
        <is>
          <t>MAT06-0135</t>
        </is>
      </c>
      <c r="E767" s="618">
        <f>+_xlfn.XLOOKUP(D767,'BASE DATOS PRECIOS '!B:B,'BASE DATOS PRECIOS '!C:C)</f>
        <v/>
      </c>
      <c r="F767" s="301" t="n">
        <v>13</v>
      </c>
      <c r="G767" s="621">
        <f>+_xlfn.XLOOKUP(D767,'BASE DATOS PRECIOS '!B:B,'BASE DATOS PRECIOS '!D:D)</f>
        <v/>
      </c>
      <c r="H767" s="620">
        <f>+_xlfn.XLOOKUP(E767,'BASE DATOS PRECIOS '!C:C,'BASE DATOS PRECIOS '!F:F)</f>
        <v/>
      </c>
      <c r="I767" s="621" t="n"/>
      <c r="J767" s="621" t="n"/>
      <c r="K767" s="620">
        <f>+F767*H767</f>
        <v/>
      </c>
      <c r="L767" s="620">
        <f>+F767*I767</f>
        <v/>
      </c>
      <c r="M767" s="620">
        <f>+F767*J767</f>
        <v/>
      </c>
      <c r="N767" s="620">
        <f>SUM(K767:M767)</f>
        <v/>
      </c>
      <c r="O767" s="669">
        <f>SUM(K767:M767)/tc</f>
        <v/>
      </c>
    </row>
    <row r="768" outlineLevel="1">
      <c r="A768" s="278" t="inlineStr">
        <is>
          <t>SUB</t>
        </is>
      </c>
      <c r="B768" s="282" t="n"/>
      <c r="C768" s="578" t="n"/>
      <c r="D768" s="386" t="inlineStr">
        <is>
          <t>SUB ILUMINACION</t>
        </is>
      </c>
      <c r="E768" s="632">
        <f>+_xlfn.XLOOKUP(D768,'BASE DATOS EQUIPOS Y SUBCONTRAT'!A:A,'BASE DATOS EQUIPOS Y SUBCONTRAT'!B:B)</f>
        <v/>
      </c>
      <c r="F768" s="388" t="n">
        <v>1</v>
      </c>
      <c r="G768" s="633">
        <f>+_xlfn.XLOOKUP(D768,'BASE DATOS EQUIPOS Y SUBCONTRAT'!A:A,'BASE DATOS EQUIPOS Y SUBCONTRAT'!C:C)</f>
        <v/>
      </c>
      <c r="H768" s="634" t="n">
        <v>0</v>
      </c>
      <c r="I768" s="634" t="n"/>
      <c r="J768" s="634">
        <f>+_xlfn.XLOOKUP(D768,'BASE DATOS EQUIPOS Y SUBCONTRAT'!A:A,'BASE DATOS EQUIPOS Y SUBCONTRAT'!E:E)</f>
        <v/>
      </c>
      <c r="K768" s="634">
        <f>+F768*H768</f>
        <v/>
      </c>
      <c r="L768" s="634">
        <f>+F768*I768</f>
        <v/>
      </c>
      <c r="M768" s="634">
        <f>+F768*J768</f>
        <v/>
      </c>
      <c r="N768" s="634">
        <f>SUM(K768:M768)</f>
        <v/>
      </c>
      <c r="O768" s="668">
        <f>SUM(K768:M768)/tc</f>
        <v/>
      </c>
    </row>
    <row r="769" outlineLevel="1">
      <c r="A769" s="278" t="inlineStr">
        <is>
          <t xml:space="preserve">MO </t>
        </is>
      </c>
      <c r="B769" s="282" t="inlineStr">
        <is>
          <t>13-05-01</t>
        </is>
      </c>
      <c r="C769" s="578" t="n"/>
      <c r="D769" s="386" t="inlineStr">
        <is>
          <t xml:space="preserve">OPERARIO </t>
        </is>
      </c>
      <c r="E769" s="632">
        <f>+_xlfn.XLOOKUP(D769,'BASE DATOS MANO DE OBRA'!A:A,'BASE DATOS MANO DE OBRA'!B:B)</f>
        <v/>
      </c>
      <c r="F769" s="388" t="n">
        <v>0</v>
      </c>
      <c r="G769" s="633">
        <f>+_xlfn.XLOOKUP(D769,'BASE DATOS MANO DE OBRA'!A:A,'BASE DATOS MANO DE OBRA'!C:C)</f>
        <v/>
      </c>
      <c r="H769" s="634" t="n">
        <v>0</v>
      </c>
      <c r="I769" s="634">
        <f>+_xlfn.XLOOKUP(D769,'BASE DATOS MANO DE OBRA'!A:A,'BASE DATOS MANO DE OBRA'!E:E)</f>
        <v/>
      </c>
      <c r="J769" s="634" t="n">
        <v>0</v>
      </c>
      <c r="K769" s="634">
        <f>+F769*H769</f>
        <v/>
      </c>
      <c r="L769" s="634">
        <f>+F769*I769</f>
        <v/>
      </c>
      <c r="M769" s="634">
        <f>+F769*J769</f>
        <v/>
      </c>
      <c r="N769" s="634">
        <f>SUM(K769:M769)</f>
        <v/>
      </c>
      <c r="O769" s="635">
        <f>SUM(K769:M769)/tc</f>
        <v/>
      </c>
    </row>
    <row r="770" outlineLevel="1">
      <c r="A770" s="278" t="inlineStr">
        <is>
          <t xml:space="preserve">MO </t>
        </is>
      </c>
      <c r="B770" s="282" t="inlineStr">
        <is>
          <t>13-05-01</t>
        </is>
      </c>
      <c r="C770" s="578" t="n"/>
      <c r="D770" s="386" t="inlineStr">
        <is>
          <t xml:space="preserve">AYUDANTE </t>
        </is>
      </c>
      <c r="E770" s="632">
        <f>+_xlfn.XLOOKUP(D770,'BASE DATOS MANO DE OBRA'!A:A,'BASE DATOS MANO DE OBRA'!B:B)</f>
        <v/>
      </c>
      <c r="F770" s="388" t="n">
        <v>0</v>
      </c>
      <c r="G770" s="633">
        <f>+_xlfn.XLOOKUP(D770,'BASE DATOS MANO DE OBRA'!A:A,'BASE DATOS MANO DE OBRA'!C:C)</f>
        <v/>
      </c>
      <c r="H770" s="634" t="n">
        <v>0</v>
      </c>
      <c r="I770" s="634">
        <f>+_xlfn.XLOOKUP(D770,'BASE DATOS MANO DE OBRA'!A:A,'BASE DATOS MANO DE OBRA'!E:E)</f>
        <v/>
      </c>
      <c r="J770" s="634" t="n">
        <v>0</v>
      </c>
      <c r="K770" s="634">
        <f>+F770*H770</f>
        <v/>
      </c>
      <c r="L770" s="634">
        <f>+F770*I770</f>
        <v/>
      </c>
      <c r="M770" s="634">
        <f>+F770*J770</f>
        <v/>
      </c>
      <c r="N770" s="634">
        <f>SUM(K770:M770)</f>
        <v/>
      </c>
      <c r="O770" s="635">
        <f>SUM(K770:M770)/tc</f>
        <v/>
      </c>
    </row>
    <row r="771">
      <c r="A771" s="278" t="n"/>
      <c r="B771" s="282" t="inlineStr">
        <is>
          <t>13-06</t>
        </is>
      </c>
      <c r="C771" s="578" t="n"/>
      <c r="D771" s="307" t="inlineStr">
        <is>
          <t>13.06</t>
        </is>
      </c>
      <c r="E771" s="410" t="inlineStr">
        <is>
          <t xml:space="preserve">TABLERO ELÉCTRICO </t>
        </is>
      </c>
      <c r="F771" s="309" t="n">
        <v>1</v>
      </c>
      <c r="G771" s="310" t="inlineStr">
        <is>
          <t>gb</t>
        </is>
      </c>
      <c r="H771" s="310" t="n"/>
      <c r="I771" s="310" t="n"/>
      <c r="J771" s="310" t="n"/>
      <c r="K771" s="636">
        <f>SUM(K772:K780)</f>
        <v/>
      </c>
      <c r="L771" s="636">
        <f>SUM(L772:L780)</f>
        <v/>
      </c>
      <c r="M771" s="636">
        <f>SUM(M772:M780)</f>
        <v/>
      </c>
      <c r="N771" s="636">
        <f>SUM(N772:N780)</f>
        <v/>
      </c>
      <c r="O771" s="615">
        <f>SUM(O772:O780)</f>
        <v/>
      </c>
    </row>
    <row r="772" outlineLevel="1">
      <c r="A772" s="278" t="inlineStr">
        <is>
          <t>MAT</t>
        </is>
      </c>
      <c r="B772" s="282" t="n"/>
      <c r="C772" s="578">
        <f>_xlfn.XLOOKUP(D772,'INSUMOS MAT '!B:B,'INSUMOS MAT '!C:C,"ERROR",0)</f>
        <v/>
      </c>
      <c r="D772" s="305" t="inlineStr">
        <is>
          <t>MAT06-0329</t>
        </is>
      </c>
      <c r="E772" s="623">
        <f>+_xlfn.XLOOKUP(D772,'BASE DATOS PRECIOS '!B:B,'BASE DATOS PRECIOS '!C:C)</f>
        <v/>
      </c>
      <c r="F772" s="301" t="n">
        <v>8</v>
      </c>
      <c r="G772" s="621">
        <f>+_xlfn.XLOOKUP(D772,'BASE DATOS PRECIOS '!B:B,'BASE DATOS PRECIOS '!D:D)</f>
        <v/>
      </c>
      <c r="H772" s="620">
        <f>+_xlfn.XLOOKUP(E772,'BASE DATOS PRECIOS '!C:C,'BASE DATOS PRECIOS '!F:F)</f>
        <v/>
      </c>
      <c r="I772" s="621" t="n"/>
      <c r="J772" s="620" t="n"/>
      <c r="K772" s="620">
        <f>+F772*H772</f>
        <v/>
      </c>
      <c r="L772" s="620">
        <f>+F772*I772</f>
        <v/>
      </c>
      <c r="M772" s="620">
        <f>+F772*J772</f>
        <v/>
      </c>
      <c r="N772" s="620">
        <f>SUM(K772:M772)</f>
        <v/>
      </c>
      <c r="O772" s="622">
        <f>SUM(K772:M772)/tc</f>
        <v/>
      </c>
    </row>
    <row r="773" outlineLevel="1">
      <c r="A773" s="278" t="inlineStr">
        <is>
          <t>MAT</t>
        </is>
      </c>
      <c r="B773" s="282" t="n"/>
      <c r="C773" s="578">
        <f>_xlfn.XLOOKUP(D773,'INSUMOS MAT '!B:B,'INSUMOS MAT '!C:C,"ERROR",0)</f>
        <v/>
      </c>
      <c r="D773" s="305" t="inlineStr">
        <is>
          <t>MAT06-0024</t>
        </is>
      </c>
      <c r="E773" s="623">
        <f>+_xlfn.XLOOKUP(D773,'BASE DATOS PRECIOS '!B:B,'BASE DATOS PRECIOS '!C:C)</f>
        <v/>
      </c>
      <c r="F773" s="301" t="n">
        <v>2</v>
      </c>
      <c r="G773" s="621">
        <f>+_xlfn.XLOOKUP(D773,'BASE DATOS PRECIOS '!B:B,'BASE DATOS PRECIOS '!D:D)</f>
        <v/>
      </c>
      <c r="H773" s="620">
        <f>+_xlfn.XLOOKUP(E773,'BASE DATOS PRECIOS '!C:C,'BASE DATOS PRECIOS '!F:F)</f>
        <v/>
      </c>
      <c r="I773" s="621" t="n"/>
      <c r="J773" s="620" t="n"/>
      <c r="K773" s="620">
        <f>+F773*H773</f>
        <v/>
      </c>
      <c r="L773" s="620">
        <f>+F773*I773</f>
        <v/>
      </c>
      <c r="M773" s="620">
        <f>+F773*J773</f>
        <v/>
      </c>
      <c r="N773" s="620">
        <f>SUM(K773:M773)</f>
        <v/>
      </c>
      <c r="O773" s="622">
        <f>SUM(K773:M773)/tc</f>
        <v/>
      </c>
    </row>
    <row r="774" outlineLevel="1">
      <c r="A774" s="278" t="inlineStr">
        <is>
          <t>MAT</t>
        </is>
      </c>
      <c r="B774" s="282" t="n"/>
      <c r="C774" s="578">
        <f>_xlfn.XLOOKUP(D774,'INSUMOS MAT '!B:B,'INSUMOS MAT '!C:C,"ERROR",0)</f>
        <v/>
      </c>
      <c r="D774" s="305" t="inlineStr">
        <is>
          <t>MAT06-0025</t>
        </is>
      </c>
      <c r="E774" s="623">
        <f>+_xlfn.XLOOKUP(D774,'BASE DATOS PRECIOS '!B:B,'BASE DATOS PRECIOS '!C:C)</f>
        <v/>
      </c>
      <c r="F774" s="301" t="n">
        <v>1</v>
      </c>
      <c r="G774" s="621">
        <f>+_xlfn.XLOOKUP(D774,'BASE DATOS PRECIOS '!B:B,'BASE DATOS PRECIOS '!D:D)</f>
        <v/>
      </c>
      <c r="H774" s="620">
        <f>+_xlfn.XLOOKUP(E774,'BASE DATOS PRECIOS '!C:C,'BASE DATOS PRECIOS '!F:F)</f>
        <v/>
      </c>
      <c r="I774" s="621" t="n"/>
      <c r="J774" s="620" t="n"/>
      <c r="K774" s="620">
        <f>+F774*H774</f>
        <v/>
      </c>
      <c r="L774" s="620">
        <f>+F774*I774</f>
        <v/>
      </c>
      <c r="M774" s="620">
        <f>+F774*J774</f>
        <v/>
      </c>
      <c r="N774" s="620">
        <f>SUM(K774:M774)</f>
        <v/>
      </c>
      <c r="O774" s="622">
        <f>SUM(K774:M774)/tc</f>
        <v/>
      </c>
    </row>
    <row r="775" outlineLevel="1">
      <c r="A775" s="278" t="inlineStr">
        <is>
          <t>MAT</t>
        </is>
      </c>
      <c r="B775" s="282" t="n"/>
      <c r="C775" s="578">
        <f>_xlfn.XLOOKUP(D775,'INSUMOS MAT '!B:B,'INSUMOS MAT '!C:C,"ERROR",0)</f>
        <v/>
      </c>
      <c r="D775" s="305" t="inlineStr">
        <is>
          <t>MAT06-0021</t>
        </is>
      </c>
      <c r="E775" s="623">
        <f>+_xlfn.XLOOKUP(D775,'BASE DATOS PRECIOS '!B:B,'BASE DATOS PRECIOS '!C:C)</f>
        <v/>
      </c>
      <c r="F775" s="301" t="n">
        <v>1</v>
      </c>
      <c r="G775" s="621">
        <f>+_xlfn.XLOOKUP(D775,'BASE DATOS PRECIOS '!B:B,'BASE DATOS PRECIOS '!D:D)</f>
        <v/>
      </c>
      <c r="H775" s="620">
        <f>+_xlfn.XLOOKUP(E775,'BASE DATOS PRECIOS '!C:C,'BASE DATOS PRECIOS '!F:F)</f>
        <v/>
      </c>
      <c r="I775" s="621" t="n"/>
      <c r="J775" s="620" t="n"/>
      <c r="K775" s="620">
        <f>+F775*H775</f>
        <v/>
      </c>
      <c r="L775" s="620">
        <f>+F775*I775</f>
        <v/>
      </c>
      <c r="M775" s="620">
        <f>+F775*J775</f>
        <v/>
      </c>
      <c r="N775" s="620">
        <f>SUM(K775:M775)</f>
        <v/>
      </c>
      <c r="O775" s="622">
        <f>SUM(K775:M775)/tc</f>
        <v/>
      </c>
    </row>
    <row r="776" outlineLevel="1">
      <c r="A776" s="278" t="inlineStr">
        <is>
          <t>MAT</t>
        </is>
      </c>
      <c r="B776" s="282" t="n"/>
      <c r="C776" s="578">
        <f>_xlfn.XLOOKUP(D776,'INSUMOS MAT '!B:B,'INSUMOS MAT '!C:C,"ERROR",0)</f>
        <v/>
      </c>
      <c r="D776" s="305" t="inlineStr">
        <is>
          <t>MAT06-0054</t>
        </is>
      </c>
      <c r="E776" s="623">
        <f>+_xlfn.XLOOKUP(D776,'BASE DATOS PRECIOS '!B:B,'BASE DATOS PRECIOS '!C:C)</f>
        <v/>
      </c>
      <c r="F776" s="301" t="n">
        <v>1</v>
      </c>
      <c r="G776" s="621">
        <f>+_xlfn.XLOOKUP(D776,'BASE DATOS PRECIOS '!B:B,'BASE DATOS PRECIOS '!D:D)</f>
        <v/>
      </c>
      <c r="H776" s="620">
        <f>+_xlfn.XLOOKUP(E776,'BASE DATOS PRECIOS '!C:C,'BASE DATOS PRECIOS '!F:F)</f>
        <v/>
      </c>
      <c r="I776" s="621" t="n"/>
      <c r="J776" s="620" t="n"/>
      <c r="K776" s="620">
        <f>+F776*H776</f>
        <v/>
      </c>
      <c r="L776" s="620">
        <f>+F776*I776</f>
        <v/>
      </c>
      <c r="M776" s="620">
        <f>+F776*J776</f>
        <v/>
      </c>
      <c r="N776" s="620">
        <f>SUM(K776:M776)</f>
        <v/>
      </c>
      <c r="O776" s="622">
        <f>SUM(K776:M776)/tc</f>
        <v/>
      </c>
    </row>
    <row r="777" outlineLevel="1">
      <c r="A777" s="278" t="inlineStr">
        <is>
          <t>MAT</t>
        </is>
      </c>
      <c r="B777" s="282" t="n"/>
      <c r="C777" s="578">
        <f>_xlfn.XLOOKUP(D777,'INSUMOS MAT '!B:B,'INSUMOS MAT '!C:C,"ERROR",0)</f>
        <v/>
      </c>
      <c r="D777" s="305" t="inlineStr">
        <is>
          <t>MAT06-0074</t>
        </is>
      </c>
      <c r="E777" s="623">
        <f>+_xlfn.XLOOKUP(D777,'BASE DATOS PRECIOS '!B:B,'BASE DATOS PRECIOS '!C:C)</f>
        <v/>
      </c>
      <c r="F777" s="301" t="n">
        <v>1</v>
      </c>
      <c r="G777" s="621">
        <f>+_xlfn.XLOOKUP(D777,'BASE DATOS PRECIOS '!B:B,'BASE DATOS PRECIOS '!D:D)</f>
        <v/>
      </c>
      <c r="H777" s="620">
        <f>+_xlfn.XLOOKUP(E777,'BASE DATOS PRECIOS '!C:C,'BASE DATOS PRECIOS '!F:F)</f>
        <v/>
      </c>
      <c r="I777" s="621" t="n"/>
      <c r="J777" s="620" t="n"/>
      <c r="K777" s="620">
        <f>+F777*H777</f>
        <v/>
      </c>
      <c r="L777" s="620">
        <f>+F777*I777</f>
        <v/>
      </c>
      <c r="M777" s="620">
        <f>+F777*J777</f>
        <v/>
      </c>
      <c r="N777" s="620">
        <f>SUM(K777:M777)</f>
        <v/>
      </c>
      <c r="O777" s="622">
        <f>SUM(K777:M777)/tc</f>
        <v/>
      </c>
    </row>
    <row r="778" outlineLevel="1">
      <c r="A778" s="278" t="inlineStr">
        <is>
          <t>SUB</t>
        </is>
      </c>
      <c r="B778" s="282" t="n"/>
      <c r="C778" s="578" t="n"/>
      <c r="D778" s="500" t="inlineStr">
        <is>
          <t xml:space="preserve">SUB TABLEROS </t>
        </is>
      </c>
      <c r="E778" s="632">
        <f>+_xlfn.XLOOKUP(D778,'BASE DATOS EQUIPOS Y SUBCONTRAT'!A:A,'BASE DATOS EQUIPOS Y SUBCONTRAT'!B:B)</f>
        <v/>
      </c>
      <c r="F778" s="496" t="n">
        <v>1</v>
      </c>
      <c r="G778" s="666">
        <f>+_xlfn.XLOOKUP(D778,'BASE DATOS EQUIPOS Y SUBCONTRAT'!A:A,'BASE DATOS EQUIPOS Y SUBCONTRAT'!C:C)</f>
        <v/>
      </c>
      <c r="H778" s="667" t="n">
        <v>0</v>
      </c>
      <c r="I778" s="666" t="n"/>
      <c r="J778" s="667">
        <f>+_xlfn.XLOOKUP(D778,'BASE DATOS EQUIPOS Y SUBCONTRAT'!A:A,'BASE DATOS EQUIPOS Y SUBCONTRAT'!E:E)</f>
        <v/>
      </c>
      <c r="K778" s="667">
        <f>+F778*H778</f>
        <v/>
      </c>
      <c r="L778" s="667">
        <f>+F778*I778</f>
        <v/>
      </c>
      <c r="M778" s="667">
        <f>+F778*J778</f>
        <v/>
      </c>
      <c r="N778" s="667">
        <f>SUM(K778:M778)</f>
        <v/>
      </c>
      <c r="O778" s="668">
        <f>SUM(K778:M778)/tc</f>
        <v/>
      </c>
    </row>
    <row r="779" outlineLevel="1">
      <c r="A779" s="278" t="inlineStr">
        <is>
          <t xml:space="preserve">MO </t>
        </is>
      </c>
      <c r="B779" s="282" t="inlineStr">
        <is>
          <t>13-06-01</t>
        </is>
      </c>
      <c r="C779" s="578" t="n"/>
      <c r="D779" s="386" t="inlineStr">
        <is>
          <t xml:space="preserve">OPERARIO </t>
        </is>
      </c>
      <c r="E779" s="632">
        <f>+_xlfn.XLOOKUP(D779,'BASE DATOS MANO DE OBRA'!A:A,'BASE DATOS MANO DE OBRA'!B:B)</f>
        <v/>
      </c>
      <c r="F779" s="388" t="n">
        <v>0</v>
      </c>
      <c r="G779" s="633">
        <f>+_xlfn.XLOOKUP(D779,'BASE DATOS MANO DE OBRA'!A:A,'BASE DATOS MANO DE OBRA'!C:C)</f>
        <v/>
      </c>
      <c r="H779" s="634" t="n">
        <v>0</v>
      </c>
      <c r="I779" s="634">
        <f>+_xlfn.XLOOKUP(D779,'BASE DATOS MANO DE OBRA'!A:A,'BASE DATOS MANO DE OBRA'!E:E)</f>
        <v/>
      </c>
      <c r="J779" s="634" t="n">
        <v>0</v>
      </c>
      <c r="K779" s="634">
        <f>+F779*H779</f>
        <v/>
      </c>
      <c r="L779" s="634">
        <f>+F779*I779</f>
        <v/>
      </c>
      <c r="M779" s="634">
        <f>+F779*J779</f>
        <v/>
      </c>
      <c r="N779" s="634">
        <f>SUM(K779:M779)</f>
        <v/>
      </c>
      <c r="O779" s="635">
        <f>SUM(K779:M779)/tc</f>
        <v/>
      </c>
    </row>
    <row r="780" outlineLevel="1">
      <c r="A780" s="278" t="inlineStr">
        <is>
          <t xml:space="preserve">MO </t>
        </is>
      </c>
      <c r="B780" s="282" t="inlineStr">
        <is>
          <t>13-06-01</t>
        </is>
      </c>
      <c r="C780" s="578" t="n"/>
      <c r="D780" s="386" t="inlineStr">
        <is>
          <t xml:space="preserve">AYUDANTE </t>
        </is>
      </c>
      <c r="E780" s="632">
        <f>+_xlfn.XLOOKUP(D780,'BASE DATOS MANO DE OBRA'!A:A,'BASE DATOS MANO DE OBRA'!B:B)</f>
        <v/>
      </c>
      <c r="F780" s="388" t="n">
        <v>0</v>
      </c>
      <c r="G780" s="633">
        <f>+_xlfn.XLOOKUP(D780,'BASE DATOS MANO DE OBRA'!A:A,'BASE DATOS MANO DE OBRA'!C:C)</f>
        <v/>
      </c>
      <c r="H780" s="634" t="n">
        <v>0</v>
      </c>
      <c r="I780" s="634">
        <f>+_xlfn.XLOOKUP(D780,'BASE DATOS MANO DE OBRA'!A:A,'BASE DATOS MANO DE OBRA'!E:E)</f>
        <v/>
      </c>
      <c r="J780" s="634" t="n">
        <v>0</v>
      </c>
      <c r="K780" s="634">
        <f>+F780*H780</f>
        <v/>
      </c>
      <c r="L780" s="634">
        <f>+F780*I780</f>
        <v/>
      </c>
      <c r="M780" s="634">
        <f>+F780*J780</f>
        <v/>
      </c>
      <c r="N780" s="634">
        <f>SUM(K780:M780)</f>
        <v/>
      </c>
      <c r="O780" s="635">
        <f>SUM(K780:M780)/tc</f>
        <v/>
      </c>
    </row>
    <row r="781" ht="15" customHeight="1">
      <c r="A781" s="278" t="n"/>
      <c r="B781" s="282" t="inlineStr">
        <is>
          <t>13-07</t>
        </is>
      </c>
      <c r="C781" s="578" t="n"/>
      <c r="D781" s="307" t="inlineStr">
        <is>
          <t>13.07</t>
        </is>
      </c>
      <c r="E781" s="410" t="inlineStr">
        <is>
          <t xml:space="preserve">CABLEADO ELÉCTRICO </t>
        </is>
      </c>
      <c r="F781" s="309" t="n">
        <v>1</v>
      </c>
      <c r="G781" s="310" t="inlineStr">
        <is>
          <t>gb</t>
        </is>
      </c>
      <c r="H781" s="310" t="n"/>
      <c r="I781" s="310" t="n"/>
      <c r="J781" s="310" t="n"/>
      <c r="K781" s="636">
        <f>SUM(K782:K812)</f>
        <v/>
      </c>
      <c r="L781" s="636">
        <f>SUM(L782:L812)</f>
        <v/>
      </c>
      <c r="M781" s="636">
        <f>SUM(M782:M812)</f>
        <v/>
      </c>
      <c r="N781" s="636">
        <f>SUM(N782:N812)</f>
        <v/>
      </c>
      <c r="O781" s="615">
        <f>SUM(O782:O812)</f>
        <v/>
      </c>
    </row>
    <row r="782" outlineLevel="1">
      <c r="A782" s="278" t="inlineStr">
        <is>
          <t>MAT</t>
        </is>
      </c>
      <c r="B782" s="282" t="n"/>
      <c r="C782" s="578">
        <f>_xlfn.XLOOKUP(D782,'INSUMOS MAT '!B:B,'INSUMOS MAT '!C:C,"ERROR",0)</f>
        <v/>
      </c>
      <c r="D782" s="306" t="inlineStr">
        <is>
          <t>MAT06-0031</t>
        </is>
      </c>
      <c r="E782" s="618">
        <f>+_xlfn.XLOOKUP(D782,'BASE DATOS PRECIOS '!B:B,'BASE DATOS PRECIOS '!C:C)</f>
        <v/>
      </c>
      <c r="F782" s="301">
        <f>150</f>
        <v/>
      </c>
      <c r="G782" s="621">
        <f>+_xlfn.XLOOKUP(D782,'BASE DATOS PRECIOS '!B:B,'BASE DATOS PRECIOS '!D:D)</f>
        <v/>
      </c>
      <c r="H782" s="620">
        <f>+_xlfn.XLOOKUP(E782,'BASE DATOS PRECIOS '!C:C,'BASE DATOS PRECIOS '!F:F)</f>
        <v/>
      </c>
      <c r="I782" s="621" t="n"/>
      <c r="J782" s="621" t="n"/>
      <c r="K782" s="620">
        <f>+F782*H782</f>
        <v/>
      </c>
      <c r="L782" s="620">
        <f>+F782*I782</f>
        <v/>
      </c>
      <c r="M782" s="620">
        <f>+F782*J782</f>
        <v/>
      </c>
      <c r="N782" s="620">
        <f>SUM(K782:M782)</f>
        <v/>
      </c>
      <c r="O782" s="622">
        <f>SUM(K782:M782)/tc</f>
        <v/>
      </c>
    </row>
    <row r="783" outlineLevel="1">
      <c r="A783" s="278" t="inlineStr">
        <is>
          <t>MAT</t>
        </is>
      </c>
      <c r="B783" s="282" t="n"/>
      <c r="C783" s="578">
        <f>_xlfn.XLOOKUP(D783,'INSUMOS MAT '!B:B,'INSUMOS MAT '!C:C,"ERROR",0)</f>
        <v/>
      </c>
      <c r="D783" s="306" t="inlineStr">
        <is>
          <t>MAT06-0034</t>
        </is>
      </c>
      <c r="E783" s="618">
        <f>+_xlfn.XLOOKUP(D783,'BASE DATOS PRECIOS '!B:B,'BASE DATOS PRECIOS '!C:C)</f>
        <v/>
      </c>
      <c r="F783" s="301" t="n">
        <v>150</v>
      </c>
      <c r="G783" s="621">
        <f>+_xlfn.XLOOKUP(D783,'BASE DATOS PRECIOS '!B:B,'BASE DATOS PRECIOS '!D:D)</f>
        <v/>
      </c>
      <c r="H783" s="620">
        <f>+_xlfn.XLOOKUP(E783,'BASE DATOS PRECIOS '!C:C,'BASE DATOS PRECIOS '!F:F)</f>
        <v/>
      </c>
      <c r="I783" s="621" t="n"/>
      <c r="J783" s="621" t="n"/>
      <c r="K783" s="620">
        <f>+F783*H783</f>
        <v/>
      </c>
      <c r="L783" s="620">
        <f>+F783*I783</f>
        <v/>
      </c>
      <c r="M783" s="620">
        <f>+F783*J783</f>
        <v/>
      </c>
      <c r="N783" s="620">
        <f>SUM(K783:M783)</f>
        <v/>
      </c>
      <c r="O783" s="622">
        <f>SUM(K783:M783)/tc</f>
        <v/>
      </c>
    </row>
    <row r="784" outlineLevel="1">
      <c r="A784" s="278" t="inlineStr">
        <is>
          <t>MAT</t>
        </is>
      </c>
      <c r="B784" s="282" t="n"/>
      <c r="C784" s="578">
        <f>_xlfn.XLOOKUP(D784,'INSUMOS MAT '!B:B,'INSUMOS MAT '!C:C,"ERROR",0)</f>
        <v/>
      </c>
      <c r="D784" s="306" t="inlineStr">
        <is>
          <t>MAT06-0033</t>
        </is>
      </c>
      <c r="E784" s="618">
        <f>+_xlfn.XLOOKUP(D784,'BASE DATOS PRECIOS '!B:B,'BASE DATOS PRECIOS '!C:C)</f>
        <v/>
      </c>
      <c r="F784" s="301" t="n">
        <v>170</v>
      </c>
      <c r="G784" s="621">
        <f>+_xlfn.XLOOKUP(D784,'BASE DATOS PRECIOS '!B:B,'BASE DATOS PRECIOS '!D:D)</f>
        <v/>
      </c>
      <c r="H784" s="620">
        <f>+_xlfn.XLOOKUP(E784,'BASE DATOS PRECIOS '!C:C,'BASE DATOS PRECIOS '!F:F)</f>
        <v/>
      </c>
      <c r="I784" s="621" t="n"/>
      <c r="J784" s="621" t="n"/>
      <c r="K784" s="620">
        <f>+F784*H784</f>
        <v/>
      </c>
      <c r="L784" s="620">
        <f>+F784*I784</f>
        <v/>
      </c>
      <c r="M784" s="620">
        <f>+F784*J784</f>
        <v/>
      </c>
      <c r="N784" s="620">
        <f>SUM(K784:M784)</f>
        <v/>
      </c>
      <c r="O784" s="622">
        <f>SUM(K784:M784)/tc</f>
        <v/>
      </c>
    </row>
    <row r="785" outlineLevel="1">
      <c r="A785" s="278" t="inlineStr">
        <is>
          <t>MAT</t>
        </is>
      </c>
      <c r="B785" s="282" t="n"/>
      <c r="C785" s="578">
        <f>_xlfn.XLOOKUP(D785,'INSUMOS MAT '!B:B,'INSUMOS MAT '!C:C,"ERROR",0)</f>
        <v/>
      </c>
      <c r="D785" s="306" t="inlineStr">
        <is>
          <t>MAT06-0030</t>
        </is>
      </c>
      <c r="E785" s="618">
        <f>+_xlfn.XLOOKUP(D785,'BASE DATOS PRECIOS '!B:B,'BASE DATOS PRECIOS '!C:C)</f>
        <v/>
      </c>
      <c r="F785" s="301" t="n">
        <v>80</v>
      </c>
      <c r="G785" s="621">
        <f>+_xlfn.XLOOKUP(D785,'BASE DATOS PRECIOS '!B:B,'BASE DATOS PRECIOS '!D:D)</f>
        <v/>
      </c>
      <c r="H785" s="620">
        <f>+_xlfn.XLOOKUP(E785,'BASE DATOS PRECIOS '!C:C,'BASE DATOS PRECIOS '!F:F)</f>
        <v/>
      </c>
      <c r="I785" s="621" t="n"/>
      <c r="J785" s="621" t="n"/>
      <c r="K785" s="620">
        <f>+F785*H785</f>
        <v/>
      </c>
      <c r="L785" s="620">
        <f>+F785*I785</f>
        <v/>
      </c>
      <c r="M785" s="620">
        <f>+F785*J785</f>
        <v/>
      </c>
      <c r="N785" s="620">
        <f>SUM(K785:M785)</f>
        <v/>
      </c>
      <c r="O785" s="622">
        <f>SUM(K785:M785)/tc</f>
        <v/>
      </c>
    </row>
    <row r="786" outlineLevel="1">
      <c r="A786" s="278" t="inlineStr">
        <is>
          <t>MAT</t>
        </is>
      </c>
      <c r="B786" s="282" t="n"/>
      <c r="C786" s="578">
        <f>_xlfn.XLOOKUP(D786,'INSUMOS MAT '!B:B,'INSUMOS MAT '!C:C,"ERROR",0)</f>
        <v/>
      </c>
      <c r="D786" s="306" t="inlineStr">
        <is>
          <t>MAT06-0037</t>
        </is>
      </c>
      <c r="E786" s="618">
        <f>+_xlfn.XLOOKUP(D786,'BASE DATOS PRECIOS '!B:B,'BASE DATOS PRECIOS '!C:C)</f>
        <v/>
      </c>
      <c r="F786" s="301" t="n">
        <v>12</v>
      </c>
      <c r="G786" s="621">
        <f>+_xlfn.XLOOKUP(D786,'BASE DATOS PRECIOS '!B:B,'BASE DATOS PRECIOS '!D:D)</f>
        <v/>
      </c>
      <c r="H786" s="620">
        <f>+_xlfn.XLOOKUP(E786,'BASE DATOS PRECIOS '!C:C,'BASE DATOS PRECIOS '!F:F)</f>
        <v/>
      </c>
      <c r="I786" s="621" t="n"/>
      <c r="J786" s="621" t="n"/>
      <c r="K786" s="620">
        <f>+F786*H786</f>
        <v/>
      </c>
      <c r="L786" s="620">
        <f>+F786*I786</f>
        <v/>
      </c>
      <c r="M786" s="620">
        <f>+F786*J786</f>
        <v/>
      </c>
      <c r="N786" s="620">
        <f>SUM(K786:M786)</f>
        <v/>
      </c>
      <c r="O786" s="622">
        <f>SUM(K786:M786)/tc</f>
        <v/>
      </c>
    </row>
    <row r="787" outlineLevel="1">
      <c r="A787" s="278" t="inlineStr">
        <is>
          <t>MAT</t>
        </is>
      </c>
      <c r="B787" s="282" t="n"/>
      <c r="C787" s="578">
        <f>_xlfn.XLOOKUP(D787,'INSUMOS MAT '!B:B,'INSUMOS MAT '!C:C,"ERROR",0)</f>
        <v/>
      </c>
      <c r="D787" s="306" t="inlineStr">
        <is>
          <t>MAT06-0038</t>
        </is>
      </c>
      <c r="E787" s="618">
        <f>+_xlfn.XLOOKUP(D787,'BASE DATOS PRECIOS '!B:B,'BASE DATOS PRECIOS '!C:C)</f>
        <v/>
      </c>
      <c r="F787" s="301" t="n">
        <v>50</v>
      </c>
      <c r="G787" s="621">
        <f>+_xlfn.XLOOKUP(D787,'BASE DATOS PRECIOS '!B:B,'BASE DATOS PRECIOS '!D:D)</f>
        <v/>
      </c>
      <c r="H787" s="620">
        <f>+_xlfn.XLOOKUP(E787,'BASE DATOS PRECIOS '!C:C,'BASE DATOS PRECIOS '!F:F)</f>
        <v/>
      </c>
      <c r="I787" s="621" t="n"/>
      <c r="J787" s="621" t="n"/>
      <c r="K787" s="620">
        <f>+F787*H787</f>
        <v/>
      </c>
      <c r="L787" s="620">
        <f>+F787*I787</f>
        <v/>
      </c>
      <c r="M787" s="620">
        <f>+F787*J787</f>
        <v/>
      </c>
      <c r="N787" s="620">
        <f>SUM(K787:M787)</f>
        <v/>
      </c>
      <c r="O787" s="622">
        <f>SUM(K787:M787)/tc</f>
        <v/>
      </c>
    </row>
    <row r="788" outlineLevel="1">
      <c r="A788" s="278" t="inlineStr">
        <is>
          <t>MAT</t>
        </is>
      </c>
      <c r="B788" s="282" t="n"/>
      <c r="C788" s="578">
        <f>_xlfn.XLOOKUP(D788,'INSUMOS MAT '!B:B,'INSUMOS MAT '!C:C,"ERROR",0)</f>
        <v/>
      </c>
      <c r="D788" s="306" t="inlineStr">
        <is>
          <t>MAT06-0039</t>
        </is>
      </c>
      <c r="E788" s="618">
        <f>+_xlfn.XLOOKUP(D788,'BASE DATOS PRECIOS '!B:B,'BASE DATOS PRECIOS '!C:C)</f>
        <v/>
      </c>
      <c r="F788" s="301" t="n">
        <v>18</v>
      </c>
      <c r="G788" s="621">
        <f>+_xlfn.XLOOKUP(D788,'BASE DATOS PRECIOS '!B:B,'BASE DATOS PRECIOS '!D:D)</f>
        <v/>
      </c>
      <c r="H788" s="620">
        <f>+_xlfn.XLOOKUP(E788,'BASE DATOS PRECIOS '!C:C,'BASE DATOS PRECIOS '!F:F)</f>
        <v/>
      </c>
      <c r="I788" s="621" t="n"/>
      <c r="J788" s="621" t="n"/>
      <c r="K788" s="620">
        <f>+F788*H788</f>
        <v/>
      </c>
      <c r="L788" s="620">
        <f>+F788*I788</f>
        <v/>
      </c>
      <c r="M788" s="620">
        <f>+F788*J788</f>
        <v/>
      </c>
      <c r="N788" s="620">
        <f>SUM(K788:M788)</f>
        <v/>
      </c>
      <c r="O788" s="622">
        <f>SUM(K788:M788)/tc</f>
        <v/>
      </c>
    </row>
    <row r="789" outlineLevel="1">
      <c r="A789" s="278" t="inlineStr">
        <is>
          <t>MAT</t>
        </is>
      </c>
      <c r="B789" s="282" t="n"/>
      <c r="C789" s="578">
        <f>_xlfn.XLOOKUP(D789,'INSUMOS MAT '!B:B,'INSUMOS MAT '!C:C,"ERROR",0)</f>
        <v/>
      </c>
      <c r="D789" s="306" t="inlineStr">
        <is>
          <t>MAT06-0028</t>
        </is>
      </c>
      <c r="E789" s="618">
        <f>+_xlfn.XLOOKUP(D789,'BASE DATOS PRECIOS '!B:B,'BASE DATOS PRECIOS '!C:C)</f>
        <v/>
      </c>
      <c r="F789" s="301" t="n">
        <v>30</v>
      </c>
      <c r="G789" s="621">
        <f>+_xlfn.XLOOKUP(D789,'BASE DATOS PRECIOS '!B:B,'BASE DATOS PRECIOS '!D:D)</f>
        <v/>
      </c>
      <c r="H789" s="620">
        <f>+_xlfn.XLOOKUP(E789,'BASE DATOS PRECIOS '!C:C,'BASE DATOS PRECIOS '!F:F)</f>
        <v/>
      </c>
      <c r="I789" s="621" t="n"/>
      <c r="J789" s="621" t="n"/>
      <c r="K789" s="620">
        <f>+F789*H789</f>
        <v/>
      </c>
      <c r="L789" s="620">
        <f>+F789*I789</f>
        <v/>
      </c>
      <c r="M789" s="620">
        <f>+F789*J789</f>
        <v/>
      </c>
      <c r="N789" s="620">
        <f>SUM(K789:M789)</f>
        <v/>
      </c>
      <c r="O789" s="622">
        <f>SUM(K789:M789)/tc</f>
        <v/>
      </c>
    </row>
    <row r="790" outlineLevel="1">
      <c r="A790" s="278" t="inlineStr">
        <is>
          <t>MAT</t>
        </is>
      </c>
      <c r="B790" s="282" t="n"/>
      <c r="C790" s="578">
        <f>_xlfn.XLOOKUP(D790,'INSUMOS MAT '!B:B,'INSUMOS MAT '!C:C,"ERROR",0)</f>
        <v/>
      </c>
      <c r="D790" s="306" t="inlineStr">
        <is>
          <t>MAT06-0029</t>
        </is>
      </c>
      <c r="E790" s="618">
        <f>+_xlfn.XLOOKUP(D790,'BASE DATOS PRECIOS '!B:B,'BASE DATOS PRECIOS '!C:C)</f>
        <v/>
      </c>
      <c r="F790" s="301" t="n">
        <v>26</v>
      </c>
      <c r="G790" s="621">
        <f>+_xlfn.XLOOKUP(D790,'BASE DATOS PRECIOS '!B:B,'BASE DATOS PRECIOS '!D:D)</f>
        <v/>
      </c>
      <c r="H790" s="620">
        <f>+_xlfn.XLOOKUP(E790,'BASE DATOS PRECIOS '!C:C,'BASE DATOS PRECIOS '!F:F)</f>
        <v/>
      </c>
      <c r="I790" s="621" t="n"/>
      <c r="J790" s="621" t="n"/>
      <c r="K790" s="620">
        <f>+F790*H790</f>
        <v/>
      </c>
      <c r="L790" s="620">
        <f>+F790*I790</f>
        <v/>
      </c>
      <c r="M790" s="620">
        <f>+F790*J790</f>
        <v/>
      </c>
      <c r="N790" s="620">
        <f>SUM(K790:M790)</f>
        <v/>
      </c>
      <c r="O790" s="622">
        <f>SUM(K790:M790)/tc</f>
        <v/>
      </c>
    </row>
    <row r="791" outlineLevel="1">
      <c r="A791" s="278" t="inlineStr">
        <is>
          <t>MAT</t>
        </is>
      </c>
      <c r="B791" s="282" t="n"/>
      <c r="C791" s="578">
        <f>_xlfn.XLOOKUP(D791,'INSUMOS MAT '!B:B,'INSUMOS MAT '!C:C,"ERROR",0)</f>
        <v/>
      </c>
      <c r="D791" s="306" t="inlineStr">
        <is>
          <t>MAT06-0042</t>
        </is>
      </c>
      <c r="E791" s="618">
        <f>+_xlfn.XLOOKUP(D791,'BASE DATOS PRECIOS '!B:B,'BASE DATOS PRECIOS '!C:C)</f>
        <v/>
      </c>
      <c r="F791" s="301" t="n">
        <v>35</v>
      </c>
      <c r="G791" s="621">
        <f>+_xlfn.XLOOKUP(D791,'BASE DATOS PRECIOS '!B:B,'BASE DATOS PRECIOS '!D:D)</f>
        <v/>
      </c>
      <c r="H791" s="620">
        <f>+_xlfn.XLOOKUP(E791,'BASE DATOS PRECIOS '!C:C,'BASE DATOS PRECIOS '!F:F)</f>
        <v/>
      </c>
      <c r="I791" s="621" t="n"/>
      <c r="J791" s="621" t="n"/>
      <c r="K791" s="620">
        <f>+F791*H791</f>
        <v/>
      </c>
      <c r="L791" s="620">
        <f>+F791*I791</f>
        <v/>
      </c>
      <c r="M791" s="620">
        <f>+F791*J791</f>
        <v/>
      </c>
      <c r="N791" s="620">
        <f>SUM(K791:M791)</f>
        <v/>
      </c>
      <c r="O791" s="622">
        <f>SUM(K791:M791)/tc</f>
        <v/>
      </c>
    </row>
    <row r="792" outlineLevel="1">
      <c r="A792" s="278" t="inlineStr">
        <is>
          <t>MAT</t>
        </is>
      </c>
      <c r="B792" s="282" t="n"/>
      <c r="C792" s="578">
        <f>_xlfn.XLOOKUP(D792,'INSUMOS MAT '!B:B,'INSUMOS MAT '!C:C,"ERROR",0)</f>
        <v/>
      </c>
      <c r="D792" s="306" t="inlineStr">
        <is>
          <t>MAT06-0043</t>
        </is>
      </c>
      <c r="E792" s="618">
        <f>+_xlfn.XLOOKUP(D792,'BASE DATOS PRECIOS '!B:B,'BASE DATOS PRECIOS '!C:C)</f>
        <v/>
      </c>
      <c r="F792" s="301" t="n">
        <v>50</v>
      </c>
      <c r="G792" s="621">
        <f>+_xlfn.XLOOKUP(D792,'BASE DATOS PRECIOS '!B:B,'BASE DATOS PRECIOS '!D:D)</f>
        <v/>
      </c>
      <c r="H792" s="620">
        <f>+_xlfn.XLOOKUP(E792,'BASE DATOS PRECIOS '!C:C,'BASE DATOS PRECIOS '!F:F)</f>
        <v/>
      </c>
      <c r="I792" s="621" t="n"/>
      <c r="J792" s="621" t="n"/>
      <c r="K792" s="620">
        <f>+F792*H792</f>
        <v/>
      </c>
      <c r="L792" s="620">
        <f>+F792*I792</f>
        <v/>
      </c>
      <c r="M792" s="620">
        <f>+F792*J792</f>
        <v/>
      </c>
      <c r="N792" s="620">
        <f>SUM(K792:M792)</f>
        <v/>
      </c>
      <c r="O792" s="622">
        <f>SUM(K792:M792)/tc</f>
        <v/>
      </c>
    </row>
    <row r="793" outlineLevel="1">
      <c r="A793" s="278" t="inlineStr">
        <is>
          <t>MAT</t>
        </is>
      </c>
      <c r="B793" s="282" t="n"/>
      <c r="C793" s="578">
        <f>_xlfn.XLOOKUP(D793,'INSUMOS MAT '!B:B,'INSUMOS MAT '!C:C,"ERROR",0)</f>
        <v/>
      </c>
      <c r="D793" s="306" t="inlineStr">
        <is>
          <t>MAT06-0041</t>
        </is>
      </c>
      <c r="E793" s="618">
        <f>+_xlfn.XLOOKUP(D793,'BASE DATOS PRECIOS '!B:B,'BASE DATOS PRECIOS '!C:C)</f>
        <v/>
      </c>
      <c r="F793" s="301" t="n">
        <v>20</v>
      </c>
      <c r="G793" s="621">
        <f>+_xlfn.XLOOKUP(D793,'BASE DATOS PRECIOS '!B:B,'BASE DATOS PRECIOS '!D:D)</f>
        <v/>
      </c>
      <c r="H793" s="620">
        <f>+_xlfn.XLOOKUP(E793,'BASE DATOS PRECIOS '!C:C,'BASE DATOS PRECIOS '!F:F)</f>
        <v/>
      </c>
      <c r="I793" s="621" t="n"/>
      <c r="J793" s="621" t="n"/>
      <c r="K793" s="620">
        <f>+F793*H793</f>
        <v/>
      </c>
      <c r="L793" s="620">
        <f>+F793*I793</f>
        <v/>
      </c>
      <c r="M793" s="620">
        <f>+F793*J793</f>
        <v/>
      </c>
      <c r="N793" s="620">
        <f>SUM(K793:M793)</f>
        <v/>
      </c>
      <c r="O793" s="622">
        <f>SUM(K793:M793)/tc</f>
        <v/>
      </c>
    </row>
    <row r="794" outlineLevel="1">
      <c r="A794" s="278" t="inlineStr">
        <is>
          <t>MAT</t>
        </is>
      </c>
      <c r="B794" s="282" t="n"/>
      <c r="C794" s="578">
        <f>_xlfn.XLOOKUP(D794,'INSUMOS MAT '!B:B,'INSUMOS MAT '!C:C,"ERROR",0)</f>
        <v/>
      </c>
      <c r="D794" s="306" t="inlineStr">
        <is>
          <t>MAT06-0048</t>
        </is>
      </c>
      <c r="E794" s="618">
        <f>+_xlfn.XLOOKUP(D794,'BASE DATOS PRECIOS '!B:B,'BASE DATOS PRECIOS '!C:C)</f>
        <v/>
      </c>
      <c r="F794" s="301" t="n">
        <v>12</v>
      </c>
      <c r="G794" s="621">
        <f>+_xlfn.XLOOKUP(D794,'BASE DATOS PRECIOS '!B:B,'BASE DATOS PRECIOS '!D:D)</f>
        <v/>
      </c>
      <c r="H794" s="620">
        <f>+_xlfn.XLOOKUP(E794,'BASE DATOS PRECIOS '!C:C,'BASE DATOS PRECIOS '!F:F)</f>
        <v/>
      </c>
      <c r="I794" s="621" t="n"/>
      <c r="J794" s="621" t="n"/>
      <c r="K794" s="620">
        <f>+F794*H794</f>
        <v/>
      </c>
      <c r="L794" s="620">
        <f>+F794*I794</f>
        <v/>
      </c>
      <c r="M794" s="620">
        <f>+F794*J794</f>
        <v/>
      </c>
      <c r="N794" s="620">
        <f>SUM(K794:M794)</f>
        <v/>
      </c>
      <c r="O794" s="622">
        <f>SUM(K794:M794)/tc</f>
        <v/>
      </c>
    </row>
    <row r="795" outlineLevel="1">
      <c r="A795" s="278" t="inlineStr">
        <is>
          <t>MAT</t>
        </is>
      </c>
      <c r="B795" s="282" t="n"/>
      <c r="C795" s="578">
        <f>_xlfn.XLOOKUP(D795,'INSUMOS MAT '!B:B,'INSUMOS MAT '!C:C,"ERROR",0)</f>
        <v/>
      </c>
      <c r="D795" s="306" t="inlineStr">
        <is>
          <t>MAT06-0088</t>
        </is>
      </c>
      <c r="E795" s="618">
        <f>+_xlfn.XLOOKUP(D795,'BASE DATOS PRECIOS '!B:B,'BASE DATOS PRECIOS '!C:C)</f>
        <v/>
      </c>
      <c r="F795" s="301" t="n">
        <v>12</v>
      </c>
      <c r="G795" s="621">
        <f>+_xlfn.XLOOKUP(D795,'BASE DATOS PRECIOS '!B:B,'BASE DATOS PRECIOS '!D:D)</f>
        <v/>
      </c>
      <c r="H795" s="620">
        <f>+_xlfn.XLOOKUP(E795,'BASE DATOS PRECIOS '!C:C,'BASE DATOS PRECIOS '!F:F)</f>
        <v/>
      </c>
      <c r="I795" s="621" t="n"/>
      <c r="J795" s="621" t="n"/>
      <c r="K795" s="620">
        <f>+F795*H795</f>
        <v/>
      </c>
      <c r="L795" s="620">
        <f>+F795*I795</f>
        <v/>
      </c>
      <c r="M795" s="620">
        <f>+F795*J795</f>
        <v/>
      </c>
      <c r="N795" s="620">
        <f>SUM(K795:M795)</f>
        <v/>
      </c>
      <c r="O795" s="622">
        <f>SUM(K795:M795)/tc</f>
        <v/>
      </c>
    </row>
    <row r="796" outlineLevel="1">
      <c r="A796" s="278" t="inlineStr">
        <is>
          <t>MAT</t>
        </is>
      </c>
      <c r="B796" s="282" t="n"/>
      <c r="C796" s="578">
        <f>_xlfn.XLOOKUP(D796,'INSUMOS MAT '!B:B,'INSUMOS MAT '!C:C,"ERROR",0)</f>
        <v/>
      </c>
      <c r="D796" s="306" t="inlineStr">
        <is>
          <t>MAT06-0061</t>
        </is>
      </c>
      <c r="E796" s="618">
        <f>+_xlfn.XLOOKUP(D796,'BASE DATOS PRECIOS '!B:B,'BASE DATOS PRECIOS '!C:C)</f>
        <v/>
      </c>
      <c r="F796" s="301" t="n">
        <v>1</v>
      </c>
      <c r="G796" s="621">
        <f>+_xlfn.XLOOKUP(D796,'BASE DATOS PRECIOS '!B:B,'BASE DATOS PRECIOS '!D:D)</f>
        <v/>
      </c>
      <c r="H796" s="620">
        <f>+_xlfn.XLOOKUP(E796,'BASE DATOS PRECIOS '!C:C,'BASE DATOS PRECIOS '!F:F)</f>
        <v/>
      </c>
      <c r="I796" s="621" t="n"/>
      <c r="J796" s="621" t="n"/>
      <c r="K796" s="620">
        <f>+F796*H796</f>
        <v/>
      </c>
      <c r="L796" s="620">
        <f>+F796*I796</f>
        <v/>
      </c>
      <c r="M796" s="620">
        <f>+F796*J796</f>
        <v/>
      </c>
      <c r="N796" s="620">
        <f>SUM(K796:M796)</f>
        <v/>
      </c>
      <c r="O796" s="622">
        <f>SUM(K796:M796)/tc</f>
        <v/>
      </c>
    </row>
    <row r="797" outlineLevel="1">
      <c r="A797" s="278" t="inlineStr">
        <is>
          <t>MAT</t>
        </is>
      </c>
      <c r="B797" s="282" t="n"/>
      <c r="C797" s="578">
        <f>_xlfn.XLOOKUP(D797,'INSUMOS MAT '!B:B,'INSUMOS MAT '!C:C,"ERROR",0)</f>
        <v/>
      </c>
      <c r="D797" s="306" t="inlineStr">
        <is>
          <t>MAT06-0062</t>
        </is>
      </c>
      <c r="E797" s="618">
        <f>+_xlfn.XLOOKUP(D797,'BASE DATOS PRECIOS '!B:B,'BASE DATOS PRECIOS '!C:C)</f>
        <v/>
      </c>
      <c r="F797" s="301" t="n">
        <v>80</v>
      </c>
      <c r="G797" s="621">
        <f>+_xlfn.XLOOKUP(D797,'BASE DATOS PRECIOS '!B:B,'BASE DATOS PRECIOS '!D:D)</f>
        <v/>
      </c>
      <c r="H797" s="620">
        <f>+_xlfn.XLOOKUP(E797,'BASE DATOS PRECIOS '!C:C,'BASE DATOS PRECIOS '!F:F)</f>
        <v/>
      </c>
      <c r="I797" s="621" t="n"/>
      <c r="J797" s="621" t="n"/>
      <c r="K797" s="620">
        <f>+F797*H797</f>
        <v/>
      </c>
      <c r="L797" s="620">
        <f>+F797*I797</f>
        <v/>
      </c>
      <c r="M797" s="620">
        <f>+F797*J797</f>
        <v/>
      </c>
      <c r="N797" s="620">
        <f>SUM(K797:M797)</f>
        <v/>
      </c>
      <c r="O797" s="622">
        <f>SUM(K797:M797)/tc</f>
        <v/>
      </c>
    </row>
    <row r="798" outlineLevel="1">
      <c r="A798" s="278" t="inlineStr">
        <is>
          <t>MAT</t>
        </is>
      </c>
      <c r="B798" s="282" t="n"/>
      <c r="C798" s="578">
        <f>_xlfn.XLOOKUP(D798,'INSUMOS MAT '!B:B,'INSUMOS MAT '!C:C,"ERROR",0)</f>
        <v/>
      </c>
      <c r="D798" s="306" t="inlineStr">
        <is>
          <t>MAT06-0092</t>
        </is>
      </c>
      <c r="E798" s="618">
        <f>+_xlfn.XLOOKUP(D798,'BASE DATOS PRECIOS '!B:B,'BASE DATOS PRECIOS '!C:C)</f>
        <v/>
      </c>
      <c r="F798" s="301" t="n">
        <v>1</v>
      </c>
      <c r="G798" s="621">
        <f>+_xlfn.XLOOKUP(D798,'BASE DATOS PRECIOS '!B:B,'BASE DATOS PRECIOS '!D:D)</f>
        <v/>
      </c>
      <c r="H798" s="620">
        <f>+_xlfn.XLOOKUP(E798,'BASE DATOS PRECIOS '!C:C,'BASE DATOS PRECIOS '!F:F)</f>
        <v/>
      </c>
      <c r="I798" s="621" t="n"/>
      <c r="J798" s="621" t="n"/>
      <c r="K798" s="620">
        <f>+F798*H798</f>
        <v/>
      </c>
      <c r="L798" s="620">
        <f>+F798*I798</f>
        <v/>
      </c>
      <c r="M798" s="620">
        <f>+F798*J798</f>
        <v/>
      </c>
      <c r="N798" s="620">
        <f>SUM(K798:M798)</f>
        <v/>
      </c>
      <c r="O798" s="622">
        <f>SUM(K798:M798)/tc</f>
        <v/>
      </c>
    </row>
    <row r="799" outlineLevel="1">
      <c r="A799" s="278" t="inlineStr">
        <is>
          <t>MAT</t>
        </is>
      </c>
      <c r="B799" s="282" t="n"/>
      <c r="C799" s="580" t="n"/>
      <c r="D799" s="306" t="inlineStr">
        <is>
          <t>MAT08-0334</t>
        </is>
      </c>
      <c r="E799" s="618">
        <f>+_xlfn.XLOOKUP(D799,'BASE DATOS PRECIOS '!B:B,'BASE DATOS PRECIOS '!C:C)</f>
        <v/>
      </c>
      <c r="F799" s="301" t="n">
        <v>2</v>
      </c>
      <c r="G799" s="621">
        <f>+_xlfn.XLOOKUP(D799,'BASE DATOS PRECIOS '!B:B,'BASE DATOS PRECIOS '!D:D)</f>
        <v/>
      </c>
      <c r="H799" s="620">
        <f>+_xlfn.XLOOKUP(E799,'BASE DATOS PRECIOS '!C:C,'BASE DATOS PRECIOS '!F:F)</f>
        <v/>
      </c>
      <c r="I799" s="621" t="n"/>
      <c r="J799" s="621" t="n"/>
      <c r="K799" s="620">
        <f>+F799*H799</f>
        <v/>
      </c>
      <c r="L799" s="620">
        <f>+F799*I799</f>
        <v/>
      </c>
      <c r="M799" s="620">
        <f>+F799*J799</f>
        <v/>
      </c>
      <c r="N799" s="620">
        <f>SUM(K799:M799)</f>
        <v/>
      </c>
      <c r="O799" s="622">
        <f>SUM(K799:M799)/tc</f>
        <v/>
      </c>
    </row>
    <row r="800" outlineLevel="1">
      <c r="A800" s="278" t="inlineStr">
        <is>
          <t>MAT</t>
        </is>
      </c>
      <c r="B800" s="282" t="n"/>
      <c r="C800" s="578">
        <f>_xlfn.XLOOKUP(D800,'INSUMOS MAT '!B:B,'INSUMOS MAT '!C:C,"ERROR",0)</f>
        <v/>
      </c>
      <c r="D800" s="306" t="inlineStr">
        <is>
          <t>MAT19-0033</t>
        </is>
      </c>
      <c r="E800" s="618">
        <f>+_xlfn.XLOOKUP(D800,'BASE DATOS PRECIOS '!B:B,'BASE DATOS PRECIOS '!C:C)</f>
        <v/>
      </c>
      <c r="F800" s="301" t="n">
        <v>15</v>
      </c>
      <c r="G800" s="621">
        <f>+_xlfn.XLOOKUP(D800,'BASE DATOS PRECIOS '!B:B,'BASE DATOS PRECIOS '!D:D)</f>
        <v/>
      </c>
      <c r="H800" s="620">
        <f>+_xlfn.XLOOKUP(E800,'BASE DATOS PRECIOS '!C:C,'BASE DATOS PRECIOS '!F:F)</f>
        <v/>
      </c>
      <c r="I800" s="621" t="n"/>
      <c r="J800" s="621" t="n"/>
      <c r="K800" s="620">
        <f>+F800*H800</f>
        <v/>
      </c>
      <c r="L800" s="620">
        <f>+F800*I800</f>
        <v/>
      </c>
      <c r="M800" s="620">
        <f>+F800*J800</f>
        <v/>
      </c>
      <c r="N800" s="620">
        <f>SUM(K800:M800)</f>
        <v/>
      </c>
      <c r="O800" s="622">
        <f>SUM(K800:M800)/tc</f>
        <v/>
      </c>
    </row>
    <row r="801" outlineLevel="1">
      <c r="A801" s="278" t="inlineStr">
        <is>
          <t>MAT</t>
        </is>
      </c>
      <c r="B801" s="282" t="n"/>
      <c r="C801" s="578">
        <f>_xlfn.XLOOKUP(D801,'INSUMOS MAT '!B:B,'INSUMOS MAT '!C:C,"ERROR",0)</f>
        <v/>
      </c>
      <c r="D801" s="306" t="inlineStr">
        <is>
          <t>MAT19-0034</t>
        </is>
      </c>
      <c r="E801" s="618">
        <f>+_xlfn.XLOOKUP(D801,'BASE DATOS PRECIOS '!B:B,'BASE DATOS PRECIOS '!C:C)</f>
        <v/>
      </c>
      <c r="F801" s="301" t="n">
        <v>8</v>
      </c>
      <c r="G801" s="621">
        <f>+_xlfn.XLOOKUP(D801,'BASE DATOS PRECIOS '!B:B,'BASE DATOS PRECIOS '!D:D)</f>
        <v/>
      </c>
      <c r="H801" s="620">
        <f>+_xlfn.XLOOKUP(E801,'BASE DATOS PRECIOS '!C:C,'BASE DATOS PRECIOS '!F:F)</f>
        <v/>
      </c>
      <c r="I801" s="621" t="n"/>
      <c r="J801" s="621" t="n"/>
      <c r="K801" s="620">
        <f>+F801*H801</f>
        <v/>
      </c>
      <c r="L801" s="620">
        <f>+F801*I801</f>
        <v/>
      </c>
      <c r="M801" s="620">
        <f>+F801*J801</f>
        <v/>
      </c>
      <c r="N801" s="620">
        <f>SUM(K801:M801)</f>
        <v/>
      </c>
      <c r="O801" s="622">
        <f>SUM(K801:M801)/tc</f>
        <v/>
      </c>
    </row>
    <row r="802" outlineLevel="1">
      <c r="A802" s="278" t="inlineStr">
        <is>
          <t>MAT</t>
        </is>
      </c>
      <c r="B802" s="282" t="n"/>
      <c r="C802" s="578">
        <f>_xlfn.XLOOKUP(D802,'INSUMOS MAT '!B:B,'INSUMOS MAT '!C:C,"ERROR",0)</f>
        <v/>
      </c>
      <c r="D802" s="306" t="inlineStr">
        <is>
          <t>MAT19-0086</t>
        </is>
      </c>
      <c r="E802" s="618">
        <f>+_xlfn.XLOOKUP(D802,'BASE DATOS PRECIOS '!B:B,'BASE DATOS PRECIOS '!C:C)</f>
        <v/>
      </c>
      <c r="F802" s="301" t="n">
        <v>14</v>
      </c>
      <c r="G802" s="621">
        <f>+_xlfn.XLOOKUP(D802,'BASE DATOS PRECIOS '!B:B,'BASE DATOS PRECIOS '!D:D)</f>
        <v/>
      </c>
      <c r="H802" s="620">
        <f>+_xlfn.XLOOKUP(E802,'BASE DATOS PRECIOS '!C:C,'BASE DATOS PRECIOS '!F:F)</f>
        <v/>
      </c>
      <c r="I802" s="621" t="n"/>
      <c r="J802" s="621" t="n"/>
      <c r="K802" s="620">
        <f>+F802*H802</f>
        <v/>
      </c>
      <c r="L802" s="620">
        <f>+F802*I802</f>
        <v/>
      </c>
      <c r="M802" s="620">
        <f>+F802*J802</f>
        <v/>
      </c>
      <c r="N802" s="620">
        <f>SUM(K802:M802)</f>
        <v/>
      </c>
      <c r="O802" s="622">
        <f>SUM(K802:M802)/tc</f>
        <v/>
      </c>
    </row>
    <row r="803" outlineLevel="1">
      <c r="A803" s="278" t="inlineStr">
        <is>
          <t>MAT</t>
        </is>
      </c>
      <c r="B803" s="282" t="n"/>
      <c r="C803" s="578">
        <f>_xlfn.XLOOKUP(D803,'INSUMOS MAT '!B:B,'INSUMOS MAT '!C:C,"ERROR",0)</f>
        <v/>
      </c>
      <c r="D803" s="306" t="inlineStr">
        <is>
          <t>MAT19-0029</t>
        </is>
      </c>
      <c r="E803" s="618">
        <f>+_xlfn.XLOOKUP(D803,'BASE DATOS PRECIOS '!B:B,'BASE DATOS PRECIOS '!C:C)</f>
        <v/>
      </c>
      <c r="F803" s="301" t="n">
        <v>40</v>
      </c>
      <c r="G803" s="621">
        <f>+_xlfn.XLOOKUP(D803,'BASE DATOS PRECIOS '!B:B,'BASE DATOS PRECIOS '!D:D)</f>
        <v/>
      </c>
      <c r="H803" s="620">
        <f>+_xlfn.XLOOKUP(E803,'BASE DATOS PRECIOS '!C:C,'BASE DATOS PRECIOS '!F:F)</f>
        <v/>
      </c>
      <c r="I803" s="621" t="n"/>
      <c r="J803" s="621" t="n"/>
      <c r="K803" s="620">
        <f>+F803*H803</f>
        <v/>
      </c>
      <c r="L803" s="620">
        <f>+F803*I803</f>
        <v/>
      </c>
      <c r="M803" s="620">
        <f>+F803*J803</f>
        <v/>
      </c>
      <c r="N803" s="620">
        <f>SUM(K803:M803)</f>
        <v/>
      </c>
      <c r="O803" s="622">
        <f>SUM(K803:M803)/tc</f>
        <v/>
      </c>
    </row>
    <row r="804" outlineLevel="1">
      <c r="A804" s="278" t="inlineStr">
        <is>
          <t>MAT</t>
        </is>
      </c>
      <c r="B804" s="282" t="n"/>
      <c r="C804" s="578">
        <f>_xlfn.XLOOKUP(D804,'INSUMOS MAT '!B:B,'INSUMOS MAT '!C:C,"ERROR",0)</f>
        <v/>
      </c>
      <c r="D804" s="306" t="inlineStr">
        <is>
          <t>MAT19-0106</t>
        </is>
      </c>
      <c r="E804" s="618">
        <f>+_xlfn.XLOOKUP(D804,'BASE DATOS PRECIOS '!B:B,'BASE DATOS PRECIOS '!C:C)</f>
        <v/>
      </c>
      <c r="F804" s="301" t="n">
        <v>12</v>
      </c>
      <c r="G804" s="621">
        <f>+_xlfn.XLOOKUP(D804,'BASE DATOS PRECIOS '!B:B,'BASE DATOS PRECIOS '!D:D)</f>
        <v/>
      </c>
      <c r="H804" s="620">
        <f>+_xlfn.XLOOKUP(E804,'BASE DATOS PRECIOS '!C:C,'BASE DATOS PRECIOS '!F:F)</f>
        <v/>
      </c>
      <c r="I804" s="621" t="n"/>
      <c r="J804" s="621" t="n"/>
      <c r="K804" s="620">
        <f>+F804*H804</f>
        <v/>
      </c>
      <c r="L804" s="620">
        <f>+F804*I804</f>
        <v/>
      </c>
      <c r="M804" s="620">
        <f>+F804*J804</f>
        <v/>
      </c>
      <c r="N804" s="620">
        <f>SUM(K804:M804)</f>
        <v/>
      </c>
      <c r="O804" s="622">
        <f>SUM(K804:M804)/tc</f>
        <v/>
      </c>
    </row>
    <row r="805" outlineLevel="1">
      <c r="A805" s="278" t="inlineStr">
        <is>
          <t>MAT</t>
        </is>
      </c>
      <c r="B805" s="282" t="n"/>
      <c r="C805" s="578">
        <f>_xlfn.XLOOKUP(D805,'INSUMOS MAT '!B:B,'INSUMOS MAT '!C:C,"ERROR",0)</f>
        <v/>
      </c>
      <c r="D805" s="306" t="inlineStr">
        <is>
          <t>MAT06-0108</t>
        </is>
      </c>
      <c r="E805" s="618">
        <f>+_xlfn.XLOOKUP(D805,'BASE DATOS PRECIOS '!B:B,'BASE DATOS PRECIOS '!C:C)</f>
        <v/>
      </c>
      <c r="F805" s="301" t="n">
        <v>20</v>
      </c>
      <c r="G805" s="621">
        <f>+_xlfn.XLOOKUP(D805,'BASE DATOS PRECIOS '!B:B,'BASE DATOS PRECIOS '!D:D)</f>
        <v/>
      </c>
      <c r="H805" s="620">
        <f>+_xlfn.XLOOKUP(E805,'BASE DATOS PRECIOS '!C:C,'BASE DATOS PRECIOS '!F:F)</f>
        <v/>
      </c>
      <c r="I805" s="621" t="n"/>
      <c r="J805" s="621" t="n"/>
      <c r="K805" s="620">
        <f>+F805*H805</f>
        <v/>
      </c>
      <c r="L805" s="620">
        <f>+F805*I805</f>
        <v/>
      </c>
      <c r="M805" s="620">
        <f>+F805*J805</f>
        <v/>
      </c>
      <c r="N805" s="620">
        <f>SUM(K805:M805)</f>
        <v/>
      </c>
      <c r="O805" s="622">
        <f>SUM(K805:M805)/tc</f>
        <v/>
      </c>
    </row>
    <row r="806" outlineLevel="1">
      <c r="A806" s="278" t="inlineStr">
        <is>
          <t>MAT</t>
        </is>
      </c>
      <c r="B806" s="282" t="n"/>
      <c r="C806" s="580" t="n"/>
      <c r="D806" s="306" t="inlineStr">
        <is>
          <t>MAT0851</t>
        </is>
      </c>
      <c r="E806" s="618">
        <f>+_xlfn.XLOOKUP(D806,'BASE DATOS PRECIOS '!B:B,'BASE DATOS PRECIOS '!C:C)</f>
        <v/>
      </c>
      <c r="F806" s="301" t="n">
        <v>1</v>
      </c>
      <c r="G806" s="621">
        <f>+_xlfn.XLOOKUP(D806,'BASE DATOS PRECIOS '!B:B,'BASE DATOS PRECIOS '!D:D)</f>
        <v/>
      </c>
      <c r="H806" s="620">
        <f>+_xlfn.XLOOKUP(E806,'BASE DATOS PRECIOS '!C:C,'BASE DATOS PRECIOS '!F:F)</f>
        <v/>
      </c>
      <c r="I806" s="621" t="n"/>
      <c r="J806" s="621" t="n"/>
      <c r="K806" s="620">
        <f>+F806*H806</f>
        <v/>
      </c>
      <c r="L806" s="620">
        <f>+F806*I806</f>
        <v/>
      </c>
      <c r="M806" s="620">
        <f>+F806*J806</f>
        <v/>
      </c>
      <c r="N806" s="620">
        <f>SUM(K806:M806)</f>
        <v/>
      </c>
      <c r="O806" s="622">
        <f>SUM(K806:M806)/tc</f>
        <v/>
      </c>
    </row>
    <row r="807" outlineLevel="1">
      <c r="A807" s="278" t="inlineStr">
        <is>
          <t>MAT</t>
        </is>
      </c>
      <c r="B807" s="282" t="n"/>
      <c r="C807" s="578">
        <f>_xlfn.XLOOKUP(D807,'INSUMOS MAT '!B:B,'INSUMOS MAT '!C:C,"ERROR",0)</f>
        <v/>
      </c>
      <c r="D807" s="306" t="inlineStr">
        <is>
          <t>MAT06-0072</t>
        </is>
      </c>
      <c r="E807" s="618">
        <f>+_xlfn.XLOOKUP(D807,'BASE DATOS PRECIOS '!B:B,'BASE DATOS PRECIOS '!C:C)</f>
        <v/>
      </c>
      <c r="F807" s="301" t="n">
        <v>20</v>
      </c>
      <c r="G807" s="621">
        <f>+_xlfn.XLOOKUP(D807,'BASE DATOS PRECIOS '!B:B,'BASE DATOS PRECIOS '!D:D)</f>
        <v/>
      </c>
      <c r="H807" s="620">
        <f>+_xlfn.XLOOKUP(E807,'BASE DATOS PRECIOS '!C:C,'BASE DATOS PRECIOS '!F:F)</f>
        <v/>
      </c>
      <c r="I807" s="621" t="n"/>
      <c r="J807" s="621" t="n"/>
      <c r="K807" s="620">
        <f>+F807*H807</f>
        <v/>
      </c>
      <c r="L807" s="620">
        <f>+F807*I807</f>
        <v/>
      </c>
      <c r="M807" s="620">
        <f>+F807*J807</f>
        <v/>
      </c>
      <c r="N807" s="620">
        <f>SUM(K807:M807)</f>
        <v/>
      </c>
      <c r="O807" s="622">
        <f>SUM(K807:M807)/tc</f>
        <v/>
      </c>
    </row>
    <row r="808" outlineLevel="1">
      <c r="A808" s="278" t="inlineStr">
        <is>
          <t>MAT</t>
        </is>
      </c>
      <c r="B808" s="282" t="n"/>
      <c r="C808" s="578">
        <f>_xlfn.XLOOKUP(D808,'INSUMOS MAT '!B:B,'INSUMOS MAT '!C:C,"ERROR",0)</f>
        <v/>
      </c>
      <c r="D808" s="306" t="inlineStr">
        <is>
          <t>MAT05-0079</t>
        </is>
      </c>
      <c r="E808" s="618">
        <f>+_xlfn.XLOOKUP(D808,'BASE DATOS PRECIOS '!B:B,'BASE DATOS PRECIOS '!C:C)</f>
        <v/>
      </c>
      <c r="F808" s="301" t="n">
        <v>100</v>
      </c>
      <c r="G808" s="621">
        <f>+_xlfn.XLOOKUP(D808,'BASE DATOS PRECIOS '!B:B,'BASE DATOS PRECIOS '!D:D)</f>
        <v/>
      </c>
      <c r="H808" s="620">
        <f>+_xlfn.XLOOKUP(E808,'BASE DATOS PRECIOS '!C:C,'BASE DATOS PRECIOS '!F:F)</f>
        <v/>
      </c>
      <c r="I808" s="621" t="n"/>
      <c r="J808" s="621" t="n"/>
      <c r="K808" s="620">
        <f>+F808*H808</f>
        <v/>
      </c>
      <c r="L808" s="620">
        <f>+F808*I808</f>
        <v/>
      </c>
      <c r="M808" s="620">
        <f>+F808*J808</f>
        <v/>
      </c>
      <c r="N808" s="620">
        <f>SUM(K808:M808)</f>
        <v/>
      </c>
      <c r="O808" s="622">
        <f>SUM(K808:M808)/tc</f>
        <v/>
      </c>
    </row>
    <row r="809" outlineLevel="1">
      <c r="A809" s="278" t="inlineStr">
        <is>
          <t>MAT</t>
        </is>
      </c>
      <c r="B809" s="282" t="n"/>
      <c r="C809" s="578">
        <f>_xlfn.XLOOKUP(D809,'INSUMOS MAT '!B:B,'INSUMOS MAT '!C:C,"ERROR",0)</f>
        <v/>
      </c>
      <c r="D809" s="306" t="inlineStr">
        <is>
          <t>MAT06-0016</t>
        </is>
      </c>
      <c r="E809" s="618">
        <f>+_xlfn.XLOOKUP(D809,'BASE DATOS PRECIOS '!B:B,'BASE DATOS PRECIOS '!C:C)</f>
        <v/>
      </c>
      <c r="F809" s="301" t="n">
        <v>2</v>
      </c>
      <c r="G809" s="621">
        <f>+_xlfn.XLOOKUP(D809,'BASE DATOS PRECIOS '!B:B,'BASE DATOS PRECIOS '!D:D)</f>
        <v/>
      </c>
      <c r="H809" s="620">
        <f>+_xlfn.XLOOKUP(E809,'BASE DATOS PRECIOS '!C:C,'BASE DATOS PRECIOS '!F:F)</f>
        <v/>
      </c>
      <c r="I809" s="621" t="n"/>
      <c r="J809" s="621" t="n"/>
      <c r="K809" s="620">
        <f>+F809*H809</f>
        <v/>
      </c>
      <c r="L809" s="620">
        <f>+F809*I809</f>
        <v/>
      </c>
      <c r="M809" s="620">
        <f>+F809*J809</f>
        <v/>
      </c>
      <c r="N809" s="620">
        <f>SUM(K809:M809)</f>
        <v/>
      </c>
      <c r="O809" s="622">
        <f>SUM(K809:M809)/tc</f>
        <v/>
      </c>
    </row>
    <row r="810" outlineLevel="1">
      <c r="A810" s="278" t="inlineStr">
        <is>
          <t>SUB</t>
        </is>
      </c>
      <c r="B810" s="282" t="n"/>
      <c r="C810" s="578" t="n"/>
      <c r="D810" s="386" t="inlineStr">
        <is>
          <t xml:space="preserve">SUB CABLEADO </t>
        </is>
      </c>
      <c r="E810" s="632">
        <f>+_xlfn.XLOOKUP(D810,'BASE DATOS EQUIPOS Y SUBCONTRAT'!A:A,'BASE DATOS EQUIPOS Y SUBCONTRAT'!B:B)</f>
        <v/>
      </c>
      <c r="F810" s="496" t="n">
        <v>1</v>
      </c>
      <c r="G810" s="666">
        <f>+_xlfn.XLOOKUP(D810,'BASE DATOS EQUIPOS Y SUBCONTRAT'!A:A,'BASE DATOS EQUIPOS Y SUBCONTRAT'!C:C)</f>
        <v/>
      </c>
      <c r="H810" s="667" t="n">
        <v>0</v>
      </c>
      <c r="I810" s="666" t="n"/>
      <c r="J810" s="667">
        <f>+_xlfn.XLOOKUP(D810,'BASE DATOS EQUIPOS Y SUBCONTRAT'!A:A,'BASE DATOS EQUIPOS Y SUBCONTRAT'!E:E)</f>
        <v/>
      </c>
      <c r="K810" s="667">
        <f>+F810*H810</f>
        <v/>
      </c>
      <c r="L810" s="667">
        <f>+F810*I810</f>
        <v/>
      </c>
      <c r="M810" s="667">
        <f>+F810*J810</f>
        <v/>
      </c>
      <c r="N810" s="667">
        <f>SUM(K810:M810)</f>
        <v/>
      </c>
      <c r="O810" s="668">
        <f>SUM(K810:M810)/tc</f>
        <v/>
      </c>
    </row>
    <row r="811" outlineLevel="1">
      <c r="A811" s="278" t="inlineStr">
        <is>
          <t xml:space="preserve">MO </t>
        </is>
      </c>
      <c r="B811" s="282" t="inlineStr">
        <is>
          <t>13-07-01</t>
        </is>
      </c>
      <c r="C811" s="578" t="n"/>
      <c r="D811" s="386" t="inlineStr">
        <is>
          <t xml:space="preserve">OPERARIO </t>
        </is>
      </c>
      <c r="E811" s="632">
        <f>+_xlfn.XLOOKUP(D811,'BASE DATOS MANO DE OBRA'!A:A,'BASE DATOS MANO DE OBRA'!B:B)</f>
        <v/>
      </c>
      <c r="F811" s="388" t="n">
        <v>0</v>
      </c>
      <c r="G811" s="633">
        <f>+_xlfn.XLOOKUP(D811,'BASE DATOS MANO DE OBRA'!A:A,'BASE DATOS MANO DE OBRA'!C:C)</f>
        <v/>
      </c>
      <c r="H811" s="634" t="n">
        <v>0</v>
      </c>
      <c r="I811" s="634">
        <f>+_xlfn.XLOOKUP(D811,'BASE DATOS MANO DE OBRA'!A:A,'BASE DATOS MANO DE OBRA'!E:E)</f>
        <v/>
      </c>
      <c r="J811" s="634" t="n">
        <v>0</v>
      </c>
      <c r="K811" s="634">
        <f>+F811*H811</f>
        <v/>
      </c>
      <c r="L811" s="634">
        <f>+F811*I811</f>
        <v/>
      </c>
      <c r="M811" s="634">
        <f>+F811*J811</f>
        <v/>
      </c>
      <c r="N811" s="634">
        <f>SUM(K811:M811)</f>
        <v/>
      </c>
      <c r="O811" s="635">
        <f>SUM(K811:M811)/tc</f>
        <v/>
      </c>
    </row>
    <row r="812" outlineLevel="1">
      <c r="A812" s="278" t="inlineStr">
        <is>
          <t xml:space="preserve">MO </t>
        </is>
      </c>
      <c r="B812" s="282" t="inlineStr">
        <is>
          <t>13-07-01</t>
        </is>
      </c>
      <c r="C812" s="578" t="n"/>
      <c r="D812" s="386" t="inlineStr">
        <is>
          <t xml:space="preserve">AYUDANTE </t>
        </is>
      </c>
      <c r="E812" s="632">
        <f>+_xlfn.XLOOKUP(D812,'BASE DATOS MANO DE OBRA'!A:A,'BASE DATOS MANO DE OBRA'!B:B)</f>
        <v/>
      </c>
      <c r="F812" s="388" t="n">
        <v>0</v>
      </c>
      <c r="G812" s="633">
        <f>+_xlfn.XLOOKUP(D812,'BASE DATOS MANO DE OBRA'!A:A,'BASE DATOS MANO DE OBRA'!C:C)</f>
        <v/>
      </c>
      <c r="H812" s="634" t="n">
        <v>0</v>
      </c>
      <c r="I812" s="634">
        <f>+_xlfn.XLOOKUP(D812,'BASE DATOS MANO DE OBRA'!A:A,'BASE DATOS MANO DE OBRA'!E:E)</f>
        <v/>
      </c>
      <c r="J812" s="634" t="n">
        <v>0</v>
      </c>
      <c r="K812" s="634">
        <f>+F812*H812</f>
        <v/>
      </c>
      <c r="L812" s="634">
        <f>+F812*I812</f>
        <v/>
      </c>
      <c r="M812" s="634">
        <f>+F812*J812</f>
        <v/>
      </c>
      <c r="N812" s="634">
        <f>SUM(K812:M812)</f>
        <v/>
      </c>
      <c r="O812" s="635">
        <f>SUM(K812:M812)/tc</f>
        <v/>
      </c>
    </row>
    <row r="813">
      <c r="A813" s="278" t="n"/>
      <c r="B813" s="282" t="inlineStr">
        <is>
          <t>13-08</t>
        </is>
      </c>
      <c r="C813" s="578" t="n"/>
      <c r="D813" s="307" t="inlineStr">
        <is>
          <t>13.08</t>
        </is>
      </c>
      <c r="E813" s="410" t="inlineStr">
        <is>
          <t xml:space="preserve">PLAQUERIA </t>
        </is>
      </c>
      <c r="F813" s="309" t="n">
        <v>1</v>
      </c>
      <c r="G813" s="310" t="inlineStr">
        <is>
          <t>gb</t>
        </is>
      </c>
      <c r="H813" s="310" t="n"/>
      <c r="I813" s="310" t="n"/>
      <c r="J813" s="310" t="n"/>
      <c r="K813" s="636">
        <f>SUM(K814:K821)</f>
        <v/>
      </c>
      <c r="L813" s="636">
        <f>SUM(L814:L821)</f>
        <v/>
      </c>
      <c r="M813" s="636">
        <f>SUM(M814:M821)</f>
        <v/>
      </c>
      <c r="N813" s="636">
        <f>SUM(N814:N821)</f>
        <v/>
      </c>
      <c r="O813" s="615">
        <f>SUM(O814:O821)</f>
        <v/>
      </c>
      <c r="P813" s="610" t="n"/>
      <c r="Q813" s="610" t="n"/>
      <c r="R813" s="326" t="n"/>
    </row>
    <row r="814" outlineLevel="1" ht="15" customHeight="1">
      <c r="A814" s="278" t="inlineStr">
        <is>
          <t>MAT</t>
        </is>
      </c>
      <c r="B814" s="282" t="n"/>
      <c r="C814" s="578">
        <f>_xlfn.XLOOKUP(D814,'INSUMOS MAT '!B:B,'INSUMOS MAT '!C:C,"ERROR",0)</f>
        <v/>
      </c>
      <c r="D814" s="306" t="inlineStr">
        <is>
          <t>MAT06-0096</t>
        </is>
      </c>
      <c r="E814" s="618">
        <f>+_xlfn.XLOOKUP(D814,'BASE DATOS PRECIOS '!B:B,'BASE DATOS PRECIOS '!C:C)</f>
        <v/>
      </c>
      <c r="F814" s="301" t="n">
        <v>21</v>
      </c>
      <c r="G814" s="621">
        <f>+_xlfn.XLOOKUP(D814,'BASE DATOS PRECIOS '!B:B,'BASE DATOS PRECIOS '!D:D)</f>
        <v/>
      </c>
      <c r="H814" s="620">
        <f>+_xlfn.XLOOKUP(E814,'BASE DATOS PRECIOS '!C:C,'BASE DATOS PRECIOS '!F:F)</f>
        <v/>
      </c>
      <c r="I814" s="621" t="n"/>
      <c r="J814" s="621" t="n"/>
      <c r="K814" s="620">
        <f>+F814*H814</f>
        <v/>
      </c>
      <c r="L814" s="620">
        <f>+F814*I814</f>
        <v/>
      </c>
      <c r="M814" s="620">
        <f>+F814*J814</f>
        <v/>
      </c>
      <c r="N814" s="620">
        <f>SUM(K814:M814)</f>
        <v/>
      </c>
      <c r="O814" s="622">
        <f>SUM(K814:M814)/tc</f>
        <v/>
      </c>
    </row>
    <row r="815" outlineLevel="1" ht="15" customHeight="1">
      <c r="A815" s="278" t="inlineStr">
        <is>
          <t>MAT</t>
        </is>
      </c>
      <c r="B815" s="282" t="n"/>
      <c r="C815" s="578">
        <f>_xlfn.XLOOKUP(D815,'INSUMOS MAT '!B:B,'INSUMOS MAT '!C:C,"ERROR",0)</f>
        <v/>
      </c>
      <c r="D815" s="306" t="inlineStr">
        <is>
          <t>MAT06-0084</t>
        </is>
      </c>
      <c r="E815" s="618">
        <f>+_xlfn.XLOOKUP(D815,'BASE DATOS PRECIOS '!B:B,'BASE DATOS PRECIOS '!C:C)</f>
        <v/>
      </c>
      <c r="F815" s="301" t="n">
        <v>2</v>
      </c>
      <c r="G815" s="621">
        <f>+_xlfn.XLOOKUP(D815,'BASE DATOS PRECIOS '!B:B,'BASE DATOS PRECIOS '!D:D)</f>
        <v/>
      </c>
      <c r="H815" s="620">
        <f>+_xlfn.XLOOKUP(E815,'BASE DATOS PRECIOS '!C:C,'BASE DATOS PRECIOS '!F:F)</f>
        <v/>
      </c>
      <c r="I815" s="621" t="n"/>
      <c r="J815" s="621" t="n"/>
      <c r="K815" s="620">
        <f>+F815*H815</f>
        <v/>
      </c>
      <c r="L815" s="620">
        <f>+F815*I815</f>
        <v/>
      </c>
      <c r="M815" s="620">
        <f>+F815*J815</f>
        <v/>
      </c>
      <c r="N815" s="620">
        <f>SUM(K815:M815)</f>
        <v/>
      </c>
      <c r="O815" s="622">
        <f>SUM(K815:M815)/tc</f>
        <v/>
      </c>
    </row>
    <row r="816" outlineLevel="1" ht="15" customHeight="1">
      <c r="A816" s="278" t="inlineStr">
        <is>
          <t>MAT</t>
        </is>
      </c>
      <c r="B816" s="282" t="n"/>
      <c r="C816" s="578">
        <f>_xlfn.XLOOKUP(D816,'INSUMOS MAT '!B:B,'INSUMOS MAT '!C:C,"ERROR",0)</f>
        <v/>
      </c>
      <c r="D816" s="306" t="inlineStr">
        <is>
          <t>MAT06-0097</t>
        </is>
      </c>
      <c r="E816" s="618">
        <f>+_xlfn.XLOOKUP(D816,'BASE DATOS PRECIOS '!B:B,'BASE DATOS PRECIOS '!C:C)</f>
        <v/>
      </c>
      <c r="F816" s="301" t="n">
        <v>2</v>
      </c>
      <c r="G816" s="621">
        <f>+_xlfn.XLOOKUP(D816,'BASE DATOS PRECIOS '!B:B,'BASE DATOS PRECIOS '!D:D)</f>
        <v/>
      </c>
      <c r="H816" s="620">
        <f>+_xlfn.XLOOKUP(E816,'BASE DATOS PRECIOS '!C:C,'BASE DATOS PRECIOS '!F:F)</f>
        <v/>
      </c>
      <c r="I816" s="621" t="n"/>
      <c r="J816" s="621" t="n"/>
      <c r="K816" s="620">
        <f>+F816*H816</f>
        <v/>
      </c>
      <c r="L816" s="620">
        <f>+F816*I816</f>
        <v/>
      </c>
      <c r="M816" s="620">
        <f>+F816*J816</f>
        <v/>
      </c>
      <c r="N816" s="620">
        <f>SUM(K816:M816)</f>
        <v/>
      </c>
      <c r="O816" s="622">
        <f>SUM(K816:M816)/tc</f>
        <v/>
      </c>
    </row>
    <row r="817" outlineLevel="1" ht="15" customHeight="1">
      <c r="A817" s="278" t="inlineStr">
        <is>
          <t>MAT</t>
        </is>
      </c>
      <c r="B817" s="282" t="n"/>
      <c r="C817" s="578">
        <f>_xlfn.XLOOKUP(D817,'INSUMOS MAT '!B:B,'INSUMOS MAT '!C:C,"ERROR",0)</f>
        <v/>
      </c>
      <c r="D817" s="306" t="inlineStr">
        <is>
          <t>MAT06-0065</t>
        </is>
      </c>
      <c r="E817" s="618">
        <f>+_xlfn.XLOOKUP(D817,'BASE DATOS PRECIOS '!B:B,'BASE DATOS PRECIOS '!C:C)</f>
        <v/>
      </c>
      <c r="F817" s="301" t="n">
        <v>4</v>
      </c>
      <c r="G817" s="621">
        <f>+_xlfn.XLOOKUP(D817,'BASE DATOS PRECIOS '!B:B,'BASE DATOS PRECIOS '!D:D)</f>
        <v/>
      </c>
      <c r="H817" s="620">
        <f>+_xlfn.XLOOKUP(E817,'BASE DATOS PRECIOS '!C:C,'BASE DATOS PRECIOS '!F:F)</f>
        <v/>
      </c>
      <c r="I817" s="621" t="n"/>
      <c r="J817" s="621" t="n"/>
      <c r="K817" s="620">
        <f>+F817*H817</f>
        <v/>
      </c>
      <c r="L817" s="620">
        <f>+F817*I817</f>
        <v/>
      </c>
      <c r="M817" s="620">
        <f>+F817*J817</f>
        <v/>
      </c>
      <c r="N817" s="620">
        <f>SUM(K817:M817)</f>
        <v/>
      </c>
      <c r="O817" s="622">
        <f>SUM(K817:M817)/tc</f>
        <v/>
      </c>
    </row>
    <row r="818" outlineLevel="1" ht="15" customHeight="1">
      <c r="A818" s="278" t="inlineStr">
        <is>
          <t>MAT</t>
        </is>
      </c>
      <c r="B818" s="282" t="n"/>
      <c r="C818" s="578">
        <f>_xlfn.XLOOKUP(D818,'INSUMOS MAT '!B:B,'INSUMOS MAT '!C:C,"ERROR",0)</f>
        <v/>
      </c>
      <c r="D818" s="306" t="inlineStr">
        <is>
          <t>MAT06-0068</t>
        </is>
      </c>
      <c r="E818" s="618">
        <f>+_xlfn.XLOOKUP(D818,'BASE DATOS PRECIOS '!B:B,'BASE DATOS PRECIOS '!C:C)</f>
        <v/>
      </c>
      <c r="F818" s="301" t="n">
        <v>5</v>
      </c>
      <c r="G818" s="621">
        <f>+_xlfn.XLOOKUP(D818,'BASE DATOS PRECIOS '!B:B,'BASE DATOS PRECIOS '!D:D)</f>
        <v/>
      </c>
      <c r="H818" s="620">
        <f>+_xlfn.XLOOKUP(E818,'BASE DATOS PRECIOS '!C:C,'BASE DATOS PRECIOS '!F:F)</f>
        <v/>
      </c>
      <c r="I818" s="621" t="n"/>
      <c r="J818" s="621" t="n"/>
      <c r="K818" s="620">
        <f>+F818*H818</f>
        <v/>
      </c>
      <c r="L818" s="620">
        <f>+F818*I818</f>
        <v/>
      </c>
      <c r="M818" s="620">
        <f>+F818*J818</f>
        <v/>
      </c>
      <c r="N818" s="620">
        <f>SUM(K818:M818)</f>
        <v/>
      </c>
      <c r="O818" s="622">
        <f>SUM(K818:M818)/tc</f>
        <v/>
      </c>
    </row>
    <row r="819" outlineLevel="1" ht="15" customHeight="1">
      <c r="A819" s="278" t="inlineStr">
        <is>
          <t>SUB</t>
        </is>
      </c>
      <c r="B819" s="282" t="n"/>
      <c r="C819" s="578" t="n"/>
      <c r="D819" s="386" t="inlineStr">
        <is>
          <t xml:space="preserve">SUB PLAQUERIA </t>
        </is>
      </c>
      <c r="E819" s="632">
        <f>+_xlfn.XLOOKUP(D819,'BASE DATOS EQUIPOS Y SUBCONTRAT'!A:A,'BASE DATOS EQUIPOS Y SUBCONTRAT'!B:B)</f>
        <v/>
      </c>
      <c r="F819" s="496" t="n">
        <v>1</v>
      </c>
      <c r="G819" s="666">
        <f>+_xlfn.XLOOKUP(D819,'BASE DATOS EQUIPOS Y SUBCONTRAT'!A:A,'BASE DATOS EQUIPOS Y SUBCONTRAT'!C:C)</f>
        <v/>
      </c>
      <c r="H819" s="667" t="n">
        <v>0</v>
      </c>
      <c r="I819" s="666" t="n"/>
      <c r="J819" s="667">
        <f>+_xlfn.XLOOKUP(D819,'BASE DATOS EQUIPOS Y SUBCONTRAT'!A:A,'BASE DATOS EQUIPOS Y SUBCONTRAT'!E:E)</f>
        <v/>
      </c>
      <c r="K819" s="667">
        <f>+F819*H819</f>
        <v/>
      </c>
      <c r="L819" s="667">
        <f>+F819*I819</f>
        <v/>
      </c>
      <c r="M819" s="667">
        <f>+F819*J819</f>
        <v/>
      </c>
      <c r="N819" s="667">
        <f>SUM(K819:M819)</f>
        <v/>
      </c>
      <c r="O819" s="668">
        <f>SUM(K819:M819)/tc</f>
        <v/>
      </c>
    </row>
    <row r="820" outlineLevel="1" ht="15" customHeight="1">
      <c r="A820" s="278" t="inlineStr">
        <is>
          <t xml:space="preserve">MO </t>
        </is>
      </c>
      <c r="B820" s="282" t="inlineStr">
        <is>
          <t>13-08-01</t>
        </is>
      </c>
      <c r="C820" s="578" t="n"/>
      <c r="D820" s="386" t="inlineStr">
        <is>
          <t xml:space="preserve">OPERARIO </t>
        </is>
      </c>
      <c r="E820" s="632">
        <f>+_xlfn.XLOOKUP(D820,'BASE DATOS MANO DE OBRA'!A:A,'BASE DATOS MANO DE OBRA'!B:B)</f>
        <v/>
      </c>
      <c r="F820" s="388" t="n">
        <v>0</v>
      </c>
      <c r="G820" s="633">
        <f>+_xlfn.XLOOKUP(D820,'BASE DATOS MANO DE OBRA'!A:A,'BASE DATOS MANO DE OBRA'!C:C)</f>
        <v/>
      </c>
      <c r="H820" s="634" t="n">
        <v>0</v>
      </c>
      <c r="I820" s="634">
        <f>+_xlfn.XLOOKUP(D820,'BASE DATOS MANO DE OBRA'!A:A,'BASE DATOS MANO DE OBRA'!E:E)</f>
        <v/>
      </c>
      <c r="J820" s="634" t="n">
        <v>0</v>
      </c>
      <c r="K820" s="634">
        <f>+F820*H820</f>
        <v/>
      </c>
      <c r="L820" s="634">
        <f>+F820*I820</f>
        <v/>
      </c>
      <c r="M820" s="634">
        <f>+F820*J820</f>
        <v/>
      </c>
      <c r="N820" s="634">
        <f>SUM(K820:M820)</f>
        <v/>
      </c>
      <c r="O820" s="635">
        <f>SUM(K820:M820)/tc</f>
        <v/>
      </c>
    </row>
    <row r="821" outlineLevel="1" ht="15" customHeight="1">
      <c r="A821" s="278" t="inlineStr">
        <is>
          <t xml:space="preserve">MO </t>
        </is>
      </c>
      <c r="B821" s="282" t="inlineStr">
        <is>
          <t>13-08-01</t>
        </is>
      </c>
      <c r="C821" s="578" t="n"/>
      <c r="D821" s="386" t="inlineStr">
        <is>
          <t xml:space="preserve">AYUDANTE </t>
        </is>
      </c>
      <c r="E821" s="632">
        <f>+_xlfn.XLOOKUP(D821,'BASE DATOS MANO DE OBRA'!A:A,'BASE DATOS MANO DE OBRA'!B:B)</f>
        <v/>
      </c>
      <c r="F821" s="388" t="n">
        <v>0</v>
      </c>
      <c r="G821" s="633">
        <f>+_xlfn.XLOOKUP(D821,'BASE DATOS MANO DE OBRA'!A:A,'BASE DATOS MANO DE OBRA'!C:C)</f>
        <v/>
      </c>
      <c r="H821" s="634" t="n">
        <v>0</v>
      </c>
      <c r="I821" s="634">
        <f>+_xlfn.XLOOKUP(D821,'BASE DATOS MANO DE OBRA'!A:A,'BASE DATOS MANO DE OBRA'!E:E)</f>
        <v/>
      </c>
      <c r="J821" s="634" t="n">
        <v>0</v>
      </c>
      <c r="K821" s="634">
        <f>+F821*H821</f>
        <v/>
      </c>
      <c r="L821" s="634">
        <f>+F821*I821</f>
        <v/>
      </c>
      <c r="M821" s="634">
        <f>+F821*J821</f>
        <v/>
      </c>
      <c r="N821" s="634">
        <f>SUM(K821:M821)</f>
        <v/>
      </c>
      <c r="O821" s="635">
        <f>SUM(K821:M821)/tc</f>
        <v/>
      </c>
    </row>
    <row r="822" ht="15" customHeight="1">
      <c r="A822" s="278" t="n"/>
      <c r="B822" s="282" t="inlineStr">
        <is>
          <t>13-09</t>
        </is>
      </c>
      <c r="C822" s="578" t="n"/>
      <c r="D822" s="307" t="inlineStr">
        <is>
          <t>13.09</t>
        </is>
      </c>
      <c r="E822" s="410" t="inlineStr">
        <is>
          <t>ACABADOS FINALES Y BREAKERS</t>
        </is>
      </c>
      <c r="F822" s="309" t="n">
        <v>1</v>
      </c>
      <c r="G822" s="310" t="inlineStr">
        <is>
          <t>gb</t>
        </is>
      </c>
      <c r="H822" s="310" t="n"/>
      <c r="I822" s="310" t="n"/>
      <c r="J822" s="310" t="n"/>
      <c r="K822" s="636">
        <f>SUM(K823:K833)</f>
        <v/>
      </c>
      <c r="L822" s="636">
        <f>SUM(L823:L833)</f>
        <v/>
      </c>
      <c r="M822" s="636">
        <f>SUM(M823:M833)</f>
        <v/>
      </c>
      <c r="N822" s="636">
        <f>SUM(N823:N833)</f>
        <v/>
      </c>
      <c r="O822" s="615">
        <f>SUM(O823:O833)</f>
        <v/>
      </c>
    </row>
    <row r="823" outlineLevel="1" ht="15" customHeight="1">
      <c r="A823" s="278" t="inlineStr">
        <is>
          <t>MAT</t>
        </is>
      </c>
      <c r="B823" s="282" t="n"/>
      <c r="C823" s="578" t="n"/>
      <c r="D823" s="306" t="n"/>
      <c r="E823" s="618" t="n"/>
      <c r="F823" s="301" t="n"/>
      <c r="G823" s="621" t="n"/>
      <c r="H823" s="620" t="n"/>
      <c r="I823" s="621" t="n"/>
      <c r="J823" s="621" t="n"/>
      <c r="K823" s="620" t="n"/>
      <c r="L823" s="620" t="n"/>
      <c r="M823" s="620" t="n"/>
      <c r="N823" s="620" t="n"/>
      <c r="O823" s="622" t="n"/>
    </row>
    <row r="824" outlineLevel="1" ht="15" customHeight="1">
      <c r="A824" s="278" t="inlineStr">
        <is>
          <t>MAT</t>
        </is>
      </c>
      <c r="B824" s="282" t="n"/>
      <c r="C824" s="578" t="n"/>
      <c r="D824" s="306" t="n"/>
      <c r="E824" s="618" t="n"/>
      <c r="F824" s="301" t="n"/>
      <c r="G824" s="621" t="n"/>
      <c r="H824" s="620" t="n"/>
      <c r="I824" s="621" t="n"/>
      <c r="J824" s="621" t="n"/>
      <c r="K824" s="620" t="n"/>
      <c r="L824" s="620" t="n"/>
      <c r="M824" s="620" t="n"/>
      <c r="N824" s="620" t="n"/>
      <c r="O824" s="622" t="n"/>
    </row>
    <row r="825" outlineLevel="1" ht="15" customHeight="1">
      <c r="A825" s="278" t="inlineStr">
        <is>
          <t>MAT</t>
        </is>
      </c>
      <c r="B825" s="282" t="n"/>
      <c r="C825" s="578" t="n"/>
      <c r="D825" s="306" t="n"/>
      <c r="E825" s="618" t="n"/>
      <c r="F825" s="301" t="n"/>
      <c r="G825" s="621" t="n"/>
      <c r="H825" s="620" t="n"/>
      <c r="I825" s="621" t="n"/>
      <c r="J825" s="621" t="n"/>
      <c r="K825" s="620" t="n"/>
      <c r="L825" s="620" t="n"/>
      <c r="M825" s="620" t="n"/>
      <c r="N825" s="620" t="n"/>
      <c r="O825" s="622" t="n"/>
    </row>
    <row r="826" outlineLevel="1" ht="15" customHeight="1">
      <c r="A826" s="278" t="inlineStr">
        <is>
          <t>MAT</t>
        </is>
      </c>
      <c r="B826" s="282" t="n"/>
      <c r="C826" s="578" t="n"/>
      <c r="D826" s="329" t="n"/>
      <c r="E826" s="618" t="n"/>
      <c r="F826" s="301" t="n"/>
      <c r="G826" s="621" t="n"/>
      <c r="H826" s="620" t="n"/>
      <c r="I826" s="621" t="n"/>
      <c r="J826" s="621" t="n"/>
      <c r="K826" s="620" t="n"/>
      <c r="L826" s="620" t="n"/>
      <c r="M826" s="620" t="n"/>
      <c r="N826" s="620" t="n"/>
      <c r="O826" s="622" t="n"/>
    </row>
    <row r="827" outlineLevel="1" ht="15" customHeight="1">
      <c r="A827" s="278" t="inlineStr">
        <is>
          <t>MAT</t>
        </is>
      </c>
      <c r="B827" s="282" t="n"/>
      <c r="C827" s="578" t="n"/>
      <c r="D827" s="329" t="n"/>
      <c r="E827" s="501" t="n"/>
      <c r="F827" s="301" t="n"/>
      <c r="G827" s="305" t="n"/>
      <c r="H827" s="305" t="n"/>
      <c r="I827" s="305" t="n"/>
      <c r="J827" s="305" t="n"/>
      <c r="K827" s="670" t="n"/>
      <c r="L827" s="670" t="n"/>
      <c r="M827" s="670" t="n"/>
      <c r="N827" s="670" t="n"/>
      <c r="O827" s="669" t="n"/>
    </row>
    <row r="828" outlineLevel="1" ht="15" customHeight="1">
      <c r="A828" s="278" t="inlineStr">
        <is>
          <t>MAT</t>
        </is>
      </c>
      <c r="B828" s="282" t="n"/>
      <c r="C828" s="578" t="n"/>
      <c r="D828" s="329" t="n"/>
      <c r="E828" s="501" t="n"/>
      <c r="F828" s="301" t="n"/>
      <c r="G828" s="305" t="n"/>
      <c r="H828" s="305" t="n"/>
      <c r="I828" s="305" t="n"/>
      <c r="J828" s="305" t="n"/>
      <c r="K828" s="670" t="n"/>
      <c r="L828" s="670" t="n"/>
      <c r="M828" s="670" t="n"/>
      <c r="N828" s="670" t="n"/>
      <c r="O828" s="669" t="n"/>
    </row>
    <row r="829" outlineLevel="1" ht="15" customHeight="1">
      <c r="A829" s="278" t="inlineStr">
        <is>
          <t>SUB</t>
        </is>
      </c>
      <c r="B829" s="282" t="n"/>
      <c r="C829" s="578" t="n"/>
      <c r="D829" s="386" t="inlineStr">
        <is>
          <t xml:space="preserve">SUB ENTREGA FINAL </t>
        </is>
      </c>
      <c r="E829" s="632">
        <f>+_xlfn.XLOOKUP(D829,'BASE DATOS EQUIPOS Y SUBCONTRAT'!A:A,'BASE DATOS EQUIPOS Y SUBCONTRAT'!B:B)</f>
        <v/>
      </c>
      <c r="F829" s="496" t="n">
        <v>1</v>
      </c>
      <c r="G829" s="666">
        <f>+_xlfn.XLOOKUP(D829,'BASE DATOS EQUIPOS Y SUBCONTRAT'!A:A,'BASE DATOS EQUIPOS Y SUBCONTRAT'!C:C)</f>
        <v/>
      </c>
      <c r="H829" s="667" t="n">
        <v>0</v>
      </c>
      <c r="I829" s="666" t="n"/>
      <c r="J829" s="667">
        <f>+_xlfn.XLOOKUP(D829,'BASE DATOS EQUIPOS Y SUBCONTRAT'!A:A,'BASE DATOS EQUIPOS Y SUBCONTRAT'!E:E)</f>
        <v/>
      </c>
      <c r="K829" s="667">
        <f>+F829*H829</f>
        <v/>
      </c>
      <c r="L829" s="667">
        <f>+F829*I829</f>
        <v/>
      </c>
      <c r="M829" s="667">
        <f>+F829*J829</f>
        <v/>
      </c>
      <c r="N829" s="667">
        <f>SUM(K829:M829)</f>
        <v/>
      </c>
      <c r="O829" s="668">
        <f>SUM(K829:M829)/tc</f>
        <v/>
      </c>
    </row>
    <row r="830" outlineLevel="1" ht="15" customHeight="1">
      <c r="A830" s="278" t="inlineStr">
        <is>
          <t xml:space="preserve">MO </t>
        </is>
      </c>
      <c r="B830" s="282" t="inlineStr">
        <is>
          <t>13-09-01</t>
        </is>
      </c>
      <c r="C830" s="578" t="n"/>
      <c r="D830" s="386" t="inlineStr">
        <is>
          <t xml:space="preserve">OPERARIO </t>
        </is>
      </c>
      <c r="E830" s="632">
        <f>+_xlfn.XLOOKUP(D830,'BASE DATOS MANO DE OBRA'!A:A,'BASE DATOS MANO DE OBRA'!B:B)</f>
        <v/>
      </c>
      <c r="F830" s="388" t="n">
        <v>0</v>
      </c>
      <c r="G830" s="633">
        <f>+_xlfn.XLOOKUP(D830,'BASE DATOS MANO DE OBRA'!A:A,'BASE DATOS MANO DE OBRA'!C:C)</f>
        <v/>
      </c>
      <c r="H830" s="634" t="n">
        <v>0</v>
      </c>
      <c r="I830" s="634">
        <f>+_xlfn.XLOOKUP(D830,'BASE DATOS MANO DE OBRA'!A:A,'BASE DATOS MANO DE OBRA'!E:E)</f>
        <v/>
      </c>
      <c r="J830" s="634" t="n">
        <v>0</v>
      </c>
      <c r="K830" s="634">
        <f>+F830*H830</f>
        <v/>
      </c>
      <c r="L830" s="634">
        <f>+F830*I830</f>
        <v/>
      </c>
      <c r="M830" s="634">
        <f>+F830*J830</f>
        <v/>
      </c>
      <c r="N830" s="634">
        <f>SUM(K830:M830)</f>
        <v/>
      </c>
      <c r="O830" s="635">
        <f>SUM(K830:M830)/tc</f>
        <v/>
      </c>
    </row>
    <row r="831" outlineLevel="1" ht="15" customHeight="1">
      <c r="A831" s="278" t="inlineStr">
        <is>
          <t xml:space="preserve">MO </t>
        </is>
      </c>
      <c r="B831" s="282" t="inlineStr">
        <is>
          <t>13-09-01</t>
        </is>
      </c>
      <c r="C831" s="578" t="n"/>
      <c r="D831" s="386" t="inlineStr">
        <is>
          <t xml:space="preserve">AYUDANTE </t>
        </is>
      </c>
      <c r="E831" s="632">
        <f>+_xlfn.XLOOKUP(D831,'BASE DATOS MANO DE OBRA'!A:A,'BASE DATOS MANO DE OBRA'!B:B)</f>
        <v/>
      </c>
      <c r="F831" s="388" t="n">
        <v>0</v>
      </c>
      <c r="G831" s="633">
        <f>+_xlfn.XLOOKUP(D831,'BASE DATOS MANO DE OBRA'!A:A,'BASE DATOS MANO DE OBRA'!C:C)</f>
        <v/>
      </c>
      <c r="H831" s="634" t="n">
        <v>0</v>
      </c>
      <c r="I831" s="634">
        <f>+_xlfn.XLOOKUP(D831,'BASE DATOS MANO DE OBRA'!A:A,'BASE DATOS MANO DE OBRA'!E:E)</f>
        <v/>
      </c>
      <c r="J831" s="634" t="n">
        <v>0</v>
      </c>
      <c r="K831" s="634">
        <f>+F831*H831</f>
        <v/>
      </c>
      <c r="L831" s="634">
        <f>+F831*I831</f>
        <v/>
      </c>
      <c r="M831" s="634">
        <f>+F831*J831</f>
        <v/>
      </c>
      <c r="N831" s="634">
        <f>SUM(K831:M831)</f>
        <v/>
      </c>
      <c r="O831" s="635">
        <f>SUM(K831:M831)/tc</f>
        <v/>
      </c>
    </row>
    <row r="832" outlineLevel="1" ht="15" customHeight="1">
      <c r="A832" s="278" t="inlineStr">
        <is>
          <t xml:space="preserve">MO </t>
        </is>
      </c>
      <c r="B832" s="282" t="inlineStr">
        <is>
          <t>13-09-02</t>
        </is>
      </c>
      <c r="C832" s="578" t="n"/>
      <c r="D832" s="386" t="inlineStr">
        <is>
          <t xml:space="preserve">OPERARIO </t>
        </is>
      </c>
      <c r="E832" s="632">
        <f>+_xlfn.XLOOKUP(D832,'BASE DATOS MANO DE OBRA'!A:A,'BASE DATOS MANO DE OBRA'!B:B)</f>
        <v/>
      </c>
      <c r="F832" s="388" t="n">
        <v>0</v>
      </c>
      <c r="G832" s="633">
        <f>+_xlfn.XLOOKUP(D832,'BASE DATOS MANO DE OBRA'!A:A,'BASE DATOS MANO DE OBRA'!C:C)</f>
        <v/>
      </c>
      <c r="H832" s="634" t="n">
        <v>0</v>
      </c>
      <c r="I832" s="634">
        <f>+_xlfn.XLOOKUP(D832,'BASE DATOS MANO DE OBRA'!A:A,'BASE DATOS MANO DE OBRA'!E:E)</f>
        <v/>
      </c>
      <c r="J832" s="634" t="n">
        <v>0</v>
      </c>
      <c r="K832" s="634">
        <f>+F832*H832</f>
        <v/>
      </c>
      <c r="L832" s="634">
        <f>+F832*I832</f>
        <v/>
      </c>
      <c r="M832" s="634">
        <f>+F832*J832</f>
        <v/>
      </c>
      <c r="N832" s="634">
        <f>SUM(K832:M832)</f>
        <v/>
      </c>
      <c r="O832" s="635">
        <f>SUM(K832:M832)/tc</f>
        <v/>
      </c>
    </row>
    <row r="833" outlineLevel="1" ht="15" customHeight="1">
      <c r="A833" s="278" t="inlineStr">
        <is>
          <t xml:space="preserve">MO </t>
        </is>
      </c>
      <c r="B833" s="282" t="inlineStr">
        <is>
          <t>13-09-02</t>
        </is>
      </c>
      <c r="C833" s="578" t="n"/>
      <c r="D833" s="386" t="inlineStr">
        <is>
          <t xml:space="preserve">AYUDANTE </t>
        </is>
      </c>
      <c r="E833" s="632">
        <f>+_xlfn.XLOOKUP(D833,'BASE DATOS MANO DE OBRA'!A:A,'BASE DATOS MANO DE OBRA'!B:B)</f>
        <v/>
      </c>
      <c r="F833" s="388" t="n">
        <v>0</v>
      </c>
      <c r="G833" s="633">
        <f>+_xlfn.XLOOKUP(D833,'BASE DATOS MANO DE OBRA'!A:A,'BASE DATOS MANO DE OBRA'!C:C)</f>
        <v/>
      </c>
      <c r="H833" s="634" t="n">
        <v>0</v>
      </c>
      <c r="I833" s="634">
        <f>+_xlfn.XLOOKUP(D833,'BASE DATOS MANO DE OBRA'!A:A,'BASE DATOS MANO DE OBRA'!E:E)</f>
        <v/>
      </c>
      <c r="J833" s="634" t="n">
        <v>0</v>
      </c>
      <c r="K833" s="634">
        <f>+F833*H833</f>
        <v/>
      </c>
      <c r="L833" s="634">
        <f>+F833*I833</f>
        <v/>
      </c>
      <c r="M833" s="634">
        <f>+F833*J833</f>
        <v/>
      </c>
      <c r="N833" s="634">
        <f>SUM(K833:M833)</f>
        <v/>
      </c>
      <c r="O833" s="635">
        <f>SUM(K833:M833)/tc</f>
        <v/>
      </c>
    </row>
    <row r="834">
      <c r="A834" s="278" t="n"/>
      <c r="B834" s="282" t="inlineStr">
        <is>
          <t>14</t>
        </is>
      </c>
      <c r="C834" s="578" t="n"/>
      <c r="D834" s="372" t="n">
        <v>14</v>
      </c>
      <c r="E834" s="373" t="inlineStr">
        <is>
          <t xml:space="preserve">MECÁNICO </t>
        </is>
      </c>
      <c r="F834" s="374" t="n"/>
      <c r="G834" s="375" t="n"/>
      <c r="H834" s="375" t="n"/>
      <c r="I834" s="375" t="n"/>
      <c r="J834" s="375" t="n"/>
      <c r="K834" s="612">
        <f>+K835+K851+K857</f>
        <v/>
      </c>
      <c r="L834" s="612">
        <f>+L835+L851+L857</f>
        <v/>
      </c>
      <c r="M834" s="612">
        <f>+M835+M851+M857</f>
        <v/>
      </c>
      <c r="N834" s="612">
        <f>+N835+N851+N857</f>
        <v/>
      </c>
      <c r="O834" s="612">
        <f>+O835+O851+O857</f>
        <v/>
      </c>
      <c r="P834" s="610" t="n"/>
      <c r="Q834" s="610" t="n"/>
      <c r="R834" s="326" t="n"/>
    </row>
    <row r="835">
      <c r="A835" s="278" t="n"/>
      <c r="B835" s="282" t="inlineStr">
        <is>
          <t>14-03</t>
        </is>
      </c>
      <c r="C835" s="578" t="n"/>
      <c r="D835" s="307" t="inlineStr">
        <is>
          <t>14.03</t>
        </is>
      </c>
      <c r="E835" s="410" t="inlineStr">
        <is>
          <t xml:space="preserve">CAJAS Y TUBERIAS MECÁNICAS </t>
        </is>
      </c>
      <c r="F835" s="309" t="n">
        <v>1</v>
      </c>
      <c r="G835" s="310" t="inlineStr">
        <is>
          <t>gb</t>
        </is>
      </c>
      <c r="H835" s="310" t="n"/>
      <c r="I835" s="310" t="n"/>
      <c r="J835" s="310" t="n"/>
      <c r="K835" s="636">
        <f>SUM(K836:K850)</f>
        <v/>
      </c>
      <c r="L835" s="636">
        <f>SUM(L836:L850)</f>
        <v/>
      </c>
      <c r="M835" s="636">
        <f>SUM(M836:M850)</f>
        <v/>
      </c>
      <c r="N835" s="636">
        <f>SUM(N836:N850)</f>
        <v/>
      </c>
      <c r="O835" s="615">
        <f>SUM(O836:O850)</f>
        <v/>
      </c>
      <c r="P835" s="639" t="n"/>
      <c r="Q835" s="639" t="n"/>
      <c r="R835" s="640" t="n"/>
    </row>
    <row r="836" outlineLevel="1">
      <c r="A836" s="278" t="inlineStr">
        <is>
          <t>MAT</t>
        </is>
      </c>
      <c r="B836" s="282" t="n"/>
      <c r="C836" s="578">
        <f>_xlfn.XLOOKUP(D836,'INSUMOS MAT '!B:B,'INSUMOS MAT '!C:C,"ERROR",0)</f>
        <v/>
      </c>
      <c r="D836" s="305" t="inlineStr">
        <is>
          <t>MAT04-0021</t>
        </is>
      </c>
      <c r="E836" s="618">
        <f>+_xlfn.XLOOKUP(D836,'BASE DATOS PRECIOS '!B:B,'BASE DATOS PRECIOS '!C:C)</f>
        <v/>
      </c>
      <c r="F836" s="301" t="n">
        <v>2</v>
      </c>
      <c r="G836" s="621">
        <f>+_xlfn.XLOOKUP(D836,'BASE DATOS PRECIOS '!B:B,'BASE DATOS PRECIOS '!D:D)</f>
        <v/>
      </c>
      <c r="H836" s="620">
        <f>+_xlfn.XLOOKUP(E836,'BASE DATOS PRECIOS '!C:C,'BASE DATOS PRECIOS '!F:F)</f>
        <v/>
      </c>
      <c r="I836" s="621" t="n"/>
      <c r="J836" s="621" t="n"/>
      <c r="K836" s="620">
        <f>+F836*H836</f>
        <v/>
      </c>
      <c r="L836" s="620">
        <f>+F836*I836</f>
        <v/>
      </c>
      <c r="M836" s="620">
        <f>+F836*J836</f>
        <v/>
      </c>
      <c r="N836" s="620">
        <f>SUM(K836:M836)</f>
        <v/>
      </c>
      <c r="O836" s="622">
        <f>SUM(K836:M836)/tc</f>
        <v/>
      </c>
      <c r="P836" s="639" t="n"/>
      <c r="Q836" s="639" t="n"/>
      <c r="R836" s="640" t="n"/>
    </row>
    <row r="837" outlineLevel="1">
      <c r="A837" s="278" t="inlineStr">
        <is>
          <t>MAT</t>
        </is>
      </c>
      <c r="B837" s="282" t="n"/>
      <c r="C837" s="578">
        <f>_xlfn.XLOOKUP(D837,'INSUMOS MAT '!B:B,'INSUMOS MAT '!C:C,"ERROR",0)</f>
        <v/>
      </c>
      <c r="D837" s="305" t="inlineStr">
        <is>
          <t>MAT04-0019</t>
        </is>
      </c>
      <c r="E837" s="618">
        <f>+_xlfn.XLOOKUP(D837,'BASE DATOS PRECIOS '!B:B,'BASE DATOS PRECIOS '!C:C)</f>
        <v/>
      </c>
      <c r="F837" s="301" t="n">
        <v>1</v>
      </c>
      <c r="G837" s="621">
        <f>+_xlfn.XLOOKUP(D837,'BASE DATOS PRECIOS '!B:B,'BASE DATOS PRECIOS '!D:D)</f>
        <v/>
      </c>
      <c r="H837" s="620">
        <f>+_xlfn.XLOOKUP(E837,'BASE DATOS PRECIOS '!C:C,'BASE DATOS PRECIOS '!F:F)</f>
        <v/>
      </c>
      <c r="I837" s="621" t="n"/>
      <c r="J837" s="621" t="n"/>
      <c r="K837" s="620">
        <f>+F837*H837</f>
        <v/>
      </c>
      <c r="L837" s="620">
        <f>+F837*I837</f>
        <v/>
      </c>
      <c r="M837" s="620">
        <f>+F837*J837</f>
        <v/>
      </c>
      <c r="N837" s="620">
        <f>SUM(K837:M837)</f>
        <v/>
      </c>
      <c r="O837" s="622">
        <f>SUM(K837:M837)/tc</f>
        <v/>
      </c>
      <c r="P837" s="639" t="n"/>
      <c r="Q837" s="639" t="n"/>
      <c r="R837" s="640" t="n"/>
    </row>
    <row r="838" outlineLevel="1">
      <c r="A838" s="278" t="inlineStr">
        <is>
          <t>MAT</t>
        </is>
      </c>
      <c r="B838" s="282" t="n"/>
      <c r="C838" s="578">
        <f>_xlfn.XLOOKUP(D838,'INSUMOS MAT '!B:B,'INSUMOS MAT '!C:C,"ERROR",0)</f>
        <v/>
      </c>
      <c r="D838" s="305" t="inlineStr">
        <is>
          <t>MAT04-0062</t>
        </is>
      </c>
      <c r="E838" s="618">
        <f>+_xlfn.XLOOKUP(D838,'BASE DATOS PRECIOS '!B:B,'BASE DATOS PRECIOS '!C:C)</f>
        <v/>
      </c>
      <c r="F838" s="301" t="n">
        <v>116.55</v>
      </c>
      <c r="G838" s="621">
        <f>+_xlfn.XLOOKUP(D838,'BASE DATOS PRECIOS '!B:B,'BASE DATOS PRECIOS '!D:D)</f>
        <v/>
      </c>
      <c r="H838" s="620">
        <f>+_xlfn.XLOOKUP(E838,'BASE DATOS PRECIOS '!C:C,'BASE DATOS PRECIOS '!F:F)</f>
        <v/>
      </c>
      <c r="I838" s="621" t="n"/>
      <c r="J838" s="621" t="n"/>
      <c r="K838" s="620">
        <f>+F838*H838</f>
        <v/>
      </c>
      <c r="L838" s="620">
        <f>+F838*I838</f>
        <v/>
      </c>
      <c r="M838" s="620">
        <f>+F838*J838</f>
        <v/>
      </c>
      <c r="N838" s="620">
        <f>SUM(K838:M838)</f>
        <v/>
      </c>
      <c r="O838" s="622">
        <f>SUM(K838:M838)/tc</f>
        <v/>
      </c>
      <c r="P838" s="639" t="n"/>
      <c r="Q838" s="639" t="n"/>
      <c r="R838" s="640" t="n"/>
    </row>
    <row r="839" outlineLevel="1">
      <c r="A839" s="278" t="inlineStr">
        <is>
          <t>MAT</t>
        </is>
      </c>
      <c r="B839" s="282" t="n"/>
      <c r="C839" s="578">
        <f>_xlfn.XLOOKUP(D839,'INSUMOS MAT '!B:B,'INSUMOS MAT '!C:C,"ERROR",0)</f>
        <v/>
      </c>
      <c r="D839" s="305" t="inlineStr">
        <is>
          <t>MAT03-0006</t>
        </is>
      </c>
      <c r="E839" s="618">
        <f>+_xlfn.XLOOKUP(D839,'BASE DATOS PRECIOS '!B:B,'BASE DATOS PRECIOS '!C:C)</f>
        <v/>
      </c>
      <c r="F839" s="301" t="n">
        <v>0.2345</v>
      </c>
      <c r="G839" s="621">
        <f>+_xlfn.XLOOKUP(D839,'BASE DATOS PRECIOS '!B:B,'BASE DATOS PRECIOS '!D:D)</f>
        <v/>
      </c>
      <c r="H839" s="620">
        <f>+_xlfn.XLOOKUP(E839,'BASE DATOS PRECIOS '!C:C,'BASE DATOS PRECIOS '!F:F)</f>
        <v/>
      </c>
      <c r="I839" s="621" t="n"/>
      <c r="J839" s="621" t="n"/>
      <c r="K839" s="620">
        <f>+F839*H839</f>
        <v/>
      </c>
      <c r="L839" s="620">
        <f>+F839*I839</f>
        <v/>
      </c>
      <c r="M839" s="620">
        <f>+F839*J839</f>
        <v/>
      </c>
      <c r="N839" s="620">
        <f>SUM(K839:M839)</f>
        <v/>
      </c>
      <c r="O839" s="622">
        <f>SUM(K839:M839)/tc</f>
        <v/>
      </c>
      <c r="P839" s="639" t="n"/>
      <c r="Q839" s="639" t="n"/>
      <c r="R839" s="640" t="n"/>
    </row>
    <row r="840" outlineLevel="1">
      <c r="A840" s="278" t="inlineStr">
        <is>
          <t>MAT</t>
        </is>
      </c>
      <c r="B840" s="282" t="n"/>
      <c r="C840" s="578">
        <f>_xlfn.XLOOKUP(D840,'INSUMOS MAT '!B:B,'INSUMOS MAT '!C:C,"ERROR",0)</f>
        <v/>
      </c>
      <c r="D840" s="305" t="inlineStr">
        <is>
          <t>MAT03-0002</t>
        </is>
      </c>
      <c r="E840" s="618">
        <f>+_xlfn.XLOOKUP(D840,'BASE DATOS PRECIOS '!B:B,'BASE DATOS PRECIOS '!C:C)</f>
        <v/>
      </c>
      <c r="F840" s="301" t="n">
        <v>0.2065</v>
      </c>
      <c r="G840" s="621">
        <f>+_xlfn.XLOOKUP(D840,'BASE DATOS PRECIOS '!B:B,'BASE DATOS PRECIOS '!D:D)</f>
        <v/>
      </c>
      <c r="H840" s="620">
        <f>+_xlfn.XLOOKUP(E840,'BASE DATOS PRECIOS '!C:C,'BASE DATOS PRECIOS '!F:F)</f>
        <v/>
      </c>
      <c r="I840" s="621" t="n"/>
      <c r="J840" s="621" t="n"/>
      <c r="K840" s="620">
        <f>+F840*H840</f>
        <v/>
      </c>
      <c r="L840" s="620">
        <f>+F840*I840</f>
        <v/>
      </c>
      <c r="M840" s="620">
        <f>+F840*J840</f>
        <v/>
      </c>
      <c r="N840" s="620">
        <f>SUM(K840:M840)</f>
        <v/>
      </c>
      <c r="O840" s="622">
        <f>SUM(K840:M840)/tc</f>
        <v/>
      </c>
      <c r="P840" s="639" t="n"/>
      <c r="Q840" s="639" t="n"/>
      <c r="R840" s="640" t="n"/>
    </row>
    <row r="841" outlineLevel="1">
      <c r="A841" s="278" t="inlineStr">
        <is>
          <t>MAT</t>
        </is>
      </c>
      <c r="B841" s="282" t="n"/>
      <c r="C841" s="578">
        <f>_xlfn.XLOOKUP(D841,'INSUMOS MAT '!B:B,'INSUMOS MAT '!C:C,"ERROR",0)</f>
        <v/>
      </c>
      <c r="D841" s="305" t="inlineStr">
        <is>
          <t>MAT08-0062</t>
        </is>
      </c>
      <c r="E841" s="618">
        <f>+_xlfn.XLOOKUP(D841,'BASE DATOS PRECIOS '!B:B,'BASE DATOS PRECIOS '!C:C)</f>
        <v/>
      </c>
      <c r="F841" s="301" t="n">
        <v>1</v>
      </c>
      <c r="G841" s="621">
        <f>+_xlfn.XLOOKUP(D841,'BASE DATOS PRECIOS '!B:B,'BASE DATOS PRECIOS '!D:D)</f>
        <v/>
      </c>
      <c r="H841" s="620">
        <f>+_xlfn.XLOOKUP(E841,'BASE DATOS PRECIOS '!C:C,'BASE DATOS PRECIOS '!F:F)</f>
        <v/>
      </c>
      <c r="I841" s="621" t="n"/>
      <c r="J841" s="621" t="n"/>
      <c r="K841" s="620">
        <f>+F841*H841</f>
        <v/>
      </c>
      <c r="L841" s="620">
        <f>+F841*I841</f>
        <v/>
      </c>
      <c r="M841" s="620">
        <f>+F841*J841</f>
        <v/>
      </c>
      <c r="N841" s="620">
        <f>SUM(K841:M841)</f>
        <v/>
      </c>
      <c r="O841" s="622">
        <f>SUM(K841:M841)/tc</f>
        <v/>
      </c>
      <c r="P841" s="639" t="n"/>
      <c r="Q841" s="639" t="n"/>
      <c r="R841" s="640" t="n"/>
    </row>
    <row r="842" outlineLevel="1">
      <c r="A842" s="278" t="inlineStr">
        <is>
          <t>MAT</t>
        </is>
      </c>
      <c r="B842" s="282" t="n"/>
      <c r="C842" s="578">
        <f>_xlfn.XLOOKUP(D842,'INSUMOS MAT '!B:B,'INSUMOS MAT '!C:C,"ERROR",0)</f>
        <v/>
      </c>
      <c r="D842" s="305" t="inlineStr">
        <is>
          <t>MAT08-0063</t>
        </is>
      </c>
      <c r="E842" s="618">
        <f>+_xlfn.XLOOKUP(D842,'BASE DATOS PRECIOS '!B:B,'BASE DATOS PRECIOS '!C:C)</f>
        <v/>
      </c>
      <c r="F842" s="301" t="n">
        <v>1</v>
      </c>
      <c r="G842" s="621">
        <f>+_xlfn.XLOOKUP(D842,'BASE DATOS PRECIOS '!B:B,'BASE DATOS PRECIOS '!D:D)</f>
        <v/>
      </c>
      <c r="H842" s="620">
        <f>+_xlfn.XLOOKUP(E842,'BASE DATOS PRECIOS '!C:C,'BASE DATOS PRECIOS '!F:F)</f>
        <v/>
      </c>
      <c r="I842" s="621" t="n"/>
      <c r="J842" s="621" t="n"/>
      <c r="K842" s="620">
        <f>+F842*H842</f>
        <v/>
      </c>
      <c r="L842" s="620">
        <f>+F842*I842</f>
        <v/>
      </c>
      <c r="M842" s="620">
        <f>+F842*J842</f>
        <v/>
      </c>
      <c r="N842" s="620">
        <f>SUM(K842:M842)</f>
        <v/>
      </c>
      <c r="O842" s="622">
        <f>SUM(K842:M842)/tc</f>
        <v/>
      </c>
      <c r="P842" s="639" t="n"/>
      <c r="Q842" s="639" t="n"/>
      <c r="R842" s="640" t="n"/>
    </row>
    <row r="843" outlineLevel="1">
      <c r="A843" s="278" t="inlineStr">
        <is>
          <t>MAT</t>
        </is>
      </c>
      <c r="B843" s="282" t="n"/>
      <c r="C843" s="578">
        <f>_xlfn.XLOOKUP(D843,'INSUMOS MAT '!B:B,'INSUMOS MAT '!C:C,"ERROR",0)</f>
        <v/>
      </c>
      <c r="D843" s="305" t="inlineStr">
        <is>
          <t>MAT08-0015</t>
        </is>
      </c>
      <c r="E843" s="618">
        <f>+_xlfn.XLOOKUP(D843,'BASE DATOS PRECIOS '!B:B,'BASE DATOS PRECIOS '!C:C)</f>
        <v/>
      </c>
      <c r="F843" s="301" t="n">
        <v>1</v>
      </c>
      <c r="G843" s="621">
        <f>+_xlfn.XLOOKUP(D843,'BASE DATOS PRECIOS '!B:B,'BASE DATOS PRECIOS '!D:D)</f>
        <v/>
      </c>
      <c r="H843" s="620">
        <f>+_xlfn.XLOOKUP(E843,'BASE DATOS PRECIOS '!C:C,'BASE DATOS PRECIOS '!F:F)</f>
        <v/>
      </c>
      <c r="I843" s="621" t="n"/>
      <c r="J843" s="621" t="n"/>
      <c r="K843" s="620">
        <f>+F843*H843</f>
        <v/>
      </c>
      <c r="L843" s="620">
        <f>+F843*I843</f>
        <v/>
      </c>
      <c r="M843" s="620">
        <f>+F843*J843</f>
        <v/>
      </c>
      <c r="N843" s="620">
        <f>SUM(K843:M843)</f>
        <v/>
      </c>
      <c r="O843" s="622">
        <f>SUM(K843:M843)/tc</f>
        <v/>
      </c>
      <c r="P843" s="639" t="n"/>
      <c r="Q843" s="639" t="n"/>
      <c r="R843" s="640" t="n"/>
    </row>
    <row r="844" outlineLevel="1">
      <c r="A844" s="278" t="inlineStr">
        <is>
          <t>MAT</t>
        </is>
      </c>
      <c r="B844" s="282" t="n"/>
      <c r="C844" s="578">
        <f>_xlfn.XLOOKUP(D844,'INSUMOS MAT '!B:B,'INSUMOS MAT '!C:C,"ERROR",0)</f>
        <v/>
      </c>
      <c r="D844" s="305" t="inlineStr">
        <is>
          <t>MAT08-0449</t>
        </is>
      </c>
      <c r="E844" s="618">
        <f>+_xlfn.XLOOKUP(D844,'BASE DATOS PRECIOS '!B:B,'BASE DATOS PRECIOS '!C:C)</f>
        <v/>
      </c>
      <c r="F844" s="301" t="n">
        <v>2</v>
      </c>
      <c r="G844" s="621">
        <f>+_xlfn.XLOOKUP(D844,'BASE DATOS PRECIOS '!B:B,'BASE DATOS PRECIOS '!D:D)</f>
        <v/>
      </c>
      <c r="H844" s="620">
        <f>+_xlfn.XLOOKUP(E844,'BASE DATOS PRECIOS '!C:C,'BASE DATOS PRECIOS '!F:F)</f>
        <v/>
      </c>
      <c r="I844" s="621" t="n"/>
      <c r="J844" s="621" t="n"/>
      <c r="K844" s="620">
        <f>+F844*H844</f>
        <v/>
      </c>
      <c r="L844" s="620">
        <f>+F844*I844</f>
        <v/>
      </c>
      <c r="M844" s="620">
        <f>+F844*J844</f>
        <v/>
      </c>
      <c r="N844" s="620">
        <f>SUM(K844:M844)</f>
        <v/>
      </c>
      <c r="O844" s="622">
        <f>SUM(K844:M844)/tc</f>
        <v/>
      </c>
      <c r="P844" s="639" t="n"/>
      <c r="Q844" s="639" t="n"/>
      <c r="R844" s="640" t="n"/>
    </row>
    <row r="845" outlineLevel="1">
      <c r="A845" s="278" t="inlineStr">
        <is>
          <t xml:space="preserve">MO </t>
        </is>
      </c>
      <c r="B845" s="282" t="inlineStr">
        <is>
          <t>14-03-01</t>
        </is>
      </c>
      <c r="C845" s="578" t="n"/>
      <c r="D845" s="386" t="inlineStr">
        <is>
          <t xml:space="preserve">OPERARIO </t>
        </is>
      </c>
      <c r="E845" s="632">
        <f>+_xlfn.XLOOKUP(D845,'BASE DATOS MANO DE OBRA'!A:A,'BASE DATOS MANO DE OBRA'!B:B)</f>
        <v/>
      </c>
      <c r="F845" s="388" t="n">
        <v>34.5</v>
      </c>
      <c r="G845" s="633">
        <f>+_xlfn.XLOOKUP(D845,'BASE DATOS MANO DE OBRA'!A:A,'BASE DATOS MANO DE OBRA'!C:C)</f>
        <v/>
      </c>
      <c r="H845" s="634" t="n">
        <v>0</v>
      </c>
      <c r="I845" s="634">
        <f>+_xlfn.XLOOKUP(D845,'BASE DATOS MANO DE OBRA'!A:A,'BASE DATOS MANO DE OBRA'!E:E)</f>
        <v/>
      </c>
      <c r="J845" s="634" t="n">
        <v>0</v>
      </c>
      <c r="K845" s="634">
        <f>+F845*H845</f>
        <v/>
      </c>
      <c r="L845" s="634">
        <f>+F845*I845</f>
        <v/>
      </c>
      <c r="M845" s="634">
        <f>+F845*J845</f>
        <v/>
      </c>
      <c r="N845" s="634">
        <f>SUM(K845:M845)</f>
        <v/>
      </c>
      <c r="O845" s="635">
        <f>SUM(K845:M845)/tc</f>
        <v/>
      </c>
      <c r="P845" s="639" t="n"/>
      <c r="Q845" s="639" t="n"/>
      <c r="R845" s="640" t="n"/>
    </row>
    <row r="846" outlineLevel="1">
      <c r="A846" s="278" t="inlineStr">
        <is>
          <t xml:space="preserve">MO </t>
        </is>
      </c>
      <c r="B846" s="282" t="inlineStr">
        <is>
          <t>14-03-01</t>
        </is>
      </c>
      <c r="C846" s="578" t="n"/>
      <c r="D846" s="386" t="inlineStr">
        <is>
          <t xml:space="preserve">AYUDANTE </t>
        </is>
      </c>
      <c r="E846" s="632">
        <f>+_xlfn.XLOOKUP(D846,'BASE DATOS MANO DE OBRA'!A:A,'BASE DATOS MANO DE OBRA'!B:B)</f>
        <v/>
      </c>
      <c r="F846" s="388" t="n">
        <v>34.5</v>
      </c>
      <c r="G846" s="633">
        <f>+_xlfn.XLOOKUP(D846,'BASE DATOS MANO DE OBRA'!A:A,'BASE DATOS MANO DE OBRA'!C:C)</f>
        <v/>
      </c>
      <c r="H846" s="634" t="n">
        <v>0</v>
      </c>
      <c r="I846" s="634">
        <f>+_xlfn.XLOOKUP(D846,'BASE DATOS MANO DE OBRA'!A:A,'BASE DATOS MANO DE OBRA'!E:E)</f>
        <v/>
      </c>
      <c r="J846" s="634" t="n">
        <v>0</v>
      </c>
      <c r="K846" s="634">
        <f>+F846*H846</f>
        <v/>
      </c>
      <c r="L846" s="634">
        <f>+F846*I846</f>
        <v/>
      </c>
      <c r="M846" s="634">
        <f>+F846*J846</f>
        <v/>
      </c>
      <c r="N846" s="634">
        <f>SUM(K846:M846)</f>
        <v/>
      </c>
      <c r="O846" s="635">
        <f>SUM(K846:M846)/tc</f>
        <v/>
      </c>
      <c r="P846" s="639" t="n"/>
      <c r="Q846" s="639" t="n"/>
      <c r="R846" s="640" t="n"/>
    </row>
    <row r="847" outlineLevel="1">
      <c r="A847" s="278" t="inlineStr">
        <is>
          <t xml:space="preserve">MO </t>
        </is>
      </c>
      <c r="B847" s="282" t="inlineStr">
        <is>
          <t>14-03-02</t>
        </is>
      </c>
      <c r="C847" s="578" t="n"/>
      <c r="D847" s="386" t="inlineStr">
        <is>
          <t xml:space="preserve">OPERARIO </t>
        </is>
      </c>
      <c r="E847" s="632">
        <f>+_xlfn.XLOOKUP(D847,'BASE DATOS MANO DE OBRA'!A:A,'BASE DATOS MANO DE OBRA'!B:B)</f>
        <v/>
      </c>
      <c r="F847" s="388" t="n">
        <v>5.5</v>
      </c>
      <c r="G847" s="633">
        <f>+_xlfn.XLOOKUP(D847,'BASE DATOS MANO DE OBRA'!A:A,'BASE DATOS MANO DE OBRA'!C:C)</f>
        <v/>
      </c>
      <c r="H847" s="634" t="n">
        <v>0</v>
      </c>
      <c r="I847" s="634">
        <f>+_xlfn.XLOOKUP(D847,'BASE DATOS MANO DE OBRA'!A:A,'BASE DATOS MANO DE OBRA'!E:E)</f>
        <v/>
      </c>
      <c r="J847" s="634" t="n">
        <v>0</v>
      </c>
      <c r="K847" s="634">
        <f>+F847*H847</f>
        <v/>
      </c>
      <c r="L847" s="634">
        <f>+F847*I847</f>
        <v/>
      </c>
      <c r="M847" s="634">
        <f>+F847*J847</f>
        <v/>
      </c>
      <c r="N847" s="634">
        <f>SUM(K847:M847)</f>
        <v/>
      </c>
      <c r="O847" s="635">
        <f>SUM(K847:M847)/tc</f>
        <v/>
      </c>
      <c r="P847" s="639" t="n"/>
      <c r="Q847" s="639" t="n"/>
      <c r="R847" s="640" t="n"/>
    </row>
    <row r="848" outlineLevel="1">
      <c r="A848" s="278" t="inlineStr">
        <is>
          <t xml:space="preserve">MO </t>
        </is>
      </c>
      <c r="B848" s="282" t="inlineStr">
        <is>
          <t>14-03-02</t>
        </is>
      </c>
      <c r="C848" s="578" t="n"/>
      <c r="D848" s="386" t="inlineStr">
        <is>
          <t xml:space="preserve">AYUDANTE </t>
        </is>
      </c>
      <c r="E848" s="632">
        <f>+_xlfn.XLOOKUP(D848,'BASE DATOS MANO DE OBRA'!A:A,'BASE DATOS MANO DE OBRA'!B:B)</f>
        <v/>
      </c>
      <c r="F848" s="388" t="n">
        <v>5.5</v>
      </c>
      <c r="G848" s="633">
        <f>+_xlfn.XLOOKUP(D848,'BASE DATOS MANO DE OBRA'!A:A,'BASE DATOS MANO DE OBRA'!C:C)</f>
        <v/>
      </c>
      <c r="H848" s="634" t="n">
        <v>0</v>
      </c>
      <c r="I848" s="634">
        <f>+_xlfn.XLOOKUP(D848,'BASE DATOS MANO DE OBRA'!A:A,'BASE DATOS MANO DE OBRA'!E:E)</f>
        <v/>
      </c>
      <c r="J848" s="634" t="n">
        <v>0</v>
      </c>
      <c r="K848" s="634">
        <f>+F848*H848</f>
        <v/>
      </c>
      <c r="L848" s="634">
        <f>+F848*I848</f>
        <v/>
      </c>
      <c r="M848" s="634">
        <f>+F848*J848</f>
        <v/>
      </c>
      <c r="N848" s="634">
        <f>SUM(K848:M848)</f>
        <v/>
      </c>
      <c r="O848" s="635">
        <f>SUM(K848:M848)/tc</f>
        <v/>
      </c>
      <c r="P848" s="639" t="n"/>
      <c r="Q848" s="639" t="n"/>
      <c r="R848" s="640" t="n"/>
    </row>
    <row r="849" outlineLevel="1">
      <c r="A849" s="278" t="inlineStr">
        <is>
          <t xml:space="preserve">MO </t>
        </is>
      </c>
      <c r="B849" s="282" t="inlineStr">
        <is>
          <t>14-03-03</t>
        </is>
      </c>
      <c r="C849" s="578" t="n"/>
      <c r="D849" s="386" t="inlineStr">
        <is>
          <t xml:space="preserve">OPERARIO </t>
        </is>
      </c>
      <c r="E849" s="632">
        <f>+_xlfn.XLOOKUP(D849,'BASE DATOS MANO DE OBRA'!A:A,'BASE DATOS MANO DE OBRA'!B:B)</f>
        <v/>
      </c>
      <c r="F849" s="388" t="n">
        <v>1</v>
      </c>
      <c r="G849" s="633">
        <f>+_xlfn.XLOOKUP(D849,'BASE DATOS MANO DE OBRA'!A:A,'BASE DATOS MANO DE OBRA'!C:C)</f>
        <v/>
      </c>
      <c r="H849" s="634" t="n">
        <v>0</v>
      </c>
      <c r="I849" s="634">
        <f>+_xlfn.XLOOKUP(D849,'BASE DATOS MANO DE OBRA'!A:A,'BASE DATOS MANO DE OBRA'!E:E)</f>
        <v/>
      </c>
      <c r="J849" s="634" t="n">
        <v>0</v>
      </c>
      <c r="K849" s="634">
        <f>+F849*H849</f>
        <v/>
      </c>
      <c r="L849" s="634">
        <f>+F849*I849</f>
        <v/>
      </c>
      <c r="M849" s="634">
        <f>+F849*J849</f>
        <v/>
      </c>
      <c r="N849" s="634">
        <f>SUM(K849:M849)</f>
        <v/>
      </c>
      <c r="O849" s="635">
        <f>SUM(K849:M849)/tc</f>
        <v/>
      </c>
      <c r="P849" s="639" t="n"/>
      <c r="Q849" s="639" t="n"/>
      <c r="R849" s="640" t="n"/>
    </row>
    <row r="850" outlineLevel="1">
      <c r="A850" s="278" t="inlineStr">
        <is>
          <t xml:space="preserve">MO </t>
        </is>
      </c>
      <c r="B850" s="282" t="inlineStr">
        <is>
          <t>14-03-03</t>
        </is>
      </c>
      <c r="C850" s="578" t="n"/>
      <c r="D850" s="386" t="inlineStr">
        <is>
          <t xml:space="preserve">AYUDANTE </t>
        </is>
      </c>
      <c r="E850" s="632">
        <f>+_xlfn.XLOOKUP(D850,'BASE DATOS MANO DE OBRA'!A:A,'BASE DATOS MANO DE OBRA'!B:B)</f>
        <v/>
      </c>
      <c r="F850" s="388" t="n">
        <v>1</v>
      </c>
      <c r="G850" s="633">
        <f>+_xlfn.XLOOKUP(D850,'BASE DATOS MANO DE OBRA'!A:A,'BASE DATOS MANO DE OBRA'!C:C)</f>
        <v/>
      </c>
      <c r="H850" s="634" t="n">
        <v>0</v>
      </c>
      <c r="I850" s="634">
        <f>+_xlfn.XLOOKUP(D850,'BASE DATOS MANO DE OBRA'!A:A,'BASE DATOS MANO DE OBRA'!E:E)</f>
        <v/>
      </c>
      <c r="J850" s="634" t="n">
        <v>0</v>
      </c>
      <c r="K850" s="634">
        <f>+F850*H850</f>
        <v/>
      </c>
      <c r="L850" s="634">
        <f>+F850*I850</f>
        <v/>
      </c>
      <c r="M850" s="634">
        <f>+F850*J850</f>
        <v/>
      </c>
      <c r="N850" s="634">
        <f>SUM(K850:M850)</f>
        <v/>
      </c>
      <c r="O850" s="635">
        <f>SUM(K850:M850)/tc</f>
        <v/>
      </c>
      <c r="P850" s="639" t="n"/>
      <c r="Q850" s="639" t="n"/>
      <c r="R850" s="640" t="n"/>
    </row>
    <row r="851">
      <c r="A851" s="278" t="n"/>
      <c r="B851" s="282" t="inlineStr">
        <is>
          <t>14-04</t>
        </is>
      </c>
      <c r="C851" s="578" t="n"/>
      <c r="D851" s="307" t="inlineStr">
        <is>
          <t>14.04</t>
        </is>
      </c>
      <c r="E851" s="410" t="inlineStr">
        <is>
          <t xml:space="preserve">BAJANTES </t>
        </is>
      </c>
      <c r="F851" s="309" t="n">
        <v>1</v>
      </c>
      <c r="G851" s="310" t="inlineStr">
        <is>
          <t>gb</t>
        </is>
      </c>
      <c r="H851" s="310" t="n"/>
      <c r="I851" s="310" t="n"/>
      <c r="J851" s="310" t="n"/>
      <c r="K851" s="636">
        <f>SUM(K852:K856)</f>
        <v/>
      </c>
      <c r="L851" s="636">
        <f>SUM(L852:L856)</f>
        <v/>
      </c>
      <c r="M851" s="636">
        <f>SUM(M852:M856)</f>
        <v/>
      </c>
      <c r="N851" s="636">
        <f>SUM(N852:N856)</f>
        <v/>
      </c>
      <c r="O851" s="615">
        <f>SUM(O852:O856)</f>
        <v/>
      </c>
      <c r="P851" s="639" t="n"/>
      <c r="Q851" s="639" t="n"/>
      <c r="R851" s="640" t="n"/>
    </row>
    <row r="852" outlineLevel="1">
      <c r="A852" s="278" t="inlineStr">
        <is>
          <t>MAT</t>
        </is>
      </c>
      <c r="B852" s="282" t="n"/>
      <c r="C852" s="578">
        <f>_xlfn.XLOOKUP(D852,'INSUMOS MAT '!B:B,'INSUMOS MAT '!C:C,"ERROR",0)</f>
        <v/>
      </c>
      <c r="D852" s="305" t="inlineStr">
        <is>
          <t>MAT19-0140</t>
        </is>
      </c>
      <c r="E852" s="618">
        <f>+_xlfn.XLOOKUP(D852,'BASE DATOS PRECIOS '!B:B,'BASE DATOS PRECIOS '!C:C)</f>
        <v/>
      </c>
      <c r="F852" s="301" t="n">
        <v>5</v>
      </c>
      <c r="G852" s="621">
        <f>+_xlfn.XLOOKUP(D852,'BASE DATOS PRECIOS '!B:B,'BASE DATOS PRECIOS '!D:D)</f>
        <v/>
      </c>
      <c r="H852" s="620">
        <f>+_xlfn.XLOOKUP(E852,'BASE DATOS PRECIOS '!C:C,'BASE DATOS PRECIOS '!F:F)</f>
        <v/>
      </c>
      <c r="I852" s="621" t="n"/>
      <c r="J852" s="621" t="n"/>
      <c r="K852" s="620">
        <f>+F852*H852</f>
        <v/>
      </c>
      <c r="L852" s="620">
        <f>+F852*I852</f>
        <v/>
      </c>
      <c r="M852" s="620">
        <f>+F852*J852</f>
        <v/>
      </c>
      <c r="N852" s="620">
        <f>SUM(K852:M852)</f>
        <v/>
      </c>
      <c r="O852" s="622">
        <f>SUM(K852:M852)/tc</f>
        <v/>
      </c>
      <c r="P852" s="639" t="n"/>
      <c r="Q852" s="639" t="n"/>
      <c r="R852" s="640" t="n"/>
    </row>
    <row r="853" outlineLevel="1">
      <c r="A853" s="278" t="inlineStr">
        <is>
          <t>MAT</t>
        </is>
      </c>
      <c r="B853" s="282" t="n"/>
      <c r="C853" s="578">
        <f>_xlfn.XLOOKUP(D853,'INSUMOS MAT '!B:B,'INSUMOS MAT '!C:C,"ERROR",0)</f>
        <v/>
      </c>
      <c r="D853" s="305" t="inlineStr">
        <is>
          <t>MAT19-0103</t>
        </is>
      </c>
      <c r="E853" s="618">
        <f>+_xlfn.XLOOKUP(D853,'BASE DATOS PRECIOS '!B:B,'BASE DATOS PRECIOS '!C:C)</f>
        <v/>
      </c>
      <c r="F853" s="301" t="n">
        <v>5</v>
      </c>
      <c r="G853" s="621">
        <f>+_xlfn.XLOOKUP(D853,'BASE DATOS PRECIOS '!B:B,'BASE DATOS PRECIOS '!D:D)</f>
        <v/>
      </c>
      <c r="H853" s="620">
        <f>+_xlfn.XLOOKUP(E853,'BASE DATOS PRECIOS '!C:C,'BASE DATOS PRECIOS '!F:F)</f>
        <v/>
      </c>
      <c r="I853" s="621" t="n"/>
      <c r="J853" s="621" t="n"/>
      <c r="K853" s="620">
        <f>+F853*H853</f>
        <v/>
      </c>
      <c r="L853" s="620">
        <f>+F853*I853</f>
        <v/>
      </c>
      <c r="M853" s="620">
        <f>+F853*J853</f>
        <v/>
      </c>
      <c r="N853" s="620">
        <f>SUM(K853:M853)</f>
        <v/>
      </c>
      <c r="O853" s="622">
        <f>SUM(K853:M853)/tc</f>
        <v/>
      </c>
      <c r="P853" s="639" t="n"/>
      <c r="Q853" s="639" t="n"/>
      <c r="R853" s="640" t="n"/>
    </row>
    <row r="854" outlineLevel="1">
      <c r="A854" s="278" t="inlineStr">
        <is>
          <t>MAT</t>
        </is>
      </c>
      <c r="B854" s="282" t="n"/>
      <c r="C854" s="578">
        <f>_xlfn.XLOOKUP(D854,'INSUMOS MAT '!B:B,'INSUMOS MAT '!C:C,"ERROR",0)</f>
        <v/>
      </c>
      <c r="D854" s="305" t="inlineStr">
        <is>
          <t>MAT19-0018</t>
        </is>
      </c>
      <c r="E854" s="618">
        <f>+_xlfn.XLOOKUP(D854,'BASE DATOS PRECIOS '!B:B,'BASE DATOS PRECIOS '!C:C)</f>
        <v/>
      </c>
      <c r="F854" s="301" t="n">
        <v>2</v>
      </c>
      <c r="G854" s="621">
        <f>+_xlfn.XLOOKUP(D854,'BASE DATOS PRECIOS '!B:B,'BASE DATOS PRECIOS '!D:D)</f>
        <v/>
      </c>
      <c r="H854" s="620">
        <f>+_xlfn.XLOOKUP(E854,'BASE DATOS PRECIOS '!C:C,'BASE DATOS PRECIOS '!F:F)</f>
        <v/>
      </c>
      <c r="I854" s="621" t="n"/>
      <c r="J854" s="621" t="n"/>
      <c r="K854" s="620">
        <f>+F854*H854</f>
        <v/>
      </c>
      <c r="L854" s="620">
        <f>+F854*I854</f>
        <v/>
      </c>
      <c r="M854" s="620">
        <f>+F854*J854</f>
        <v/>
      </c>
      <c r="N854" s="620">
        <f>SUM(K854:M854)</f>
        <v/>
      </c>
      <c r="O854" s="622">
        <f>SUM(K854:M854)/tc</f>
        <v/>
      </c>
      <c r="P854" s="639" t="n"/>
      <c r="Q854" s="639" t="n"/>
      <c r="R854" s="640" t="n"/>
    </row>
    <row r="855" outlineLevel="1">
      <c r="A855" s="278" t="inlineStr">
        <is>
          <t xml:space="preserve">MO </t>
        </is>
      </c>
      <c r="B855" s="282" t="inlineStr">
        <is>
          <t>14-04-01</t>
        </is>
      </c>
      <c r="C855" s="578" t="n"/>
      <c r="D855" s="386" t="inlineStr">
        <is>
          <t xml:space="preserve">OPERARIO </t>
        </is>
      </c>
      <c r="E855" s="632">
        <f>+_xlfn.XLOOKUP(D855,'BASE DATOS MANO DE OBRA'!A:A,'BASE DATOS MANO DE OBRA'!B:B)</f>
        <v/>
      </c>
      <c r="F855" s="388" t="n">
        <v>5</v>
      </c>
      <c r="G855" s="633">
        <f>+_xlfn.XLOOKUP(D855,'BASE DATOS MANO DE OBRA'!A:A,'BASE DATOS MANO DE OBRA'!C:C)</f>
        <v/>
      </c>
      <c r="H855" s="634" t="n">
        <v>0</v>
      </c>
      <c r="I855" s="634">
        <f>+_xlfn.XLOOKUP(D855,'BASE DATOS MANO DE OBRA'!A:A,'BASE DATOS MANO DE OBRA'!E:E)</f>
        <v/>
      </c>
      <c r="J855" s="634" t="n">
        <v>0</v>
      </c>
      <c r="K855" s="634">
        <f>+F855*H855</f>
        <v/>
      </c>
      <c r="L855" s="634">
        <f>+F855*I855</f>
        <v/>
      </c>
      <c r="M855" s="634">
        <f>+F855*J855</f>
        <v/>
      </c>
      <c r="N855" s="634">
        <f>SUM(K855:M855)</f>
        <v/>
      </c>
      <c r="O855" s="635">
        <f>SUM(K855:M855)/tc</f>
        <v/>
      </c>
      <c r="P855" s="639" t="n"/>
      <c r="Q855" s="639" t="n"/>
      <c r="R855" s="640" t="n"/>
    </row>
    <row r="856" outlineLevel="1">
      <c r="A856" s="278" t="inlineStr">
        <is>
          <t xml:space="preserve">MO </t>
        </is>
      </c>
      <c r="B856" s="282" t="inlineStr">
        <is>
          <t>14-04-01</t>
        </is>
      </c>
      <c r="C856" s="578" t="n"/>
      <c r="D856" s="386" t="inlineStr">
        <is>
          <t xml:space="preserve">AYUDANTE </t>
        </is>
      </c>
      <c r="E856" s="632">
        <f>+_xlfn.XLOOKUP(D856,'BASE DATOS MANO DE OBRA'!A:A,'BASE DATOS MANO DE OBRA'!B:B)</f>
        <v/>
      </c>
      <c r="F856" s="388" t="n">
        <v>5</v>
      </c>
      <c r="G856" s="633">
        <f>+_xlfn.XLOOKUP(D856,'BASE DATOS MANO DE OBRA'!A:A,'BASE DATOS MANO DE OBRA'!C:C)</f>
        <v/>
      </c>
      <c r="H856" s="634" t="n">
        <v>0</v>
      </c>
      <c r="I856" s="634">
        <f>+_xlfn.XLOOKUP(D856,'BASE DATOS MANO DE OBRA'!A:A,'BASE DATOS MANO DE OBRA'!E:E)</f>
        <v/>
      </c>
      <c r="J856" s="634" t="n">
        <v>0</v>
      </c>
      <c r="K856" s="634">
        <f>+F856*H856</f>
        <v/>
      </c>
      <c r="L856" s="634">
        <f>+F856*I856</f>
        <v/>
      </c>
      <c r="M856" s="634">
        <f>+F856*J856</f>
        <v/>
      </c>
      <c r="N856" s="634">
        <f>SUM(K856:M856)</f>
        <v/>
      </c>
      <c r="O856" s="635">
        <f>SUM(K856:M856)/tc</f>
        <v/>
      </c>
      <c r="P856" s="639" t="n"/>
      <c r="Q856" s="639" t="n"/>
      <c r="R856" s="640" t="n"/>
    </row>
    <row r="857">
      <c r="A857" s="278" t="n"/>
      <c r="B857" s="282" t="inlineStr">
        <is>
          <t>14-05</t>
        </is>
      </c>
      <c r="C857" s="578" t="n"/>
      <c r="D857" s="307" t="inlineStr">
        <is>
          <t>14.05</t>
        </is>
      </c>
      <c r="E857" s="410" t="inlineStr">
        <is>
          <t xml:space="preserve">ACABADOS MECÁNICOS </t>
        </is>
      </c>
      <c r="F857" s="309" t="n">
        <v>1</v>
      </c>
      <c r="G857" s="310" t="inlineStr">
        <is>
          <t>gb</t>
        </is>
      </c>
      <c r="H857" s="310" t="n"/>
      <c r="I857" s="310" t="n"/>
      <c r="J857" s="310" t="n"/>
      <c r="K857" s="636">
        <f>SUM(K858:K885)</f>
        <v/>
      </c>
      <c r="L857" s="636">
        <f>SUM(L858:L885)</f>
        <v/>
      </c>
      <c r="M857" s="636">
        <f>SUM(M858:M885)</f>
        <v/>
      </c>
      <c r="N857" s="636">
        <f>SUM(N858:N885)</f>
        <v/>
      </c>
      <c r="O857" s="615">
        <f>SUM(O858:O885)</f>
        <v/>
      </c>
      <c r="P857" s="639" t="n"/>
      <c r="Q857" s="639" t="n"/>
      <c r="R857" s="640" t="n"/>
    </row>
    <row r="858" outlineLevel="1">
      <c r="A858" s="278" t="inlineStr">
        <is>
          <t>MAT</t>
        </is>
      </c>
      <c r="B858" s="282" t="n"/>
      <c r="C858" s="578">
        <f>_xlfn.XLOOKUP(D858,'INSUMOS MAT '!B:B,'INSUMOS MAT '!C:C,"ERROR",0)</f>
        <v/>
      </c>
      <c r="D858" s="305" t="inlineStr">
        <is>
          <t>MAT08-0079</t>
        </is>
      </c>
      <c r="E858" s="618">
        <f>+_xlfn.XLOOKUP(D858,'BASE DATOS PRECIOS '!B:B,'BASE DATOS PRECIOS '!C:C)</f>
        <v/>
      </c>
      <c r="F858" s="301" t="n">
        <v>4</v>
      </c>
      <c r="G858" s="621">
        <f>+_xlfn.XLOOKUP(D858,'BASE DATOS PRECIOS '!B:B,'BASE DATOS PRECIOS '!D:D)</f>
        <v/>
      </c>
      <c r="H858" s="620">
        <f>+_xlfn.XLOOKUP(E858,'BASE DATOS PRECIOS '!C:C,'BASE DATOS PRECIOS '!F:F)</f>
        <v/>
      </c>
      <c r="I858" s="621" t="n"/>
      <c r="J858" s="621" t="n"/>
      <c r="K858" s="620">
        <f>+F858*H858</f>
        <v/>
      </c>
      <c r="L858" s="620">
        <f>+F858*I858</f>
        <v/>
      </c>
      <c r="M858" s="620">
        <f>+F858*J858</f>
        <v/>
      </c>
      <c r="N858" s="620">
        <f>SUM(K858:M858)</f>
        <v/>
      </c>
      <c r="O858" s="622">
        <f>SUM(K858:M858)/tc</f>
        <v/>
      </c>
      <c r="P858" s="639" t="n"/>
      <c r="Q858" s="639" t="n"/>
      <c r="R858" s="640" t="n"/>
    </row>
    <row r="859" outlineLevel="1" ht="15" customHeight="1">
      <c r="A859" s="278" t="inlineStr">
        <is>
          <t>MAT</t>
        </is>
      </c>
      <c r="B859" s="282" t="n"/>
      <c r="C859" s="578">
        <f>_xlfn.XLOOKUP(D859,'INSUMOS MAT '!B:B,'INSUMOS MAT '!C:C,"ERROR",0)</f>
        <v/>
      </c>
      <c r="D859" s="305" t="inlineStr">
        <is>
          <t>MAT08-0075</t>
        </is>
      </c>
      <c r="E859" s="618">
        <f>+_xlfn.XLOOKUP(D859,'BASE DATOS PRECIOS '!B:B,'BASE DATOS PRECIOS '!C:C)</f>
        <v/>
      </c>
      <c r="F859" s="301" t="n">
        <v>4</v>
      </c>
      <c r="G859" s="621">
        <f>+_xlfn.XLOOKUP(D859,'BASE DATOS PRECIOS '!B:B,'BASE DATOS PRECIOS '!D:D)</f>
        <v/>
      </c>
      <c r="H859" s="620">
        <f>+_xlfn.XLOOKUP(E859,'BASE DATOS PRECIOS '!C:C,'BASE DATOS PRECIOS '!F:F)</f>
        <v/>
      </c>
      <c r="I859" s="621" t="n"/>
      <c r="J859" s="621" t="n"/>
      <c r="K859" s="620">
        <f>+F859*H859</f>
        <v/>
      </c>
      <c r="L859" s="620">
        <f>+F859*I859</f>
        <v/>
      </c>
      <c r="M859" s="620">
        <f>+F859*J859</f>
        <v/>
      </c>
      <c r="N859" s="620">
        <f>SUM(K859:M859)</f>
        <v/>
      </c>
      <c r="O859" s="622">
        <f>SUM(K859:M859)/tc</f>
        <v/>
      </c>
    </row>
    <row r="860" outlineLevel="1" ht="15" customHeight="1">
      <c r="A860" s="278" t="inlineStr">
        <is>
          <t>MAT</t>
        </is>
      </c>
      <c r="B860" s="282" t="n"/>
      <c r="C860" s="578">
        <f>_xlfn.XLOOKUP(D860,'INSUMOS MAT '!B:B,'INSUMOS MAT '!C:C,"ERROR",0)</f>
        <v/>
      </c>
      <c r="D860" s="305" t="inlineStr">
        <is>
          <t>MAT08-0113</t>
        </is>
      </c>
      <c r="E860" s="618">
        <f>+_xlfn.XLOOKUP(D860,'BASE DATOS PRECIOS '!B:B,'BASE DATOS PRECIOS '!C:C)</f>
        <v/>
      </c>
      <c r="F860" s="301" t="n">
        <v>2</v>
      </c>
      <c r="G860" s="621">
        <f>+_xlfn.XLOOKUP(D860,'BASE DATOS PRECIOS '!B:B,'BASE DATOS PRECIOS '!D:D)</f>
        <v/>
      </c>
      <c r="H860" s="620">
        <f>+_xlfn.XLOOKUP(E860,'BASE DATOS PRECIOS '!C:C,'BASE DATOS PRECIOS '!F:F)</f>
        <v/>
      </c>
      <c r="I860" s="621" t="n"/>
      <c r="J860" s="621" t="n"/>
      <c r="K860" s="620">
        <f>+F860*H860</f>
        <v/>
      </c>
      <c r="L860" s="620">
        <f>+F860*I860</f>
        <v/>
      </c>
      <c r="M860" s="620">
        <f>+F860*J860</f>
        <v/>
      </c>
      <c r="N860" s="620">
        <f>SUM(K860:M860)</f>
        <v/>
      </c>
      <c r="O860" s="622">
        <f>SUM(K860:M860)/tc</f>
        <v/>
      </c>
    </row>
    <row r="861" outlineLevel="1" ht="15" customHeight="1">
      <c r="A861" s="278" t="inlineStr">
        <is>
          <t>MAT</t>
        </is>
      </c>
      <c r="B861" s="282" t="n"/>
      <c r="C861" s="578">
        <f>_xlfn.XLOOKUP(D861,'INSUMOS MAT '!B:B,'INSUMOS MAT '!C:C,"ERROR",0)</f>
        <v/>
      </c>
      <c r="D861" s="305" t="inlineStr">
        <is>
          <t>MAT19-0067</t>
        </is>
      </c>
      <c r="E861" s="618">
        <f>+_xlfn.XLOOKUP(D861,'BASE DATOS PRECIOS '!B:B,'BASE DATOS PRECIOS '!C:C)</f>
        <v/>
      </c>
      <c r="F861" s="301" t="n">
        <v>2</v>
      </c>
      <c r="G861" s="621">
        <f>+_xlfn.XLOOKUP(D861,'BASE DATOS PRECIOS '!B:B,'BASE DATOS PRECIOS '!D:D)</f>
        <v/>
      </c>
      <c r="H861" s="620">
        <f>+_xlfn.XLOOKUP(E861,'BASE DATOS PRECIOS '!C:C,'BASE DATOS PRECIOS '!F:F)</f>
        <v/>
      </c>
      <c r="I861" s="621" t="n"/>
      <c r="J861" s="621" t="n"/>
      <c r="K861" s="620">
        <f>+F861*H861</f>
        <v/>
      </c>
      <c r="L861" s="620">
        <f>+F861*I861</f>
        <v/>
      </c>
      <c r="M861" s="620">
        <f>+F861*J861</f>
        <v/>
      </c>
      <c r="N861" s="620">
        <f>SUM(K861:M861)</f>
        <v/>
      </c>
      <c r="O861" s="622">
        <f>SUM(K861:M861)/tc</f>
        <v/>
      </c>
    </row>
    <row r="862" outlineLevel="1" ht="15" customHeight="1">
      <c r="A862" s="278" t="inlineStr">
        <is>
          <t>MAT</t>
        </is>
      </c>
      <c r="B862" s="282" t="n"/>
      <c r="C862" s="578">
        <f>_xlfn.XLOOKUP(D862,'INSUMOS MAT '!B:B,'INSUMOS MAT '!C:C,"ERROR",0)</f>
        <v/>
      </c>
      <c r="D862" s="305" t="inlineStr">
        <is>
          <t>MAT19-0047</t>
        </is>
      </c>
      <c r="E862" s="618">
        <f>+_xlfn.XLOOKUP(D862,'BASE DATOS PRECIOS '!B:B,'BASE DATOS PRECIOS '!C:C)</f>
        <v/>
      </c>
      <c r="F862" s="301" t="n">
        <v>2</v>
      </c>
      <c r="G862" s="621">
        <f>+_xlfn.XLOOKUP(D862,'BASE DATOS PRECIOS '!B:B,'BASE DATOS PRECIOS '!D:D)</f>
        <v/>
      </c>
      <c r="H862" s="620">
        <f>+_xlfn.XLOOKUP(E862,'BASE DATOS PRECIOS '!C:C,'BASE DATOS PRECIOS '!F:F)</f>
        <v/>
      </c>
      <c r="I862" s="621" t="n"/>
      <c r="J862" s="621" t="n"/>
      <c r="K862" s="620">
        <f>+F862*H862</f>
        <v/>
      </c>
      <c r="L862" s="620">
        <f>+F862*I862</f>
        <v/>
      </c>
      <c r="M862" s="620">
        <f>+F862*J862</f>
        <v/>
      </c>
      <c r="N862" s="620">
        <f>SUM(K862:M862)</f>
        <v/>
      </c>
      <c r="O862" s="622">
        <f>SUM(K862:M862)/tc</f>
        <v/>
      </c>
    </row>
    <row r="863" outlineLevel="1" ht="15" customHeight="1">
      <c r="A863" s="278" t="inlineStr">
        <is>
          <t>MAT</t>
        </is>
      </c>
      <c r="B863" s="282" t="n"/>
      <c r="C863" s="578">
        <f>_xlfn.XLOOKUP(D863,'INSUMOS MAT '!B:B,'INSUMOS MAT '!C:C,"ERROR",0)</f>
        <v/>
      </c>
      <c r="D863" s="305" t="inlineStr">
        <is>
          <t>MAT21-0018</t>
        </is>
      </c>
      <c r="E863" s="618">
        <f>+_xlfn.XLOOKUP(D863,'BASE DATOS PRECIOS '!B:B,'BASE DATOS PRECIOS '!C:C)</f>
        <v/>
      </c>
      <c r="F863" s="301" t="n">
        <v>1</v>
      </c>
      <c r="G863" s="621">
        <f>+_xlfn.XLOOKUP(D863,'BASE DATOS PRECIOS '!B:B,'BASE DATOS PRECIOS '!D:D)</f>
        <v/>
      </c>
      <c r="H863" s="620">
        <f>+_xlfn.XLOOKUP(E863,'BASE DATOS PRECIOS '!C:C,'BASE DATOS PRECIOS '!F:F)</f>
        <v/>
      </c>
      <c r="I863" s="621" t="n"/>
      <c r="J863" s="621" t="n"/>
      <c r="K863" s="620">
        <f>+F863*H863</f>
        <v/>
      </c>
      <c r="L863" s="620">
        <f>+F863*I863</f>
        <v/>
      </c>
      <c r="M863" s="620">
        <f>+F863*J863</f>
        <v/>
      </c>
      <c r="N863" s="620">
        <f>SUM(K863:M863)</f>
        <v/>
      </c>
      <c r="O863" s="622">
        <f>SUM(K863:M863)/tc</f>
        <v/>
      </c>
    </row>
    <row r="864" outlineLevel="1" ht="15" customHeight="1">
      <c r="A864" s="278" t="inlineStr">
        <is>
          <t>MAT</t>
        </is>
      </c>
      <c r="B864" s="282" t="n"/>
      <c r="C864" s="578">
        <f>_xlfn.XLOOKUP(D864,'INSUMOS MAT '!B:B,'INSUMOS MAT '!C:C,"ERROR",0)</f>
        <v/>
      </c>
      <c r="D864" s="305" t="inlineStr">
        <is>
          <t>MAT19-0078</t>
        </is>
      </c>
      <c r="E864" s="618">
        <f>+_xlfn.XLOOKUP(D864,'BASE DATOS PRECIOS '!B:B,'BASE DATOS PRECIOS '!C:C)</f>
        <v/>
      </c>
      <c r="F864" s="301" t="n">
        <v>2</v>
      </c>
      <c r="G864" s="621">
        <f>+_xlfn.XLOOKUP(D864,'BASE DATOS PRECIOS '!B:B,'BASE DATOS PRECIOS '!D:D)</f>
        <v/>
      </c>
      <c r="H864" s="620">
        <f>+_xlfn.XLOOKUP(E864,'BASE DATOS PRECIOS '!C:C,'BASE DATOS PRECIOS '!F:F)</f>
        <v/>
      </c>
      <c r="I864" s="621" t="n"/>
      <c r="J864" s="621" t="n"/>
      <c r="K864" s="620">
        <f>+F864*H864</f>
        <v/>
      </c>
      <c r="L864" s="620">
        <f>+F864*I864</f>
        <v/>
      </c>
      <c r="M864" s="620">
        <f>+F864*J864</f>
        <v/>
      </c>
      <c r="N864" s="620">
        <f>SUM(K864:M864)</f>
        <v/>
      </c>
      <c r="O864" s="622">
        <f>SUM(K864:M864)/tc</f>
        <v/>
      </c>
    </row>
    <row r="865" outlineLevel="1" ht="15" customHeight="1">
      <c r="A865" s="278" t="inlineStr">
        <is>
          <t>MAT</t>
        </is>
      </c>
      <c r="B865" s="282" t="n"/>
      <c r="C865" s="578">
        <f>_xlfn.XLOOKUP(D865,'INSUMOS MAT '!B:B,'INSUMOS MAT '!C:C,"ERROR",0)</f>
        <v/>
      </c>
      <c r="D865" s="305" t="inlineStr">
        <is>
          <t>MAT08-0119</t>
        </is>
      </c>
      <c r="E865" s="618">
        <f>+_xlfn.XLOOKUP(D865,'BASE DATOS PRECIOS '!B:B,'BASE DATOS PRECIOS '!C:C)</f>
        <v/>
      </c>
      <c r="F865" s="301" t="n">
        <v>1</v>
      </c>
      <c r="G865" s="621">
        <f>+_xlfn.XLOOKUP(D865,'BASE DATOS PRECIOS '!B:B,'BASE DATOS PRECIOS '!D:D)</f>
        <v/>
      </c>
      <c r="H865" s="620">
        <f>+_xlfn.XLOOKUP(E865,'BASE DATOS PRECIOS '!C:C,'BASE DATOS PRECIOS '!F:F)</f>
        <v/>
      </c>
      <c r="I865" s="621" t="n"/>
      <c r="J865" s="621" t="n"/>
      <c r="K865" s="620">
        <f>+F865*H865</f>
        <v/>
      </c>
      <c r="L865" s="620">
        <f>+F865*I865</f>
        <v/>
      </c>
      <c r="M865" s="620">
        <f>+F865*J865</f>
        <v/>
      </c>
      <c r="N865" s="620">
        <f>SUM(K865:M865)</f>
        <v/>
      </c>
      <c r="O865" s="622">
        <f>SUM(K865:M865)/tc</f>
        <v/>
      </c>
    </row>
    <row r="866" outlineLevel="1" ht="15" customHeight="1">
      <c r="A866" s="278" t="inlineStr">
        <is>
          <t>MAT</t>
        </is>
      </c>
      <c r="B866" s="282" t="n"/>
      <c r="C866" s="578">
        <f>_xlfn.XLOOKUP(D866,'INSUMOS MAT '!B:B,'INSUMOS MAT '!C:C,"ERROR",0)</f>
        <v/>
      </c>
      <c r="D866" s="305" t="inlineStr">
        <is>
          <t>MAT08-0072</t>
        </is>
      </c>
      <c r="E866" s="618">
        <f>+_xlfn.XLOOKUP(D866,'BASE DATOS PRECIOS '!B:B,'BASE DATOS PRECIOS '!C:C)</f>
        <v/>
      </c>
      <c r="F866" s="301" t="n">
        <v>1</v>
      </c>
      <c r="G866" s="621">
        <f>+_xlfn.XLOOKUP(D866,'BASE DATOS PRECIOS '!B:B,'BASE DATOS PRECIOS '!D:D)</f>
        <v/>
      </c>
      <c r="H866" s="620">
        <f>+_xlfn.XLOOKUP(E866,'BASE DATOS PRECIOS '!C:C,'BASE DATOS PRECIOS '!F:F)</f>
        <v/>
      </c>
      <c r="I866" s="621" t="n"/>
      <c r="J866" s="621" t="n"/>
      <c r="K866" s="620">
        <f>+F866*H866</f>
        <v/>
      </c>
      <c r="L866" s="620">
        <f>+F866*I866</f>
        <v/>
      </c>
      <c r="M866" s="620">
        <f>+F866*J866</f>
        <v/>
      </c>
      <c r="N866" s="620">
        <f>SUM(K866:M866)</f>
        <v/>
      </c>
      <c r="O866" s="622">
        <f>SUM(K866:M866)/tc</f>
        <v/>
      </c>
    </row>
    <row r="867" outlineLevel="1" ht="15" customHeight="1">
      <c r="A867" s="278" t="inlineStr">
        <is>
          <t>MAT</t>
        </is>
      </c>
      <c r="B867" s="282" t="n"/>
      <c r="C867" s="578">
        <f>_xlfn.XLOOKUP(D867,'INSUMOS MAT '!B:B,'INSUMOS MAT '!C:C,"ERROR",0)</f>
        <v/>
      </c>
      <c r="D867" s="305" t="inlineStr">
        <is>
          <t>MAT08-0081</t>
        </is>
      </c>
      <c r="E867" s="618">
        <f>+_xlfn.XLOOKUP(D867,'BASE DATOS PRECIOS '!B:B,'BASE DATOS PRECIOS '!C:C)</f>
        <v/>
      </c>
      <c r="F867" s="301" t="n">
        <v>2</v>
      </c>
      <c r="G867" s="621">
        <f>+_xlfn.XLOOKUP(D867,'BASE DATOS PRECIOS '!B:B,'BASE DATOS PRECIOS '!D:D)</f>
        <v/>
      </c>
      <c r="H867" s="620">
        <f>+_xlfn.XLOOKUP(E867,'BASE DATOS PRECIOS '!C:C,'BASE DATOS PRECIOS '!F:F)</f>
        <v/>
      </c>
      <c r="I867" s="621" t="n"/>
      <c r="J867" s="621" t="n"/>
      <c r="K867" s="620">
        <f>+F867*H867</f>
        <v/>
      </c>
      <c r="L867" s="620">
        <f>+F867*I867</f>
        <v/>
      </c>
      <c r="M867" s="620">
        <f>+F867*J867</f>
        <v/>
      </c>
      <c r="N867" s="620">
        <f>SUM(K867:M867)</f>
        <v/>
      </c>
      <c r="O867" s="622">
        <f>SUM(K867:M867)/tc</f>
        <v/>
      </c>
    </row>
    <row r="868" outlineLevel="1" ht="15" customHeight="1">
      <c r="A868" s="278" t="inlineStr">
        <is>
          <t>MAT</t>
        </is>
      </c>
      <c r="B868" s="282" t="n"/>
      <c r="C868" s="578">
        <f>_xlfn.XLOOKUP(D868,'INSUMOS MAT '!B:B,'INSUMOS MAT '!C:C,"ERROR",0)</f>
        <v/>
      </c>
      <c r="D868" s="305" t="inlineStr">
        <is>
          <t>MAT08-0016</t>
        </is>
      </c>
      <c r="E868" s="618">
        <f>+_xlfn.XLOOKUP(D868,'BASE DATOS PRECIOS '!B:B,'BASE DATOS PRECIOS '!C:C)</f>
        <v/>
      </c>
      <c r="F868" s="301" t="n">
        <v>1</v>
      </c>
      <c r="G868" s="621">
        <f>+_xlfn.XLOOKUP(D868,'BASE DATOS PRECIOS '!B:B,'BASE DATOS PRECIOS '!D:D)</f>
        <v/>
      </c>
      <c r="H868" s="620">
        <f>+_xlfn.XLOOKUP(E868,'BASE DATOS PRECIOS '!C:C,'BASE DATOS PRECIOS '!F:F)</f>
        <v/>
      </c>
      <c r="I868" s="621" t="n"/>
      <c r="J868" s="621" t="n"/>
      <c r="K868" s="620">
        <f>+F868*H868</f>
        <v/>
      </c>
      <c r="L868" s="620">
        <f>+F868*I868</f>
        <v/>
      </c>
      <c r="M868" s="620">
        <f>+F868*J868</f>
        <v/>
      </c>
      <c r="N868" s="620">
        <f>SUM(K868:M868)</f>
        <v/>
      </c>
      <c r="O868" s="622">
        <f>SUM(K868:M868)/tc</f>
        <v/>
      </c>
    </row>
    <row r="869" outlineLevel="1" ht="15" customHeight="1">
      <c r="A869" s="278" t="inlineStr">
        <is>
          <t>MAT</t>
        </is>
      </c>
      <c r="B869" s="282" t="n"/>
      <c r="C869" s="578">
        <f>_xlfn.XLOOKUP(D869,'INSUMOS MAT '!B:B,'INSUMOS MAT '!C:C,"ERROR",0)</f>
        <v/>
      </c>
      <c r="D869" s="305" t="inlineStr">
        <is>
          <t>MAT08-0052</t>
        </is>
      </c>
      <c r="E869" s="618">
        <f>+_xlfn.XLOOKUP(D869,'BASE DATOS PRECIOS '!B:B,'BASE DATOS PRECIOS '!C:C)</f>
        <v/>
      </c>
      <c r="F869" s="301" t="n">
        <v>2</v>
      </c>
      <c r="G869" s="621">
        <f>+_xlfn.XLOOKUP(D869,'BASE DATOS PRECIOS '!B:B,'BASE DATOS PRECIOS '!D:D)</f>
        <v/>
      </c>
      <c r="H869" s="620">
        <f>+_xlfn.XLOOKUP(E869,'BASE DATOS PRECIOS '!C:C,'BASE DATOS PRECIOS '!F:F)</f>
        <v/>
      </c>
      <c r="I869" s="621" t="n"/>
      <c r="J869" s="621" t="n"/>
      <c r="K869" s="620">
        <f>+F869*H869</f>
        <v/>
      </c>
      <c r="L869" s="620">
        <f>+F869*I869</f>
        <v/>
      </c>
      <c r="M869" s="620">
        <f>+F869*J869</f>
        <v/>
      </c>
      <c r="N869" s="620">
        <f>SUM(K869:M869)</f>
        <v/>
      </c>
      <c r="O869" s="622">
        <f>SUM(K869:M869)/tc</f>
        <v/>
      </c>
    </row>
    <row r="870" outlineLevel="1" ht="15" customHeight="1">
      <c r="A870" s="278" t="inlineStr">
        <is>
          <t>MAT</t>
        </is>
      </c>
      <c r="B870" s="282" t="n"/>
      <c r="C870" s="579" t="n"/>
      <c r="D870" s="305" t="inlineStr">
        <is>
          <t>MAT08-0315</t>
        </is>
      </c>
      <c r="E870" s="618">
        <f>+_xlfn.XLOOKUP(D870,'BASE DATOS PRECIOS '!B:B,'BASE DATOS PRECIOS '!C:C)</f>
        <v/>
      </c>
      <c r="F870" s="301" t="n">
        <v>2</v>
      </c>
      <c r="G870" s="621">
        <f>+_xlfn.XLOOKUP(D870,'BASE DATOS PRECIOS '!B:B,'BASE DATOS PRECIOS '!D:D)</f>
        <v/>
      </c>
      <c r="H870" s="620">
        <f>+_xlfn.XLOOKUP(E870,'BASE DATOS PRECIOS '!C:C,'BASE DATOS PRECIOS '!F:F)</f>
        <v/>
      </c>
      <c r="I870" s="621" t="n"/>
      <c r="J870" s="621" t="n"/>
      <c r="K870" s="620">
        <f>+F870*H870</f>
        <v/>
      </c>
      <c r="L870" s="620">
        <f>+F870*I870</f>
        <v/>
      </c>
      <c r="M870" s="620">
        <f>+F870*J870</f>
        <v/>
      </c>
      <c r="N870" s="620">
        <f>SUM(K870:M870)</f>
        <v/>
      </c>
      <c r="O870" s="622">
        <f>SUM(K870:M870)/tc</f>
        <v/>
      </c>
    </row>
    <row r="871" outlineLevel="1" ht="15" customHeight="1">
      <c r="A871" s="278" t="inlineStr">
        <is>
          <t>MAT</t>
        </is>
      </c>
      <c r="B871" s="282" t="n"/>
      <c r="C871" s="579" t="n"/>
      <c r="D871" s="305" t="inlineStr">
        <is>
          <t>MAT0571</t>
        </is>
      </c>
      <c r="E871" s="618">
        <f>+_xlfn.XLOOKUP(D871,'BASE DATOS PRECIOS '!B:B,'BASE DATOS PRECIOS '!C:C)</f>
        <v/>
      </c>
      <c r="F871" s="301" t="n">
        <v>2</v>
      </c>
      <c r="G871" s="621">
        <f>+_xlfn.XLOOKUP(D871,'BASE DATOS PRECIOS '!B:B,'BASE DATOS PRECIOS '!D:D)</f>
        <v/>
      </c>
      <c r="H871" s="620">
        <f>+_xlfn.XLOOKUP(E871,'BASE DATOS PRECIOS '!C:C,'BASE DATOS PRECIOS '!F:F)</f>
        <v/>
      </c>
      <c r="I871" s="621" t="n"/>
      <c r="J871" s="621" t="n"/>
      <c r="K871" s="620">
        <f>+F871*H871</f>
        <v/>
      </c>
      <c r="L871" s="620">
        <f>+F871*I871</f>
        <v/>
      </c>
      <c r="M871" s="620">
        <f>+F871*J871</f>
        <v/>
      </c>
      <c r="N871" s="620">
        <f>SUM(K871:M871)</f>
        <v/>
      </c>
      <c r="O871" s="622">
        <f>SUM(K871:M871)/tc</f>
        <v/>
      </c>
    </row>
    <row r="872" outlineLevel="1" ht="15" customHeight="1">
      <c r="A872" s="278" t="inlineStr">
        <is>
          <t xml:space="preserve">MO </t>
        </is>
      </c>
      <c r="B872" s="282" t="inlineStr">
        <is>
          <t>14-05-01</t>
        </is>
      </c>
      <c r="C872" s="578" t="n"/>
      <c r="D872" s="386" t="inlineStr">
        <is>
          <t xml:space="preserve">OPERARIO </t>
        </is>
      </c>
      <c r="E872" s="632">
        <f>+_xlfn.XLOOKUP(D872,'BASE DATOS MANO DE OBRA'!A:A,'BASE DATOS MANO DE OBRA'!B:B)</f>
        <v/>
      </c>
      <c r="F872" s="388" t="n">
        <v>7</v>
      </c>
      <c r="G872" s="633">
        <f>+_xlfn.XLOOKUP(D872,'BASE DATOS MANO DE OBRA'!A:A,'BASE DATOS MANO DE OBRA'!C:C)</f>
        <v/>
      </c>
      <c r="H872" s="634" t="n">
        <v>0</v>
      </c>
      <c r="I872" s="634">
        <f>+_xlfn.XLOOKUP(D872,'BASE DATOS MANO DE OBRA'!A:A,'BASE DATOS MANO DE OBRA'!E:E)</f>
        <v/>
      </c>
      <c r="J872" s="634" t="n">
        <v>0</v>
      </c>
      <c r="K872" s="634">
        <f>+F872*H872</f>
        <v/>
      </c>
      <c r="L872" s="634">
        <f>+F872*I872</f>
        <v/>
      </c>
      <c r="M872" s="634">
        <f>+F872*J872</f>
        <v/>
      </c>
      <c r="N872" s="634">
        <f>SUM(K872:M872)</f>
        <v/>
      </c>
      <c r="O872" s="635">
        <f>SUM(K872:M872)/tc</f>
        <v/>
      </c>
    </row>
    <row r="873" outlineLevel="1" ht="15" customHeight="1">
      <c r="A873" s="278" t="inlineStr">
        <is>
          <t xml:space="preserve">MO </t>
        </is>
      </c>
      <c r="B873" s="282" t="inlineStr">
        <is>
          <t>14-05-01</t>
        </is>
      </c>
      <c r="C873" s="578" t="n"/>
      <c r="D873" s="386" t="inlineStr">
        <is>
          <t xml:space="preserve">AYUDANTE </t>
        </is>
      </c>
      <c r="E873" s="632">
        <f>+_xlfn.XLOOKUP(D873,'BASE DATOS MANO DE OBRA'!A:A,'BASE DATOS MANO DE OBRA'!B:B)</f>
        <v/>
      </c>
      <c r="F873" s="388" t="n">
        <v>7</v>
      </c>
      <c r="G873" s="633">
        <f>+_xlfn.XLOOKUP(D873,'BASE DATOS MANO DE OBRA'!A:A,'BASE DATOS MANO DE OBRA'!C:C)</f>
        <v/>
      </c>
      <c r="H873" s="634" t="n">
        <v>0</v>
      </c>
      <c r="I873" s="634">
        <f>+_xlfn.XLOOKUP(D873,'BASE DATOS MANO DE OBRA'!A:A,'BASE DATOS MANO DE OBRA'!E:E)</f>
        <v/>
      </c>
      <c r="J873" s="634" t="n">
        <v>0</v>
      </c>
      <c r="K873" s="634">
        <f>+F873*H873</f>
        <v/>
      </c>
      <c r="L873" s="634">
        <f>+F873*I873</f>
        <v/>
      </c>
      <c r="M873" s="634">
        <f>+F873*J873</f>
        <v/>
      </c>
      <c r="N873" s="634">
        <f>SUM(K873:M873)</f>
        <v/>
      </c>
      <c r="O873" s="635">
        <f>SUM(K873:M873)/tc</f>
        <v/>
      </c>
    </row>
    <row r="874" outlineLevel="1" ht="15" customHeight="1">
      <c r="A874" s="278" t="inlineStr">
        <is>
          <t xml:space="preserve">MO </t>
        </is>
      </c>
      <c r="B874" s="282" t="inlineStr">
        <is>
          <t>14-05-02</t>
        </is>
      </c>
      <c r="C874" s="578" t="n"/>
      <c r="D874" s="386" t="inlineStr">
        <is>
          <t xml:space="preserve">OPERARIO </t>
        </is>
      </c>
      <c r="E874" s="632">
        <f>+_xlfn.XLOOKUP(D874,'BASE DATOS MANO DE OBRA'!A:A,'BASE DATOS MANO DE OBRA'!B:B)</f>
        <v/>
      </c>
      <c r="F874" s="388" t="n">
        <v>5</v>
      </c>
      <c r="G874" s="633">
        <f>+_xlfn.XLOOKUP(D874,'BASE DATOS MANO DE OBRA'!A:A,'BASE DATOS MANO DE OBRA'!C:C)</f>
        <v/>
      </c>
      <c r="H874" s="634" t="n">
        <v>0</v>
      </c>
      <c r="I874" s="634">
        <f>+_xlfn.XLOOKUP(D874,'BASE DATOS MANO DE OBRA'!A:A,'BASE DATOS MANO DE OBRA'!E:E)</f>
        <v/>
      </c>
      <c r="J874" s="634" t="n">
        <v>0</v>
      </c>
      <c r="K874" s="634">
        <f>+F874*H874</f>
        <v/>
      </c>
      <c r="L874" s="634">
        <f>+F874*I874</f>
        <v/>
      </c>
      <c r="M874" s="634">
        <f>+F874*J874</f>
        <v/>
      </c>
      <c r="N874" s="634">
        <f>SUM(K874:M874)</f>
        <v/>
      </c>
      <c r="O874" s="635">
        <f>SUM(K874:M874)/tc</f>
        <v/>
      </c>
    </row>
    <row r="875" outlineLevel="1" ht="15" customHeight="1">
      <c r="A875" s="278" t="inlineStr">
        <is>
          <t xml:space="preserve">MO </t>
        </is>
      </c>
      <c r="B875" s="282" t="inlineStr">
        <is>
          <t>14-05-02</t>
        </is>
      </c>
      <c r="C875" s="578" t="n"/>
      <c r="D875" s="386" t="inlineStr">
        <is>
          <t xml:space="preserve">AYUDANTE </t>
        </is>
      </c>
      <c r="E875" s="632">
        <f>+_xlfn.XLOOKUP(D875,'BASE DATOS MANO DE OBRA'!A:A,'BASE DATOS MANO DE OBRA'!B:B)</f>
        <v/>
      </c>
      <c r="F875" s="388" t="n">
        <v>5</v>
      </c>
      <c r="G875" s="633">
        <f>+_xlfn.XLOOKUP(D875,'BASE DATOS MANO DE OBRA'!A:A,'BASE DATOS MANO DE OBRA'!C:C)</f>
        <v/>
      </c>
      <c r="H875" s="634" t="n">
        <v>0</v>
      </c>
      <c r="I875" s="634">
        <f>+_xlfn.XLOOKUP(D875,'BASE DATOS MANO DE OBRA'!A:A,'BASE DATOS MANO DE OBRA'!E:E)</f>
        <v/>
      </c>
      <c r="J875" s="634" t="n">
        <v>0</v>
      </c>
      <c r="K875" s="634">
        <f>+F875*H875</f>
        <v/>
      </c>
      <c r="L875" s="634">
        <f>+F875*I875</f>
        <v/>
      </c>
      <c r="M875" s="634">
        <f>+F875*J875</f>
        <v/>
      </c>
      <c r="N875" s="634">
        <f>SUM(K875:M875)</f>
        <v/>
      </c>
      <c r="O875" s="635">
        <f>SUM(K875:M875)/tc</f>
        <v/>
      </c>
    </row>
    <row r="876" outlineLevel="1" ht="15" customHeight="1">
      <c r="A876" s="278" t="inlineStr">
        <is>
          <t xml:space="preserve">MO </t>
        </is>
      </c>
      <c r="B876" s="282" t="inlineStr">
        <is>
          <t>14-05-03</t>
        </is>
      </c>
      <c r="C876" s="578" t="n"/>
      <c r="D876" s="386" t="inlineStr">
        <is>
          <t xml:space="preserve">OPERARIO </t>
        </is>
      </c>
      <c r="E876" s="632">
        <f>+_xlfn.XLOOKUP(D876,'BASE DATOS MANO DE OBRA'!A:A,'BASE DATOS MANO DE OBRA'!B:B)</f>
        <v/>
      </c>
      <c r="F876" s="388" t="n">
        <v>1</v>
      </c>
      <c r="G876" s="633">
        <f>+_xlfn.XLOOKUP(D876,'BASE DATOS MANO DE OBRA'!A:A,'BASE DATOS MANO DE OBRA'!C:C)</f>
        <v/>
      </c>
      <c r="H876" s="634" t="n">
        <v>0</v>
      </c>
      <c r="I876" s="634">
        <f>+_xlfn.XLOOKUP(D876,'BASE DATOS MANO DE OBRA'!A:A,'BASE DATOS MANO DE OBRA'!E:E)</f>
        <v/>
      </c>
      <c r="J876" s="634" t="n">
        <v>0</v>
      </c>
      <c r="K876" s="634">
        <f>+F876*H876</f>
        <v/>
      </c>
      <c r="L876" s="634">
        <f>+F876*I876</f>
        <v/>
      </c>
      <c r="M876" s="634">
        <f>+F876*J876</f>
        <v/>
      </c>
      <c r="N876" s="634">
        <f>SUM(K876:M876)</f>
        <v/>
      </c>
      <c r="O876" s="635">
        <f>SUM(K876:M876)/tc</f>
        <v/>
      </c>
    </row>
    <row r="877" outlineLevel="1" ht="15" customHeight="1">
      <c r="A877" s="278" t="inlineStr">
        <is>
          <t xml:space="preserve">MO </t>
        </is>
      </c>
      <c r="B877" s="282" t="inlineStr">
        <is>
          <t>14-05-03</t>
        </is>
      </c>
      <c r="C877" s="578" t="n"/>
      <c r="D877" s="386" t="inlineStr">
        <is>
          <t xml:space="preserve">AYUDANTE </t>
        </is>
      </c>
      <c r="E877" s="632">
        <f>+_xlfn.XLOOKUP(D877,'BASE DATOS MANO DE OBRA'!A:A,'BASE DATOS MANO DE OBRA'!B:B)</f>
        <v/>
      </c>
      <c r="F877" s="388" t="n">
        <v>1</v>
      </c>
      <c r="G877" s="633">
        <f>+_xlfn.XLOOKUP(D877,'BASE DATOS MANO DE OBRA'!A:A,'BASE DATOS MANO DE OBRA'!C:C)</f>
        <v/>
      </c>
      <c r="H877" s="634" t="n">
        <v>0</v>
      </c>
      <c r="I877" s="634">
        <f>+_xlfn.XLOOKUP(D877,'BASE DATOS MANO DE OBRA'!A:A,'BASE DATOS MANO DE OBRA'!E:E)</f>
        <v/>
      </c>
      <c r="J877" s="634" t="n">
        <v>0</v>
      </c>
      <c r="K877" s="634">
        <f>+F877*H877</f>
        <v/>
      </c>
      <c r="L877" s="634">
        <f>+F877*I877</f>
        <v/>
      </c>
      <c r="M877" s="634">
        <f>+F877*J877</f>
        <v/>
      </c>
      <c r="N877" s="634">
        <f>SUM(K877:M877)</f>
        <v/>
      </c>
      <c r="O877" s="635">
        <f>SUM(K877:M877)/tc</f>
        <v/>
      </c>
    </row>
    <row r="878" outlineLevel="1" ht="15" customHeight="1">
      <c r="A878" s="278" t="inlineStr">
        <is>
          <t xml:space="preserve">MO </t>
        </is>
      </c>
      <c r="B878" s="282" t="inlineStr">
        <is>
          <t>14-05-04</t>
        </is>
      </c>
      <c r="C878" s="578" t="n"/>
      <c r="D878" s="386" t="inlineStr">
        <is>
          <t xml:space="preserve">OPERARIO </t>
        </is>
      </c>
      <c r="E878" s="632">
        <f>+_xlfn.XLOOKUP(D878,'BASE DATOS MANO DE OBRA'!A:A,'BASE DATOS MANO DE OBRA'!B:B)</f>
        <v/>
      </c>
      <c r="F878" s="388" t="n">
        <v>0.5</v>
      </c>
      <c r="G878" s="633">
        <f>+_xlfn.XLOOKUP(D878,'BASE DATOS MANO DE OBRA'!A:A,'BASE DATOS MANO DE OBRA'!C:C)</f>
        <v/>
      </c>
      <c r="H878" s="634" t="n">
        <v>0</v>
      </c>
      <c r="I878" s="634">
        <f>+_xlfn.XLOOKUP(D878,'BASE DATOS MANO DE OBRA'!A:A,'BASE DATOS MANO DE OBRA'!E:E)</f>
        <v/>
      </c>
      <c r="J878" s="634" t="n">
        <v>0</v>
      </c>
      <c r="K878" s="634">
        <f>+F878*H878</f>
        <v/>
      </c>
      <c r="L878" s="634">
        <f>+F878*I878</f>
        <v/>
      </c>
      <c r="M878" s="634">
        <f>+F878*J878</f>
        <v/>
      </c>
      <c r="N878" s="634">
        <f>SUM(K878:M878)</f>
        <v/>
      </c>
      <c r="O878" s="635">
        <f>SUM(K878:M878)/tc</f>
        <v/>
      </c>
    </row>
    <row r="879" outlineLevel="1" ht="15" customHeight="1">
      <c r="A879" s="278" t="inlineStr">
        <is>
          <t xml:space="preserve">MO </t>
        </is>
      </c>
      <c r="B879" s="282" t="inlineStr">
        <is>
          <t>14-05-04</t>
        </is>
      </c>
      <c r="C879" s="578" t="n"/>
      <c r="D879" s="386" t="inlineStr">
        <is>
          <t xml:space="preserve">AYUDANTE </t>
        </is>
      </c>
      <c r="E879" s="632">
        <f>+_xlfn.XLOOKUP(D879,'BASE DATOS MANO DE OBRA'!A:A,'BASE DATOS MANO DE OBRA'!B:B)</f>
        <v/>
      </c>
      <c r="F879" s="388" t="n">
        <v>0.5</v>
      </c>
      <c r="G879" s="633">
        <f>+_xlfn.XLOOKUP(D879,'BASE DATOS MANO DE OBRA'!A:A,'BASE DATOS MANO DE OBRA'!C:C)</f>
        <v/>
      </c>
      <c r="H879" s="634" t="n">
        <v>0</v>
      </c>
      <c r="I879" s="634">
        <f>+_xlfn.XLOOKUP(D879,'BASE DATOS MANO DE OBRA'!A:A,'BASE DATOS MANO DE OBRA'!E:E)</f>
        <v/>
      </c>
      <c r="J879" s="634" t="n">
        <v>0</v>
      </c>
      <c r="K879" s="634">
        <f>+F879*H879</f>
        <v/>
      </c>
      <c r="L879" s="634">
        <f>+F879*I879</f>
        <v/>
      </c>
      <c r="M879" s="634">
        <f>+F879*J879</f>
        <v/>
      </c>
      <c r="N879" s="634">
        <f>SUM(K879:M879)</f>
        <v/>
      </c>
      <c r="O879" s="635">
        <f>SUM(K879:M879)/tc</f>
        <v/>
      </c>
    </row>
    <row r="880" outlineLevel="1" ht="15" customHeight="1">
      <c r="A880" s="278" t="inlineStr">
        <is>
          <t xml:space="preserve">MO </t>
        </is>
      </c>
      <c r="B880" s="282" t="inlineStr">
        <is>
          <t>14-05-05</t>
        </is>
      </c>
      <c r="C880" s="578" t="n"/>
      <c r="D880" s="386" t="inlineStr">
        <is>
          <t xml:space="preserve">OPERARIO </t>
        </is>
      </c>
      <c r="E880" s="632">
        <f>+_xlfn.XLOOKUP(D880,'BASE DATOS MANO DE OBRA'!A:A,'BASE DATOS MANO DE OBRA'!B:B)</f>
        <v/>
      </c>
      <c r="F880" s="388" t="n">
        <v>5</v>
      </c>
      <c r="G880" s="633">
        <f>+_xlfn.XLOOKUP(D880,'BASE DATOS MANO DE OBRA'!A:A,'BASE DATOS MANO DE OBRA'!C:C)</f>
        <v/>
      </c>
      <c r="H880" s="634" t="n">
        <v>0</v>
      </c>
      <c r="I880" s="634">
        <f>+_xlfn.XLOOKUP(D880,'BASE DATOS MANO DE OBRA'!A:A,'BASE DATOS MANO DE OBRA'!E:E)</f>
        <v/>
      </c>
      <c r="J880" s="634" t="n">
        <v>0</v>
      </c>
      <c r="K880" s="634">
        <f>+F880*H880</f>
        <v/>
      </c>
      <c r="L880" s="634">
        <f>+F880*I880</f>
        <v/>
      </c>
      <c r="M880" s="634">
        <f>+F880*J880</f>
        <v/>
      </c>
      <c r="N880" s="634">
        <f>SUM(K880:M880)</f>
        <v/>
      </c>
      <c r="O880" s="635">
        <f>SUM(K880:M880)/tc</f>
        <v/>
      </c>
    </row>
    <row r="881" outlineLevel="1" ht="15" customHeight="1">
      <c r="A881" s="278" t="inlineStr">
        <is>
          <t xml:space="preserve">MO </t>
        </is>
      </c>
      <c r="B881" s="282" t="inlineStr">
        <is>
          <t>14-05-05</t>
        </is>
      </c>
      <c r="C881" s="578" t="n"/>
      <c r="D881" s="386" t="inlineStr">
        <is>
          <t xml:space="preserve">AYUDANTE </t>
        </is>
      </c>
      <c r="E881" s="632">
        <f>+_xlfn.XLOOKUP(D881,'BASE DATOS MANO DE OBRA'!A:A,'BASE DATOS MANO DE OBRA'!B:B)</f>
        <v/>
      </c>
      <c r="F881" s="388" t="n">
        <v>5</v>
      </c>
      <c r="G881" s="633">
        <f>+_xlfn.XLOOKUP(D881,'BASE DATOS MANO DE OBRA'!A:A,'BASE DATOS MANO DE OBRA'!C:C)</f>
        <v/>
      </c>
      <c r="H881" s="634" t="n">
        <v>0</v>
      </c>
      <c r="I881" s="634">
        <f>+_xlfn.XLOOKUP(D881,'BASE DATOS MANO DE OBRA'!A:A,'BASE DATOS MANO DE OBRA'!E:E)</f>
        <v/>
      </c>
      <c r="J881" s="634" t="n">
        <v>0</v>
      </c>
      <c r="K881" s="634">
        <f>+F881*H881</f>
        <v/>
      </c>
      <c r="L881" s="634">
        <f>+F881*I881</f>
        <v/>
      </c>
      <c r="M881" s="634">
        <f>+F881*J881</f>
        <v/>
      </c>
      <c r="N881" s="634">
        <f>SUM(K881:M881)</f>
        <v/>
      </c>
      <c r="O881" s="635">
        <f>SUM(K881:M881)/tc</f>
        <v/>
      </c>
    </row>
    <row r="882" outlineLevel="1" ht="15" customHeight="1">
      <c r="A882" s="278" t="inlineStr">
        <is>
          <t xml:space="preserve">MO </t>
        </is>
      </c>
      <c r="B882" s="282" t="inlineStr">
        <is>
          <t>14-05-06</t>
        </is>
      </c>
      <c r="C882" s="578" t="n"/>
      <c r="D882" s="386" t="inlineStr">
        <is>
          <t xml:space="preserve">OPERARIO </t>
        </is>
      </c>
      <c r="E882" s="632">
        <f>+_xlfn.XLOOKUP(D882,'BASE DATOS MANO DE OBRA'!A:A,'BASE DATOS MANO DE OBRA'!B:B)</f>
        <v/>
      </c>
      <c r="F882" s="388" t="n">
        <v>1</v>
      </c>
      <c r="G882" s="633">
        <f>+_xlfn.XLOOKUP(D882,'BASE DATOS MANO DE OBRA'!A:A,'BASE DATOS MANO DE OBRA'!C:C)</f>
        <v/>
      </c>
      <c r="H882" s="634" t="n">
        <v>0</v>
      </c>
      <c r="I882" s="634">
        <f>+_xlfn.XLOOKUP(D882,'BASE DATOS MANO DE OBRA'!A:A,'BASE DATOS MANO DE OBRA'!E:E)</f>
        <v/>
      </c>
      <c r="J882" s="634" t="n">
        <v>0</v>
      </c>
      <c r="K882" s="634">
        <f>+F882*H882</f>
        <v/>
      </c>
      <c r="L882" s="634">
        <f>+F882*I882</f>
        <v/>
      </c>
      <c r="M882" s="634">
        <f>+F882*J882</f>
        <v/>
      </c>
      <c r="N882" s="634">
        <f>SUM(K882:M882)</f>
        <v/>
      </c>
      <c r="O882" s="635">
        <f>SUM(K882:M882)/tc</f>
        <v/>
      </c>
    </row>
    <row r="883" outlineLevel="1" ht="15" customHeight="1">
      <c r="A883" s="278" t="inlineStr">
        <is>
          <t xml:space="preserve">MO </t>
        </is>
      </c>
      <c r="B883" s="282" t="inlineStr">
        <is>
          <t>14-05-06</t>
        </is>
      </c>
      <c r="C883" s="578" t="n"/>
      <c r="D883" s="386" t="inlineStr">
        <is>
          <t xml:space="preserve">AYUDANTE </t>
        </is>
      </c>
      <c r="E883" s="632">
        <f>+_xlfn.XLOOKUP(D883,'BASE DATOS MANO DE OBRA'!A:A,'BASE DATOS MANO DE OBRA'!B:B)</f>
        <v/>
      </c>
      <c r="F883" s="388" t="n">
        <v>1</v>
      </c>
      <c r="G883" s="633">
        <f>+_xlfn.XLOOKUP(D883,'BASE DATOS MANO DE OBRA'!A:A,'BASE DATOS MANO DE OBRA'!C:C)</f>
        <v/>
      </c>
      <c r="H883" s="634" t="n">
        <v>0</v>
      </c>
      <c r="I883" s="634">
        <f>+_xlfn.XLOOKUP(D883,'BASE DATOS MANO DE OBRA'!A:A,'BASE DATOS MANO DE OBRA'!E:E)</f>
        <v/>
      </c>
      <c r="J883" s="634" t="n">
        <v>0</v>
      </c>
      <c r="K883" s="634">
        <f>+F883*H883</f>
        <v/>
      </c>
      <c r="L883" s="634">
        <f>+F883*I883</f>
        <v/>
      </c>
      <c r="M883" s="634">
        <f>+F883*J883</f>
        <v/>
      </c>
      <c r="N883" s="634">
        <f>SUM(K883:M883)</f>
        <v/>
      </c>
      <c r="O883" s="635">
        <f>SUM(K883:M883)/tc</f>
        <v/>
      </c>
    </row>
    <row r="884" outlineLevel="1" ht="15" customHeight="1">
      <c r="A884" s="278" t="inlineStr">
        <is>
          <t xml:space="preserve">MO </t>
        </is>
      </c>
      <c r="B884" s="282" t="inlineStr">
        <is>
          <t>14-05-07</t>
        </is>
      </c>
      <c r="C884" s="578" t="n"/>
      <c r="D884" s="386" t="inlineStr">
        <is>
          <t xml:space="preserve">OPERARIO </t>
        </is>
      </c>
      <c r="E884" s="632">
        <f>+_xlfn.XLOOKUP(D884,'BASE DATOS MANO DE OBRA'!A:A,'BASE DATOS MANO DE OBRA'!B:B)</f>
        <v/>
      </c>
      <c r="F884" s="388" t="n">
        <v>0</v>
      </c>
      <c r="G884" s="633">
        <f>+_xlfn.XLOOKUP(D884,'BASE DATOS MANO DE OBRA'!A:A,'BASE DATOS MANO DE OBRA'!C:C)</f>
        <v/>
      </c>
      <c r="H884" s="634" t="n">
        <v>0</v>
      </c>
      <c r="I884" s="634">
        <f>+_xlfn.XLOOKUP(D884,'BASE DATOS MANO DE OBRA'!A:A,'BASE DATOS MANO DE OBRA'!E:E)</f>
        <v/>
      </c>
      <c r="J884" s="634" t="n">
        <v>0</v>
      </c>
      <c r="K884" s="634">
        <f>+F884*H884</f>
        <v/>
      </c>
      <c r="L884" s="634">
        <f>+F884*I884</f>
        <v/>
      </c>
      <c r="M884" s="634">
        <f>+F884*J884</f>
        <v/>
      </c>
      <c r="N884" s="634">
        <f>SUM(K884:M884)</f>
        <v/>
      </c>
      <c r="O884" s="635">
        <f>SUM(K884:M884)/tc</f>
        <v/>
      </c>
    </row>
    <row r="885" outlineLevel="1" ht="15" customHeight="1">
      <c r="A885" s="278" t="inlineStr">
        <is>
          <t xml:space="preserve">MO </t>
        </is>
      </c>
      <c r="B885" s="282" t="inlineStr">
        <is>
          <t>14-05-07</t>
        </is>
      </c>
      <c r="C885" s="578" t="n"/>
      <c r="D885" s="386" t="inlineStr">
        <is>
          <t xml:space="preserve">AYUDANTE </t>
        </is>
      </c>
      <c r="E885" s="632">
        <f>+_xlfn.XLOOKUP(D885,'BASE DATOS MANO DE OBRA'!A:A,'BASE DATOS MANO DE OBRA'!B:B)</f>
        <v/>
      </c>
      <c r="F885" s="388" t="n">
        <v>0</v>
      </c>
      <c r="G885" s="633">
        <f>+_xlfn.XLOOKUP(D885,'BASE DATOS MANO DE OBRA'!A:A,'BASE DATOS MANO DE OBRA'!C:C)</f>
        <v/>
      </c>
      <c r="H885" s="634" t="n">
        <v>0</v>
      </c>
      <c r="I885" s="634">
        <f>+_xlfn.XLOOKUP(D885,'BASE DATOS MANO DE OBRA'!A:A,'BASE DATOS MANO DE OBRA'!E:E)</f>
        <v/>
      </c>
      <c r="J885" s="634" t="n">
        <v>0</v>
      </c>
      <c r="K885" s="634">
        <f>+F885*H885</f>
        <v/>
      </c>
      <c r="L885" s="634">
        <f>+F885*I885</f>
        <v/>
      </c>
      <c r="M885" s="634">
        <f>+F885*J885</f>
        <v/>
      </c>
      <c r="N885" s="634">
        <f>SUM(K885:M885)</f>
        <v/>
      </c>
      <c r="O885" s="635">
        <f>SUM(K885:M885)/tc</f>
        <v/>
      </c>
    </row>
    <row r="886">
      <c r="A886" s="278" t="n"/>
      <c r="B886" s="282" t="inlineStr">
        <is>
          <t>15</t>
        </is>
      </c>
      <c r="C886" s="578" t="n"/>
      <c r="D886" s="372" t="n">
        <v>15</v>
      </c>
      <c r="E886" s="373" t="inlineStr">
        <is>
          <t>ALQUILERES</t>
        </is>
      </c>
      <c r="F886" s="374" t="n"/>
      <c r="G886" s="375" t="n"/>
      <c r="H886" s="375" t="n"/>
      <c r="I886" s="375" t="n"/>
      <c r="J886" s="375" t="n"/>
      <c r="K886" s="612">
        <f>K887</f>
        <v/>
      </c>
      <c r="L886" s="612">
        <f>L887</f>
        <v/>
      </c>
      <c r="M886" s="612">
        <f>M887</f>
        <v/>
      </c>
      <c r="N886" s="612">
        <f>N887</f>
        <v/>
      </c>
      <c r="O886" s="613">
        <f>O887</f>
        <v/>
      </c>
      <c r="P886" s="639" t="n"/>
      <c r="Q886" s="639" t="n"/>
      <c r="R886" s="640" t="n"/>
    </row>
    <row r="887">
      <c r="A887" s="278" t="n"/>
      <c r="B887" s="282" t="inlineStr">
        <is>
          <t>15-01</t>
        </is>
      </c>
      <c r="C887" s="578" t="n"/>
      <c r="D887" s="307" t="inlineStr">
        <is>
          <t>15.1</t>
        </is>
      </c>
      <c r="E887" s="308" t="inlineStr">
        <is>
          <t xml:space="preserve">ALQUILERES </t>
        </is>
      </c>
      <c r="F887" s="309" t="n">
        <v>1</v>
      </c>
      <c r="G887" s="310" t="inlineStr">
        <is>
          <t>gb</t>
        </is>
      </c>
      <c r="H887" s="310" t="n"/>
      <c r="I887" s="310" t="n"/>
      <c r="J887" s="310" t="n"/>
      <c r="K887" s="636">
        <f>SUM(K888:K904)</f>
        <v/>
      </c>
      <c r="L887" s="636">
        <f>SUM(L888:L904)</f>
        <v/>
      </c>
      <c r="M887" s="636">
        <f>SUM(M888:M904)</f>
        <v/>
      </c>
      <c r="N887" s="636">
        <f>SUM(N888:N904)</f>
        <v/>
      </c>
      <c r="O887" s="636">
        <f>SUM(O888:O904)</f>
        <v/>
      </c>
      <c r="P887" s="639" t="n"/>
      <c r="Q887" s="639" t="n"/>
      <c r="R887" s="640" t="n"/>
    </row>
    <row r="888" outlineLevel="1">
      <c r="A888" s="278" t="inlineStr">
        <is>
          <t>MAT</t>
        </is>
      </c>
      <c r="B888" s="282" t="n"/>
      <c r="C888" s="578" t="n"/>
      <c r="D888" s="329" t="n"/>
      <c r="E888" s="618" t="n"/>
      <c r="F888" s="301" t="n"/>
      <c r="G888" s="621" t="n"/>
      <c r="H888" s="621" t="n"/>
      <c r="I888" s="621" t="n"/>
      <c r="J888" s="621" t="n"/>
      <c r="K888" s="620" t="n"/>
      <c r="L888" s="620" t="n"/>
      <c r="M888" s="620" t="n"/>
      <c r="N888" s="620" t="n"/>
      <c r="O888" s="671" t="n"/>
      <c r="P888" s="639" t="n"/>
      <c r="Q888" s="639" t="n"/>
      <c r="R888" s="640" t="n"/>
    </row>
    <row r="889" outlineLevel="1">
      <c r="A889" s="278" t="inlineStr">
        <is>
          <t>MAT</t>
        </is>
      </c>
      <c r="B889" s="282" t="n"/>
      <c r="C889" s="578" t="n"/>
      <c r="D889" s="329" t="n"/>
      <c r="E889" s="618" t="n"/>
      <c r="F889" s="301" t="n"/>
      <c r="G889" s="621" t="n"/>
      <c r="H889" s="621" t="n"/>
      <c r="I889" s="621" t="n"/>
      <c r="J889" s="621" t="n"/>
      <c r="K889" s="620" t="n"/>
      <c r="L889" s="620" t="n"/>
      <c r="M889" s="620" t="n"/>
      <c r="N889" s="620" t="n"/>
      <c r="O889" s="671" t="n"/>
      <c r="P889" s="639" t="n"/>
      <c r="Q889" s="639" t="n"/>
      <c r="R889" s="640" t="n"/>
    </row>
    <row r="890" outlineLevel="1">
      <c r="A890" s="278" t="inlineStr">
        <is>
          <t>MAT</t>
        </is>
      </c>
      <c r="B890" s="282" t="n"/>
      <c r="C890" s="578" t="n"/>
      <c r="D890" s="329" t="n"/>
      <c r="E890" s="618" t="n"/>
      <c r="F890" s="301" t="n"/>
      <c r="G890" s="621" t="n"/>
      <c r="H890" s="621" t="n"/>
      <c r="I890" s="621" t="n"/>
      <c r="J890" s="621" t="n"/>
      <c r="K890" s="620" t="n"/>
      <c r="L890" s="620" t="n"/>
      <c r="M890" s="620" t="n"/>
      <c r="N890" s="620" t="n"/>
      <c r="O890" s="671" t="n"/>
      <c r="P890" s="639" t="n"/>
      <c r="Q890" s="639" t="n"/>
      <c r="R890" s="640" t="n"/>
    </row>
    <row r="891" outlineLevel="1">
      <c r="A891" s="278" t="inlineStr">
        <is>
          <t>MAT</t>
        </is>
      </c>
      <c r="B891" s="282" t="n"/>
      <c r="C891" s="578" t="n"/>
      <c r="D891" s="329" t="n"/>
      <c r="E891" s="618" t="n"/>
      <c r="F891" s="301" t="n"/>
      <c r="G891" s="621" t="n"/>
      <c r="H891" s="621" t="n"/>
      <c r="I891" s="621" t="n"/>
      <c r="J891" s="621" t="n"/>
      <c r="K891" s="620" t="n"/>
      <c r="L891" s="620" t="n"/>
      <c r="M891" s="620" t="n"/>
      <c r="N891" s="620" t="n"/>
      <c r="O891" s="671" t="n"/>
      <c r="P891" s="639" t="n"/>
      <c r="Q891" s="639" t="n"/>
      <c r="R891" s="640" t="n"/>
    </row>
    <row r="892" outlineLevel="1">
      <c r="A892" s="278" t="inlineStr">
        <is>
          <t>MAT</t>
        </is>
      </c>
      <c r="B892" s="282" t="n"/>
      <c r="C892" s="578" t="n"/>
      <c r="D892" s="329" t="n"/>
      <c r="E892" s="618" t="n"/>
      <c r="F892" s="301" t="n"/>
      <c r="G892" s="621" t="n"/>
      <c r="H892" s="621" t="n"/>
      <c r="I892" s="621" t="n"/>
      <c r="J892" s="621" t="n"/>
      <c r="K892" s="620" t="n"/>
      <c r="L892" s="620" t="n"/>
      <c r="M892" s="620" t="n"/>
      <c r="N892" s="620" t="n"/>
      <c r="O892" s="671" t="n"/>
      <c r="P892" s="639" t="n"/>
      <c r="Q892" s="639" t="n"/>
      <c r="R892" s="640" t="n"/>
    </row>
    <row r="893" outlineLevel="1">
      <c r="A893" s="278" t="inlineStr">
        <is>
          <t>MAT</t>
        </is>
      </c>
      <c r="B893" s="282" t="n"/>
      <c r="C893" s="578" t="n"/>
      <c r="D893" s="329" t="n"/>
      <c r="E893" s="618" t="n"/>
      <c r="F893" s="301" t="n"/>
      <c r="G893" s="621" t="n"/>
      <c r="H893" s="621" t="n"/>
      <c r="I893" s="621" t="n"/>
      <c r="J893" s="621" t="n"/>
      <c r="K893" s="620" t="n"/>
      <c r="L893" s="620" t="n"/>
      <c r="M893" s="620" t="n"/>
      <c r="N893" s="620" t="n"/>
      <c r="O893" s="671" t="n"/>
      <c r="P893" s="639" t="n"/>
      <c r="Q893" s="639" t="n"/>
      <c r="R893" s="640" t="n"/>
    </row>
    <row r="894" outlineLevel="1">
      <c r="A894" s="278" t="inlineStr">
        <is>
          <t>MAT</t>
        </is>
      </c>
      <c r="B894" s="282" t="n"/>
      <c r="C894" s="578" t="n"/>
      <c r="D894" s="329" t="n"/>
      <c r="E894" s="618" t="n"/>
      <c r="F894" s="301" t="n"/>
      <c r="G894" s="621" t="n"/>
      <c r="H894" s="621" t="n"/>
      <c r="I894" s="621" t="n"/>
      <c r="J894" s="621" t="n"/>
      <c r="K894" s="620" t="n"/>
      <c r="L894" s="620" t="n"/>
      <c r="M894" s="620" t="n"/>
      <c r="N894" s="620" t="n"/>
      <c r="O894" s="671" t="n"/>
      <c r="P894" s="639" t="n"/>
      <c r="Q894" s="639" t="n"/>
      <c r="R894" s="640" t="n"/>
    </row>
    <row r="895" outlineLevel="1">
      <c r="A895" s="278" t="inlineStr">
        <is>
          <t>MAT</t>
        </is>
      </c>
      <c r="B895" s="282" t="n"/>
      <c r="C895" s="578" t="n"/>
      <c r="D895" s="329" t="n"/>
      <c r="E895" s="618" t="n"/>
      <c r="F895" s="301" t="n"/>
      <c r="G895" s="621" t="n"/>
      <c r="H895" s="621" t="n"/>
      <c r="I895" s="621" t="n"/>
      <c r="J895" s="621" t="n"/>
      <c r="K895" s="620" t="n"/>
      <c r="L895" s="620" t="n"/>
      <c r="M895" s="620" t="n"/>
      <c r="N895" s="620" t="n"/>
      <c r="O895" s="671" t="n"/>
      <c r="P895" s="639" t="n"/>
      <c r="Q895" s="639" t="n"/>
      <c r="R895" s="640" t="n"/>
    </row>
    <row r="896" outlineLevel="1">
      <c r="A896" s="278" t="inlineStr">
        <is>
          <t>MAT</t>
        </is>
      </c>
      <c r="B896" s="282" t="n"/>
      <c r="C896" s="578" t="n"/>
      <c r="D896" s="329" t="n"/>
      <c r="E896" s="618" t="n"/>
      <c r="F896" s="301" t="n"/>
      <c r="G896" s="621" t="n"/>
      <c r="H896" s="621" t="n"/>
      <c r="I896" s="621" t="n"/>
      <c r="J896" s="621" t="n"/>
      <c r="K896" s="620" t="n"/>
      <c r="L896" s="620" t="n"/>
      <c r="M896" s="620" t="n"/>
      <c r="N896" s="620" t="n"/>
      <c r="O896" s="671" t="n"/>
      <c r="P896" s="639" t="n"/>
      <c r="Q896" s="639" t="n"/>
      <c r="R896" s="640" t="n"/>
    </row>
    <row r="897" outlineLevel="1">
      <c r="A897" s="278" t="inlineStr">
        <is>
          <t>MAT</t>
        </is>
      </c>
      <c r="B897" s="282" t="n"/>
      <c r="C897" s="578" t="n"/>
      <c r="D897" s="329" t="n"/>
      <c r="E897" s="618" t="n"/>
      <c r="F897" s="301" t="n"/>
      <c r="G897" s="621" t="n"/>
      <c r="H897" s="621" t="n"/>
      <c r="I897" s="621" t="n"/>
      <c r="J897" s="621" t="n"/>
      <c r="K897" s="620" t="n"/>
      <c r="L897" s="620" t="n"/>
      <c r="M897" s="620" t="n"/>
      <c r="N897" s="620" t="n"/>
      <c r="O897" s="671" t="n"/>
      <c r="P897" s="639" t="n"/>
      <c r="Q897" s="639" t="n"/>
      <c r="R897" s="640" t="n"/>
    </row>
    <row r="898" outlineLevel="1">
      <c r="A898" s="278" t="inlineStr">
        <is>
          <t>MAT</t>
        </is>
      </c>
      <c r="B898" s="282" t="n"/>
      <c r="C898" s="578" t="n"/>
      <c r="D898" s="329" t="n"/>
      <c r="E898" s="618" t="n"/>
      <c r="F898" s="301" t="n"/>
      <c r="G898" s="621" t="n"/>
      <c r="H898" s="621" t="n"/>
      <c r="I898" s="621" t="n"/>
      <c r="J898" s="621" t="n"/>
      <c r="K898" s="620" t="n"/>
      <c r="L898" s="620" t="n"/>
      <c r="M898" s="620" t="n"/>
      <c r="N898" s="620" t="n"/>
      <c r="O898" s="671" t="n"/>
      <c r="P898" s="639" t="n"/>
      <c r="Q898" s="639" t="n"/>
      <c r="R898" s="640" t="n"/>
    </row>
    <row r="899" outlineLevel="1">
      <c r="A899" s="278" t="inlineStr">
        <is>
          <t>MAT</t>
        </is>
      </c>
      <c r="B899" s="282" t="n"/>
      <c r="C899" s="578" t="n"/>
      <c r="D899" s="329" t="n"/>
      <c r="E899" s="618" t="n"/>
      <c r="F899" s="301" t="n"/>
      <c r="G899" s="621" t="n"/>
      <c r="H899" s="621" t="n"/>
      <c r="I899" s="621" t="n"/>
      <c r="J899" s="621" t="n"/>
      <c r="K899" s="620" t="n"/>
      <c r="L899" s="620" t="n"/>
      <c r="M899" s="620" t="n"/>
      <c r="N899" s="620" t="n"/>
      <c r="O899" s="671" t="n"/>
      <c r="P899" s="639" t="n"/>
      <c r="Q899" s="639" t="n"/>
      <c r="R899" s="640" t="n"/>
    </row>
    <row r="900" outlineLevel="1">
      <c r="A900" s="278" t="inlineStr">
        <is>
          <t>MAT</t>
        </is>
      </c>
      <c r="B900" s="282" t="n"/>
      <c r="C900" s="578" t="n"/>
      <c r="D900" s="329" t="n"/>
      <c r="E900" s="618" t="n"/>
      <c r="F900" s="301" t="n"/>
      <c r="G900" s="621" t="n"/>
      <c r="H900" s="621" t="n"/>
      <c r="I900" s="621" t="n"/>
      <c r="J900" s="621" t="n"/>
      <c r="K900" s="620" t="n"/>
      <c r="L900" s="620" t="n"/>
      <c r="M900" s="620" t="n"/>
      <c r="N900" s="620" t="n"/>
      <c r="O900" s="671" t="n"/>
      <c r="P900" s="639" t="n"/>
      <c r="Q900" s="639" t="n"/>
      <c r="R900" s="640" t="n"/>
    </row>
    <row r="901" outlineLevel="1">
      <c r="A901" s="278" t="inlineStr">
        <is>
          <t xml:space="preserve">MO </t>
        </is>
      </c>
      <c r="B901" s="282" t="inlineStr">
        <is>
          <t>15-01-01</t>
        </is>
      </c>
      <c r="C901" s="578" t="n"/>
      <c r="D901" s="386" t="inlineStr">
        <is>
          <t xml:space="preserve">OPERARIO </t>
        </is>
      </c>
      <c r="E901" s="632">
        <f>+_xlfn.XLOOKUP(D901,'BASE DATOS MANO DE OBRA'!A:A,'BASE DATOS MANO DE OBRA'!B:B)</f>
        <v/>
      </c>
      <c r="F901" s="388" t="n">
        <v>0</v>
      </c>
      <c r="G901" s="633">
        <f>+_xlfn.XLOOKUP(D901,'BASE DATOS MANO DE OBRA'!A:A,'BASE DATOS MANO DE OBRA'!C:C)</f>
        <v/>
      </c>
      <c r="H901" s="634" t="n">
        <v>0</v>
      </c>
      <c r="I901" s="634">
        <f>+_xlfn.XLOOKUP(D901,'BASE DATOS MANO DE OBRA'!A:A,'BASE DATOS MANO DE OBRA'!E:E)</f>
        <v/>
      </c>
      <c r="J901" s="634" t="n">
        <v>0</v>
      </c>
      <c r="K901" s="634">
        <f>+F901*H901</f>
        <v/>
      </c>
      <c r="L901" s="634">
        <f>+F901*I901</f>
        <v/>
      </c>
      <c r="M901" s="634">
        <f>+F901*J901</f>
        <v/>
      </c>
      <c r="N901" s="634">
        <f>SUM(K901:M901)</f>
        <v/>
      </c>
      <c r="O901" s="635">
        <f>SUM(K901:M901)/tc</f>
        <v/>
      </c>
      <c r="P901" s="639" t="n"/>
      <c r="Q901" s="639" t="n"/>
      <c r="R901" s="640" t="n"/>
    </row>
    <row r="902" outlineLevel="1">
      <c r="A902" s="278" t="inlineStr">
        <is>
          <t xml:space="preserve">MO </t>
        </is>
      </c>
      <c r="B902" s="282" t="inlineStr">
        <is>
          <t>15-01-01</t>
        </is>
      </c>
      <c r="C902" s="578" t="n"/>
      <c r="D902" s="386" t="inlineStr">
        <is>
          <t xml:space="preserve">AYUDANTE </t>
        </is>
      </c>
      <c r="E902" s="632">
        <f>+_xlfn.XLOOKUP(D902,'BASE DATOS MANO DE OBRA'!A:A,'BASE DATOS MANO DE OBRA'!B:B)</f>
        <v/>
      </c>
      <c r="F902" s="388" t="n">
        <v>0</v>
      </c>
      <c r="G902" s="633">
        <f>+_xlfn.XLOOKUP(D902,'BASE DATOS MANO DE OBRA'!A:A,'BASE DATOS MANO DE OBRA'!C:C)</f>
        <v/>
      </c>
      <c r="H902" s="634" t="n">
        <v>0</v>
      </c>
      <c r="I902" s="634">
        <f>+_xlfn.XLOOKUP(D902,'BASE DATOS MANO DE OBRA'!A:A,'BASE DATOS MANO DE OBRA'!E:E)</f>
        <v/>
      </c>
      <c r="J902" s="634" t="n">
        <v>0</v>
      </c>
      <c r="K902" s="634">
        <f>+F902*H902</f>
        <v/>
      </c>
      <c r="L902" s="634">
        <f>+F902*I902</f>
        <v/>
      </c>
      <c r="M902" s="634">
        <f>+F902*J902</f>
        <v/>
      </c>
      <c r="N902" s="634">
        <f>SUM(K902:M902)</f>
        <v/>
      </c>
      <c r="O902" s="635">
        <f>SUM(K902:M902)/tc</f>
        <v/>
      </c>
      <c r="P902" s="639" t="n"/>
      <c r="Q902" s="639" t="n"/>
      <c r="R902" s="640" t="n"/>
    </row>
    <row r="903" outlineLevel="1">
      <c r="A903" s="278" t="inlineStr">
        <is>
          <t xml:space="preserve">MO </t>
        </is>
      </c>
      <c r="B903" s="282" t="inlineStr">
        <is>
          <t>15-02-01</t>
        </is>
      </c>
      <c r="C903" s="578" t="n"/>
      <c r="D903" s="386" t="inlineStr">
        <is>
          <t xml:space="preserve">OPERARIO </t>
        </is>
      </c>
      <c r="E903" s="632">
        <f>+_xlfn.XLOOKUP(D903,'BASE DATOS MANO DE OBRA'!A:A,'BASE DATOS MANO DE OBRA'!B:B)</f>
        <v/>
      </c>
      <c r="F903" s="388" t="n">
        <v>0</v>
      </c>
      <c r="G903" s="633">
        <f>+_xlfn.XLOOKUP(D903,'BASE DATOS MANO DE OBRA'!A:A,'BASE DATOS MANO DE OBRA'!C:C)</f>
        <v/>
      </c>
      <c r="H903" s="634" t="n">
        <v>0</v>
      </c>
      <c r="I903" s="634">
        <f>+_xlfn.XLOOKUP(D903,'BASE DATOS MANO DE OBRA'!A:A,'BASE DATOS MANO DE OBRA'!E:E)</f>
        <v/>
      </c>
      <c r="J903" s="634" t="n">
        <v>0</v>
      </c>
      <c r="K903" s="634">
        <f>+F903*H903</f>
        <v/>
      </c>
      <c r="L903" s="634">
        <f>+F903*I903</f>
        <v/>
      </c>
      <c r="M903" s="634">
        <f>+F903*J903</f>
        <v/>
      </c>
      <c r="N903" s="634">
        <f>SUM(K903:M903)</f>
        <v/>
      </c>
      <c r="O903" s="635">
        <f>SUM(K903:M903)/tc</f>
        <v/>
      </c>
      <c r="P903" s="639" t="n"/>
      <c r="Q903" s="639" t="n"/>
      <c r="R903" s="640" t="n"/>
    </row>
    <row r="904" outlineLevel="1">
      <c r="A904" s="278" t="inlineStr">
        <is>
          <t xml:space="preserve">MO </t>
        </is>
      </c>
      <c r="B904" s="282" t="inlineStr">
        <is>
          <t>15-02-01</t>
        </is>
      </c>
      <c r="C904" s="578" t="n"/>
      <c r="D904" s="386" t="inlineStr">
        <is>
          <t xml:space="preserve">AYUDANTE </t>
        </is>
      </c>
      <c r="E904" s="632">
        <f>+_xlfn.XLOOKUP(D904,'BASE DATOS MANO DE OBRA'!A:A,'BASE DATOS MANO DE OBRA'!B:B)</f>
        <v/>
      </c>
      <c r="F904" s="388" t="n">
        <v>0</v>
      </c>
      <c r="G904" s="633">
        <f>+_xlfn.XLOOKUP(D904,'BASE DATOS MANO DE OBRA'!A:A,'BASE DATOS MANO DE OBRA'!C:C)</f>
        <v/>
      </c>
      <c r="H904" s="634" t="n">
        <v>0</v>
      </c>
      <c r="I904" s="634">
        <f>+_xlfn.XLOOKUP(D904,'BASE DATOS MANO DE OBRA'!A:A,'BASE DATOS MANO DE OBRA'!E:E)</f>
        <v/>
      </c>
      <c r="J904" s="634" t="n">
        <v>0</v>
      </c>
      <c r="K904" s="634">
        <f>+F904*H904</f>
        <v/>
      </c>
      <c r="L904" s="634">
        <f>+F904*I904</f>
        <v/>
      </c>
      <c r="M904" s="634">
        <f>+F904*J904</f>
        <v/>
      </c>
      <c r="N904" s="634">
        <f>SUM(K904:M904)</f>
        <v/>
      </c>
      <c r="O904" s="635">
        <f>SUM(K904:M904)/tc</f>
        <v/>
      </c>
      <c r="P904" s="639" t="n"/>
      <c r="Q904" s="639" t="n"/>
      <c r="R904" s="640" t="n"/>
    </row>
    <row r="905">
      <c r="A905" s="278" t="n"/>
      <c r="B905" s="282" t="inlineStr">
        <is>
          <t>16</t>
        </is>
      </c>
      <c r="C905" s="578" t="n"/>
      <c r="D905" s="372" t="n">
        <v>16</v>
      </c>
      <c r="E905" s="373" t="inlineStr">
        <is>
          <t xml:space="preserve">MANO DE OBRA </t>
        </is>
      </c>
      <c r="F905" s="374" t="n"/>
      <c r="G905" s="375" t="n"/>
      <c r="H905" s="375" t="n"/>
      <c r="I905" s="375" t="n"/>
      <c r="J905" s="375" t="n"/>
      <c r="K905" s="612">
        <f>K906</f>
        <v/>
      </c>
      <c r="L905" s="612">
        <f>L906</f>
        <v/>
      </c>
      <c r="M905" s="612">
        <f>M906</f>
        <v/>
      </c>
      <c r="N905" s="612">
        <f>N906</f>
        <v/>
      </c>
      <c r="O905" s="613">
        <f>O906</f>
        <v/>
      </c>
      <c r="P905" s="639" t="n"/>
      <c r="Q905" s="639" t="n"/>
      <c r="R905" s="640" t="n"/>
    </row>
    <row r="906">
      <c r="A906" s="278" t="n"/>
      <c r="B906" s="282" t="inlineStr">
        <is>
          <t>16-01</t>
        </is>
      </c>
      <c r="C906" s="578" t="n"/>
      <c r="D906" s="307" t="inlineStr">
        <is>
          <t>16.1</t>
        </is>
      </c>
      <c r="E906" s="308" t="inlineStr">
        <is>
          <t xml:space="preserve">MANO DE OBRA </t>
        </is>
      </c>
      <c r="F906" s="309" t="n">
        <v>1</v>
      </c>
      <c r="G906" s="310" t="inlineStr">
        <is>
          <t>gb</t>
        </is>
      </c>
      <c r="H906" s="310" t="n"/>
      <c r="I906" s="310" t="n"/>
      <c r="J906" s="310" t="n"/>
      <c r="K906" s="636">
        <f>SUM(K907:K909)</f>
        <v/>
      </c>
      <c r="L906" s="636">
        <f>SUM(L907:L909)</f>
        <v/>
      </c>
      <c r="M906" s="636">
        <f>SUM(M907:M909)</f>
        <v/>
      </c>
      <c r="N906" s="636">
        <f>SUM(N907:N909)</f>
        <v/>
      </c>
      <c r="O906" s="615">
        <f>SUM(O907:O909)</f>
        <v/>
      </c>
      <c r="P906" s="639" t="n"/>
      <c r="Q906" s="639" t="n"/>
      <c r="R906" s="640" t="n"/>
    </row>
    <row r="907" outlineLevel="1">
      <c r="A907" s="278" t="inlineStr">
        <is>
          <t xml:space="preserve">MO </t>
        </is>
      </c>
      <c r="B907" s="282" t="inlineStr">
        <is>
          <t>16-01-01</t>
        </is>
      </c>
      <c r="C907" s="578" t="n"/>
      <c r="D907" s="386" t="inlineStr">
        <is>
          <t xml:space="preserve">OPERARIO </t>
        </is>
      </c>
      <c r="E907" s="632">
        <f>+_xlfn.XLOOKUP(D907,'BASE DATOS MANO DE OBRA'!A:A,'BASE DATOS MANO DE OBRA'!B:B)</f>
        <v/>
      </c>
      <c r="F907" s="388" t="n">
        <v>21</v>
      </c>
      <c r="G907" s="633">
        <f>+_xlfn.XLOOKUP(D907,'BASE DATOS MANO DE OBRA'!A:A,'BASE DATOS MANO DE OBRA'!C:C)</f>
        <v/>
      </c>
      <c r="H907" s="634" t="n">
        <v>0</v>
      </c>
      <c r="I907" s="634">
        <f>+_xlfn.XLOOKUP(D907,'BASE DATOS MANO DE OBRA'!A:A,'BASE DATOS MANO DE OBRA'!E:E)</f>
        <v/>
      </c>
      <c r="J907" s="634" t="n">
        <v>0</v>
      </c>
      <c r="K907" s="634">
        <f>+F907*H907</f>
        <v/>
      </c>
      <c r="L907" s="634">
        <f>+F907*I907</f>
        <v/>
      </c>
      <c r="M907" s="634">
        <f>+F907*J907</f>
        <v/>
      </c>
      <c r="N907" s="634">
        <f>SUM(K907:M907)</f>
        <v/>
      </c>
      <c r="O907" s="635">
        <f>SUM(K907:M907)/tc</f>
        <v/>
      </c>
      <c r="P907" s="639" t="n"/>
      <c r="Q907" s="639" t="n"/>
      <c r="R907" s="640" t="n"/>
    </row>
    <row r="908" outlineLevel="1">
      <c r="A908" s="278" t="inlineStr">
        <is>
          <t xml:space="preserve">MO </t>
        </is>
      </c>
      <c r="B908" s="282" t="inlineStr">
        <is>
          <t>16-01-01</t>
        </is>
      </c>
      <c r="C908" s="578" t="n"/>
      <c r="D908" s="386" t="inlineStr">
        <is>
          <t xml:space="preserve">AYUDANTE </t>
        </is>
      </c>
      <c r="E908" s="632">
        <f>+_xlfn.XLOOKUP(D908,'BASE DATOS MANO DE OBRA'!A:A,'BASE DATOS MANO DE OBRA'!B:B)</f>
        <v/>
      </c>
      <c r="F908" s="388" t="n">
        <v>21</v>
      </c>
      <c r="G908" s="633">
        <f>+_xlfn.XLOOKUP(D908,'BASE DATOS MANO DE OBRA'!A:A,'BASE DATOS MANO DE OBRA'!C:C)</f>
        <v/>
      </c>
      <c r="H908" s="634" t="n">
        <v>0</v>
      </c>
      <c r="I908" s="634">
        <f>+_xlfn.XLOOKUP(D908,'BASE DATOS MANO DE OBRA'!A:A,'BASE DATOS MANO DE OBRA'!E:E)</f>
        <v/>
      </c>
      <c r="J908" s="634" t="n">
        <v>0</v>
      </c>
      <c r="K908" s="634">
        <f>+F908*H908</f>
        <v/>
      </c>
      <c r="L908" s="634">
        <f>+F908*I908</f>
        <v/>
      </c>
      <c r="M908" s="634">
        <f>+F908*J908</f>
        <v/>
      </c>
      <c r="N908" s="634">
        <f>SUM(K908:M908)</f>
        <v/>
      </c>
      <c r="O908" s="635">
        <f>SUM(K908:M908)/tc</f>
        <v/>
      </c>
      <c r="P908" s="639" t="n"/>
      <c r="Q908" s="639" t="n"/>
      <c r="R908" s="640" t="n"/>
    </row>
    <row r="909" outlineLevel="1">
      <c r="A909" s="278" t="n"/>
      <c r="B909" s="279" t="n"/>
      <c r="C909" s="578" t="n"/>
      <c r="D909" s="329" t="n"/>
      <c r="E909" s="618" t="n"/>
      <c r="F909" s="301" t="n"/>
      <c r="G909" s="621" t="n"/>
      <c r="H909" s="621" t="n"/>
      <c r="I909" s="621" t="n"/>
      <c r="J909" s="621" t="n"/>
      <c r="K909" s="620" t="n"/>
      <c r="L909" s="620" t="n"/>
      <c r="M909" s="620" t="n"/>
      <c r="N909" s="620" t="n"/>
      <c r="O909" s="671" t="n"/>
      <c r="P909" s="639" t="n"/>
      <c r="Q909" s="639" t="n"/>
      <c r="R909" s="640" t="n"/>
    </row>
    <row r="910">
      <c r="K910" s="672">
        <f>SUM(K11:K909)/3</f>
        <v/>
      </c>
      <c r="L910" s="672">
        <f>SUM(L11:L909)/3</f>
        <v/>
      </c>
      <c r="M910" s="672">
        <f>SUM(M11:M909)/3</f>
        <v/>
      </c>
      <c r="N910" s="672">
        <f>SUM(N11:N909)/3</f>
        <v/>
      </c>
      <c r="O910" s="672">
        <f>SUM(O11:O909)/3</f>
        <v/>
      </c>
    </row>
    <row r="911" ht="25.35" customHeight="1">
      <c r="K911" s="672">
        <f>+K910/F923</f>
        <v/>
      </c>
      <c r="L911" s="672">
        <f>+L910/F923</f>
        <v/>
      </c>
      <c r="M911" s="672">
        <f>+M910/F923</f>
        <v/>
      </c>
      <c r="N911" s="673" t="n"/>
      <c r="O911" s="673" t="n"/>
      <c r="P911" s="616" t="n"/>
      <c r="Q911" s="616" t="n"/>
    </row>
    <row r="912" ht="25.35" customHeight="1">
      <c r="K912" s="332">
        <f>+K910/N910</f>
        <v/>
      </c>
      <c r="L912" s="332">
        <f>+L910/N910</f>
        <v/>
      </c>
      <c r="M912" s="332">
        <f>+M910/N910</f>
        <v/>
      </c>
      <c r="N912" s="333">
        <f>SUM(K912:M912)</f>
        <v/>
      </c>
      <c r="P912" s="334" t="n"/>
      <c r="Q912" s="334" t="n"/>
    </row>
    <row r="913" ht="25.35" customHeight="1">
      <c r="E913" s="122">
        <f>+E4</f>
        <v/>
      </c>
      <c r="L913" s="672" t="n"/>
      <c r="P913" s="334" t="n"/>
      <c r="Q913" s="334" t="n"/>
    </row>
    <row r="914" ht="25.35" customHeight="1">
      <c r="E914" s="122" t="inlineStr">
        <is>
          <t xml:space="preserve">Resumen de costos </t>
        </is>
      </c>
      <c r="P914" s="334" t="n"/>
      <c r="Q914" s="334" t="n"/>
    </row>
    <row r="915" ht="25.35" customHeight="1">
      <c r="E915" s="602" t="inlineStr">
        <is>
          <t>Actividad</t>
        </is>
      </c>
      <c r="F915" s="602" t="inlineStr">
        <is>
          <t>Monto</t>
        </is>
      </c>
      <c r="G915" s="602" t="inlineStr">
        <is>
          <t>COSTO POR M2</t>
        </is>
      </c>
      <c r="J915" s="672" t="n"/>
      <c r="P915" s="334" t="n"/>
      <c r="Q915" s="334" t="n"/>
    </row>
    <row r="916" ht="25.35" customHeight="1">
      <c r="E916" s="413" t="inlineStr">
        <is>
          <t xml:space="preserve">Materiales </t>
        </is>
      </c>
      <c r="F916" s="674">
        <f>+K910</f>
        <v/>
      </c>
      <c r="G916" s="675">
        <f>+F916/F923</f>
        <v/>
      </c>
    </row>
    <row r="917">
      <c r="E917" s="413" t="inlineStr">
        <is>
          <t xml:space="preserve">Mano de obra </t>
        </is>
      </c>
      <c r="F917" s="674">
        <f>+L910</f>
        <v/>
      </c>
      <c r="G917" s="675">
        <f>+F917/F923</f>
        <v/>
      </c>
    </row>
    <row r="918">
      <c r="E918" s="413" t="inlineStr">
        <is>
          <t>Subcontrato</t>
        </is>
      </c>
      <c r="F918" s="674">
        <f>+M910</f>
        <v/>
      </c>
      <c r="G918" s="675">
        <f>+F918/F923</f>
        <v/>
      </c>
      <c r="K918" s="672" t="n"/>
      <c r="L918" s="672" t="n"/>
      <c r="M918" s="672" t="n"/>
      <c r="N918" s="672" t="n"/>
    </row>
    <row r="919">
      <c r="E919" s="335" t="inlineStr">
        <is>
          <t>Subtotal</t>
        </is>
      </c>
      <c r="F919" s="676">
        <f>SUM(F916:F918)</f>
        <v/>
      </c>
      <c r="G919" s="677">
        <f>SUM(G916:G918)</f>
        <v/>
      </c>
      <c r="I919" s="672" t="n"/>
      <c r="J919" s="332" t="n"/>
      <c r="K919" s="338" t="n"/>
      <c r="L919" s="672" t="n"/>
    </row>
    <row r="921">
      <c r="E921" s="335" t="inlineStr">
        <is>
          <t>Total</t>
        </is>
      </c>
      <c r="F921" s="676">
        <f>SUM(F919:F919)</f>
        <v/>
      </c>
    </row>
    <row r="922">
      <c r="K922" s="672" t="n"/>
      <c r="L922" s="672" t="n"/>
      <c r="M922" s="672" t="n"/>
      <c r="N922" s="672" t="n"/>
    </row>
    <row r="923">
      <c r="E923" s="602" t="inlineStr">
        <is>
          <t>Area construccion</t>
        </is>
      </c>
      <c r="F923" s="602">
        <f>area</f>
        <v/>
      </c>
    </row>
    <row r="924">
      <c r="E924" s="305" t="inlineStr">
        <is>
          <t>Costo unitario $/m2</t>
        </is>
      </c>
      <c r="F924" s="678">
        <f>+F921/F923</f>
        <v/>
      </c>
    </row>
  </sheetData>
  <autoFilter ref="A9:O919"/>
  <mergeCells count="1">
    <mergeCell ref="D3:O3"/>
  </mergeCells>
  <pageMargins left="0.7" right="0.7" top="0.75" bottom="0.75" header="0.3" footer="0.3"/>
  <pageSetup orientation="portrait" scale="4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M24"/>
  <sheetViews>
    <sheetView topLeftCell="A18" workbookViewId="0">
      <selection activeCell="H23" sqref="H23"/>
    </sheetView>
  </sheetViews>
  <sheetFormatPr baseColWidth="8" defaultColWidth="11.43359375" defaultRowHeight="15"/>
  <cols>
    <col width="8.875" customWidth="1" min="1" max="1"/>
    <col width="34.4375" customWidth="1" min="2" max="2"/>
    <col width="16.54296875" bestFit="1" customWidth="1" style="124" min="5" max="5"/>
    <col width="21.65625" bestFit="1" customWidth="1" style="124" min="6" max="6"/>
    <col width="17.3515625" customWidth="1" style="124" min="7" max="7"/>
    <col width="14.66015625" customWidth="1" style="124" min="8" max="8"/>
    <col width="11.43359375" customWidth="1" style="124" min="9" max="9"/>
    <col width="13.44921875" bestFit="1" customWidth="1" min="11" max="11"/>
    <col width="14.66015625" customWidth="1" min="12" max="12"/>
  </cols>
  <sheetData>
    <row r="3" ht="27.75" customHeight="1">
      <c r="A3" s="364" t="inlineStr">
        <is>
          <t>N°</t>
        </is>
      </c>
      <c r="B3" s="364" t="inlineStr">
        <is>
          <t xml:space="preserve">DESCRIPCION </t>
        </is>
      </c>
      <c r="C3" s="364" t="inlineStr">
        <is>
          <t>CANTIDAD</t>
        </is>
      </c>
      <c r="D3" s="364" t="inlineStr">
        <is>
          <t>UNIDAD</t>
        </is>
      </c>
      <c r="E3" s="364" t="inlineStr">
        <is>
          <t xml:space="preserve">TOTAL MATERIAL </t>
        </is>
      </c>
      <c r="F3" s="364" t="inlineStr">
        <is>
          <t xml:space="preserve">TOTAL MANO DE OBRA </t>
        </is>
      </c>
      <c r="G3" s="365" t="inlineStr">
        <is>
          <t>TOTAL SUB/EQUIPOS</t>
        </is>
      </c>
      <c r="H3" s="365" t="inlineStr">
        <is>
          <t xml:space="preserve">TOTAL DIRECTO COLONES </t>
        </is>
      </c>
      <c r="I3" s="365" t="inlineStr">
        <is>
          <t xml:space="preserve">TOTAL DÓLARES </t>
        </is>
      </c>
      <c r="J3" s="365" t="inlineStr">
        <is>
          <t xml:space="preserve">% MATERIAL </t>
        </is>
      </c>
      <c r="K3" s="365" t="inlineStr">
        <is>
          <t xml:space="preserve">% MANO DE OBRA </t>
        </is>
      </c>
      <c r="L3" s="533" t="inlineStr">
        <is>
          <t>% SUB/EQUIPOS</t>
        </is>
      </c>
      <c r="M3" s="365" t="inlineStr">
        <is>
          <t xml:space="preserve">% TOTAL DIRECTO </t>
        </is>
      </c>
    </row>
    <row r="4">
      <c r="A4" s="372" t="n">
        <v>1</v>
      </c>
      <c r="B4" s="373" t="inlineStr">
        <is>
          <t xml:space="preserve">FUNDACIONES </t>
        </is>
      </c>
      <c r="C4" s="374" t="n">
        <v>1</v>
      </c>
      <c r="D4" s="375" t="inlineStr">
        <is>
          <t xml:space="preserve">Global </t>
        </is>
      </c>
      <c r="E4" s="612">
        <f>DESGLOSE!E4</f>
        <v/>
      </c>
      <c r="F4" s="612">
        <f>DESGLOSE!F4</f>
        <v/>
      </c>
      <c r="G4" s="612">
        <f>DESGLOSE!G4</f>
        <v/>
      </c>
      <c r="H4" s="612">
        <f>DESGLOSE!H4</f>
        <v/>
      </c>
      <c r="I4" s="613">
        <f>DESGLOSE!I4</f>
        <v/>
      </c>
      <c r="J4" s="130">
        <f>E4/$E$21</f>
        <v/>
      </c>
      <c r="K4" s="130">
        <f>F4/$F$21</f>
        <v/>
      </c>
      <c r="L4" s="130">
        <f>G4/$G$21</f>
        <v/>
      </c>
      <c r="M4" s="130">
        <f>H4/$H$21</f>
        <v/>
      </c>
    </row>
    <row r="5">
      <c r="A5" s="372" t="n">
        <v>2</v>
      </c>
      <c r="B5" s="373" t="inlineStr">
        <is>
          <t xml:space="preserve">SUPERESTRUCTURA PRIMER NIVEL </t>
        </is>
      </c>
      <c r="C5" s="374" t="n">
        <v>1</v>
      </c>
      <c r="D5" s="375" t="inlineStr">
        <is>
          <t xml:space="preserve">Global </t>
        </is>
      </c>
      <c r="E5" s="612">
        <f>DESGLOSE!E9</f>
        <v/>
      </c>
      <c r="F5" s="612">
        <f>DESGLOSE!F9</f>
        <v/>
      </c>
      <c r="G5" s="612">
        <f>DESGLOSE!G9</f>
        <v/>
      </c>
      <c r="H5" s="612">
        <f>DESGLOSE!H9</f>
        <v/>
      </c>
      <c r="I5" s="613">
        <f>DESGLOSE!I9</f>
        <v/>
      </c>
      <c r="J5" s="130">
        <f>E5/$E$21</f>
        <v/>
      </c>
      <c r="K5" s="130">
        <f>F5/$F$21</f>
        <v/>
      </c>
      <c r="L5" s="130">
        <f>G5/$G$21</f>
        <v/>
      </c>
      <c r="M5" s="130">
        <f>H5/$H$21</f>
        <v/>
      </c>
    </row>
    <row r="6">
      <c r="A6" s="372" t="n">
        <v>3</v>
      </c>
      <c r="B6" s="373" t="inlineStr">
        <is>
          <t xml:space="preserve">SUPERESTRUCTURA SEGUNDO NIVEL </t>
        </is>
      </c>
      <c r="C6" s="374" t="n">
        <v>1</v>
      </c>
      <c r="D6" s="375" t="inlineStr">
        <is>
          <t xml:space="preserve">Global </t>
        </is>
      </c>
      <c r="E6" s="612">
        <f>DESGLOSE!E13</f>
        <v/>
      </c>
      <c r="F6" s="612">
        <f>DESGLOSE!F13</f>
        <v/>
      </c>
      <c r="G6" s="612">
        <f>DESGLOSE!G13</f>
        <v/>
      </c>
      <c r="H6" s="612">
        <f>DESGLOSE!H13</f>
        <v/>
      </c>
      <c r="I6" s="613">
        <f>DESGLOSE!I13</f>
        <v/>
      </c>
      <c r="J6" s="130">
        <f>E6/$E$21</f>
        <v/>
      </c>
      <c r="K6" s="130">
        <f>F6/$F$21</f>
        <v/>
      </c>
      <c r="L6" s="130">
        <f>G6/$G$21</f>
        <v/>
      </c>
      <c r="M6" s="130">
        <f>H6/$H$21</f>
        <v/>
      </c>
    </row>
    <row r="7">
      <c r="A7" s="372" t="n">
        <v>4</v>
      </c>
      <c r="B7" s="373" t="inlineStr">
        <is>
          <t xml:space="preserve">OTROS GRIS </t>
        </is>
      </c>
      <c r="C7" s="374" t="n">
        <v>1</v>
      </c>
      <c r="D7" s="375" t="inlineStr">
        <is>
          <t xml:space="preserve">Global </t>
        </is>
      </c>
      <c r="E7" s="612">
        <f>DESGLOSE!E16</f>
        <v/>
      </c>
      <c r="F7" s="612">
        <f>DESGLOSE!F16</f>
        <v/>
      </c>
      <c r="G7" s="612">
        <f>DESGLOSE!G16</f>
        <v/>
      </c>
      <c r="H7" s="612">
        <f>DESGLOSE!H16</f>
        <v/>
      </c>
      <c r="I7" s="613">
        <f>DESGLOSE!I16</f>
        <v/>
      </c>
      <c r="J7" s="130">
        <f>E7/$E$21</f>
        <v/>
      </c>
      <c r="K7" s="130">
        <f>F7/$F$21</f>
        <v/>
      </c>
      <c r="L7" s="130">
        <f>G7/$G$21</f>
        <v/>
      </c>
      <c r="M7" s="130">
        <f>H7/$H$21</f>
        <v/>
      </c>
    </row>
    <row r="8">
      <c r="A8" s="372" t="n">
        <v>5</v>
      </c>
      <c r="B8" s="373" t="inlineStr">
        <is>
          <t xml:space="preserve">ESTRUCTURA METÁLICA Y CUBIERTAS </t>
        </is>
      </c>
      <c r="C8" s="374" t="n">
        <v>1</v>
      </c>
      <c r="D8" s="375" t="inlineStr">
        <is>
          <t xml:space="preserve">Global </t>
        </is>
      </c>
      <c r="E8" s="612">
        <f>DESGLOSE!E20</f>
        <v/>
      </c>
      <c r="F8" s="612">
        <f>DESGLOSE!F20</f>
        <v/>
      </c>
      <c r="G8" s="612">
        <f>DESGLOSE!G20</f>
        <v/>
      </c>
      <c r="H8" s="612">
        <f>DESGLOSE!H20</f>
        <v/>
      </c>
      <c r="I8" s="613">
        <f>DESGLOSE!I20</f>
        <v/>
      </c>
      <c r="J8" s="130">
        <f>E8/$E$21</f>
        <v/>
      </c>
      <c r="K8" s="130">
        <f>F8/$F$21</f>
        <v/>
      </c>
      <c r="L8" s="130">
        <f>G8/$G$21</f>
        <v/>
      </c>
      <c r="M8" s="130">
        <f>H8/$H$21</f>
        <v/>
      </c>
    </row>
    <row r="9">
      <c r="A9" s="372" t="n">
        <v>6</v>
      </c>
      <c r="B9" s="373" t="inlineStr">
        <is>
          <t xml:space="preserve">LIVIANO </t>
        </is>
      </c>
      <c r="C9" s="374" t="n">
        <v>1</v>
      </c>
      <c r="D9" s="375" t="inlineStr">
        <is>
          <t xml:space="preserve">Global </t>
        </is>
      </c>
      <c r="E9" s="612">
        <f>DESGLOSE!E29</f>
        <v/>
      </c>
      <c r="F9" s="612">
        <f>DESGLOSE!F29</f>
        <v/>
      </c>
      <c r="G9" s="612">
        <f>DESGLOSE!G29</f>
        <v/>
      </c>
      <c r="H9" s="612">
        <f>DESGLOSE!H29</f>
        <v/>
      </c>
      <c r="I9" s="613">
        <f>DESGLOSE!I29</f>
        <v/>
      </c>
      <c r="J9" s="130">
        <f>E9/$E$21</f>
        <v/>
      </c>
      <c r="K9" s="130">
        <f>F9/$F$21</f>
        <v/>
      </c>
      <c r="L9" s="130">
        <f>G9/$G$21</f>
        <v/>
      </c>
      <c r="M9" s="130">
        <f>H9/$H$21</f>
        <v/>
      </c>
    </row>
    <row r="10">
      <c r="A10" s="372" t="n">
        <v>7</v>
      </c>
      <c r="B10" s="373" t="inlineStr">
        <is>
          <t xml:space="preserve">REPELLOS </t>
        </is>
      </c>
      <c r="C10" s="374" t="n">
        <v>1</v>
      </c>
      <c r="D10" s="375" t="inlineStr">
        <is>
          <t xml:space="preserve">Global </t>
        </is>
      </c>
      <c r="E10" s="612">
        <f>DESGLOSE!E32</f>
        <v/>
      </c>
      <c r="F10" s="612">
        <f>DESGLOSE!F32</f>
        <v/>
      </c>
      <c r="G10" s="612">
        <f>DESGLOSE!G32</f>
        <v/>
      </c>
      <c r="H10" s="612">
        <f>DESGLOSE!H32</f>
        <v/>
      </c>
      <c r="I10" s="613">
        <f>DESGLOSE!I32</f>
        <v/>
      </c>
      <c r="J10" s="130">
        <f>E10/$E$21</f>
        <v/>
      </c>
      <c r="K10" s="130">
        <f>F10/$F$21</f>
        <v/>
      </c>
      <c r="L10" s="130">
        <f>G10/$G$21</f>
        <v/>
      </c>
      <c r="M10" s="130">
        <f>H10/$H$21</f>
        <v/>
      </c>
    </row>
    <row r="11">
      <c r="A11" s="372" t="n">
        <v>8</v>
      </c>
      <c r="B11" s="373" t="inlineStr">
        <is>
          <t xml:space="preserve">ENCHAPES </t>
        </is>
      </c>
      <c r="C11" s="374" t="n">
        <v>1</v>
      </c>
      <c r="D11" s="375" t="inlineStr">
        <is>
          <t xml:space="preserve">Global </t>
        </is>
      </c>
      <c r="E11" s="612">
        <f>DESGLOSE!E35</f>
        <v/>
      </c>
      <c r="F11" s="612">
        <f>DESGLOSE!F35</f>
        <v/>
      </c>
      <c r="G11" s="612">
        <f>DESGLOSE!G35</f>
        <v/>
      </c>
      <c r="H11" s="612">
        <f>DESGLOSE!H35</f>
        <v/>
      </c>
      <c r="I11" s="613">
        <f>DESGLOSE!I35</f>
        <v/>
      </c>
      <c r="J11" s="130">
        <f>E11/$E$21</f>
        <v/>
      </c>
      <c r="K11" s="130">
        <f>F11/$F$21</f>
        <v/>
      </c>
      <c r="L11" s="130">
        <f>G11/$G$21</f>
        <v/>
      </c>
      <c r="M11" s="130">
        <f>H11/$H$21</f>
        <v/>
      </c>
    </row>
    <row r="12">
      <c r="A12" s="372" t="n">
        <v>9</v>
      </c>
      <c r="B12" s="373" t="inlineStr">
        <is>
          <t xml:space="preserve">MUEBLES Y PUERTAS </t>
        </is>
      </c>
      <c r="C12" s="374" t="n">
        <v>1</v>
      </c>
      <c r="D12" s="375" t="inlineStr">
        <is>
          <t xml:space="preserve">Global </t>
        </is>
      </c>
      <c r="E12" s="612">
        <f>DESGLOSE!E37</f>
        <v/>
      </c>
      <c r="F12" s="612">
        <f>DESGLOSE!F37</f>
        <v/>
      </c>
      <c r="G12" s="612">
        <f>DESGLOSE!G37</f>
        <v/>
      </c>
      <c r="H12" s="612">
        <f>DESGLOSE!H37</f>
        <v/>
      </c>
      <c r="I12" s="613">
        <f>DESGLOSE!I37</f>
        <v/>
      </c>
      <c r="J12" s="130">
        <f>E12/$E$21</f>
        <v/>
      </c>
      <c r="K12" s="130">
        <f>F12/$F$21</f>
        <v/>
      </c>
      <c r="L12" s="130">
        <f>G12/$G$21</f>
        <v/>
      </c>
      <c r="M12" s="130">
        <f>H12/$H$21</f>
        <v/>
      </c>
    </row>
    <row r="13">
      <c r="A13" s="372" t="n">
        <v>10</v>
      </c>
      <c r="B13" s="373" t="inlineStr">
        <is>
          <t xml:space="preserve">OBRAS ADICIONALES </t>
        </is>
      </c>
      <c r="C13" s="374" t="n">
        <v>1</v>
      </c>
      <c r="D13" s="375" t="inlineStr">
        <is>
          <t xml:space="preserve">Global </t>
        </is>
      </c>
      <c r="E13" s="612">
        <f>DESGLOSE!E40</f>
        <v/>
      </c>
      <c r="F13" s="612">
        <f>DESGLOSE!F40</f>
        <v/>
      </c>
      <c r="G13" s="612">
        <f>DESGLOSE!G40</f>
        <v/>
      </c>
      <c r="H13" s="612">
        <f>DESGLOSE!H40</f>
        <v/>
      </c>
      <c r="I13" s="613">
        <f>DESGLOSE!I40</f>
        <v/>
      </c>
      <c r="J13" s="130">
        <f>E13/$E$21</f>
        <v/>
      </c>
      <c r="K13" s="130">
        <f>F13/$F$21</f>
        <v/>
      </c>
      <c r="L13" s="130">
        <f>G13/$G$21</f>
        <v/>
      </c>
      <c r="M13" s="130">
        <f>H13/$H$21</f>
        <v/>
      </c>
    </row>
    <row r="14">
      <c r="A14" s="372" t="n">
        <v>11</v>
      </c>
      <c r="B14" s="373" t="inlineStr">
        <is>
          <t xml:space="preserve">ACABADOS </t>
        </is>
      </c>
      <c r="C14" s="374" t="n">
        <v>1</v>
      </c>
      <c r="D14" s="375" t="inlineStr">
        <is>
          <t xml:space="preserve">Global </t>
        </is>
      </c>
      <c r="E14" s="612">
        <f>DESGLOSE!E44</f>
        <v/>
      </c>
      <c r="F14" s="612">
        <f>DESGLOSE!F44</f>
        <v/>
      </c>
      <c r="G14" s="612">
        <f>DESGLOSE!G44</f>
        <v/>
      </c>
      <c r="H14" s="612">
        <f>DESGLOSE!H44</f>
        <v/>
      </c>
      <c r="I14" s="613">
        <f>DESGLOSE!I44</f>
        <v/>
      </c>
      <c r="J14" s="130">
        <f>E14/$E$21</f>
        <v/>
      </c>
      <c r="K14" s="130">
        <f>F14/$F$21</f>
        <v/>
      </c>
      <c r="L14" s="130">
        <f>G14/$G$21</f>
        <v/>
      </c>
      <c r="M14" s="130">
        <f>H14/$H$21</f>
        <v/>
      </c>
    </row>
    <row r="15">
      <c r="A15" s="372" t="n">
        <v>12</v>
      </c>
      <c r="B15" s="373" t="inlineStr">
        <is>
          <t xml:space="preserve">VENTANERIA </t>
        </is>
      </c>
      <c r="C15" s="374" t="n">
        <v>1</v>
      </c>
      <c r="D15" s="375" t="inlineStr">
        <is>
          <t xml:space="preserve">Global </t>
        </is>
      </c>
      <c r="E15" s="612">
        <f>DESGLOSE!E49</f>
        <v/>
      </c>
      <c r="F15" s="612">
        <f>DESGLOSE!F49</f>
        <v/>
      </c>
      <c r="G15" s="612">
        <f>DESGLOSE!G49</f>
        <v/>
      </c>
      <c r="H15" s="612">
        <f>DESGLOSE!H49</f>
        <v/>
      </c>
      <c r="I15" s="613">
        <f>DESGLOSE!I49</f>
        <v/>
      </c>
      <c r="J15" s="130">
        <f>E15/$E$21</f>
        <v/>
      </c>
      <c r="K15" s="130">
        <f>F15/$F$21</f>
        <v/>
      </c>
      <c r="L15" s="130">
        <f>G15/$G$21</f>
        <v/>
      </c>
      <c r="M15" s="130">
        <f>H15/$H$21</f>
        <v/>
      </c>
    </row>
    <row r="16">
      <c r="A16" s="372" t="n">
        <v>13</v>
      </c>
      <c r="B16" s="373" t="inlineStr">
        <is>
          <t xml:space="preserve">ELÉCTRICO </t>
        </is>
      </c>
      <c r="C16" s="374" t="n">
        <v>1</v>
      </c>
      <c r="D16" s="375" t="inlineStr">
        <is>
          <t xml:space="preserve">Global </t>
        </is>
      </c>
      <c r="E16" s="612">
        <f>DESGLOSE!E51</f>
        <v/>
      </c>
      <c r="F16" s="612">
        <f>DESGLOSE!F51</f>
        <v/>
      </c>
      <c r="G16" s="612">
        <f>DESGLOSE!G51</f>
        <v/>
      </c>
      <c r="H16" s="612">
        <f>DESGLOSE!H51</f>
        <v/>
      </c>
      <c r="I16" s="613">
        <f>DESGLOSE!I51</f>
        <v/>
      </c>
      <c r="J16" s="130">
        <f>E16/$E$21</f>
        <v/>
      </c>
      <c r="K16" s="130">
        <f>F16/$F$21</f>
        <v/>
      </c>
      <c r="L16" s="130">
        <f>G16/$G$21</f>
        <v/>
      </c>
      <c r="M16" s="130">
        <f>H16/$H$21</f>
        <v/>
      </c>
    </row>
    <row r="17">
      <c r="A17" s="372" t="n">
        <v>14</v>
      </c>
      <c r="B17" s="373" t="inlineStr">
        <is>
          <t xml:space="preserve">MECÁNICO </t>
        </is>
      </c>
      <c r="C17" s="374" t="n">
        <v>1</v>
      </c>
      <c r="D17" s="375" t="inlineStr">
        <is>
          <t xml:space="preserve">Global </t>
        </is>
      </c>
      <c r="E17" s="612">
        <f>DESGLOSE!E61</f>
        <v/>
      </c>
      <c r="F17" s="612">
        <f>DESGLOSE!F61</f>
        <v/>
      </c>
      <c r="G17" s="612">
        <f>DESGLOSE!G61</f>
        <v/>
      </c>
      <c r="H17" s="612">
        <f>DESGLOSE!H61</f>
        <v/>
      </c>
      <c r="I17" s="613">
        <f>DESGLOSE!I61</f>
        <v/>
      </c>
      <c r="J17" s="130">
        <f>E17/$E$21</f>
        <v/>
      </c>
      <c r="K17" s="130">
        <f>F17/$F$21</f>
        <v/>
      </c>
      <c r="L17" s="130">
        <f>G17/$G$21</f>
        <v/>
      </c>
      <c r="M17" s="130">
        <f>H17/$H$21</f>
        <v/>
      </c>
    </row>
    <row r="18">
      <c r="A18" s="372" t="n">
        <v>15</v>
      </c>
      <c r="B18" s="373" t="inlineStr">
        <is>
          <t xml:space="preserve">ALQUILERES </t>
        </is>
      </c>
      <c r="C18" s="374" t="n">
        <v>1</v>
      </c>
      <c r="D18" s="375" t="inlineStr">
        <is>
          <t xml:space="preserve">Global </t>
        </is>
      </c>
      <c r="E18" s="612">
        <f>DESGLOSE!E65</f>
        <v/>
      </c>
      <c r="F18" s="612">
        <f>DESGLOSE!F65</f>
        <v/>
      </c>
      <c r="G18" s="612">
        <f>DESGLOSE!G65</f>
        <v/>
      </c>
      <c r="H18" s="612">
        <f>DESGLOSE!H65</f>
        <v/>
      </c>
      <c r="I18" s="613">
        <f>DESGLOSE!I65</f>
        <v/>
      </c>
      <c r="J18" s="130">
        <f>E18/$E$21</f>
        <v/>
      </c>
      <c r="K18" s="130">
        <f>F18/$F$21</f>
        <v/>
      </c>
      <c r="L18" s="130">
        <f>G18/$G$21</f>
        <v/>
      </c>
      <c r="M18" s="130">
        <f>H18/$H$21</f>
        <v/>
      </c>
    </row>
    <row r="19">
      <c r="A19" s="372" t="n">
        <v>16</v>
      </c>
      <c r="B19" s="373" t="inlineStr">
        <is>
          <t xml:space="preserve">MANO DE OBRA </t>
        </is>
      </c>
      <c r="C19" s="374" t="n">
        <v>1</v>
      </c>
      <c r="D19" s="375" t="inlineStr">
        <is>
          <t xml:space="preserve">Global </t>
        </is>
      </c>
      <c r="E19" s="612">
        <f>DESGLOSE!E67</f>
        <v/>
      </c>
      <c r="F19" s="612">
        <f>DESGLOSE!F67</f>
        <v/>
      </c>
      <c r="G19" s="612">
        <f>DESGLOSE!G67</f>
        <v/>
      </c>
      <c r="H19" s="612">
        <f>DESGLOSE!H67</f>
        <v/>
      </c>
      <c r="I19" s="613">
        <f>DESGLOSE!I67</f>
        <v/>
      </c>
      <c r="J19" s="130">
        <f>E19/$E$21</f>
        <v/>
      </c>
      <c r="K19" s="130">
        <f>F19/$F$21</f>
        <v/>
      </c>
      <c r="L19" s="130">
        <f>G19/$G$21</f>
        <v/>
      </c>
      <c r="M19" s="130">
        <f>H19/$H$21</f>
        <v/>
      </c>
    </row>
    <row r="20">
      <c r="A20" s="71" t="n"/>
      <c r="C20" s="71" t="n"/>
      <c r="D20" s="199" t="n"/>
      <c r="E20" s="679" t="n"/>
      <c r="F20" s="679" t="n"/>
      <c r="G20" s="679" t="n"/>
      <c r="H20" s="679" t="n"/>
      <c r="I20" s="679" t="n"/>
      <c r="J20" s="130" t="n"/>
      <c r="K20" s="130" t="n"/>
      <c r="L20" s="130">
        <f>G20/$G$21</f>
        <v/>
      </c>
      <c r="M20" s="130">
        <f>H20/$H$21</f>
        <v/>
      </c>
    </row>
    <row r="21">
      <c r="D21" s="484" t="inlineStr">
        <is>
          <t xml:space="preserve">TOTAL </t>
        </is>
      </c>
      <c r="E21" s="680">
        <f>SUM(E4:E20)</f>
        <v/>
      </c>
      <c r="F21" s="680">
        <f>SUM(F4:F20)</f>
        <v/>
      </c>
      <c r="G21" s="680">
        <f>SUM(G4:G20)</f>
        <v/>
      </c>
      <c r="H21" s="680">
        <f>SUM(H4:H20)</f>
        <v/>
      </c>
      <c r="I21" s="669">
        <f>SUM(I4:I20)</f>
        <v/>
      </c>
      <c r="J21" s="130">
        <f>SUM(J4:J20)</f>
        <v/>
      </c>
      <c r="K21" s="130">
        <f>SUM(K4:K20)</f>
        <v/>
      </c>
      <c r="L21" s="130">
        <f>SUM(L4:L20)</f>
        <v/>
      </c>
      <c r="M21" s="130">
        <f>SUM(M4:M20)</f>
        <v/>
      </c>
    </row>
    <row r="22">
      <c r="G22" s="551" t="inlineStr">
        <is>
          <t xml:space="preserve">VERIFICACION </t>
        </is>
      </c>
      <c r="H22" s="681">
        <f>H21-'IKARIA TECHO'!N10</f>
        <v/>
      </c>
    </row>
    <row r="24">
      <c r="L24" s="534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86"/>
  <sheetViews>
    <sheetView topLeftCell="A55" workbookViewId="0">
      <selection activeCell="F70" sqref="F70"/>
    </sheetView>
  </sheetViews>
  <sheetFormatPr baseColWidth="8" defaultColWidth="11.43359375" defaultRowHeight="15"/>
  <cols>
    <col width="8.875" customWidth="1" min="1" max="1"/>
    <col width="34.4375" customWidth="1" min="2" max="2"/>
    <col width="16.54296875" bestFit="1" customWidth="1" style="124" min="5" max="5"/>
    <col width="21.65625" bestFit="1" customWidth="1" style="124" min="6" max="6"/>
    <col width="17.3515625" customWidth="1" style="124" min="7" max="7"/>
    <col width="14.66015625" customWidth="1" style="124" min="8" max="8"/>
    <col width="11.43359375" customWidth="1" style="124" min="9" max="9"/>
    <col width="13.44921875" bestFit="1" customWidth="1" min="11" max="11"/>
    <col width="11.8359375" bestFit="1" customWidth="1" min="12" max="12"/>
  </cols>
  <sheetData>
    <row r="3" ht="27.75" customHeight="1">
      <c r="A3" s="364" t="inlineStr">
        <is>
          <t>N°</t>
        </is>
      </c>
      <c r="B3" s="364" t="inlineStr">
        <is>
          <t xml:space="preserve">DESCRIPCION </t>
        </is>
      </c>
      <c r="C3" s="364" t="inlineStr">
        <is>
          <t>CANTIDAD</t>
        </is>
      </c>
      <c r="D3" s="364" t="inlineStr">
        <is>
          <t>UNIDAD</t>
        </is>
      </c>
      <c r="E3" s="504" t="inlineStr">
        <is>
          <t xml:space="preserve">TOTAL MATERIAL </t>
        </is>
      </c>
      <c r="F3" s="504" t="inlineStr">
        <is>
          <t xml:space="preserve">TOTAL MANO DE OBRA </t>
        </is>
      </c>
      <c r="G3" s="506" t="inlineStr">
        <is>
          <t>TOTAL SUB/EQUIPOS</t>
        </is>
      </c>
      <c r="H3" s="506" t="inlineStr">
        <is>
          <t xml:space="preserve">TOTAL DIRECTO COLONES </t>
        </is>
      </c>
      <c r="I3" s="506" t="inlineStr">
        <is>
          <t xml:space="preserve">TOTAL DÓLARES </t>
        </is>
      </c>
    </row>
    <row r="4">
      <c r="A4" s="372" t="n">
        <v>1</v>
      </c>
      <c r="B4" s="373" t="inlineStr">
        <is>
          <t xml:space="preserve">FUNDACIONES </t>
        </is>
      </c>
      <c r="C4" s="374" t="n">
        <v>1</v>
      </c>
      <c r="D4" s="375" t="inlineStr">
        <is>
          <t xml:space="preserve">Global </t>
        </is>
      </c>
      <c r="E4" s="612">
        <f>SUM(E5:E8)</f>
        <v/>
      </c>
      <c r="F4" s="612">
        <f>SUM(F5:F8)</f>
        <v/>
      </c>
      <c r="G4" s="612">
        <f>SUM(G5:G8)</f>
        <v/>
      </c>
      <c r="H4" s="612">
        <f>SUM(H5:H8)</f>
        <v/>
      </c>
      <c r="I4" s="613">
        <f>SUM(I5:I8)</f>
        <v/>
      </c>
    </row>
    <row r="5">
      <c r="A5" s="199" t="inlineStr">
        <is>
          <t xml:space="preserve">1.1 </t>
        </is>
      </c>
      <c r="B5" s="129" t="inlineStr">
        <is>
          <t xml:space="preserve">OBRAS PRELIMINARES Y RELLENOS </t>
        </is>
      </c>
      <c r="C5" s="154" t="n">
        <v>1</v>
      </c>
      <c r="D5" s="199" t="inlineStr">
        <is>
          <t xml:space="preserve">Global </t>
        </is>
      </c>
      <c r="E5" s="680">
        <f>'IKARIA TECHO'!K12</f>
        <v/>
      </c>
      <c r="F5" s="680">
        <f>'IKARIA TECHO'!L12</f>
        <v/>
      </c>
      <c r="G5" s="680">
        <f>'IKARIA TECHO'!M12</f>
        <v/>
      </c>
      <c r="H5" s="680">
        <f>'IKARIA TECHO'!N12</f>
        <v/>
      </c>
      <c r="I5" s="682">
        <f>'IKARIA TECHO'!O12</f>
        <v/>
      </c>
    </row>
    <row r="6" ht="39" customHeight="1">
      <c r="A6" s="154" t="inlineStr">
        <is>
          <t>1.2</t>
        </is>
      </c>
      <c r="B6" s="142" t="inlineStr">
        <is>
          <t>EXCAVACIÓN Y TUBERÍAS MECÁNICAS (INCLUYE ACOMETIDA)</t>
        </is>
      </c>
      <c r="C6" s="154" t="n">
        <v>1</v>
      </c>
      <c r="D6" s="199" t="inlineStr">
        <is>
          <t xml:space="preserve">Global </t>
        </is>
      </c>
      <c r="E6" s="679">
        <f>'IKARIA TECHO'!K21</f>
        <v/>
      </c>
      <c r="F6" s="679">
        <f>'IKARIA TECHO'!L21</f>
        <v/>
      </c>
      <c r="G6" s="679">
        <f>'IKARIA TECHO'!M21</f>
        <v/>
      </c>
      <c r="H6" s="679">
        <f>'IKARIA TECHO'!N21</f>
        <v/>
      </c>
      <c r="I6" s="683">
        <f>'IKARIA TECHO'!O21</f>
        <v/>
      </c>
    </row>
    <row r="7">
      <c r="A7" s="199" t="inlineStr">
        <is>
          <t xml:space="preserve">1.3 </t>
        </is>
      </c>
      <c r="B7" s="129" t="inlineStr">
        <is>
          <t xml:space="preserve">SELLO DE CONCRETO </t>
        </is>
      </c>
      <c r="C7" s="154" t="n">
        <v>1</v>
      </c>
      <c r="D7" s="199" t="inlineStr">
        <is>
          <t xml:space="preserve">Global </t>
        </is>
      </c>
      <c r="E7" s="679">
        <f>'IKARIA TECHO'!K58</f>
        <v/>
      </c>
      <c r="F7" s="679">
        <f>'IKARIA TECHO'!L58</f>
        <v/>
      </c>
      <c r="G7" s="679">
        <f>'IKARIA TECHO'!M58</f>
        <v/>
      </c>
      <c r="H7" s="679">
        <f>'IKARIA TECHO'!N58</f>
        <v/>
      </c>
      <c r="I7" s="683">
        <f>'IKARIA TECHO'!O58</f>
        <v/>
      </c>
    </row>
    <row r="8" ht="27.75" customHeight="1">
      <c r="A8" s="154" t="inlineStr">
        <is>
          <t>1.4</t>
        </is>
      </c>
      <c r="B8" s="433" t="inlineStr">
        <is>
          <t xml:space="preserve">LOSA FLOTANTE (ACERO, ELECTROMECANICOS, CONCRETO) </t>
        </is>
      </c>
      <c r="C8" s="154" t="n">
        <v>1</v>
      </c>
      <c r="D8" s="199" t="inlineStr">
        <is>
          <t xml:space="preserve">Global </t>
        </is>
      </c>
      <c r="E8" s="679">
        <f>'IKARIA TECHO'!K69</f>
        <v/>
      </c>
      <c r="F8" s="679">
        <f>'IKARIA TECHO'!L69</f>
        <v/>
      </c>
      <c r="G8" s="679">
        <f>'IKARIA TECHO'!M69</f>
        <v/>
      </c>
      <c r="H8" s="679">
        <f>'IKARIA TECHO'!N69</f>
        <v/>
      </c>
      <c r="I8" s="683">
        <f>'IKARIA TECHO'!O69</f>
        <v/>
      </c>
    </row>
    <row r="9">
      <c r="A9" s="372" t="n">
        <v>2</v>
      </c>
      <c r="B9" s="373" t="inlineStr">
        <is>
          <t xml:space="preserve">SUPERESTRUCTURA PRIMER NIVEL </t>
        </is>
      </c>
      <c r="C9" s="532" t="n">
        <v>1</v>
      </c>
      <c r="D9" s="375" t="inlineStr">
        <is>
          <t xml:space="preserve">Global </t>
        </is>
      </c>
      <c r="E9" s="612">
        <f>SUM(E10:E12)</f>
        <v/>
      </c>
      <c r="F9" s="612">
        <f>SUM(F10:F12)</f>
        <v/>
      </c>
      <c r="G9" s="612">
        <f>SUM(G10:G12)</f>
        <v/>
      </c>
      <c r="H9" s="612">
        <f>SUM(H10:H12)</f>
        <v/>
      </c>
      <c r="I9" s="613">
        <f>SUM(I10:I12)</f>
        <v/>
      </c>
    </row>
    <row r="10" ht="27.75" customHeight="1">
      <c r="A10" s="154" t="inlineStr">
        <is>
          <t xml:space="preserve">2.1 </t>
        </is>
      </c>
      <c r="B10" s="433" t="inlineStr">
        <is>
          <t>ACERO EN PAREDES MUROS N1 (ELECTROMECANICO)</t>
        </is>
      </c>
      <c r="C10" s="154" t="n">
        <v>1</v>
      </c>
      <c r="D10" s="154" t="inlineStr">
        <is>
          <t xml:space="preserve">Global </t>
        </is>
      </c>
      <c r="E10" s="679">
        <f>'IKARIA TECHO'!K124</f>
        <v/>
      </c>
      <c r="F10" s="679">
        <f>'IKARIA TECHO'!L124</f>
        <v/>
      </c>
      <c r="G10" s="679">
        <f>'IKARIA TECHO'!M124</f>
        <v/>
      </c>
      <c r="H10" s="679">
        <f>'IKARIA TECHO'!N124</f>
        <v/>
      </c>
      <c r="I10" s="683">
        <f>'IKARIA TECHO'!O124</f>
        <v/>
      </c>
    </row>
    <row r="11" ht="41.25" customHeight="1">
      <c r="A11" s="154" t="inlineStr">
        <is>
          <t>2.2</t>
        </is>
      </c>
      <c r="B11" s="433" t="inlineStr">
        <is>
          <t>PAREDES, MUROS, ENTREPISO N1 (FORMALETA, CONCRETO, DESENCOFRADO)</t>
        </is>
      </c>
      <c r="C11" s="154" t="n">
        <v>1</v>
      </c>
      <c r="D11" s="154" t="inlineStr">
        <is>
          <t xml:space="preserve">Global </t>
        </is>
      </c>
      <c r="E11" s="679">
        <f>'IKARIA TECHO'!K154</f>
        <v/>
      </c>
      <c r="F11" s="679">
        <f>'IKARIA TECHO'!L154</f>
        <v/>
      </c>
      <c r="G11" s="679">
        <f>'IKARIA TECHO'!M154</f>
        <v/>
      </c>
      <c r="H11" s="679">
        <f>'IKARIA TECHO'!N154</f>
        <v/>
      </c>
      <c r="I11" s="683">
        <f>'IKARIA TECHO'!O154</f>
        <v/>
      </c>
    </row>
    <row r="12">
      <c r="A12" s="199" t="inlineStr">
        <is>
          <t>2.3</t>
        </is>
      </c>
      <c r="B12" s="129" t="inlineStr">
        <is>
          <t xml:space="preserve">MAMPOSTERIA </t>
        </is>
      </c>
      <c r="C12" s="154" t="n">
        <v>1</v>
      </c>
      <c r="D12" s="199" t="inlineStr">
        <is>
          <t xml:space="preserve">Global </t>
        </is>
      </c>
      <c r="E12" s="679">
        <f>'IKARIA TECHO'!K169</f>
        <v/>
      </c>
      <c r="F12" s="679">
        <f>'IKARIA TECHO'!L169</f>
        <v/>
      </c>
      <c r="G12" s="679">
        <f>'IKARIA TECHO'!M169</f>
        <v/>
      </c>
      <c r="H12" s="679">
        <f>'IKARIA TECHO'!N169</f>
        <v/>
      </c>
      <c r="I12" s="683">
        <f>'IKARIA TECHO'!O169</f>
        <v/>
      </c>
    </row>
    <row r="13">
      <c r="A13" s="372" t="n">
        <v>3</v>
      </c>
      <c r="B13" s="373" t="inlineStr">
        <is>
          <t xml:space="preserve">SUPERESTRUCTURA SEGUNDO NIVEL </t>
        </is>
      </c>
      <c r="C13" s="374" t="n">
        <v>1</v>
      </c>
      <c r="D13" s="375" t="inlineStr">
        <is>
          <t xml:space="preserve">Global </t>
        </is>
      </c>
      <c r="E13" s="612">
        <f>SUM(E14:E15)</f>
        <v/>
      </c>
      <c r="F13" s="612">
        <f>SUM(F14:F15)</f>
        <v/>
      </c>
      <c r="G13" s="612">
        <f>SUM(G14:G15)</f>
        <v/>
      </c>
      <c r="H13" s="612">
        <f>SUM(H14:H15)</f>
        <v/>
      </c>
      <c r="I13" s="613">
        <f>SUM(I14:I15)</f>
        <v/>
      </c>
    </row>
    <row r="14" ht="27.75" customHeight="1">
      <c r="A14" s="154" t="inlineStr">
        <is>
          <t xml:space="preserve">3.1 </t>
        </is>
      </c>
      <c r="B14" s="433" t="inlineStr">
        <is>
          <t>ACERO EN PAREDES MUROS N2 (ELECTROMECANICO)</t>
        </is>
      </c>
      <c r="C14" s="199" t="n">
        <v>1</v>
      </c>
      <c r="D14" s="154" t="inlineStr">
        <is>
          <t xml:space="preserve">Global </t>
        </is>
      </c>
      <c r="E14" s="679">
        <f>'IKARIA TECHO'!K183</f>
        <v/>
      </c>
      <c r="F14" s="679">
        <f>'IKARIA TECHO'!L183</f>
        <v/>
      </c>
      <c r="G14" s="679">
        <f>'IKARIA TECHO'!M183</f>
        <v/>
      </c>
      <c r="H14" s="679">
        <f>'IKARIA TECHO'!N183</f>
        <v/>
      </c>
      <c r="I14" s="683">
        <f>'IKARIA TECHO'!O183</f>
        <v/>
      </c>
    </row>
    <row r="15" ht="41.25" customHeight="1">
      <c r="A15" s="154" t="inlineStr">
        <is>
          <t xml:space="preserve">3.2 </t>
        </is>
      </c>
      <c r="B15" s="142" t="inlineStr">
        <is>
          <t>PAREDES, MUROS, ENTREPISO N2 (FORMALETA, CONCRETO, DESENCOFRADO)</t>
        </is>
      </c>
      <c r="C15" s="154" t="n">
        <v>1</v>
      </c>
      <c r="D15" s="154" t="inlineStr">
        <is>
          <t xml:space="preserve">Global </t>
        </is>
      </c>
      <c r="E15" s="679">
        <f>'IKARIA TECHO'!K201</f>
        <v/>
      </c>
      <c r="F15" s="679">
        <f>'IKARIA TECHO'!L201</f>
        <v/>
      </c>
      <c r="G15" s="679">
        <f>'IKARIA TECHO'!M201</f>
        <v/>
      </c>
      <c r="H15" s="679">
        <f>'IKARIA TECHO'!N201</f>
        <v/>
      </c>
      <c r="I15" s="683">
        <f>'IKARIA TECHO'!O201</f>
        <v/>
      </c>
    </row>
    <row r="16">
      <c r="A16" s="372" t="n">
        <v>4</v>
      </c>
      <c r="B16" s="373" t="inlineStr">
        <is>
          <t xml:space="preserve">OTROS GRIS </t>
        </is>
      </c>
      <c r="C16" s="374" t="n">
        <v>1</v>
      </c>
      <c r="D16" s="375" t="inlineStr">
        <is>
          <t xml:space="preserve">Global </t>
        </is>
      </c>
      <c r="E16" s="612">
        <f>SUM(E17:E19)</f>
        <v/>
      </c>
      <c r="F16" s="612">
        <f>SUM(F17:F19)</f>
        <v/>
      </c>
      <c r="G16" s="612">
        <f>SUM(G17:G19)</f>
        <v/>
      </c>
      <c r="H16" s="612">
        <f>SUM(H17:H19)</f>
        <v/>
      </c>
      <c r="I16" s="613">
        <f>SUM(I17:I19)</f>
        <v/>
      </c>
    </row>
    <row r="17">
      <c r="A17" s="199" t="inlineStr">
        <is>
          <t xml:space="preserve">4.1 </t>
        </is>
      </c>
      <c r="B17" s="129" t="inlineStr">
        <is>
          <t xml:space="preserve">GRADAS EN CONCRETO </t>
        </is>
      </c>
      <c r="C17" s="199" t="n">
        <v>1</v>
      </c>
      <c r="D17" s="199" t="inlineStr">
        <is>
          <t xml:space="preserve">Global </t>
        </is>
      </c>
      <c r="E17" s="679">
        <f>'IKARIA TECHO'!K215</f>
        <v/>
      </c>
      <c r="F17" s="679">
        <f>'IKARIA TECHO'!L215</f>
        <v/>
      </c>
      <c r="G17" s="679">
        <f>'IKARIA TECHO'!M215</f>
        <v/>
      </c>
      <c r="H17" s="679">
        <f>'IKARIA TECHO'!N215</f>
        <v/>
      </c>
      <c r="I17" s="683">
        <f>'IKARIA TECHO'!O215</f>
        <v/>
      </c>
    </row>
    <row r="18">
      <c r="A18" s="199" t="inlineStr">
        <is>
          <t xml:space="preserve">4.2 </t>
        </is>
      </c>
      <c r="B18" s="129" t="inlineStr">
        <is>
          <t>COLUMNAS (MEDIDOR)</t>
        </is>
      </c>
      <c r="C18" s="199" t="n">
        <v>1</v>
      </c>
      <c r="D18" s="199" t="inlineStr">
        <is>
          <t xml:space="preserve">Global </t>
        </is>
      </c>
      <c r="E18" s="679">
        <f>'IKARIA TECHO'!K253</f>
        <v/>
      </c>
      <c r="F18" s="679">
        <f>'IKARIA TECHO'!L253</f>
        <v/>
      </c>
      <c r="G18" s="679">
        <f>'IKARIA TECHO'!M253</f>
        <v/>
      </c>
      <c r="H18" s="679">
        <f>'IKARIA TECHO'!N253</f>
        <v/>
      </c>
      <c r="I18" s="683">
        <f>'IKARIA TECHO'!O253</f>
        <v/>
      </c>
    </row>
    <row r="19">
      <c r="A19" s="199" t="inlineStr">
        <is>
          <t xml:space="preserve">4.3 </t>
        </is>
      </c>
      <c r="B19" s="129" t="inlineStr">
        <is>
          <t xml:space="preserve">CHORREA DE COCHERAS Y PILAS </t>
        </is>
      </c>
      <c r="C19" s="199" t="n">
        <v>1</v>
      </c>
      <c r="D19" s="199" t="inlineStr">
        <is>
          <t xml:space="preserve">Global </t>
        </is>
      </c>
      <c r="E19" s="679">
        <f>'IKARIA TECHO'!K288</f>
        <v/>
      </c>
      <c r="F19" s="679">
        <f>'IKARIA TECHO'!L288</f>
        <v/>
      </c>
      <c r="G19" s="679">
        <f>'IKARIA TECHO'!M288</f>
        <v/>
      </c>
      <c r="H19" s="679">
        <f>'IKARIA TECHO'!N288</f>
        <v/>
      </c>
      <c r="I19" s="683">
        <f>'IKARIA TECHO'!O288</f>
        <v/>
      </c>
    </row>
    <row r="20">
      <c r="A20" s="372" t="n">
        <v>5</v>
      </c>
      <c r="B20" s="373" t="inlineStr">
        <is>
          <t xml:space="preserve">ESTRUCTURA METÁLICA Y CUBIERTAS </t>
        </is>
      </c>
      <c r="C20" s="374" t="n">
        <v>1</v>
      </c>
      <c r="D20" s="375" t="inlineStr">
        <is>
          <t xml:space="preserve">Global </t>
        </is>
      </c>
      <c r="E20" s="612">
        <f>SUM(E21:E28)</f>
        <v/>
      </c>
      <c r="F20" s="612">
        <f>SUM(F21:F28)</f>
        <v/>
      </c>
      <c r="G20" s="612">
        <f>SUM(G21:G28)</f>
        <v/>
      </c>
      <c r="H20" s="612">
        <f>SUM(H21:H28)</f>
        <v/>
      </c>
      <c r="I20" s="613">
        <f>SUM(I21:I28)</f>
        <v/>
      </c>
    </row>
    <row r="21">
      <c r="A21" s="199" t="inlineStr">
        <is>
          <t xml:space="preserve">5.1 </t>
        </is>
      </c>
      <c r="B21" s="129" t="inlineStr">
        <is>
          <t xml:space="preserve">ESTRUCTURA TECHO CASA </t>
        </is>
      </c>
      <c r="C21" s="199" t="n">
        <v>1</v>
      </c>
      <c r="D21" s="199" t="inlineStr">
        <is>
          <t xml:space="preserve">Global </t>
        </is>
      </c>
      <c r="E21" s="679">
        <f>'IKARIA TECHO'!K310</f>
        <v/>
      </c>
      <c r="F21" s="679">
        <f>'IKARIA TECHO'!L310</f>
        <v/>
      </c>
      <c r="G21" s="679">
        <f>'IKARIA TECHO'!M310</f>
        <v/>
      </c>
      <c r="H21" s="679">
        <f>'IKARIA TECHO'!N310</f>
        <v/>
      </c>
      <c r="I21" s="683">
        <f>'IKARIA TECHO'!O310</f>
        <v/>
      </c>
    </row>
    <row r="22">
      <c r="A22" s="199" t="inlineStr">
        <is>
          <t xml:space="preserve">5.2 </t>
        </is>
      </c>
      <c r="B22" s="129" t="inlineStr">
        <is>
          <t>ESTRUCTURA TECHO COCHERA</t>
        </is>
      </c>
      <c r="C22" s="199" t="n">
        <v>1</v>
      </c>
      <c r="D22" s="199" t="inlineStr">
        <is>
          <t xml:space="preserve">Global </t>
        </is>
      </c>
      <c r="E22" s="679">
        <f>'IKARIA TECHO'!K327</f>
        <v/>
      </c>
      <c r="F22" s="679">
        <f>'IKARIA TECHO'!L327</f>
        <v/>
      </c>
      <c r="G22" s="679">
        <f>'IKARIA TECHO'!M327</f>
        <v/>
      </c>
      <c r="H22" s="679">
        <f>'IKARIA TECHO'!N327</f>
        <v/>
      </c>
      <c r="I22" s="683">
        <f>'IKARIA TECHO'!O327</f>
        <v/>
      </c>
    </row>
    <row r="23">
      <c r="A23" s="199" t="inlineStr">
        <is>
          <t>5.3</t>
        </is>
      </c>
      <c r="B23" s="129" t="inlineStr">
        <is>
          <t xml:space="preserve">CUBIERTA TECHO CASA </t>
        </is>
      </c>
      <c r="C23" s="199" t="n">
        <v>1</v>
      </c>
      <c r="D23" s="199" t="inlineStr">
        <is>
          <t xml:space="preserve">Global </t>
        </is>
      </c>
      <c r="E23" s="679">
        <f>'IKARIA TECHO'!K348</f>
        <v/>
      </c>
      <c r="F23" s="679">
        <f>'IKARIA TECHO'!L348</f>
        <v/>
      </c>
      <c r="G23" s="679">
        <f>'IKARIA TECHO'!M348</f>
        <v/>
      </c>
      <c r="H23" s="679">
        <f>'IKARIA TECHO'!N348</f>
        <v/>
      </c>
      <c r="I23" s="683">
        <f>'IKARIA TECHO'!O348</f>
        <v/>
      </c>
    </row>
    <row r="24">
      <c r="A24" s="199" t="inlineStr">
        <is>
          <t xml:space="preserve">5.4 </t>
        </is>
      </c>
      <c r="B24" s="129" t="inlineStr">
        <is>
          <t xml:space="preserve">CUBIERTA TECHO COCHERA </t>
        </is>
      </c>
      <c r="C24" s="199" t="n">
        <v>1</v>
      </c>
      <c r="D24" s="199" t="inlineStr">
        <is>
          <t xml:space="preserve">Global </t>
        </is>
      </c>
      <c r="E24" s="679">
        <f>'IKARIA TECHO'!K356</f>
        <v/>
      </c>
      <c r="F24" s="679">
        <f>'IKARIA TECHO'!L356</f>
        <v/>
      </c>
      <c r="G24" s="679">
        <f>'IKARIA TECHO'!M356</f>
        <v/>
      </c>
      <c r="H24" s="679">
        <f>'IKARIA TECHO'!N356</f>
        <v/>
      </c>
      <c r="I24" s="683">
        <f>'IKARIA TECHO'!O356</f>
        <v/>
      </c>
    </row>
    <row r="25">
      <c r="A25" s="199" t="inlineStr">
        <is>
          <t xml:space="preserve">5.5 </t>
        </is>
      </c>
      <c r="B25" s="129" t="inlineStr">
        <is>
          <t xml:space="preserve">HOJALATERIA Y CANOAS </t>
        </is>
      </c>
      <c r="C25" s="199" t="n">
        <v>1</v>
      </c>
      <c r="D25" s="199" t="inlineStr">
        <is>
          <t xml:space="preserve">Global </t>
        </is>
      </c>
      <c r="E25" s="679">
        <f>'IKARIA TECHO'!K368</f>
        <v/>
      </c>
      <c r="F25" s="679">
        <f>'IKARIA TECHO'!L368</f>
        <v/>
      </c>
      <c r="G25" s="679">
        <f>'IKARIA TECHO'!M368</f>
        <v/>
      </c>
      <c r="H25" s="679">
        <f>'IKARIA TECHO'!N368</f>
        <v/>
      </c>
      <c r="I25" s="683">
        <f>'IKARIA TECHO'!O368</f>
        <v/>
      </c>
    </row>
    <row r="26" ht="27.75" customHeight="1">
      <c r="A26" s="154" t="inlineStr">
        <is>
          <t xml:space="preserve">5.6 </t>
        </is>
      </c>
      <c r="B26" s="433" t="inlineStr">
        <is>
          <t xml:space="preserve">GRADAS ESTRUCTURA, PINTADO Y ACABADO </t>
        </is>
      </c>
      <c r="C26" s="199" t="n">
        <v>1</v>
      </c>
      <c r="D26" s="154" t="inlineStr">
        <is>
          <t xml:space="preserve">Global </t>
        </is>
      </c>
      <c r="E26" s="679">
        <f>'IKARIA TECHO'!K380</f>
        <v/>
      </c>
      <c r="F26" s="679">
        <f>'IKARIA TECHO'!L380</f>
        <v/>
      </c>
      <c r="G26" s="679">
        <f>'IKARIA TECHO'!M380</f>
        <v/>
      </c>
      <c r="H26" s="679">
        <f>'IKARIA TECHO'!N380</f>
        <v/>
      </c>
      <c r="I26" s="683">
        <f>'IKARIA TECHO'!O380</f>
        <v/>
      </c>
    </row>
    <row r="27">
      <c r="A27" s="199" t="inlineStr">
        <is>
          <t>5.7</t>
        </is>
      </c>
      <c r="B27" s="129" t="inlineStr">
        <is>
          <t xml:space="preserve">BARANDA DE GRADAS (N2) </t>
        </is>
      </c>
      <c r="C27" s="199" t="n">
        <v>1</v>
      </c>
      <c r="D27" s="199" t="inlineStr">
        <is>
          <t xml:space="preserve">Global </t>
        </is>
      </c>
      <c r="E27" s="679">
        <f>'IKARIA TECHO'!K394</f>
        <v/>
      </c>
      <c r="F27" s="679">
        <f>'IKARIA TECHO'!L394</f>
        <v/>
      </c>
      <c r="G27" s="679">
        <f>'IKARIA TECHO'!M394</f>
        <v/>
      </c>
      <c r="H27" s="679">
        <f>'IKARIA TECHO'!N394</f>
        <v/>
      </c>
      <c r="I27" s="683">
        <f>'IKARIA TECHO'!O394</f>
        <v/>
      </c>
    </row>
    <row r="28">
      <c r="A28" s="199" t="inlineStr">
        <is>
          <t>5.8</t>
        </is>
      </c>
      <c r="B28" s="129" t="inlineStr">
        <is>
          <t>ESTRUCTURA METÁLICA INTERNA</t>
        </is>
      </c>
      <c r="C28" s="199" t="n">
        <v>1</v>
      </c>
      <c r="D28" s="199" t="inlineStr">
        <is>
          <t xml:space="preserve">Global </t>
        </is>
      </c>
      <c r="E28" s="679">
        <f>'IKARIA TECHO'!K408</f>
        <v/>
      </c>
      <c r="F28" s="679">
        <f>'IKARIA TECHO'!L408</f>
        <v/>
      </c>
      <c r="G28" s="679">
        <f>'IKARIA TECHO'!M408</f>
        <v/>
      </c>
      <c r="H28" s="679">
        <f>'IKARIA TECHO'!N408</f>
        <v/>
      </c>
      <c r="I28" s="683">
        <f>'IKARIA TECHO'!O408</f>
        <v/>
      </c>
    </row>
    <row r="29">
      <c r="A29" s="372" t="n">
        <v>6</v>
      </c>
      <c r="B29" s="373" t="inlineStr">
        <is>
          <t xml:space="preserve">LIVIANO </t>
        </is>
      </c>
      <c r="C29" s="374" t="n">
        <v>1</v>
      </c>
      <c r="D29" s="375" t="inlineStr">
        <is>
          <t xml:space="preserve">Global </t>
        </is>
      </c>
      <c r="E29" s="612">
        <f>SUM(E30:E31)</f>
        <v/>
      </c>
      <c r="F29" s="612">
        <f>SUM(F30:F31)</f>
        <v/>
      </c>
      <c r="G29" s="612">
        <f>SUM(G30:G31)</f>
        <v/>
      </c>
      <c r="H29" s="612">
        <f>SUM(H30:H31)</f>
        <v/>
      </c>
      <c r="I29" s="613">
        <f>SUM(I30:I31)</f>
        <v/>
      </c>
    </row>
    <row r="30">
      <c r="A30" s="199" t="inlineStr">
        <is>
          <t>6.1</t>
        </is>
      </c>
      <c r="B30" s="129" t="inlineStr">
        <is>
          <t xml:space="preserve">LIVIANO EXTERIORES </t>
        </is>
      </c>
      <c r="C30" s="199" t="n">
        <v>1</v>
      </c>
      <c r="D30" s="199" t="inlineStr">
        <is>
          <t xml:space="preserve">Global </t>
        </is>
      </c>
      <c r="E30" s="679">
        <f>'IKARIA TECHO'!K423</f>
        <v/>
      </c>
      <c r="F30" s="679">
        <f>'IKARIA TECHO'!L423</f>
        <v/>
      </c>
      <c r="G30" s="679">
        <f>'IKARIA TECHO'!M423</f>
        <v/>
      </c>
      <c r="H30" s="679">
        <f>'IKARIA TECHO'!N423</f>
        <v/>
      </c>
      <c r="I30" s="683">
        <f>'IKARIA TECHO'!O423</f>
        <v/>
      </c>
    </row>
    <row r="31" ht="27.75" customHeight="1">
      <c r="A31" s="199" t="inlineStr">
        <is>
          <t xml:space="preserve">6.2 </t>
        </is>
      </c>
      <c r="B31" s="433" t="inlineStr">
        <is>
          <t>LIVIANO INTERIORES ( PAREDES LIVIANAS Y CIELOS)</t>
        </is>
      </c>
      <c r="C31" s="199" t="n">
        <v>1</v>
      </c>
      <c r="D31" s="199" t="inlineStr">
        <is>
          <t xml:space="preserve">Global </t>
        </is>
      </c>
      <c r="E31" s="679">
        <f>'IKARIA TECHO'!K455</f>
        <v/>
      </c>
      <c r="F31" s="679">
        <f>'IKARIA TECHO'!L455</f>
        <v/>
      </c>
      <c r="G31" s="679">
        <f>'IKARIA TECHO'!M455</f>
        <v/>
      </c>
      <c r="H31" s="679">
        <f>'IKARIA TECHO'!N455</f>
        <v/>
      </c>
      <c r="I31" s="683">
        <f>'IKARIA TECHO'!O455</f>
        <v/>
      </c>
    </row>
    <row r="32">
      <c r="A32" s="372" t="n">
        <v>7</v>
      </c>
      <c r="B32" s="373" t="inlineStr">
        <is>
          <t xml:space="preserve">REPELLOS </t>
        </is>
      </c>
      <c r="C32" s="374" t="n">
        <v>1</v>
      </c>
      <c r="D32" s="375" t="inlineStr">
        <is>
          <t xml:space="preserve">Global </t>
        </is>
      </c>
      <c r="E32" s="612">
        <f>SUM(E33:E34)</f>
        <v/>
      </c>
      <c r="F32" s="612">
        <f>SUM(F33:F34)</f>
        <v/>
      </c>
      <c r="G32" s="612">
        <f>SUM(G33:G34)</f>
        <v/>
      </c>
      <c r="H32" s="612">
        <f>SUM(H33:H34)</f>
        <v/>
      </c>
      <c r="I32" s="613">
        <f>SUM(I33:I34)</f>
        <v/>
      </c>
    </row>
    <row r="33">
      <c r="A33" s="199" t="inlineStr">
        <is>
          <t xml:space="preserve">7.1 </t>
        </is>
      </c>
      <c r="B33" s="129" t="inlineStr">
        <is>
          <t xml:space="preserve">REPELLOS INTERNO Y EXTERNO </t>
        </is>
      </c>
      <c r="C33" s="199" t="n">
        <v>1</v>
      </c>
      <c r="D33" s="199" t="inlineStr">
        <is>
          <t xml:space="preserve">Global </t>
        </is>
      </c>
      <c r="E33" s="679">
        <f>'IKARIA TECHO'!K505</f>
        <v/>
      </c>
      <c r="F33" s="679">
        <f>'IKARIA TECHO'!L505</f>
        <v/>
      </c>
      <c r="G33" s="679">
        <f>'IKARIA TECHO'!M505</f>
        <v/>
      </c>
      <c r="H33" s="679">
        <f>'IKARIA TECHO'!N505</f>
        <v/>
      </c>
      <c r="I33" s="683">
        <f>'IKARIA TECHO'!O505</f>
        <v/>
      </c>
    </row>
    <row r="34">
      <c r="A34" s="199" t="inlineStr">
        <is>
          <t>7.2</t>
        </is>
      </c>
      <c r="B34" s="129" t="inlineStr">
        <is>
          <t xml:space="preserve">EMPASTE </t>
        </is>
      </c>
      <c r="C34" s="199" t="n">
        <v>1</v>
      </c>
      <c r="D34" s="199" t="inlineStr">
        <is>
          <t xml:space="preserve">Global </t>
        </is>
      </c>
      <c r="E34" s="679">
        <f>'IKARIA TECHO'!K521</f>
        <v/>
      </c>
      <c r="F34" s="679">
        <f>'IKARIA TECHO'!L521</f>
        <v/>
      </c>
      <c r="G34" s="679">
        <f>'IKARIA TECHO'!M521</f>
        <v/>
      </c>
      <c r="H34" s="679">
        <f>'IKARIA TECHO'!N521</f>
        <v/>
      </c>
      <c r="I34" s="683">
        <f>'IKARIA TECHO'!O521</f>
        <v/>
      </c>
    </row>
    <row r="35">
      <c r="A35" s="372" t="n">
        <v>8</v>
      </c>
      <c r="B35" s="373" t="inlineStr">
        <is>
          <t xml:space="preserve">ENCHAPES </t>
        </is>
      </c>
      <c r="C35" s="374" t="n">
        <v>1</v>
      </c>
      <c r="D35" s="375" t="inlineStr">
        <is>
          <t xml:space="preserve">Global </t>
        </is>
      </c>
      <c r="E35" s="612">
        <f>E36</f>
        <v/>
      </c>
      <c r="F35" s="612">
        <f>F36</f>
        <v/>
      </c>
      <c r="G35" s="612">
        <f>G36</f>
        <v/>
      </c>
      <c r="H35" s="612">
        <f>H36</f>
        <v/>
      </c>
      <c r="I35" s="613">
        <f>I36</f>
        <v/>
      </c>
    </row>
    <row r="36">
      <c r="A36" s="199" t="inlineStr">
        <is>
          <t xml:space="preserve">8.1 </t>
        </is>
      </c>
      <c r="B36" s="129" t="inlineStr">
        <is>
          <t>ENCHAPES (INTERNO Y EXTERNO)</t>
        </is>
      </c>
      <c r="C36" s="199" t="n">
        <v>1</v>
      </c>
      <c r="D36" s="199" t="inlineStr">
        <is>
          <t xml:space="preserve">Global </t>
        </is>
      </c>
      <c r="E36" s="679">
        <f>'IKARIA TECHO'!K529</f>
        <v/>
      </c>
      <c r="F36" s="679">
        <f>'IKARIA TECHO'!L529</f>
        <v/>
      </c>
      <c r="G36" s="679">
        <f>'IKARIA TECHO'!M529</f>
        <v/>
      </c>
      <c r="H36" s="679">
        <f>'IKARIA TECHO'!N529</f>
        <v/>
      </c>
      <c r="I36" s="683">
        <f>'IKARIA TECHO'!O529</f>
        <v/>
      </c>
    </row>
    <row r="37">
      <c r="A37" s="372" t="n">
        <v>9</v>
      </c>
      <c r="B37" s="373" t="inlineStr">
        <is>
          <t xml:space="preserve">MUEBLES Y PUERTAS </t>
        </is>
      </c>
      <c r="C37" s="374" t="n">
        <v>1</v>
      </c>
      <c r="D37" s="375" t="inlineStr">
        <is>
          <t xml:space="preserve">Global </t>
        </is>
      </c>
      <c r="E37" s="612">
        <f>SUM(E38:E39)</f>
        <v/>
      </c>
      <c r="F37" s="612">
        <f>SUM(F38:F39)</f>
        <v/>
      </c>
      <c r="G37" s="612">
        <f>SUM(G38:G39)</f>
        <v/>
      </c>
      <c r="H37" s="612">
        <f>SUM(H38:H39)</f>
        <v/>
      </c>
      <c r="I37" s="613">
        <f>SUM(I38:I39)</f>
        <v/>
      </c>
    </row>
    <row r="38">
      <c r="A38" s="199" t="inlineStr">
        <is>
          <t xml:space="preserve">9.1 </t>
        </is>
      </c>
      <c r="B38" s="129" t="inlineStr">
        <is>
          <t xml:space="preserve">MUEBLES </t>
        </is>
      </c>
      <c r="C38" s="199" t="n">
        <v>1</v>
      </c>
      <c r="D38" s="199" t="inlineStr">
        <is>
          <t xml:space="preserve">Global </t>
        </is>
      </c>
      <c r="E38" s="679">
        <f>'IKARIA TECHO'!K561</f>
        <v/>
      </c>
      <c r="F38" s="679">
        <f>'IKARIA TECHO'!L561</f>
        <v/>
      </c>
      <c r="G38" s="679">
        <f>'IKARIA TECHO'!M561</f>
        <v/>
      </c>
      <c r="H38" s="679">
        <f>'IKARIA TECHO'!N561</f>
        <v/>
      </c>
      <c r="I38" s="683">
        <f>'IKARIA TECHO'!O561</f>
        <v/>
      </c>
    </row>
    <row r="39">
      <c r="A39" s="199" t="inlineStr">
        <is>
          <t xml:space="preserve">9.2 </t>
        </is>
      </c>
      <c r="B39" s="129" t="inlineStr">
        <is>
          <t xml:space="preserve">PUERTAS Y RODAPIE </t>
        </is>
      </c>
      <c r="C39" s="199" t="n">
        <v>1</v>
      </c>
      <c r="D39" s="199" t="inlineStr">
        <is>
          <t xml:space="preserve">Global </t>
        </is>
      </c>
      <c r="E39" s="679">
        <f>'IKARIA TECHO'!K626</f>
        <v/>
      </c>
      <c r="F39" s="679">
        <f>'IKARIA TECHO'!L626</f>
        <v/>
      </c>
      <c r="G39" s="679">
        <f>'IKARIA TECHO'!M626</f>
        <v/>
      </c>
      <c r="H39" s="679">
        <f>'IKARIA TECHO'!N626</f>
        <v/>
      </c>
      <c r="I39" s="683">
        <f>'IKARIA TECHO'!O626</f>
        <v/>
      </c>
    </row>
    <row r="40">
      <c r="A40" s="372" t="n">
        <v>10</v>
      </c>
      <c r="B40" s="373" t="inlineStr">
        <is>
          <t xml:space="preserve">OBRAS ADICIONALES </t>
        </is>
      </c>
      <c r="C40" s="374" t="n">
        <v>1</v>
      </c>
      <c r="D40" s="375" t="inlineStr">
        <is>
          <t xml:space="preserve">Global </t>
        </is>
      </c>
      <c r="E40" s="612">
        <f>SUM(E41:E43)</f>
        <v/>
      </c>
      <c r="F40" s="612">
        <f>SUM(F41:F43)</f>
        <v/>
      </c>
      <c r="G40" s="612">
        <f>SUM(G41:G43)</f>
        <v/>
      </c>
      <c r="H40" s="612">
        <f>SUM(H41:H43)</f>
        <v/>
      </c>
      <c r="I40" s="613">
        <f>SUM(I41:I43)</f>
        <v/>
      </c>
    </row>
    <row r="41">
      <c r="A41" s="199" t="inlineStr">
        <is>
          <t xml:space="preserve">10.1 </t>
        </is>
      </c>
      <c r="B41" s="129" t="inlineStr">
        <is>
          <t xml:space="preserve">ZACATE </t>
        </is>
      </c>
      <c r="C41" s="199" t="n">
        <v>1</v>
      </c>
      <c r="D41" s="199" t="inlineStr">
        <is>
          <t xml:space="preserve">Global </t>
        </is>
      </c>
      <c r="E41" s="679">
        <f>'IKARIA TECHO'!K639</f>
        <v/>
      </c>
      <c r="F41" s="679">
        <f>'IKARIA TECHO'!L639</f>
        <v/>
      </c>
      <c r="G41" s="679">
        <f>'IKARIA TECHO'!M639</f>
        <v/>
      </c>
      <c r="H41" s="679">
        <f>'IKARIA TECHO'!N639</f>
        <v/>
      </c>
      <c r="I41" s="683">
        <f>'IKARIA TECHO'!O639</f>
        <v/>
      </c>
    </row>
    <row r="42">
      <c r="A42" s="199" t="inlineStr">
        <is>
          <t xml:space="preserve">10.2 </t>
        </is>
      </c>
      <c r="B42" s="129" t="inlineStr">
        <is>
          <t xml:space="preserve">TAPIAS PREFABRICADAS </t>
        </is>
      </c>
      <c r="C42" s="199" t="n">
        <v>1</v>
      </c>
      <c r="D42" s="199" t="inlineStr">
        <is>
          <t xml:space="preserve">Global </t>
        </is>
      </c>
      <c r="E42" s="679">
        <f>'IKARIA TECHO'!K647</f>
        <v/>
      </c>
      <c r="F42" s="679">
        <f>'IKARIA TECHO'!L647</f>
        <v/>
      </c>
      <c r="G42" s="679">
        <f>'IKARIA TECHO'!M647</f>
        <v/>
      </c>
      <c r="H42" s="679">
        <f>'IKARIA TECHO'!N647</f>
        <v/>
      </c>
      <c r="I42" s="683">
        <f>'IKARIA TECHO'!O647</f>
        <v/>
      </c>
    </row>
    <row r="43">
      <c r="A43" s="199" t="inlineStr">
        <is>
          <t xml:space="preserve">10.3 </t>
        </is>
      </c>
      <c r="B43" s="129" t="inlineStr">
        <is>
          <t>ACERAS</t>
        </is>
      </c>
      <c r="C43" s="199" t="n">
        <v>1</v>
      </c>
      <c r="D43" s="199" t="inlineStr">
        <is>
          <t xml:space="preserve">Global </t>
        </is>
      </c>
      <c r="E43" s="679">
        <f>'IKARIA TECHO'!K657</f>
        <v/>
      </c>
      <c r="F43" s="679">
        <f>'IKARIA TECHO'!L657</f>
        <v/>
      </c>
      <c r="G43" s="679">
        <f>'IKARIA TECHO'!M657</f>
        <v/>
      </c>
      <c r="H43" s="679">
        <f>'IKARIA TECHO'!N657</f>
        <v/>
      </c>
      <c r="I43" s="683">
        <f>'IKARIA TECHO'!O657</f>
        <v/>
      </c>
    </row>
    <row r="44">
      <c r="A44" s="372" t="n">
        <v>11</v>
      </c>
      <c r="B44" s="373" t="inlineStr">
        <is>
          <t xml:space="preserve">ACABADOS </t>
        </is>
      </c>
      <c r="C44" s="374" t="n">
        <v>1</v>
      </c>
      <c r="D44" s="375" t="inlineStr">
        <is>
          <t xml:space="preserve">Global </t>
        </is>
      </c>
      <c r="E44" s="612">
        <f>SUM(E45:E48)</f>
        <v/>
      </c>
      <c r="F44" s="612">
        <f>SUM(F45:F48)</f>
        <v/>
      </c>
      <c r="G44" s="612">
        <f>SUM(G45:G48)</f>
        <v/>
      </c>
      <c r="H44" s="612">
        <f>SUM(H45:H48)</f>
        <v/>
      </c>
      <c r="I44" s="613">
        <f>SUM(I45:I48)</f>
        <v/>
      </c>
    </row>
    <row r="45">
      <c r="A45" s="199" t="inlineStr">
        <is>
          <t xml:space="preserve">11.1 </t>
        </is>
      </c>
      <c r="B45" s="129" t="inlineStr">
        <is>
          <t xml:space="preserve">PINTURA </t>
        </is>
      </c>
      <c r="C45" s="199" t="n">
        <v>1</v>
      </c>
      <c r="D45" s="199" t="inlineStr">
        <is>
          <t xml:space="preserve">Global </t>
        </is>
      </c>
      <c r="E45" s="679">
        <f>'IKARIA TECHO'!K668</f>
        <v/>
      </c>
      <c r="F45" s="679">
        <f>'IKARIA TECHO'!L668</f>
        <v/>
      </c>
      <c r="G45" s="679">
        <f>'IKARIA TECHO'!M668</f>
        <v/>
      </c>
      <c r="H45" s="679">
        <f>'IKARIA TECHO'!N668</f>
        <v/>
      </c>
      <c r="I45" s="683">
        <f>'IKARIA TECHO'!O668</f>
        <v/>
      </c>
    </row>
    <row r="46">
      <c r="A46" s="199" t="inlineStr">
        <is>
          <t xml:space="preserve">11.2 </t>
        </is>
      </c>
      <c r="B46" s="129" t="inlineStr">
        <is>
          <t>LOSA SANITARIA, GRIFERIA</t>
        </is>
      </c>
      <c r="C46" s="199" t="n">
        <v>1</v>
      </c>
      <c r="D46" s="199" t="inlineStr">
        <is>
          <t xml:space="preserve">Global </t>
        </is>
      </c>
      <c r="E46" s="679">
        <f>'IKARIA TECHO'!K697</f>
        <v/>
      </c>
      <c r="F46" s="679">
        <f>'IKARIA TECHO'!L697</f>
        <v/>
      </c>
      <c r="G46" s="679">
        <f>'IKARIA TECHO'!M697</f>
        <v/>
      </c>
      <c r="H46" s="679">
        <f>'IKARIA TECHO'!N697</f>
        <v/>
      </c>
      <c r="I46" s="683">
        <f>'IKARIA TECHO'!O697</f>
        <v/>
      </c>
    </row>
    <row r="47">
      <c r="A47" s="199" t="inlineStr">
        <is>
          <t xml:space="preserve">11.3 </t>
        </is>
      </c>
      <c r="B47" s="129" t="inlineStr">
        <is>
          <t>ACABADOS DE AZOTEA</t>
        </is>
      </c>
      <c r="C47" s="199" t="n">
        <v>1</v>
      </c>
      <c r="D47" s="199" t="inlineStr">
        <is>
          <t xml:space="preserve">Global </t>
        </is>
      </c>
      <c r="E47" s="679">
        <f>'IKARIA TECHO'!K717</f>
        <v/>
      </c>
      <c r="F47" s="679">
        <f>'IKARIA TECHO'!L717</f>
        <v/>
      </c>
      <c r="G47" s="679">
        <f>'IKARIA TECHO'!M717</f>
        <v/>
      </c>
      <c r="H47" s="679">
        <f>'IKARIA TECHO'!N717</f>
        <v/>
      </c>
      <c r="I47" s="683">
        <f>'IKARIA TECHO'!O717</f>
        <v/>
      </c>
    </row>
    <row r="48">
      <c r="A48" s="199" t="inlineStr">
        <is>
          <t>11.4</t>
        </is>
      </c>
      <c r="B48" s="129" t="inlineStr">
        <is>
          <t xml:space="preserve">PONCHEO FINAL </t>
        </is>
      </c>
      <c r="C48" s="199" t="n">
        <v>1</v>
      </c>
      <c r="D48" s="199" t="inlineStr">
        <is>
          <t xml:space="preserve">Global </t>
        </is>
      </c>
      <c r="E48" s="679">
        <f>'IKARIA TECHO'!K731</f>
        <v/>
      </c>
      <c r="F48" s="679">
        <f>'IKARIA TECHO'!L731</f>
        <v/>
      </c>
      <c r="G48" s="679">
        <f>'IKARIA TECHO'!M731</f>
        <v/>
      </c>
      <c r="H48" s="679">
        <f>'IKARIA TECHO'!N731</f>
        <v/>
      </c>
      <c r="I48" s="683">
        <f>'IKARIA TECHO'!O731</f>
        <v/>
      </c>
    </row>
    <row r="49">
      <c r="A49" s="372" t="n">
        <v>12</v>
      </c>
      <c r="B49" s="373" t="inlineStr">
        <is>
          <t xml:space="preserve">VENTANERIA </t>
        </is>
      </c>
      <c r="C49" s="374" t="n">
        <v>1</v>
      </c>
      <c r="D49" s="375" t="inlineStr">
        <is>
          <t xml:space="preserve">Global </t>
        </is>
      </c>
      <c r="E49" s="612">
        <f>E50</f>
        <v/>
      </c>
      <c r="F49" s="612">
        <f>F50</f>
        <v/>
      </c>
      <c r="G49" s="612">
        <f>G50</f>
        <v/>
      </c>
      <c r="H49" s="612">
        <f>H50</f>
        <v/>
      </c>
      <c r="I49" s="613">
        <f>I50</f>
        <v/>
      </c>
    </row>
    <row r="50">
      <c r="A50" s="199" t="inlineStr">
        <is>
          <t>12.1</t>
        </is>
      </c>
      <c r="B50" s="129" t="inlineStr">
        <is>
          <t xml:space="preserve">VENTANERIA </t>
        </is>
      </c>
      <c r="C50" s="199" t="n">
        <v>1</v>
      </c>
      <c r="D50" s="199" t="inlineStr">
        <is>
          <t xml:space="preserve">Global </t>
        </is>
      </c>
      <c r="E50" s="679">
        <f>'IKARIA TECHO'!K739</f>
        <v/>
      </c>
      <c r="F50" s="679">
        <f>'IKARIA TECHO'!L739</f>
        <v/>
      </c>
      <c r="G50" s="679">
        <f>'IKARIA TECHO'!M739</f>
        <v/>
      </c>
      <c r="H50" s="679">
        <f>'IKARIA TECHO'!N739</f>
        <v/>
      </c>
      <c r="I50" s="683">
        <f>'IKARIA TECHO'!O739</f>
        <v/>
      </c>
    </row>
    <row r="51">
      <c r="A51" s="372" t="n">
        <v>13</v>
      </c>
      <c r="B51" s="373" t="inlineStr">
        <is>
          <t xml:space="preserve">ELÉCTRICO </t>
        </is>
      </c>
      <c r="C51" s="374" t="n">
        <v>1</v>
      </c>
      <c r="D51" s="375" t="inlineStr">
        <is>
          <t xml:space="preserve">Global </t>
        </is>
      </c>
      <c r="E51" s="612">
        <f>SUM(E52:E60)</f>
        <v/>
      </c>
      <c r="F51" s="612">
        <f>SUM(F52:F60)</f>
        <v/>
      </c>
      <c r="G51" s="612">
        <f>SUM(G52:G60)</f>
        <v/>
      </c>
      <c r="H51" s="612">
        <f>SUM(H52:H60)</f>
        <v/>
      </c>
      <c r="I51" s="613">
        <f>SUM(I52:I60)</f>
        <v/>
      </c>
    </row>
    <row r="52">
      <c r="A52" s="199" t="inlineStr">
        <is>
          <t>13.1</t>
        </is>
      </c>
      <c r="B52" s="129" t="inlineStr">
        <is>
          <t>ACOMETIDA</t>
        </is>
      </c>
      <c r="C52" s="199" t="n">
        <v>1</v>
      </c>
      <c r="D52" s="199" t="inlineStr">
        <is>
          <t xml:space="preserve">Global </t>
        </is>
      </c>
      <c r="E52" s="679">
        <f>'IKARIA TECHO'!K744</f>
        <v/>
      </c>
      <c r="F52" s="679">
        <f>'IKARIA TECHO'!L744</f>
        <v/>
      </c>
      <c r="G52" s="679">
        <f>'IKARIA TECHO'!M744</f>
        <v/>
      </c>
      <c r="H52" s="679">
        <f>'IKARIA TECHO'!N744</f>
        <v/>
      </c>
      <c r="I52" s="683">
        <f>'IKARIA TECHO'!O744</f>
        <v/>
      </c>
    </row>
    <row r="53">
      <c r="A53" s="199" t="inlineStr">
        <is>
          <t xml:space="preserve">13.2 </t>
        </is>
      </c>
      <c r="B53" s="129" t="inlineStr">
        <is>
          <t>ELÉCTRICO LOSA</t>
        </is>
      </c>
      <c r="C53" s="199" t="n">
        <v>1</v>
      </c>
      <c r="D53" s="199" t="inlineStr">
        <is>
          <t xml:space="preserve">Global </t>
        </is>
      </c>
      <c r="E53" s="679">
        <f>'IKARIA TECHO'!K748</f>
        <v/>
      </c>
      <c r="F53" s="679">
        <f>'IKARIA TECHO'!L748</f>
        <v/>
      </c>
      <c r="G53" s="679">
        <f>'IKARIA TECHO'!M748</f>
        <v/>
      </c>
      <c r="H53" s="679">
        <f>'IKARIA TECHO'!N748</f>
        <v/>
      </c>
      <c r="I53" s="683">
        <f>'IKARIA TECHO'!O748</f>
        <v/>
      </c>
    </row>
    <row r="54">
      <c r="A54" s="199" t="inlineStr">
        <is>
          <t xml:space="preserve">13.3 </t>
        </is>
      </c>
      <c r="B54" s="129" t="inlineStr">
        <is>
          <t xml:space="preserve">ELÉCTRICO MUROS </t>
        </is>
      </c>
      <c r="C54" s="199" t="n">
        <v>1</v>
      </c>
      <c r="D54" s="199" t="inlineStr">
        <is>
          <t xml:space="preserve">Global </t>
        </is>
      </c>
      <c r="E54" s="679">
        <f>'IKARIA TECHO'!K752</f>
        <v/>
      </c>
      <c r="F54" s="679">
        <f>'IKARIA TECHO'!L752</f>
        <v/>
      </c>
      <c r="G54" s="679">
        <f>'IKARIA TECHO'!M752</f>
        <v/>
      </c>
      <c r="H54" s="679">
        <f>'IKARIA TECHO'!N752</f>
        <v/>
      </c>
      <c r="I54" s="683">
        <f>'IKARIA TECHO'!O752</f>
        <v/>
      </c>
    </row>
    <row r="55">
      <c r="A55" s="199" t="inlineStr">
        <is>
          <t>13.4</t>
        </is>
      </c>
      <c r="B55" s="129" t="inlineStr">
        <is>
          <t>BASE MEDIDOR</t>
        </is>
      </c>
      <c r="C55" s="199" t="n">
        <v>1</v>
      </c>
      <c r="D55" s="199" t="inlineStr">
        <is>
          <t xml:space="preserve">Global </t>
        </is>
      </c>
      <c r="E55" s="679">
        <f>'IKARIA TECHO'!K756</f>
        <v/>
      </c>
      <c r="F55" s="679">
        <f>'IKARIA TECHO'!L756</f>
        <v/>
      </c>
      <c r="G55" s="679">
        <f>'IKARIA TECHO'!M756</f>
        <v/>
      </c>
      <c r="H55" s="679">
        <f>'IKARIA TECHO'!N756</f>
        <v/>
      </c>
      <c r="I55" s="683">
        <f>'IKARIA TECHO'!O756</f>
        <v/>
      </c>
    </row>
    <row r="56">
      <c r="A56" s="199" t="inlineStr">
        <is>
          <t xml:space="preserve">13.5 </t>
        </is>
      </c>
      <c r="B56" s="129" t="inlineStr">
        <is>
          <t xml:space="preserve">ELÉCTRICO ILUMINACIÓN </t>
        </is>
      </c>
      <c r="C56" s="199" t="n">
        <v>1</v>
      </c>
      <c r="D56" s="199" t="inlineStr">
        <is>
          <t xml:space="preserve">Global </t>
        </is>
      </c>
      <c r="E56" s="679">
        <f>'IKARIA TECHO'!K762</f>
        <v/>
      </c>
      <c r="F56" s="679">
        <f>'IKARIA TECHO'!L762</f>
        <v/>
      </c>
      <c r="G56" s="679">
        <f>'IKARIA TECHO'!M762</f>
        <v/>
      </c>
      <c r="H56" s="679">
        <f>'IKARIA TECHO'!N762</f>
        <v/>
      </c>
      <c r="I56" s="683">
        <f>'IKARIA TECHO'!O762</f>
        <v/>
      </c>
    </row>
    <row r="57">
      <c r="A57" s="199" t="inlineStr">
        <is>
          <t xml:space="preserve">13.6 </t>
        </is>
      </c>
      <c r="B57" s="129" t="inlineStr">
        <is>
          <t xml:space="preserve">TABLERO ELÉCTRICO </t>
        </is>
      </c>
      <c r="C57" s="199" t="n">
        <v>1</v>
      </c>
      <c r="D57" s="199" t="inlineStr">
        <is>
          <t xml:space="preserve">Global </t>
        </is>
      </c>
      <c r="E57" s="679">
        <f>'IKARIA TECHO'!K771</f>
        <v/>
      </c>
      <c r="F57" s="679">
        <f>'IKARIA TECHO'!L771</f>
        <v/>
      </c>
      <c r="G57" s="679">
        <f>'IKARIA TECHO'!M771</f>
        <v/>
      </c>
      <c r="H57" s="679">
        <f>'IKARIA TECHO'!N771</f>
        <v/>
      </c>
      <c r="I57" s="683">
        <f>'IKARIA TECHO'!O771</f>
        <v/>
      </c>
    </row>
    <row r="58">
      <c r="A58" s="199" t="inlineStr">
        <is>
          <t xml:space="preserve">13.7 </t>
        </is>
      </c>
      <c r="B58" s="129" t="inlineStr">
        <is>
          <t xml:space="preserve">CABLEADO ELÉCTRICO </t>
        </is>
      </c>
      <c r="C58" s="199" t="n">
        <v>1</v>
      </c>
      <c r="D58" s="199" t="inlineStr">
        <is>
          <t xml:space="preserve">Global </t>
        </is>
      </c>
      <c r="E58" s="679">
        <f>'IKARIA TECHO'!K781</f>
        <v/>
      </c>
      <c r="F58" s="679">
        <f>'IKARIA TECHO'!L781</f>
        <v/>
      </c>
      <c r="G58" s="679">
        <f>'IKARIA TECHO'!M781</f>
        <v/>
      </c>
      <c r="H58" s="679">
        <f>'IKARIA TECHO'!N781</f>
        <v/>
      </c>
      <c r="I58" s="683">
        <f>'IKARIA TECHO'!O781</f>
        <v/>
      </c>
    </row>
    <row r="59">
      <c r="A59" s="199" t="inlineStr">
        <is>
          <t xml:space="preserve">13.8 </t>
        </is>
      </c>
      <c r="B59" s="129" t="inlineStr">
        <is>
          <t xml:space="preserve">PLAQUERIA </t>
        </is>
      </c>
      <c r="C59" s="199" t="n">
        <v>1</v>
      </c>
      <c r="D59" s="199" t="inlineStr">
        <is>
          <t xml:space="preserve">Global </t>
        </is>
      </c>
      <c r="E59" s="679">
        <f>'IKARIA TECHO'!K813</f>
        <v/>
      </c>
      <c r="F59" s="679">
        <f>'IKARIA TECHO'!L813</f>
        <v/>
      </c>
      <c r="G59" s="679">
        <f>'IKARIA TECHO'!M813</f>
        <v/>
      </c>
      <c r="H59" s="679">
        <f>'IKARIA TECHO'!N813</f>
        <v/>
      </c>
      <c r="I59" s="683">
        <f>'IKARIA TECHO'!O813</f>
        <v/>
      </c>
    </row>
    <row r="60">
      <c r="A60" s="199" t="inlineStr">
        <is>
          <t xml:space="preserve">13.9 </t>
        </is>
      </c>
      <c r="B60" s="129" t="inlineStr">
        <is>
          <t>ACABADOS FINALES Y BREAKERS</t>
        </is>
      </c>
      <c r="C60" s="199" t="n">
        <v>1</v>
      </c>
      <c r="D60" s="199" t="inlineStr">
        <is>
          <t xml:space="preserve">Global </t>
        </is>
      </c>
      <c r="E60" s="679">
        <f>'IKARIA TECHO'!K822</f>
        <v/>
      </c>
      <c r="F60" s="679">
        <f>'IKARIA TECHO'!L822</f>
        <v/>
      </c>
      <c r="G60" s="679">
        <f>'IKARIA TECHO'!M822</f>
        <v/>
      </c>
      <c r="H60" s="679">
        <f>'IKARIA TECHO'!N822</f>
        <v/>
      </c>
      <c r="I60" s="683">
        <f>'IKARIA TECHO'!O822</f>
        <v/>
      </c>
    </row>
    <row r="61">
      <c r="A61" s="372" t="n">
        <v>14</v>
      </c>
      <c r="B61" s="373" t="inlineStr">
        <is>
          <t xml:space="preserve">MECÁNICO </t>
        </is>
      </c>
      <c r="C61" s="374" t="n">
        <v>1</v>
      </c>
      <c r="D61" s="375" t="inlineStr">
        <is>
          <t xml:space="preserve">Global </t>
        </is>
      </c>
      <c r="E61" s="612">
        <f>SUM(E62:E64)</f>
        <v/>
      </c>
      <c r="F61" s="612">
        <f>SUM(F62:F64)</f>
        <v/>
      </c>
      <c r="G61" s="612">
        <f>SUM(G62:G64)</f>
        <v/>
      </c>
      <c r="H61" s="612">
        <f>SUM(H62:H64)</f>
        <v/>
      </c>
      <c r="I61" s="613">
        <f>SUM(I62:I64)</f>
        <v/>
      </c>
    </row>
    <row r="62">
      <c r="A62" s="199" t="inlineStr">
        <is>
          <t>14.03</t>
        </is>
      </c>
      <c r="B62" s="129" t="inlineStr">
        <is>
          <t xml:space="preserve">CAJAS Y TUBERIAS MECÁNICAS </t>
        </is>
      </c>
      <c r="C62" s="199" t="n">
        <v>1</v>
      </c>
      <c r="D62" s="199" t="inlineStr">
        <is>
          <t xml:space="preserve">Global </t>
        </is>
      </c>
      <c r="E62" s="679">
        <f>'IKARIA TECHO'!K835</f>
        <v/>
      </c>
      <c r="F62" s="679">
        <f>'IKARIA TECHO'!L835</f>
        <v/>
      </c>
      <c r="G62" s="679">
        <f>'IKARIA TECHO'!M835</f>
        <v/>
      </c>
      <c r="H62" s="679">
        <f>'IKARIA TECHO'!N835</f>
        <v/>
      </c>
      <c r="I62" s="683">
        <f>'IKARIA TECHO'!O835</f>
        <v/>
      </c>
    </row>
    <row r="63">
      <c r="A63" s="199" t="inlineStr">
        <is>
          <t>14.04</t>
        </is>
      </c>
      <c r="B63" s="129" t="inlineStr">
        <is>
          <t xml:space="preserve">BAJANTES </t>
        </is>
      </c>
      <c r="C63" s="199" t="n">
        <v>1</v>
      </c>
      <c r="D63" s="199" t="inlineStr">
        <is>
          <t xml:space="preserve">Global </t>
        </is>
      </c>
      <c r="E63" s="679">
        <f>'IKARIA TECHO'!K851</f>
        <v/>
      </c>
      <c r="F63" s="679">
        <f>'IKARIA TECHO'!L851</f>
        <v/>
      </c>
      <c r="G63" s="679">
        <f>'IKARIA TECHO'!M851</f>
        <v/>
      </c>
      <c r="H63" s="679">
        <f>'IKARIA TECHO'!N851</f>
        <v/>
      </c>
      <c r="I63" s="683">
        <f>'IKARIA TECHO'!O851</f>
        <v/>
      </c>
    </row>
    <row r="64">
      <c r="A64" s="199" t="inlineStr">
        <is>
          <t>14.05</t>
        </is>
      </c>
      <c r="B64" s="129" t="inlineStr">
        <is>
          <t xml:space="preserve">ACABADOS MECÁNICOS </t>
        </is>
      </c>
      <c r="C64" s="199" t="n">
        <v>1</v>
      </c>
      <c r="D64" s="199" t="inlineStr">
        <is>
          <t xml:space="preserve">Global </t>
        </is>
      </c>
      <c r="E64" s="679">
        <f>'IKARIA TECHO'!K857</f>
        <v/>
      </c>
      <c r="F64" s="679">
        <f>'IKARIA TECHO'!L857</f>
        <v/>
      </c>
      <c r="G64" s="679">
        <f>'IKARIA TECHO'!M857</f>
        <v/>
      </c>
      <c r="H64" s="679">
        <f>'IKARIA TECHO'!N857</f>
        <v/>
      </c>
      <c r="I64" s="683">
        <f>'IKARIA TECHO'!O857</f>
        <v/>
      </c>
    </row>
    <row r="65">
      <c r="A65" s="372" t="n">
        <v>15</v>
      </c>
      <c r="B65" s="373" t="inlineStr">
        <is>
          <t xml:space="preserve">ALQUILERES </t>
        </is>
      </c>
      <c r="C65" s="374" t="n">
        <v>1</v>
      </c>
      <c r="D65" s="375" t="inlineStr">
        <is>
          <t xml:space="preserve">Global </t>
        </is>
      </c>
      <c r="E65" s="612">
        <f>E66</f>
        <v/>
      </c>
      <c r="F65" s="612">
        <f>F66</f>
        <v/>
      </c>
      <c r="G65" s="612">
        <f>G66</f>
        <v/>
      </c>
      <c r="H65" s="612">
        <f>H66</f>
        <v/>
      </c>
      <c r="I65" s="613">
        <f>I66</f>
        <v/>
      </c>
    </row>
    <row r="66">
      <c r="A66" s="199" t="inlineStr">
        <is>
          <t xml:space="preserve">15.1 </t>
        </is>
      </c>
      <c r="B66" s="129" t="inlineStr">
        <is>
          <t xml:space="preserve">ALQUILERES </t>
        </is>
      </c>
      <c r="C66" s="199" t="n">
        <v>1</v>
      </c>
      <c r="D66" s="199" t="inlineStr">
        <is>
          <t xml:space="preserve">Global </t>
        </is>
      </c>
      <c r="E66" s="679">
        <f>'IKARIA TECHO'!K887</f>
        <v/>
      </c>
      <c r="F66" s="679">
        <f>'IKARIA TECHO'!L887</f>
        <v/>
      </c>
      <c r="G66" s="679">
        <f>'IKARIA TECHO'!M887</f>
        <v/>
      </c>
      <c r="H66" s="679">
        <f>'IKARIA TECHO'!N887</f>
        <v/>
      </c>
      <c r="I66" s="683">
        <f>'IKARIA TECHO'!O887</f>
        <v/>
      </c>
    </row>
    <row r="67">
      <c r="A67" s="372" t="n">
        <v>16</v>
      </c>
      <c r="B67" s="373" t="inlineStr">
        <is>
          <t xml:space="preserve">MANO DE OBRA </t>
        </is>
      </c>
      <c r="C67" s="374" t="n">
        <v>1</v>
      </c>
      <c r="D67" s="375" t="inlineStr">
        <is>
          <t xml:space="preserve">Global </t>
        </is>
      </c>
      <c r="E67" s="612">
        <f>'IKARIA TECHO'!K906</f>
        <v/>
      </c>
      <c r="F67" s="612">
        <f>F68</f>
        <v/>
      </c>
      <c r="G67" s="612">
        <f>G68</f>
        <v/>
      </c>
      <c r="H67" s="612">
        <f>H68</f>
        <v/>
      </c>
      <c r="I67" s="613">
        <f>I68</f>
        <v/>
      </c>
    </row>
    <row r="68">
      <c r="A68" s="199" t="inlineStr">
        <is>
          <t xml:space="preserve">16.1 </t>
        </is>
      </c>
      <c r="B68" s="129" t="inlineStr">
        <is>
          <t xml:space="preserve">MANO DE OBRA </t>
        </is>
      </c>
      <c r="C68" s="199" t="n">
        <v>1</v>
      </c>
      <c r="D68" s="199" t="inlineStr">
        <is>
          <t xml:space="preserve">Global </t>
        </is>
      </c>
      <c r="E68" s="679">
        <f>'IKARIA TECHO'!K906</f>
        <v/>
      </c>
      <c r="F68" s="679">
        <f>'IKARIA TECHO'!L906</f>
        <v/>
      </c>
      <c r="G68" s="679">
        <f>'IKARIA TECHO'!M906</f>
        <v/>
      </c>
      <c r="H68" s="679">
        <f>'IKARIA TECHO'!N906</f>
        <v/>
      </c>
      <c r="I68" s="679">
        <f>'IKARIA TECHO'!O906</f>
        <v/>
      </c>
      <c r="K68" s="127" t="inlineStr">
        <is>
          <t xml:space="preserve">VERFICACION </t>
        </is>
      </c>
      <c r="L68" s="684">
        <f>H70-'IKARIA TECHO'!N910</f>
        <v/>
      </c>
    </row>
    <row r="69">
      <c r="A69" s="71" t="n"/>
      <c r="C69" s="71" t="n"/>
      <c r="D69" s="199" t="n"/>
      <c r="E69" s="679" t="n"/>
      <c r="F69" s="679" t="n"/>
      <c r="G69" s="679" t="n"/>
      <c r="H69" s="679" t="n"/>
      <c r="I69" s="679" t="n"/>
      <c r="L69" s="685" t="n"/>
    </row>
    <row r="70">
      <c r="D70" s="484" t="inlineStr">
        <is>
          <t xml:space="preserve">TOTAL </t>
        </is>
      </c>
      <c r="E70" s="680">
        <f>SUM(E4:E68)/2</f>
        <v/>
      </c>
      <c r="F70" s="680">
        <f>SUM(F4:F68)/2</f>
        <v/>
      </c>
      <c r="G70" s="680">
        <f>SUM(G4:G68)/2</f>
        <v/>
      </c>
      <c r="H70" s="680">
        <f>SUM(H4:H68)/2</f>
        <v/>
      </c>
      <c r="I70" s="682">
        <f>SUM(I4:I68)/2</f>
        <v/>
      </c>
    </row>
    <row r="77">
      <c r="B77" s="686" t="inlineStr">
        <is>
          <t xml:space="preserve">Hechura cubierta techo </t>
        </is>
      </c>
      <c r="C77" s="199" t="inlineStr">
        <is>
          <t xml:space="preserve">m2 </t>
        </is>
      </c>
      <c r="D77" s="129" t="inlineStr">
        <is>
          <t xml:space="preserve">Costo/m2 </t>
        </is>
      </c>
      <c r="E77" s="199" t="inlineStr">
        <is>
          <t xml:space="preserve">Costo Total </t>
        </is>
      </c>
    </row>
    <row r="78">
      <c r="B78" s="88" t="n"/>
      <c r="C78" s="143">
        <f>62.05-2.19</f>
        <v/>
      </c>
      <c r="D78" s="687" t="n">
        <v>3400</v>
      </c>
      <c r="E78" s="688">
        <f>C78*D78</f>
        <v/>
      </c>
    </row>
    <row r="80">
      <c r="C80" s="605" t="inlineStr">
        <is>
          <t xml:space="preserve">FC=210 kg/cm2 REGULAR </t>
        </is>
      </c>
      <c r="D80" s="462" t="n"/>
      <c r="E80" s="461" t="n"/>
    </row>
    <row r="81" ht="41.25" customHeight="1">
      <c r="B81" s="686" t="inlineStr">
        <is>
          <t xml:space="preserve">Hechura concreto </t>
        </is>
      </c>
      <c r="C81" s="177" t="inlineStr">
        <is>
          <t>Costo adelante (m3)</t>
        </is>
      </c>
      <c r="D81" s="177" t="inlineStr">
        <is>
          <t>Costo Orosi (m3)</t>
        </is>
      </c>
      <c r="E81" s="154" t="inlineStr">
        <is>
          <t>Hechura (m3)</t>
        </is>
      </c>
    </row>
    <row r="82">
      <c r="B82" s="88" t="n"/>
      <c r="C82" s="687" t="n">
        <v>61339.06402093986</v>
      </c>
      <c r="D82" s="687" t="n">
        <v>75000</v>
      </c>
      <c r="E82" s="688">
        <f>D82-C82</f>
        <v/>
      </c>
    </row>
    <row r="85" ht="27.75" customHeight="1">
      <c r="B85" s="686" t="inlineStr">
        <is>
          <t xml:space="preserve">Bomba de concreto </t>
        </is>
      </c>
      <c r="C85" s="177" t="inlineStr">
        <is>
          <t>Costo Orosi costo/(m3)</t>
        </is>
      </c>
    </row>
    <row r="86">
      <c r="B86" s="88" t="n"/>
      <c r="C86" s="689">
        <f>(129807.75*1.04)/15</f>
        <v/>
      </c>
    </row>
  </sheetData>
  <mergeCells count="4">
    <mergeCell ref="B77:B78"/>
    <mergeCell ref="C80:E80"/>
    <mergeCell ref="B85:B86"/>
    <mergeCell ref="B81:B8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O1738"/>
  <sheetViews>
    <sheetView workbookViewId="0">
      <selection activeCell="F1739" sqref="F1739"/>
    </sheetView>
  </sheetViews>
  <sheetFormatPr baseColWidth="8" defaultColWidth="11.1640625" defaultRowHeight="15"/>
  <cols>
    <col width="12.5078125" customWidth="1" style="71" min="1" max="1"/>
    <col width="15.33203125" customWidth="1" style="129" min="2" max="2"/>
    <col width="65.109375" bestFit="1" customWidth="1" style="153" min="3" max="3"/>
    <col width="13.31640625" bestFit="1" customWidth="1" style="143" min="4" max="4"/>
    <col width="20.4453125" bestFit="1" customWidth="1" min="6" max="6"/>
    <col width="22.05859375" bestFit="1" customWidth="1" min="7" max="7"/>
    <col width="20.984375" bestFit="1" customWidth="1" min="9" max="9"/>
    <col width="15.46875" bestFit="1" customWidth="1" style="153" min="10" max="10"/>
    <col width="34.16796875" bestFit="1" customWidth="1" style="154" min="11" max="11"/>
  </cols>
  <sheetData>
    <row r="1" ht="41.25" customHeight="1">
      <c r="A1" s="583" t="inlineStr">
        <is>
          <t>CODIGO ACUMATICA</t>
        </is>
      </c>
      <c r="B1" s="145" t="inlineStr">
        <is>
          <t xml:space="preserve">CODIGO </t>
        </is>
      </c>
      <c r="C1" s="147" t="inlineStr">
        <is>
          <t xml:space="preserve">DESCRIPCION </t>
        </is>
      </c>
      <c r="D1" s="143" t="inlineStr">
        <is>
          <t>UNIDAD</t>
        </is>
      </c>
      <c r="E1" s="690" t="inlineStr">
        <is>
          <t xml:space="preserve">PRECIO </t>
        </is>
      </c>
      <c r="F1" s="146" t="inlineStr">
        <is>
          <t xml:space="preserve">PRECIO CON IVA </t>
        </is>
      </c>
      <c r="G1" s="145" t="inlineStr">
        <is>
          <t xml:space="preserve">PRECIO ANTERIOR </t>
        </is>
      </c>
      <c r="H1" s="147" t="inlineStr">
        <is>
          <t xml:space="preserve">DIFERENCIA </t>
        </is>
      </c>
      <c r="I1" s="147" t="inlineStr">
        <is>
          <t xml:space="preserve">OBSERVACIONES </t>
        </is>
      </c>
      <c r="J1" s="148" t="inlineStr">
        <is>
          <t xml:space="preserve">FECHA ÚLTIMO MOVIMIENTO </t>
        </is>
      </c>
      <c r="K1" s="145" t="inlineStr">
        <is>
          <t xml:space="preserve">FAMILIA DEL INSUMO </t>
        </is>
      </c>
    </row>
    <row r="2" ht="20.45" customHeight="1">
      <c r="A2" s="135" t="n"/>
      <c r="B2" s="142" t="inlineStr">
        <is>
          <t>EQU20-0001</t>
        </is>
      </c>
      <c r="C2" s="691" t="inlineStr">
        <is>
          <t>ACEITE 15W40</t>
        </is>
      </c>
      <c r="D2" s="692" t="inlineStr">
        <is>
          <t>UND</t>
        </is>
      </c>
      <c r="E2" s="693" t="n">
        <v>4821.3212</v>
      </c>
      <c r="F2" s="694">
        <f>E2*$N$2</f>
        <v/>
      </c>
      <c r="G2" s="695" t="n">
        <v>0</v>
      </c>
      <c r="H2" s="696">
        <f>F2-G2</f>
        <v/>
      </c>
      <c r="I2" s="151" t="n"/>
      <c r="J2" s="152" t="n">
        <v>44695</v>
      </c>
      <c r="K2" s="692" t="inlineStr">
        <is>
          <t>REPUESTOS-COMBUSTIBLES</t>
        </is>
      </c>
      <c r="M2" s="168" t="inlineStr">
        <is>
          <t xml:space="preserve">IVA </t>
        </is>
      </c>
      <c r="N2" s="168" t="n">
        <v>1.13</v>
      </c>
      <c r="O2" t="inlineStr">
        <is>
          <t xml:space="preserve">GENERAL </t>
        </is>
      </c>
    </row>
    <row r="3">
      <c r="A3" s="430">
        <f>_xlfn.XLOOKUP(B3,'INSUMOS MAT '!B:B,'INSUMOS MAT '!C:C,"ERROR",0)</f>
        <v/>
      </c>
      <c r="B3" s="142" t="inlineStr">
        <is>
          <t>MAT05-0105</t>
        </is>
      </c>
      <c r="C3" s="691" t="inlineStr">
        <is>
          <t>ACERO SUAVE BLANCO 0.44 X 914</t>
        </is>
      </c>
      <c r="D3" s="692" t="inlineStr">
        <is>
          <t>KG</t>
        </is>
      </c>
      <c r="E3" s="693" t="n">
        <v>1581.5384</v>
      </c>
      <c r="F3" s="694">
        <f>E3*$N$2</f>
        <v/>
      </c>
      <c r="G3" s="695" t="n">
        <v>0</v>
      </c>
      <c r="H3" s="696">
        <f>F3-G3</f>
        <v/>
      </c>
      <c r="I3" s="151" t="n"/>
      <c r="J3" s="152" t="n">
        <v>44720</v>
      </c>
      <c r="K3" s="692" t="inlineStr">
        <is>
          <t>CUBIERTAS E IMPERMEBILIZANTES</t>
        </is>
      </c>
      <c r="M3" s="141" t="inlineStr">
        <is>
          <t xml:space="preserve">IVA </t>
        </is>
      </c>
      <c r="N3" s="141" t="n">
        <v>1.1</v>
      </c>
      <c r="O3" s="158" t="inlineStr">
        <is>
          <t xml:space="preserve">MADERA </t>
        </is>
      </c>
    </row>
    <row r="4" ht="20.1" customHeight="1">
      <c r="A4" s="430">
        <f>_xlfn.XLOOKUP(B4,'INSUMOS MAT '!B:B,'INSUMOS MAT '!C:C,"ERROR",0)</f>
        <v/>
      </c>
      <c r="B4" s="142" t="inlineStr">
        <is>
          <t>MAT08-0003</t>
        </is>
      </c>
      <c r="C4" s="691" t="inlineStr">
        <is>
          <t>ACETONA</t>
        </is>
      </c>
      <c r="D4" s="692" t="inlineStr">
        <is>
          <t>LITRO</t>
        </is>
      </c>
      <c r="E4" s="693" t="n">
        <v>6171.11</v>
      </c>
      <c r="F4" s="694">
        <f>E4*$N$2</f>
        <v/>
      </c>
      <c r="G4" s="695" t="n">
        <v>0</v>
      </c>
      <c r="H4" s="696">
        <f>F4-G4</f>
        <v/>
      </c>
      <c r="I4" s="151" t="n"/>
      <c r="J4" s="152" t="n">
        <v>44715</v>
      </c>
      <c r="K4" s="692" t="inlineStr">
        <is>
          <t>FERRETERIA GENERAL</t>
        </is>
      </c>
      <c r="M4" s="141" t="inlineStr">
        <is>
          <t xml:space="preserve">IVA </t>
        </is>
      </c>
      <c r="N4" s="141" t="n">
        <v>1</v>
      </c>
      <c r="O4" s="158" t="inlineStr">
        <is>
          <t xml:space="preserve">SIN IVA </t>
        </is>
      </c>
    </row>
    <row r="5" ht="20.1" customHeight="1">
      <c r="A5" s="430">
        <f>_xlfn.XLOOKUP(B5,'INSUMOS MAT '!B:B,'INSUMOS MAT '!C:C,"ERROR",0)</f>
        <v/>
      </c>
      <c r="B5" s="142" t="inlineStr">
        <is>
          <t>MAT08-0310</t>
        </is>
      </c>
      <c r="C5" s="691" t="inlineStr">
        <is>
          <t>ACIDO</t>
        </is>
      </c>
      <c r="D5" s="692" t="inlineStr">
        <is>
          <t>GALON</t>
        </is>
      </c>
      <c r="E5" s="693" t="n">
        <v>3001.78</v>
      </c>
      <c r="F5" s="694">
        <f>E5*$N$2</f>
        <v/>
      </c>
      <c r="G5" s="695" t="n">
        <v>0</v>
      </c>
      <c r="H5" s="696">
        <f>F5-G5</f>
        <v/>
      </c>
      <c r="I5" s="151" t="n"/>
      <c r="J5" s="152" t="n">
        <v>44707</v>
      </c>
      <c r="K5" s="692" t="inlineStr">
        <is>
          <t>FERRETERIA GENERAL</t>
        </is>
      </c>
    </row>
    <row r="6" ht="20.1" customHeight="1">
      <c r="A6" s="430">
        <f>_xlfn.XLOOKUP(B6,'INSUMOS MAT '!B:B,'INSUMOS MAT '!C:C,"ERROR",0)</f>
        <v/>
      </c>
      <c r="B6" s="142" t="inlineStr">
        <is>
          <t>MAT08-0005</t>
        </is>
      </c>
      <c r="C6" s="691" t="inlineStr">
        <is>
          <t>ACOPLE HEMBRA POLIETILENO 12MM</t>
        </is>
      </c>
      <c r="D6" s="692" t="inlineStr">
        <is>
          <t>UND</t>
        </is>
      </c>
      <c r="E6" s="693" t="n">
        <v>3046.9321</v>
      </c>
      <c r="F6" s="694">
        <f>E6*$N$2</f>
        <v/>
      </c>
      <c r="G6" s="695" t="n">
        <v>0</v>
      </c>
      <c r="H6" s="696">
        <f>F6-G6</f>
        <v/>
      </c>
      <c r="I6" s="151" t="n"/>
      <c r="J6" s="152" t="n">
        <v>44692</v>
      </c>
      <c r="K6" s="692" t="inlineStr">
        <is>
          <t>FERRETERIA GENERAL</t>
        </is>
      </c>
    </row>
    <row r="7" ht="20.1" customHeight="1">
      <c r="A7" s="430">
        <f>_xlfn.XLOOKUP(B7,'INSUMOS MAT '!B:B,'INSUMOS MAT '!C:C,"ERROR",0)</f>
        <v/>
      </c>
      <c r="B7" s="142" t="inlineStr">
        <is>
          <t>MAT08-0481</t>
        </is>
      </c>
      <c r="C7" s="691" t="inlineStr">
        <is>
          <t>ACOPLE MACHO DE POLIETILENO 12MM</t>
        </is>
      </c>
      <c r="D7" s="692" t="inlineStr">
        <is>
          <t>UND</t>
        </is>
      </c>
      <c r="E7" s="693" t="n">
        <v>2251.638</v>
      </c>
      <c r="F7" s="694">
        <f>E7*$N$2</f>
        <v/>
      </c>
      <c r="G7" s="695" t="n">
        <v>0</v>
      </c>
      <c r="H7" s="696">
        <f>F7-G7</f>
        <v/>
      </c>
      <c r="I7" s="151" t="n"/>
      <c r="J7" s="152" t="n">
        <v>44700</v>
      </c>
      <c r="K7" s="692" t="inlineStr">
        <is>
          <t>FERRETERIA GENERAL</t>
        </is>
      </c>
    </row>
    <row r="8">
      <c r="A8" s="430">
        <f>_xlfn.XLOOKUP(B8,'INSUMOS MAT '!B:B,'INSUMOS MAT '!C:C,"ERROR",0)</f>
        <v/>
      </c>
      <c r="B8" s="142" t="inlineStr">
        <is>
          <t>MAT06-0004</t>
        </is>
      </c>
      <c r="C8" s="691" t="inlineStr">
        <is>
          <t>ADAPT SECILLO 1 MODULO 5521-5EW  DECORADOR BLANCO</t>
        </is>
      </c>
      <c r="D8" s="692" t="inlineStr">
        <is>
          <t>UND</t>
        </is>
      </c>
      <c r="E8" s="693" t="n">
        <v>2803.2737</v>
      </c>
      <c r="F8" s="694">
        <f>E8*$N$2</f>
        <v/>
      </c>
      <c r="G8" s="695" t="n">
        <v>0</v>
      </c>
      <c r="H8" s="696">
        <f>F8-G8</f>
        <v/>
      </c>
      <c r="I8" s="151" t="n"/>
      <c r="J8" s="152" t="n">
        <v>44715</v>
      </c>
      <c r="K8" s="692" t="inlineStr">
        <is>
          <t>ELECTRICO</t>
        </is>
      </c>
    </row>
    <row r="9">
      <c r="A9" s="430">
        <f>_xlfn.XLOOKUP(B9,'INSUMOS MAT '!B:B,'INSUMOS MAT '!C:C,"ERROR",0)</f>
        <v/>
      </c>
      <c r="B9" s="142" t="inlineStr">
        <is>
          <t>MAT06-0005</t>
        </is>
      </c>
      <c r="C9" s="691" t="inlineStr">
        <is>
          <t>ADAPTA DOBLE 2 MODULOS 5522-5EW DECORADOR BLANCO</t>
        </is>
      </c>
      <c r="D9" s="692" t="inlineStr">
        <is>
          <t>UND</t>
        </is>
      </c>
      <c r="E9" s="693" t="n">
        <v>688.2492</v>
      </c>
      <c r="F9" s="694">
        <f>E9*$N$2</f>
        <v/>
      </c>
      <c r="G9" s="695" t="n">
        <v>0</v>
      </c>
      <c r="H9" s="696">
        <f>F9-G9</f>
        <v/>
      </c>
      <c r="I9" s="151" t="n"/>
      <c r="J9" s="152" t="n">
        <v>44714</v>
      </c>
      <c r="K9" s="692" t="inlineStr">
        <is>
          <t>ELECTRICO</t>
        </is>
      </c>
    </row>
    <row r="10" ht="20.1" customHeight="1">
      <c r="A10" s="430">
        <f>_xlfn.XLOOKUP(B10,'INSUMOS MAT '!B:B,'INSUMOS MAT '!C:C,"ERROR",0)</f>
        <v/>
      </c>
      <c r="B10" s="142" t="inlineStr">
        <is>
          <t>MAT19-0171</t>
        </is>
      </c>
      <c r="C10" s="691" t="inlineStr">
        <is>
          <t>ADAPTADOR TRAMPA 1 1/2"  A 1 1/4"</t>
        </is>
      </c>
      <c r="D10" s="692" t="inlineStr">
        <is>
          <t>UND</t>
        </is>
      </c>
      <c r="E10" s="693" t="n">
        <v>1196.9865</v>
      </c>
      <c r="F10" s="694">
        <f>E10*$N$2</f>
        <v/>
      </c>
      <c r="G10" s="695" t="n">
        <v>0</v>
      </c>
      <c r="H10" s="696">
        <f>F10-G10</f>
        <v/>
      </c>
      <c r="I10" s="151" t="n"/>
      <c r="J10" s="152" t="n">
        <v>44692</v>
      </c>
      <c r="K10" s="692" t="inlineStr">
        <is>
          <t>PVC</t>
        </is>
      </c>
    </row>
    <row r="11" ht="20.1" customHeight="1">
      <c r="A11" s="430">
        <f>_xlfn.XLOOKUP(B11,'INSUMOS MAT '!B:B,'INSUMOS MAT '!C:C,"ERROR",0)</f>
        <v/>
      </c>
      <c r="B11" s="142" t="inlineStr">
        <is>
          <t>MAT19-0003</t>
        </is>
      </c>
      <c r="C11" s="691" t="inlineStr">
        <is>
          <t>ADAPTADOR HEMBRA CPVC 1/2"</t>
        </is>
      </c>
      <c r="D11" s="692" t="inlineStr">
        <is>
          <t>UND</t>
        </is>
      </c>
      <c r="E11" s="693" t="n">
        <v>1132.77</v>
      </c>
      <c r="F11" s="694">
        <f>E11*$N$2</f>
        <v/>
      </c>
      <c r="G11" s="695" t="n">
        <v>0</v>
      </c>
      <c r="H11" s="696">
        <f>F11-G11</f>
        <v/>
      </c>
      <c r="I11" s="151" t="n"/>
      <c r="J11" s="152" t="n">
        <v>44692</v>
      </c>
      <c r="K11" s="692" t="inlineStr">
        <is>
          <t>PVC</t>
        </is>
      </c>
    </row>
    <row r="12" ht="20.1" customHeight="1">
      <c r="A12" s="430">
        <f>_xlfn.XLOOKUP(B12,'INSUMOS MAT '!B:B,'INSUMOS MAT '!C:C,"ERROR",0)</f>
        <v/>
      </c>
      <c r="B12" s="142" t="inlineStr">
        <is>
          <t>MAT19-0004</t>
        </is>
      </c>
      <c r="C12" s="691" t="inlineStr">
        <is>
          <t>ADAPTADOR HEMBRA PVC 1 1/2"</t>
        </is>
      </c>
      <c r="D12" s="692" t="inlineStr">
        <is>
          <t>UND</t>
        </is>
      </c>
      <c r="E12" s="693" t="n">
        <v>755.79</v>
      </c>
      <c r="F12" s="694">
        <f>E12*$N$2</f>
        <v/>
      </c>
      <c r="G12" s="695" t="n">
        <v>0</v>
      </c>
      <c r="H12" s="696">
        <f>F12-G12</f>
        <v/>
      </c>
      <c r="I12" s="151" t="n"/>
      <c r="J12" s="152" t="n">
        <v>44720</v>
      </c>
      <c r="K12" s="692" t="inlineStr">
        <is>
          <t>PVC</t>
        </is>
      </c>
    </row>
    <row r="13" ht="20.1" customHeight="1">
      <c r="A13" s="430">
        <f>_xlfn.XLOOKUP(B13,'INSUMOS MAT '!B:B,'INSUMOS MAT '!C:C,"ERROR",0)</f>
        <v/>
      </c>
      <c r="B13" s="142" t="inlineStr">
        <is>
          <t>MAT19-0005</t>
        </is>
      </c>
      <c r="C13" s="691" t="inlineStr">
        <is>
          <t>ADAPTADOR HEMBRA PVC 1 1/4"</t>
        </is>
      </c>
      <c r="D13" s="692" t="inlineStr">
        <is>
          <t>UND</t>
        </is>
      </c>
      <c r="E13" s="693" t="n">
        <v>652.5700000000001</v>
      </c>
      <c r="F13" s="694">
        <f>E13*$N$2</f>
        <v/>
      </c>
      <c r="G13" s="695" t="n">
        <v>0</v>
      </c>
      <c r="H13" s="696">
        <f>F13-G13</f>
        <v/>
      </c>
      <c r="I13" s="151" t="n"/>
      <c r="J13" s="152" t="n">
        <v>44701</v>
      </c>
      <c r="K13" s="692" t="inlineStr">
        <is>
          <t>PVC</t>
        </is>
      </c>
    </row>
    <row r="14" ht="20.1" customHeight="1">
      <c r="A14" s="430">
        <f>_xlfn.XLOOKUP(B14,'INSUMOS MAT '!B:B,'INSUMOS MAT '!C:C,"ERROR",0)</f>
        <v/>
      </c>
      <c r="B14" s="142" t="inlineStr">
        <is>
          <t>MAT19-0006</t>
        </is>
      </c>
      <c r="C14" s="691" t="inlineStr">
        <is>
          <t>ADAPTADOR HEMBRA PVC 1/2"</t>
        </is>
      </c>
      <c r="D14" s="692" t="inlineStr">
        <is>
          <t>UND</t>
        </is>
      </c>
      <c r="E14" s="693" t="n">
        <v>163.6</v>
      </c>
      <c r="F14" s="694">
        <f>E14*$N$2</f>
        <v/>
      </c>
      <c r="G14" s="695" t="n">
        <v>0</v>
      </c>
      <c r="H14" s="696">
        <f>F14-G14</f>
        <v/>
      </c>
      <c r="I14" s="151" t="n"/>
      <c r="J14" s="152" t="n">
        <v>44692</v>
      </c>
      <c r="K14" s="692" t="inlineStr">
        <is>
          <t>PVC</t>
        </is>
      </c>
    </row>
    <row r="15" ht="20.1" customHeight="1">
      <c r="A15" s="430">
        <f>_xlfn.XLOOKUP(B15,'INSUMOS MAT '!B:B,'INSUMOS MAT '!C:C,"ERROR",0)</f>
        <v/>
      </c>
      <c r="B15" s="142" t="inlineStr">
        <is>
          <t>MAT19-0008</t>
        </is>
      </c>
      <c r="C15" s="691" t="inlineStr">
        <is>
          <t>ADAPTADOR HEMBRA PVC 3/4"</t>
        </is>
      </c>
      <c r="D15" s="692" t="inlineStr">
        <is>
          <t>UND</t>
        </is>
      </c>
      <c r="E15" s="693" t="n">
        <v>587.6</v>
      </c>
      <c r="F15" s="694">
        <f>E15*$N$2</f>
        <v/>
      </c>
      <c r="G15" s="695" t="n">
        <v>0</v>
      </c>
      <c r="H15" s="696">
        <f>F15-G15</f>
        <v/>
      </c>
      <c r="I15" s="151" t="n"/>
      <c r="J15" s="152" t="n">
        <v>44650</v>
      </c>
      <c r="K15" s="692" t="inlineStr">
        <is>
          <t>PVC</t>
        </is>
      </c>
    </row>
    <row r="16" ht="20.1" customHeight="1">
      <c r="A16" s="430">
        <f>_xlfn.XLOOKUP(B16,'INSUMOS MAT '!B:B,'INSUMOS MAT '!C:C,"ERROR",0)</f>
        <v/>
      </c>
      <c r="B16" s="142" t="inlineStr">
        <is>
          <t>MAT19-0009</t>
        </is>
      </c>
      <c r="C16" s="691" t="inlineStr">
        <is>
          <t>ADAPTADOR MACHO CPVC 1/2</t>
        </is>
      </c>
      <c r="D16" s="692" t="inlineStr">
        <is>
          <t>UND</t>
        </is>
      </c>
      <c r="E16" s="693" t="n">
        <v>358.31</v>
      </c>
      <c r="F16" s="694">
        <f>E16*$N$2</f>
        <v/>
      </c>
      <c r="G16" s="695" t="n">
        <v>0</v>
      </c>
      <c r="H16" s="696">
        <f>F16-G16</f>
        <v/>
      </c>
      <c r="I16" s="151" t="n"/>
      <c r="J16" s="152" t="n">
        <v>44722</v>
      </c>
      <c r="K16" s="692" t="inlineStr">
        <is>
          <t>PVC</t>
        </is>
      </c>
    </row>
    <row r="17" ht="20.1" customHeight="1">
      <c r="A17" s="430">
        <f>_xlfn.XLOOKUP(B17,'INSUMOS MAT '!B:B,'INSUMOS MAT '!C:C,"ERROR",0)</f>
        <v/>
      </c>
      <c r="B17" s="142" t="inlineStr">
        <is>
          <t>MAT19-0010</t>
        </is>
      </c>
      <c r="C17" s="691" t="inlineStr">
        <is>
          <t>ADAPTADOR MACHO PVC 1 1/4</t>
        </is>
      </c>
      <c r="D17" s="692" t="inlineStr">
        <is>
          <t>UND</t>
        </is>
      </c>
      <c r="E17" s="693" t="n">
        <v>553.7579999999999</v>
      </c>
      <c r="F17" s="694">
        <f>E17*$N$2</f>
        <v/>
      </c>
      <c r="G17" s="695" t="n">
        <v>0</v>
      </c>
      <c r="H17" s="696">
        <f>F17-G17</f>
        <v/>
      </c>
      <c r="I17" s="151" t="n"/>
      <c r="J17" s="152" t="n">
        <v>44677</v>
      </c>
      <c r="K17" s="692" t="inlineStr">
        <is>
          <t>PVC</t>
        </is>
      </c>
    </row>
    <row r="18" ht="20.1" customHeight="1">
      <c r="A18" s="430">
        <f>_xlfn.XLOOKUP(B18,'INSUMOS MAT '!B:B,'INSUMOS MAT '!C:C,"ERROR",0)</f>
        <v/>
      </c>
      <c r="B18" s="142" t="inlineStr">
        <is>
          <t>MAT19-0011</t>
        </is>
      </c>
      <c r="C18" s="691" t="inlineStr">
        <is>
          <t>ADAPTADOR MACHO PVC 1/2</t>
        </is>
      </c>
      <c r="D18" s="692" t="inlineStr">
        <is>
          <t>UND</t>
        </is>
      </c>
      <c r="E18" s="693" t="n">
        <v>234.9526</v>
      </c>
      <c r="F18" s="694">
        <f>E18*$N$2</f>
        <v/>
      </c>
      <c r="G18" s="695" t="n">
        <v>0</v>
      </c>
      <c r="H18" s="696">
        <f>F18-G18</f>
        <v/>
      </c>
      <c r="I18" s="151" t="n"/>
      <c r="J18" s="152" t="n">
        <v>44722</v>
      </c>
      <c r="K18" s="692" t="inlineStr">
        <is>
          <t>PVC</t>
        </is>
      </c>
    </row>
    <row r="19" ht="20.1" customHeight="1">
      <c r="A19" s="430">
        <f>_xlfn.XLOOKUP(B19,'INSUMOS MAT '!B:B,'INSUMOS MAT '!C:C,"ERROR",0)</f>
        <v/>
      </c>
      <c r="B19" s="142" t="inlineStr">
        <is>
          <t>MAT19-0128</t>
        </is>
      </c>
      <c r="C19" s="691" t="inlineStr">
        <is>
          <t>ADAPTADOR MACHO PVC 2</t>
        </is>
      </c>
      <c r="D19" s="692" t="inlineStr">
        <is>
          <t>UND</t>
        </is>
      </c>
      <c r="E19" s="693" t="n">
        <v>2124.4</v>
      </c>
      <c r="F19" s="694">
        <f>E19*$N$2</f>
        <v/>
      </c>
      <c r="G19" s="695" t="n">
        <v>0</v>
      </c>
      <c r="H19" s="696">
        <f>F19-G19</f>
        <v/>
      </c>
      <c r="I19" s="151" t="n"/>
      <c r="J19" s="152" t="n">
        <v>44692</v>
      </c>
      <c r="K19" s="692" t="inlineStr">
        <is>
          <t>PVC</t>
        </is>
      </c>
    </row>
    <row r="20" ht="20.1" customHeight="1">
      <c r="A20" s="430">
        <f>_xlfn.XLOOKUP(B20,'INSUMOS MAT '!B:B,'INSUMOS MAT '!C:C,"ERROR",0)</f>
        <v/>
      </c>
      <c r="B20" s="142" t="inlineStr">
        <is>
          <t>MAT19-0012</t>
        </is>
      </c>
      <c r="C20" s="691" t="inlineStr">
        <is>
          <t>ADAPTADOR MACHO PVC 3/4</t>
        </is>
      </c>
      <c r="D20" s="692" t="inlineStr">
        <is>
          <t>UND</t>
        </is>
      </c>
      <c r="E20" s="693" t="n">
        <v>202.04</v>
      </c>
      <c r="F20" s="694">
        <f>E20*$N$2</f>
        <v/>
      </c>
      <c r="G20" s="695" t="n">
        <v>0</v>
      </c>
      <c r="H20" s="696">
        <f>F20-G20</f>
        <v/>
      </c>
      <c r="I20" s="151" t="n"/>
      <c r="J20" s="152" t="n">
        <v>44692</v>
      </c>
      <c r="K20" s="692" t="inlineStr">
        <is>
          <t>PVC</t>
        </is>
      </c>
    </row>
    <row r="21" ht="20.1" customHeight="1">
      <c r="A21" s="430">
        <f>_xlfn.XLOOKUP(B21,'INSUMOS MAT '!B:B,'INSUMOS MAT '!C:C,"ERROR",0)</f>
        <v/>
      </c>
      <c r="B21" s="142" t="inlineStr">
        <is>
          <t>MAT02-0001</t>
        </is>
      </c>
      <c r="C21" s="691" t="inlineStr">
        <is>
          <t>ALAMBRE NEGRO #16 (1.68MM)</t>
        </is>
      </c>
      <c r="D21" s="692" t="inlineStr">
        <is>
          <t>KG</t>
        </is>
      </c>
      <c r="E21" s="693" t="n">
        <v>1176.4032</v>
      </c>
      <c r="F21" s="694">
        <f>E21*$N$2</f>
        <v/>
      </c>
      <c r="G21" s="695" t="n">
        <v>0</v>
      </c>
      <c r="H21" s="696">
        <f>F21-G21</f>
        <v/>
      </c>
      <c r="I21" s="151" t="n"/>
      <c r="J21" s="152" t="n">
        <v>44721</v>
      </c>
      <c r="K21" s="692" t="inlineStr">
        <is>
          <t>ACEROS Y METALES</t>
        </is>
      </c>
    </row>
    <row r="22" ht="20.1" customHeight="1">
      <c r="A22" s="430">
        <f>_xlfn.XLOOKUP(B22,'INSUMOS MAT '!B:B,'INSUMOS MAT '!C:C,"ERROR",0)</f>
        <v/>
      </c>
      <c r="B22" s="142" t="inlineStr">
        <is>
          <t>MAT21-0035</t>
        </is>
      </c>
      <c r="C22" s="691" t="inlineStr">
        <is>
          <t>ANCHORMAX 200 (CARTUCHO DE 300ML)</t>
        </is>
      </c>
      <c r="D22" s="692" t="inlineStr">
        <is>
          <t>UND</t>
        </is>
      </c>
      <c r="E22" s="693" t="n">
        <v>13683.7571</v>
      </c>
      <c r="F22" s="694">
        <f>E22*$N$2</f>
        <v/>
      </c>
      <c r="G22" s="695" t="n">
        <v>0</v>
      </c>
      <c r="H22" s="696">
        <f>F22-G22</f>
        <v/>
      </c>
      <c r="I22" s="151" t="n"/>
      <c r="J22" s="152" t="n">
        <v>44718</v>
      </c>
      <c r="K22" s="692" t="inlineStr">
        <is>
          <t>SILICONES-SELLADORES-ADITIVOS</t>
        </is>
      </c>
    </row>
    <row r="23" ht="20.1" customHeight="1">
      <c r="A23" s="430">
        <f>_xlfn.XLOOKUP(B23,'INSUMOS MAT '!B:B,'INSUMOS MAT '!C:C,"ERROR",0)</f>
        <v/>
      </c>
      <c r="B23" s="142" t="inlineStr">
        <is>
          <t>MAT02-0162</t>
        </is>
      </c>
      <c r="C23" s="691" t="inlineStr">
        <is>
          <t>ANGULAR ALUMINIO 3/4"X1/8"</t>
        </is>
      </c>
      <c r="D23" s="692" t="inlineStr">
        <is>
          <t>UND</t>
        </is>
      </c>
      <c r="E23" s="693" t="n">
        <v>25538</v>
      </c>
      <c r="F23" s="694">
        <f>E23*$N$2</f>
        <v/>
      </c>
      <c r="G23" s="695" t="n">
        <v>0</v>
      </c>
      <c r="H23" s="696">
        <f>F23-G23</f>
        <v/>
      </c>
      <c r="I23" s="151" t="n"/>
      <c r="J23" s="152" t="n">
        <v>44625</v>
      </c>
      <c r="K23" s="692" t="inlineStr">
        <is>
          <t>ACEROS Y METALES</t>
        </is>
      </c>
    </row>
    <row r="24" ht="20.1" customHeight="1">
      <c r="A24" s="430">
        <f>_xlfn.XLOOKUP(B24,'INSUMOS MAT '!B:B,'INSUMOS MAT '!C:C,"ERROR",0)</f>
        <v/>
      </c>
      <c r="B24" s="142" t="inlineStr">
        <is>
          <t>MAT02-0109</t>
        </is>
      </c>
      <c r="C24" s="691" t="inlineStr">
        <is>
          <t>ANGULAR HN 1"X1/8</t>
        </is>
      </c>
      <c r="D24" s="692" t="inlineStr">
        <is>
          <t>UND</t>
        </is>
      </c>
      <c r="E24" s="693" t="n">
        <v>5692.1493</v>
      </c>
      <c r="F24" s="694">
        <f>E24*$N$2</f>
        <v/>
      </c>
      <c r="G24" s="695" t="n">
        <v>0</v>
      </c>
      <c r="H24" s="696">
        <f>F24-G24</f>
        <v/>
      </c>
      <c r="I24" s="151" t="n"/>
      <c r="J24" s="152" t="n">
        <v>44721</v>
      </c>
      <c r="K24" s="692" t="inlineStr">
        <is>
          <t>ACEROS Y METALES</t>
        </is>
      </c>
    </row>
    <row r="25" ht="20.1" customHeight="1">
      <c r="A25" s="430">
        <f>_xlfn.XLOOKUP(B25,'INSUMOS MAT '!B:B,'INSUMOS MAT '!C:C,"ERROR",0)</f>
        <v/>
      </c>
      <c r="B25" s="142" t="inlineStr">
        <is>
          <t>MAT02-0044</t>
        </is>
      </c>
      <c r="C25" s="691" t="inlineStr">
        <is>
          <t>ANGULAR HN 2"X1/4</t>
        </is>
      </c>
      <c r="D25" s="692" t="inlineStr">
        <is>
          <t>UND</t>
        </is>
      </c>
      <c r="E25" s="693" t="n">
        <v>19745.73</v>
      </c>
      <c r="F25" s="694">
        <f>E25*$N$2</f>
        <v/>
      </c>
      <c r="G25" s="695" t="n">
        <v>0</v>
      </c>
      <c r="H25" s="696">
        <f>F25-G25</f>
        <v/>
      </c>
      <c r="I25" s="151" t="n"/>
      <c r="J25" s="152" t="n">
        <v>44701</v>
      </c>
      <c r="K25" s="692" t="inlineStr">
        <is>
          <t>ACEROS Y METALES</t>
        </is>
      </c>
    </row>
    <row r="26" ht="20.1" customHeight="1">
      <c r="A26" s="430">
        <f>_xlfn.XLOOKUP(B26,'INSUMOS MAT '!B:B,'INSUMOS MAT '!C:C,"ERROR",0)</f>
        <v/>
      </c>
      <c r="B26" s="142" t="inlineStr">
        <is>
          <t>MAT07-0001</t>
        </is>
      </c>
      <c r="C26" s="691" t="inlineStr">
        <is>
          <t>ANGULAR CHANNEL 1X3" 0.36MM 3.05M</t>
        </is>
      </c>
      <c r="D26" s="692" t="inlineStr">
        <is>
          <t>UND</t>
        </is>
      </c>
      <c r="E26" s="693" t="n">
        <v>590.1015</v>
      </c>
      <c r="F26" s="694">
        <f>E26*$N$2</f>
        <v/>
      </c>
      <c r="G26" s="695" t="n">
        <v>0</v>
      </c>
      <c r="H26" s="696">
        <f>F26-G26</f>
        <v/>
      </c>
      <c r="I26" s="151" t="n"/>
      <c r="J26" s="152" t="n">
        <v>44721</v>
      </c>
      <c r="K26" s="692" t="inlineStr">
        <is>
          <t>ESTRUCTURA LIVIANA</t>
        </is>
      </c>
    </row>
    <row r="27" ht="20.1" customHeight="1">
      <c r="A27" s="430">
        <f>_xlfn.XLOOKUP(B27,'INSUMOS MAT '!B:B,'INSUMOS MAT '!C:C,"ERROR",0)</f>
        <v/>
      </c>
      <c r="B27" s="142" t="inlineStr">
        <is>
          <t>MAT02-0004</t>
        </is>
      </c>
      <c r="C27" s="691" t="inlineStr">
        <is>
          <t>ANGULAR HN 1 1/4 X 1.8</t>
        </is>
      </c>
      <c r="D27" s="692" t="inlineStr">
        <is>
          <t>UND</t>
        </is>
      </c>
      <c r="E27" s="693" t="n">
        <v>8250.6288</v>
      </c>
      <c r="F27" s="694">
        <f>E27*$N$2</f>
        <v/>
      </c>
      <c r="G27" s="695" t="n">
        <v>0</v>
      </c>
      <c r="H27" s="696">
        <f>F27-G27</f>
        <v/>
      </c>
      <c r="I27" s="151" t="n"/>
      <c r="J27" s="152" t="n">
        <v>44713</v>
      </c>
      <c r="K27" s="692" t="inlineStr">
        <is>
          <t>ACEROS Y METALES</t>
        </is>
      </c>
    </row>
    <row r="28" ht="20.1" customHeight="1">
      <c r="A28" s="430">
        <f>_xlfn.XLOOKUP(B28,'INSUMOS MAT '!B:B,'INSUMOS MAT '!C:C,"ERROR",0)</f>
        <v/>
      </c>
      <c r="B28" s="142" t="inlineStr">
        <is>
          <t>MAT16-0101</t>
        </is>
      </c>
      <c r="C28" s="691" t="inlineStr">
        <is>
          <t>ANTICORROSIVO GRIS</t>
        </is>
      </c>
      <c r="D28" s="692" t="inlineStr">
        <is>
          <t>CUBETA</t>
        </is>
      </c>
      <c r="E28" s="693" t="n">
        <v>76503.19</v>
      </c>
      <c r="F28" s="694">
        <f>E28*$N$2</f>
        <v/>
      </c>
      <c r="G28" s="695" t="n">
        <v>0</v>
      </c>
      <c r="H28" s="696">
        <f>F28-G28</f>
        <v/>
      </c>
      <c r="I28" s="151" t="n"/>
      <c r="J28" s="152" t="n">
        <v>44685</v>
      </c>
      <c r="K28" s="692" t="inlineStr">
        <is>
          <t>PINTURAS Y REVESTIMIENTOS</t>
        </is>
      </c>
    </row>
    <row r="29" ht="20.1" customHeight="1">
      <c r="A29" s="135" t="n"/>
      <c r="B29" s="142" t="inlineStr">
        <is>
          <t>MAT16-0102</t>
        </is>
      </c>
      <c r="C29" s="691" t="inlineStr">
        <is>
          <t>ANTICORROSIVO MINIO GRIS</t>
        </is>
      </c>
      <c r="D29" s="692" t="inlineStr">
        <is>
          <t>GALON</t>
        </is>
      </c>
      <c r="E29" s="693" t="n">
        <v>15009.54</v>
      </c>
      <c r="F29" s="694">
        <f>E29*$N$2</f>
        <v/>
      </c>
      <c r="G29" s="695" t="n">
        <v>0</v>
      </c>
      <c r="H29" s="696">
        <f>F29-G29</f>
        <v/>
      </c>
      <c r="I29" s="151" t="n"/>
      <c r="J29" s="152" t="n">
        <v>44700</v>
      </c>
      <c r="K29" s="692" t="inlineStr">
        <is>
          <t>PINTURAS Y REVESTIMIENTOS</t>
        </is>
      </c>
    </row>
    <row r="30" ht="20.1" customHeight="1">
      <c r="A30" s="430">
        <f>_xlfn.XLOOKUP(B30,'INSUMOS MAT '!B:B,'INSUMOS MAT '!C:C,"ERROR",0)</f>
        <v/>
      </c>
      <c r="B30" s="142" t="inlineStr">
        <is>
          <t>MAT16-0100</t>
        </is>
      </c>
      <c r="C30" s="691" t="inlineStr">
        <is>
          <t>ANTICORROSIVO MINIO ROJO</t>
        </is>
      </c>
      <c r="D30" s="692" t="inlineStr">
        <is>
          <t>CUBETA</t>
        </is>
      </c>
      <c r="E30" s="693" t="n">
        <v>63360.66</v>
      </c>
      <c r="F30" s="694">
        <f>E30*$N$2</f>
        <v/>
      </c>
      <c r="G30" s="695" t="n">
        <v>0</v>
      </c>
      <c r="H30" s="696">
        <f>F30-G30</f>
        <v/>
      </c>
      <c r="I30" s="151" t="n"/>
      <c r="J30" s="152" t="n">
        <v>44685</v>
      </c>
      <c r="K30" s="692" t="inlineStr">
        <is>
          <t>PINTURAS Y REVESTIMIENTOS</t>
        </is>
      </c>
    </row>
    <row r="31" ht="20.1" customHeight="1">
      <c r="A31" s="430">
        <f>_xlfn.XLOOKUP(B31,'INSUMOS MAT '!B:B,'INSUMOS MAT '!C:C,"ERROR",0)</f>
        <v/>
      </c>
      <c r="B31" s="142" t="inlineStr">
        <is>
          <t>MAT16-0001</t>
        </is>
      </c>
      <c r="C31" s="691" t="inlineStr">
        <is>
          <t>ANTICORROSIVO MINIO AZUL</t>
        </is>
      </c>
      <c r="D31" s="692" t="inlineStr">
        <is>
          <t>GALON</t>
        </is>
      </c>
      <c r="E31" s="693" t="n">
        <v>12562.6627</v>
      </c>
      <c r="F31" s="694">
        <f>E31*$N$2</f>
        <v/>
      </c>
      <c r="G31" s="695" t="n">
        <v>0</v>
      </c>
      <c r="H31" s="696">
        <f>F31-G31</f>
        <v/>
      </c>
      <c r="I31" s="151" t="n"/>
      <c r="J31" s="152" t="n">
        <v>44719</v>
      </c>
      <c r="K31" s="692" t="inlineStr">
        <is>
          <t>PINTURAS Y REVESTIMIENTOS</t>
        </is>
      </c>
    </row>
    <row r="32" ht="20.1" customHeight="1">
      <c r="A32" s="430">
        <f>_xlfn.XLOOKUP(B32,'INSUMOS MAT '!B:B,'INSUMOS MAT '!C:C,"ERROR",0)</f>
        <v/>
      </c>
      <c r="B32" s="142" t="inlineStr">
        <is>
          <t>MAT16-0083</t>
        </is>
      </c>
      <c r="C32" s="691" t="inlineStr">
        <is>
          <t>ANTICORROSIVO MINIO BLANCO</t>
        </is>
      </c>
      <c r="D32" s="692" t="inlineStr">
        <is>
          <t>GAL</t>
        </is>
      </c>
      <c r="E32" s="693" t="n">
        <v>11340.0933</v>
      </c>
      <c r="F32" s="694">
        <f>E32*$N$2</f>
        <v/>
      </c>
      <c r="G32" s="695" t="n">
        <v>0</v>
      </c>
      <c r="H32" s="696">
        <f>F32-G32</f>
        <v/>
      </c>
      <c r="I32" s="151" t="n"/>
      <c r="J32" s="152" t="n">
        <v>44692</v>
      </c>
      <c r="K32" s="692" t="inlineStr">
        <is>
          <t>PINTURAS Y REVESTIMIENTOS</t>
        </is>
      </c>
    </row>
    <row r="33" ht="20.1" customHeight="1">
      <c r="A33" s="430">
        <f>_xlfn.XLOOKUP(B33,'INSUMOS MAT '!B:B,'INSUMOS MAT '!C:C,"ERROR",0)</f>
        <v/>
      </c>
      <c r="B33" s="142" t="inlineStr">
        <is>
          <t>MAT16-0002</t>
        </is>
      </c>
      <c r="C33" s="691" t="inlineStr">
        <is>
          <t>ANTICORROSIVO MINIO ROJO</t>
        </is>
      </c>
      <c r="D33" s="692" t="inlineStr">
        <is>
          <t>GALON</t>
        </is>
      </c>
      <c r="E33" s="693" t="n">
        <v>12291.091</v>
      </c>
      <c r="F33" s="694">
        <f>E33*$N$2</f>
        <v/>
      </c>
      <c r="G33" s="695" t="n">
        <v>0</v>
      </c>
      <c r="H33" s="696">
        <f>F33-G33</f>
        <v/>
      </c>
      <c r="I33" s="151" t="n"/>
      <c r="J33" s="152" t="n">
        <v>44700</v>
      </c>
      <c r="K33" s="692" t="inlineStr">
        <is>
          <t>PINTURAS Y REVESTIMIENTOS</t>
        </is>
      </c>
    </row>
    <row r="34" ht="20.1" customHeight="1">
      <c r="A34" s="430">
        <f>_xlfn.XLOOKUP(B34,'INSUMOS MAT '!B:B,'INSUMOS MAT '!C:C,"ERROR",0)</f>
        <v/>
      </c>
      <c r="B34" s="142" t="inlineStr">
        <is>
          <t>MAT06-0006</t>
        </is>
      </c>
      <c r="C34" s="691" t="inlineStr">
        <is>
          <t>APAGADOR DOBLE 15A 120 DECO</t>
        </is>
      </c>
      <c r="D34" s="692" t="inlineStr">
        <is>
          <t>UND</t>
        </is>
      </c>
      <c r="E34" s="693" t="n">
        <v>2858.7757</v>
      </c>
      <c r="F34" s="694">
        <f>E34*$N$2</f>
        <v/>
      </c>
      <c r="G34" s="695" t="n">
        <v>0</v>
      </c>
      <c r="H34" s="696">
        <f>F34-G34</f>
        <v/>
      </c>
      <c r="I34" s="151" t="n"/>
      <c r="J34" s="152" t="n">
        <v>44714</v>
      </c>
      <c r="K34" s="692" t="inlineStr">
        <is>
          <t>ELECTRICO</t>
        </is>
      </c>
    </row>
    <row r="35" ht="20.1" customHeight="1">
      <c r="A35" s="430">
        <f>_xlfn.XLOOKUP(B35,'INSUMOS MAT '!B:B,'INSUMOS MAT '!C:C,"ERROR",0)</f>
        <v/>
      </c>
      <c r="B35" s="142" t="inlineStr">
        <is>
          <t>MAT06-0008</t>
        </is>
      </c>
      <c r="C35" s="691" t="inlineStr">
        <is>
          <t>APAGADOR DOBLE TRIWAY DECO</t>
        </is>
      </c>
      <c r="D35" s="692" t="inlineStr">
        <is>
          <t>UND</t>
        </is>
      </c>
      <c r="E35" s="693" t="n">
        <v>8006.5005</v>
      </c>
      <c r="F35" s="694">
        <f>E35*$N$2</f>
        <v/>
      </c>
      <c r="G35" s="695" t="n">
        <v>0</v>
      </c>
      <c r="H35" s="696">
        <f>F35-G35</f>
        <v/>
      </c>
      <c r="I35" s="151" t="n"/>
      <c r="J35" s="152" t="n">
        <v>44700</v>
      </c>
      <c r="K35" s="692" t="inlineStr">
        <is>
          <t>ELECTRICO</t>
        </is>
      </c>
    </row>
    <row r="36" ht="20.1" customHeight="1">
      <c r="A36" s="430">
        <f>_xlfn.XLOOKUP(B36,'INSUMOS MAT '!B:B,'INSUMOS MAT '!C:C,"ERROR",0)</f>
        <v/>
      </c>
      <c r="B36" s="142" t="inlineStr">
        <is>
          <t>MAT06-0009</t>
        </is>
      </c>
      <c r="C36" s="691" t="inlineStr">
        <is>
          <t>APAGADOR SENCILLO 15A 120 DECO</t>
        </is>
      </c>
      <c r="D36" s="692" t="inlineStr">
        <is>
          <t>UND</t>
        </is>
      </c>
      <c r="E36" s="693" t="n">
        <v>1041.8373</v>
      </c>
      <c r="F36" s="694">
        <f>E36*$N$2</f>
        <v/>
      </c>
      <c r="G36" s="695" t="n">
        <v>0</v>
      </c>
      <c r="H36" s="696">
        <f>F36-G36</f>
        <v/>
      </c>
      <c r="I36" s="151" t="n"/>
      <c r="J36" s="152" t="n">
        <v>44715</v>
      </c>
      <c r="K36" s="692" t="inlineStr">
        <is>
          <t>ELECTRICO</t>
        </is>
      </c>
    </row>
    <row r="37" ht="20.1" customHeight="1">
      <c r="A37" s="430">
        <f>_xlfn.XLOOKUP(B37,'INSUMOS MAT '!B:B,'INSUMOS MAT '!C:C,"ERROR",0)</f>
        <v/>
      </c>
      <c r="B37" s="142" t="inlineStr">
        <is>
          <t>MAT06-0011</t>
        </is>
      </c>
      <c r="C37" s="691" t="inlineStr">
        <is>
          <t>APAGADOR SENCILLO TRIWAY</t>
        </is>
      </c>
      <c r="D37" s="692" t="inlineStr">
        <is>
          <t>UND</t>
        </is>
      </c>
      <c r="E37" s="693" t="n">
        <v>2005.6972</v>
      </c>
      <c r="F37" s="694">
        <f>E37*$N$2</f>
        <v/>
      </c>
      <c r="G37" s="695" t="n">
        <v>0</v>
      </c>
      <c r="H37" s="696">
        <f>F37-G37</f>
        <v/>
      </c>
      <c r="I37" s="151" t="n"/>
      <c r="J37" s="152" t="n">
        <v>44721</v>
      </c>
      <c r="K37" s="692" t="inlineStr">
        <is>
          <t>ELECTRICO</t>
        </is>
      </c>
    </row>
    <row r="38" ht="20.1" customHeight="1">
      <c r="A38" s="430">
        <f>_xlfn.XLOOKUP(B38,'INSUMOS MAT '!B:B,'INSUMOS MAT '!C:C,"ERROR",0)</f>
        <v/>
      </c>
      <c r="B38" s="142" t="inlineStr">
        <is>
          <t>MAT06-0012</t>
        </is>
      </c>
      <c r="C38" s="691" t="inlineStr">
        <is>
          <t>APAGADOR TRIPLE 15A 120 DECO</t>
        </is>
      </c>
      <c r="D38" s="692" t="inlineStr">
        <is>
          <t>UND</t>
        </is>
      </c>
      <c r="E38" s="693" t="n">
        <v>3895.462</v>
      </c>
      <c r="F38" s="694">
        <f>E38*$N$2</f>
        <v/>
      </c>
      <c r="G38" s="695" t="n">
        <v>0</v>
      </c>
      <c r="H38" s="696">
        <f>F38-G38</f>
        <v/>
      </c>
      <c r="I38" s="151" t="n"/>
      <c r="J38" s="152" t="n">
        <v>44714</v>
      </c>
      <c r="K38" s="692" t="inlineStr">
        <is>
          <t>ELECTRICO</t>
        </is>
      </c>
    </row>
    <row r="39" ht="20.1" customHeight="1">
      <c r="A39" s="430">
        <f>_xlfn.XLOOKUP(B39,'INSUMOS MAT '!B:B,'INSUMOS MAT '!C:C,"ERROR",0)</f>
        <v/>
      </c>
      <c r="B39" s="142" t="inlineStr">
        <is>
          <t>MAT05-0111</t>
        </is>
      </c>
      <c r="C39" s="691" t="inlineStr">
        <is>
          <t>ARENA SILICA (KG)</t>
        </is>
      </c>
      <c r="D39" s="692" t="inlineStr">
        <is>
          <t>KG</t>
        </is>
      </c>
      <c r="E39" s="693" t="n">
        <v>1251.0027</v>
      </c>
      <c r="F39" s="694">
        <f>E39*$N$2</f>
        <v/>
      </c>
      <c r="G39" s="695" t="n">
        <v>0</v>
      </c>
      <c r="H39" s="696">
        <f>F39-G39</f>
        <v/>
      </c>
      <c r="I39" s="151" t="n"/>
      <c r="J39" s="152" t="n">
        <v>44706</v>
      </c>
      <c r="K39" s="692" t="inlineStr">
        <is>
          <t>CUBIERTAS E IMPERMEBILIZANTES</t>
        </is>
      </c>
    </row>
    <row r="40" ht="20.1" customHeight="1">
      <c r="A40" s="430">
        <f>_xlfn.XLOOKUP(B40,'INSUMOS MAT '!B:B,'INSUMOS MAT '!C:C,"ERROR",0)</f>
        <v/>
      </c>
      <c r="B40" s="142" t="inlineStr">
        <is>
          <t>MAT06-0015</t>
        </is>
      </c>
      <c r="C40" s="691" t="inlineStr">
        <is>
          <t>ARO REPELLO EMT 4X4 1GANG</t>
        </is>
      </c>
      <c r="D40" s="692" t="inlineStr">
        <is>
          <t>UND</t>
        </is>
      </c>
      <c r="E40" s="693" t="n">
        <v>264.88</v>
      </c>
      <c r="F40" s="694">
        <f>E40*$N$2</f>
        <v/>
      </c>
      <c r="G40" s="695" t="n">
        <v>0</v>
      </c>
      <c r="H40" s="696">
        <f>F40-G40</f>
        <v/>
      </c>
      <c r="I40" s="151" t="n"/>
      <c r="J40" s="152" t="n">
        <v>44692</v>
      </c>
      <c r="K40" s="692" t="inlineStr">
        <is>
          <t>ELECTRICO</t>
        </is>
      </c>
    </row>
    <row r="41" ht="20.1" customHeight="1">
      <c r="A41" s="430">
        <f>_xlfn.XLOOKUP(B41,'INSUMOS MAT '!B:B,'INSUMOS MAT '!C:C,"ERROR",0)</f>
        <v/>
      </c>
      <c r="B41" s="142" t="inlineStr">
        <is>
          <t>MAT06-0016</t>
        </is>
      </c>
      <c r="C41" s="691" t="inlineStr">
        <is>
          <t>ARO REPELLO EMT 4X4 2GANG</t>
        </is>
      </c>
      <c r="D41" s="692" t="inlineStr">
        <is>
          <t>UND</t>
        </is>
      </c>
      <c r="E41" s="693" t="n">
        <v>497.2</v>
      </c>
      <c r="F41" s="694">
        <f>E41*$N$2</f>
        <v/>
      </c>
      <c r="G41" s="695" t="n">
        <v>0</v>
      </c>
      <c r="H41" s="696">
        <f>F41-G41</f>
        <v/>
      </c>
      <c r="I41" s="151" t="n"/>
      <c r="J41" s="152" t="n">
        <v>44719</v>
      </c>
      <c r="K41" s="692" t="inlineStr">
        <is>
          <t>ELECTRICO</t>
        </is>
      </c>
    </row>
    <row r="42" ht="20.1" customHeight="1">
      <c r="A42" s="430">
        <f>_xlfn.XLOOKUP(B42,'INSUMOS MAT '!B:B,'INSUMOS MAT '!C:C,"ERROR",0)</f>
        <v/>
      </c>
      <c r="B42" s="142" t="inlineStr">
        <is>
          <t>MAT02-0099</t>
        </is>
      </c>
      <c r="C42" s="691" t="inlineStr">
        <is>
          <t>BARRA L #3 G60 600X100</t>
        </is>
      </c>
      <c r="D42" s="692" t="inlineStr">
        <is>
          <t>UND</t>
        </is>
      </c>
      <c r="E42" s="693" t="n">
        <v>300.4782</v>
      </c>
      <c r="F42" s="694">
        <f>E42*$N$2</f>
        <v/>
      </c>
      <c r="G42" s="695" t="n">
        <v>0</v>
      </c>
      <c r="H42" s="696">
        <f>F42-G42</f>
        <v/>
      </c>
      <c r="I42" s="151" t="n"/>
      <c r="J42" s="152" t="n">
        <v>44692</v>
      </c>
      <c r="K42" s="692" t="inlineStr">
        <is>
          <t>ACEROS Y METALES</t>
        </is>
      </c>
    </row>
    <row r="43" ht="20.1" customHeight="1">
      <c r="A43" s="430">
        <f>_xlfn.XLOOKUP(B43,'INSUMOS MAT '!B:B,'INSUMOS MAT '!C:C,"ERROR",0)</f>
        <v/>
      </c>
      <c r="B43" s="142" t="inlineStr">
        <is>
          <t>MAT06-0332</t>
        </is>
      </c>
      <c r="C43" s="691" t="inlineStr">
        <is>
          <t>BARRAS TIERRA BT8 4-8P</t>
        </is>
      </c>
      <c r="D43" s="692" t="inlineStr">
        <is>
          <t>UND</t>
        </is>
      </c>
      <c r="E43" s="693" t="n">
        <v>5418.35</v>
      </c>
      <c r="F43" s="694">
        <f>E43*$N$2</f>
        <v/>
      </c>
      <c r="G43" s="695" t="n">
        <v>0</v>
      </c>
      <c r="H43" s="696">
        <f>F43-G43</f>
        <v/>
      </c>
      <c r="I43" s="151" t="n"/>
      <c r="J43" s="152" t="n">
        <v>44680</v>
      </c>
      <c r="K43" s="692" t="inlineStr">
        <is>
          <t>ELECTRICO</t>
        </is>
      </c>
    </row>
    <row r="44" ht="20.1" customHeight="1">
      <c r="A44" s="430">
        <f>_xlfn.XLOOKUP(B44,'INSUMOS MAT '!B:B,'INSUMOS MAT '!C:C,"ERROR",0)</f>
        <v/>
      </c>
      <c r="B44" s="142" t="inlineStr">
        <is>
          <t>MAT06-0017</t>
        </is>
      </c>
      <c r="C44" s="691" t="inlineStr">
        <is>
          <t>BASE MEDIDOR MS1254JCBM+A125+QO2100</t>
        </is>
      </c>
      <c r="D44" s="692" t="inlineStr">
        <is>
          <t>UND</t>
        </is>
      </c>
      <c r="E44" s="693" t="n">
        <v>84492.59570000001</v>
      </c>
      <c r="F44" s="694">
        <f>E44*$N$2</f>
        <v/>
      </c>
      <c r="G44" s="695" t="n">
        <v>0</v>
      </c>
      <c r="H44" s="696">
        <f>F44-G44</f>
        <v/>
      </c>
      <c r="I44" s="151" t="n"/>
      <c r="J44" s="152" t="n">
        <v>44714</v>
      </c>
      <c r="K44" s="692" t="inlineStr">
        <is>
          <t>ELECTRICO</t>
        </is>
      </c>
    </row>
    <row r="45" ht="20.1" customHeight="1">
      <c r="A45" s="430">
        <f>_xlfn.XLOOKUP(B45,'INSUMOS MAT '!B:B,'INSUMOS MAT '!C:C,"ERROR",0)</f>
        <v/>
      </c>
      <c r="B45" s="142" t="inlineStr">
        <is>
          <t>MAT08-0237</t>
        </is>
      </c>
      <c r="C45" s="691" t="inlineStr">
        <is>
          <t>BISAGRA GUIJOS DE 3X3</t>
        </is>
      </c>
      <c r="D45" s="692" t="inlineStr">
        <is>
          <t>UND</t>
        </is>
      </c>
      <c r="E45" s="693" t="n">
        <v>2115.9938</v>
      </c>
      <c r="F45" s="694">
        <f>E45*$N$2</f>
        <v/>
      </c>
      <c r="G45" s="695" t="n">
        <v>0</v>
      </c>
      <c r="H45" s="696">
        <f>F45-G45</f>
        <v/>
      </c>
      <c r="I45" s="151" t="n"/>
      <c r="J45" s="152" t="n">
        <v>44692</v>
      </c>
      <c r="K45" s="692" t="inlineStr">
        <is>
          <t>FERRETERIA GENERAL</t>
        </is>
      </c>
    </row>
    <row r="46" ht="20.1" customHeight="1">
      <c r="A46" s="430">
        <f>_xlfn.XLOOKUP(B46,'INSUMOS MAT '!B:B,'INSUMOS MAT '!C:C,"ERROR",0)</f>
        <v/>
      </c>
      <c r="B46" s="142" t="inlineStr">
        <is>
          <t>MAT14-0004</t>
        </is>
      </c>
      <c r="C46" s="691" t="inlineStr">
        <is>
          <t>BISAGRA RECTA SLOW MOTION CLIP ON</t>
        </is>
      </c>
      <c r="D46" s="692" t="inlineStr">
        <is>
          <t>UND</t>
        </is>
      </c>
      <c r="E46" s="693" t="n">
        <v>786.3444</v>
      </c>
      <c r="F46" s="694">
        <f>E46*$N$2</f>
        <v/>
      </c>
      <c r="G46" s="695" t="n">
        <v>0</v>
      </c>
      <c r="H46" s="696">
        <f>F46-G46</f>
        <v/>
      </c>
      <c r="I46" s="151" t="n"/>
      <c r="J46" s="152" t="n">
        <v>44718</v>
      </c>
      <c r="K46" s="692" t="inlineStr">
        <is>
          <t>MUEBLES</t>
        </is>
      </c>
    </row>
    <row r="47" ht="20.1" customHeight="1">
      <c r="A47" s="430">
        <f>_xlfn.XLOOKUP(B47,'INSUMOS MAT '!B:B,'INSUMOS MAT '!C:C,"ERROR",0)</f>
        <v/>
      </c>
      <c r="B47" s="142" t="inlineStr">
        <is>
          <t>MAT04-0056</t>
        </is>
      </c>
      <c r="C47" s="691" t="inlineStr">
        <is>
          <t>BLOCK 15X20X40</t>
        </is>
      </c>
      <c r="D47" s="692" t="inlineStr">
        <is>
          <t>UND</t>
        </is>
      </c>
      <c r="E47" s="693" t="n">
        <v>429.9999</v>
      </c>
      <c r="F47" s="694">
        <f>E47*$N$2</f>
        <v/>
      </c>
      <c r="G47" s="695" t="n">
        <v>0</v>
      </c>
      <c r="H47" s="696">
        <f>F47-G47</f>
        <v/>
      </c>
      <c r="I47" s="151" t="n"/>
      <c r="J47" s="152" t="n">
        <v>44692</v>
      </c>
      <c r="K47" s="692" t="inlineStr">
        <is>
          <t>CONCRETOS CEMENTOS Y MORTEROS</t>
        </is>
      </c>
    </row>
    <row r="48" ht="20.1" customHeight="1">
      <c r="A48" s="430">
        <f>_xlfn.XLOOKUP(B48,'INSUMOS MAT '!B:B,'INSUMOS MAT '!C:C,"ERROR",0)</f>
        <v/>
      </c>
      <c r="B48" s="142" t="inlineStr">
        <is>
          <t>MAT05-0063</t>
        </is>
      </c>
      <c r="C48" s="691" t="inlineStr">
        <is>
          <t>BOBINA ACERO SUAVE BLANCO 4011 0.44 X 1220 MM</t>
        </is>
      </c>
      <c r="D48" s="692" t="inlineStr">
        <is>
          <t>KG</t>
        </is>
      </c>
      <c r="E48" s="693" t="n">
        <v>1249.8862</v>
      </c>
      <c r="F48" s="694">
        <f>E48*$N$2</f>
        <v/>
      </c>
      <c r="G48" s="695" t="n">
        <v>0</v>
      </c>
      <c r="H48" s="696">
        <f>F48-G48</f>
        <v/>
      </c>
      <c r="I48" s="151" t="n"/>
      <c r="J48" s="152" t="n">
        <v>44720</v>
      </c>
      <c r="K48" s="692" t="inlineStr">
        <is>
          <t>CUBIERTAS E IMPERMEBILIZANTES</t>
        </is>
      </c>
    </row>
    <row r="49" ht="20.1" customHeight="1">
      <c r="A49" s="430">
        <f>_xlfn.XLOOKUP(B49,'INSUMOS MAT '!B:B,'INSUMOS MAT '!C:C,"ERROR",0)</f>
        <v/>
      </c>
      <c r="B49" s="142" t="inlineStr">
        <is>
          <t>MAT06-0281</t>
        </is>
      </c>
      <c r="C49" s="691" t="inlineStr">
        <is>
          <t>BOMBILLO 46 WATTS LED ALTA POTENCIA CON SOQUE DE 27</t>
        </is>
      </c>
      <c r="D49" s="692" t="inlineStr">
        <is>
          <t>UND</t>
        </is>
      </c>
      <c r="E49" s="693" t="n">
        <v>7345</v>
      </c>
      <c r="F49" s="694">
        <f>E49*$N$2</f>
        <v/>
      </c>
      <c r="G49" s="695" t="n">
        <v>0</v>
      </c>
      <c r="H49" s="696">
        <f>F49-G49</f>
        <v/>
      </c>
      <c r="I49" s="151" t="n"/>
      <c r="J49" s="152" t="n">
        <v>44692</v>
      </c>
      <c r="K49" s="692" t="inlineStr">
        <is>
          <t>ELECTRICO</t>
        </is>
      </c>
    </row>
    <row r="50" ht="20.1" customHeight="1">
      <c r="A50" s="430">
        <f>_xlfn.XLOOKUP(B50,'INSUMOS MAT '!B:B,'INSUMOS MAT '!C:C,"ERROR",0)</f>
        <v/>
      </c>
      <c r="B50" s="142" t="inlineStr">
        <is>
          <t>MAT06-0135</t>
        </is>
      </c>
      <c r="C50" s="691" t="inlineStr">
        <is>
          <t>BOMBILLO LED P/PLAFON</t>
        </is>
      </c>
      <c r="D50" s="692" t="inlineStr">
        <is>
          <t>UND</t>
        </is>
      </c>
      <c r="E50" s="693" t="n">
        <v>978.1167</v>
      </c>
      <c r="F50" s="694">
        <f>E50*$N$2</f>
        <v/>
      </c>
      <c r="G50" s="695" t="n">
        <v>0</v>
      </c>
      <c r="H50" s="696">
        <f>F50-G50</f>
        <v/>
      </c>
      <c r="I50" s="151" t="n"/>
      <c r="J50" s="152" t="n">
        <v>44720</v>
      </c>
      <c r="K50" s="692" t="inlineStr">
        <is>
          <t>ELECTRICO</t>
        </is>
      </c>
    </row>
    <row r="51" ht="20.1" customHeight="1">
      <c r="A51" s="430">
        <f>_xlfn.XLOOKUP(B51,'INSUMOS MAT '!B:B,'INSUMOS MAT '!C:C,"ERROR",0)</f>
        <v/>
      </c>
      <c r="B51" s="142" t="inlineStr">
        <is>
          <t>MAT08-0008</t>
        </is>
      </c>
      <c r="C51" s="691" t="inlineStr">
        <is>
          <t>BONDEX PLUS CERAMICA Y PORCELANATO</t>
        </is>
      </c>
      <c r="D51" s="692" t="inlineStr">
        <is>
          <t>SACO</t>
        </is>
      </c>
      <c r="E51" s="693" t="n">
        <v>5335.7018</v>
      </c>
      <c r="F51" s="694">
        <f>E51*$N$2</f>
        <v/>
      </c>
      <c r="G51" s="695" t="n">
        <v>0</v>
      </c>
      <c r="H51" s="696">
        <f>F51-G51</f>
        <v/>
      </c>
      <c r="I51" s="151" t="n"/>
      <c r="J51" s="152" t="n">
        <v>44722</v>
      </c>
      <c r="K51" s="692" t="inlineStr">
        <is>
          <t>FERRETERIA GENERAL</t>
        </is>
      </c>
    </row>
    <row r="52" ht="20.1" customHeight="1">
      <c r="A52" s="430">
        <f>_xlfn.XLOOKUP(B52,'INSUMOS MAT '!B:B,'INSUMOS MAT '!C:C,"ERROR",0)</f>
        <v/>
      </c>
      <c r="B52" s="142" t="inlineStr">
        <is>
          <t>MAT06-0329</t>
        </is>
      </c>
      <c r="C52" s="691" t="inlineStr">
        <is>
          <t>BREAKER SDQOB 1 POLO/20AMP</t>
        </is>
      </c>
      <c r="D52" s="692" t="inlineStr">
        <is>
          <t>UND</t>
        </is>
      </c>
      <c r="E52" s="693" t="n">
        <v>6199.42</v>
      </c>
      <c r="F52" s="694">
        <f>E52*$N$2</f>
        <v/>
      </c>
      <c r="G52" s="695" t="n">
        <v>0</v>
      </c>
      <c r="H52" s="696">
        <f>F52-G52</f>
        <v/>
      </c>
      <c r="I52" s="151" t="n"/>
      <c r="J52" s="152" t="n">
        <v>44699</v>
      </c>
      <c r="K52" s="692" t="inlineStr">
        <is>
          <t>ELECTRICO</t>
        </is>
      </c>
    </row>
    <row r="53" ht="20.1" customHeight="1">
      <c r="A53" s="430">
        <f>_xlfn.XLOOKUP(B53,'INSUMOS MAT '!B:B,'INSUMOS MAT '!C:C,"ERROR",0)</f>
        <v/>
      </c>
      <c r="B53" s="142" t="inlineStr">
        <is>
          <t>MAT06-0306</t>
        </is>
      </c>
      <c r="C53" s="691" t="inlineStr">
        <is>
          <t>BREAKER SENCILLO 1 POLO 30AMP SQUARE D QUB</t>
        </is>
      </c>
      <c r="D53" s="692" t="inlineStr">
        <is>
          <t>UND</t>
        </is>
      </c>
      <c r="E53" s="693" t="n">
        <v>6486.2</v>
      </c>
      <c r="F53" s="694">
        <f>E53*$N$2</f>
        <v/>
      </c>
      <c r="G53" s="695" t="n">
        <v>0</v>
      </c>
      <c r="H53" s="696">
        <f>F53-G53</f>
        <v/>
      </c>
      <c r="I53" s="151" t="n"/>
      <c r="J53" s="152" t="n">
        <v>44692</v>
      </c>
      <c r="K53" s="692" t="inlineStr">
        <is>
          <t>ELECTRICO</t>
        </is>
      </c>
    </row>
    <row r="54" ht="20.1" customHeight="1">
      <c r="A54" s="430">
        <f>_xlfn.XLOOKUP(B54,'INSUMOS MAT '!B:B,'INSUMOS MAT '!C:C,"ERROR",0)</f>
        <v/>
      </c>
      <c r="B54" s="142" t="inlineStr">
        <is>
          <t>MAT06-0020</t>
        </is>
      </c>
      <c r="C54" s="691" t="inlineStr">
        <is>
          <t>BREAKER  2/100AMP QOM100VH CENTRO CARGA</t>
        </is>
      </c>
      <c r="D54" s="692" t="inlineStr">
        <is>
          <t>UND</t>
        </is>
      </c>
      <c r="E54" s="693" t="n">
        <v>30117.184</v>
      </c>
      <c r="F54" s="694">
        <f>E54*$N$2</f>
        <v/>
      </c>
      <c r="G54" s="695" t="n">
        <v>0</v>
      </c>
      <c r="H54" s="696">
        <f>F54-G54</f>
        <v/>
      </c>
      <c r="I54" s="151" t="n"/>
      <c r="J54" s="152" t="n">
        <v>44721</v>
      </c>
      <c r="K54" s="692" t="inlineStr">
        <is>
          <t>ELECTRICO</t>
        </is>
      </c>
    </row>
    <row r="55" ht="20.1" customHeight="1">
      <c r="A55" s="430">
        <f>_xlfn.XLOOKUP(B55,'INSUMOS MAT '!B:B,'INSUMOS MAT '!C:C,"ERROR",0)</f>
        <v/>
      </c>
      <c r="B55" s="142" t="inlineStr">
        <is>
          <t>MAT06-0022</t>
        </is>
      </c>
      <c r="C55" s="691" t="inlineStr">
        <is>
          <t>BREAKER QO120PDF DUAL 20AMP</t>
        </is>
      </c>
      <c r="D55" s="692" t="inlineStr">
        <is>
          <t>UND</t>
        </is>
      </c>
      <c r="E55" s="693" t="n">
        <v>31477.149</v>
      </c>
      <c r="F55" s="694">
        <f>E55*$N$2</f>
        <v/>
      </c>
      <c r="G55" s="695" t="n">
        <v>0</v>
      </c>
      <c r="H55" s="696">
        <f>F55-G55</f>
        <v/>
      </c>
      <c r="I55" s="151" t="n"/>
      <c r="J55" s="152" t="n">
        <v>44721</v>
      </c>
      <c r="K55" s="692" t="inlineStr">
        <is>
          <t>ELECTRICO</t>
        </is>
      </c>
    </row>
    <row r="56" ht="20.1" customHeight="1">
      <c r="A56" s="430">
        <f>_xlfn.XLOOKUP(B56,'INSUMOS MAT '!B:B,'INSUMOS MAT '!C:C,"ERROR",0)</f>
        <v/>
      </c>
      <c r="B56" s="142" t="inlineStr">
        <is>
          <t>MAT06-0023</t>
        </is>
      </c>
      <c r="C56" s="691" t="inlineStr">
        <is>
          <t>BREAKER QO220 2P/20AMP</t>
        </is>
      </c>
      <c r="D56" s="692" t="inlineStr">
        <is>
          <t>UND</t>
        </is>
      </c>
      <c r="E56" s="693" t="n">
        <v>8199.780000000001</v>
      </c>
      <c r="F56" s="694">
        <f>E56*$N$2</f>
        <v/>
      </c>
      <c r="G56" s="695" t="n">
        <v>0</v>
      </c>
      <c r="H56" s="696">
        <f>F56-G56</f>
        <v/>
      </c>
      <c r="I56" s="151" t="n"/>
      <c r="J56" s="152" t="n">
        <v>44692</v>
      </c>
      <c r="K56" s="692" t="inlineStr">
        <is>
          <t>ELECTRICO</t>
        </is>
      </c>
    </row>
    <row r="57" ht="20.1" customHeight="1">
      <c r="A57" s="430">
        <f>_xlfn.XLOOKUP(B57,'INSUMOS MAT '!B:B,'INSUMOS MAT '!C:C,"ERROR",0)</f>
        <v/>
      </c>
      <c r="B57" s="142" t="inlineStr">
        <is>
          <t>MAT06-0024</t>
        </is>
      </c>
      <c r="C57" s="691" t="inlineStr">
        <is>
          <t>BREAKER QO230 2P/30AMP</t>
        </is>
      </c>
      <c r="D57" s="692" t="inlineStr">
        <is>
          <t>UND</t>
        </is>
      </c>
      <c r="E57" s="693" t="n">
        <v>11474.4063</v>
      </c>
      <c r="F57" s="694">
        <f>E57*$N$2</f>
        <v/>
      </c>
      <c r="G57" s="695" t="n">
        <v>0</v>
      </c>
      <c r="H57" s="696">
        <f>F57-G57</f>
        <v/>
      </c>
      <c r="I57" s="151" t="n"/>
      <c r="J57" s="152" t="n">
        <v>44694</v>
      </c>
      <c r="K57" s="692" t="inlineStr">
        <is>
          <t>ELECTRICO</t>
        </is>
      </c>
    </row>
    <row r="58" ht="20.1" customHeight="1">
      <c r="A58" s="430">
        <f>_xlfn.XLOOKUP(B58,'INSUMOS MAT '!B:B,'INSUMOS MAT '!C:C,"ERROR",0)</f>
        <v/>
      </c>
      <c r="B58" s="142" t="inlineStr">
        <is>
          <t>MAT06-0025</t>
        </is>
      </c>
      <c r="C58" s="691" t="inlineStr">
        <is>
          <t>BREAKER QO240 2P/40AMP</t>
        </is>
      </c>
      <c r="D58" s="692" t="inlineStr">
        <is>
          <t>UND</t>
        </is>
      </c>
      <c r="E58" s="693" t="n">
        <v>15255</v>
      </c>
      <c r="F58" s="694">
        <f>E58*$N$2</f>
        <v/>
      </c>
      <c r="G58" s="695" t="n">
        <v>0</v>
      </c>
      <c r="H58" s="696">
        <f>F58-G58</f>
        <v/>
      </c>
      <c r="I58" s="151" t="n"/>
      <c r="J58" s="152" t="n">
        <v>44718</v>
      </c>
      <c r="K58" s="692" t="inlineStr">
        <is>
          <t>ELECTRICO</t>
        </is>
      </c>
    </row>
    <row r="59" ht="20.1" customHeight="1">
      <c r="A59" s="135" t="n"/>
      <c r="B59" s="142" t="inlineStr">
        <is>
          <t>MAT08-0009</t>
        </is>
      </c>
      <c r="C59" s="691" t="inlineStr">
        <is>
          <t>BRIDA FLEXIBLE 3"  PVC</t>
        </is>
      </c>
      <c r="D59" s="692" t="inlineStr">
        <is>
          <t>UND</t>
        </is>
      </c>
      <c r="E59" s="693" t="n">
        <v>4999.8774</v>
      </c>
      <c r="F59" s="694">
        <f>E59*$N$2</f>
        <v/>
      </c>
      <c r="G59" s="695" t="n">
        <v>0</v>
      </c>
      <c r="H59" s="696">
        <f>F59-G59</f>
        <v/>
      </c>
      <c r="I59" s="151" t="n"/>
      <c r="J59" s="152" t="n">
        <v>44707</v>
      </c>
      <c r="K59" s="692" t="inlineStr">
        <is>
          <t>FERRETERIA GENERAL</t>
        </is>
      </c>
    </row>
    <row r="60" ht="20.1" customHeight="1">
      <c r="A60" s="430">
        <f>_xlfn.XLOOKUP(B60,'INSUMOS MAT '!B:B,'INSUMOS MAT '!C:C,"ERROR",0)</f>
        <v/>
      </c>
      <c r="B60" s="142" t="inlineStr">
        <is>
          <t>MAT08-0229</t>
        </is>
      </c>
      <c r="C60" s="691" t="inlineStr">
        <is>
          <t>BROCA P/CONCRETO DE 5/32X 6"</t>
        </is>
      </c>
      <c r="D60" s="692" t="inlineStr">
        <is>
          <t>UND</t>
        </is>
      </c>
      <c r="E60" s="693" t="n">
        <v>1052.2674</v>
      </c>
      <c r="F60" s="694">
        <f>E60*$N$2</f>
        <v/>
      </c>
      <c r="G60" s="695" t="n">
        <v>0</v>
      </c>
      <c r="H60" s="696">
        <f>F60-G60</f>
        <v/>
      </c>
      <c r="I60" s="151" t="n"/>
      <c r="J60" s="152" t="n">
        <v>44708</v>
      </c>
      <c r="K60" s="692" t="inlineStr">
        <is>
          <t>FERRETERIA GENERAL</t>
        </is>
      </c>
    </row>
    <row r="61" ht="20.1" customHeight="1">
      <c r="A61" s="430">
        <f>_xlfn.XLOOKUP(B61,'INSUMOS MAT '!B:B,'INSUMOS MAT '!C:C,"ERROR",0)</f>
        <v/>
      </c>
      <c r="B61" s="142" t="inlineStr">
        <is>
          <t>MAT08-0223</t>
        </is>
      </c>
      <c r="C61" s="691" t="inlineStr">
        <is>
          <t>BROCA P/CONCRETO EN 3/8 CORRIENTE</t>
        </is>
      </c>
      <c r="D61" s="692" t="inlineStr">
        <is>
          <t>UND</t>
        </is>
      </c>
      <c r="E61" s="693" t="n">
        <v>2276.3958</v>
      </c>
      <c r="F61" s="694">
        <f>E61*$N$2</f>
        <v/>
      </c>
      <c r="G61" s="695" t="n">
        <v>0</v>
      </c>
      <c r="H61" s="696">
        <f>F61-G61</f>
        <v/>
      </c>
      <c r="I61" s="151" t="n"/>
      <c r="J61" s="152" t="n">
        <v>44712</v>
      </c>
      <c r="K61" s="692" t="inlineStr">
        <is>
          <t>FERRETERIA GENERAL</t>
        </is>
      </c>
    </row>
    <row r="62" ht="20.1" customHeight="1">
      <c r="A62" s="430">
        <f>_xlfn.XLOOKUP(B62,'INSUMOS MAT '!B:B,'INSUMOS MAT '!C:C,"ERROR",0)</f>
        <v/>
      </c>
      <c r="B62" s="142" t="inlineStr">
        <is>
          <t>MAT08-0222</t>
        </is>
      </c>
      <c r="C62" s="691" t="inlineStr">
        <is>
          <t>BROCA P/CONCRETO TIPO HILTY EN 3/8</t>
        </is>
      </c>
      <c r="D62" s="692" t="inlineStr">
        <is>
          <t>UND</t>
        </is>
      </c>
      <c r="E62" s="693" t="n">
        <v>6211.44</v>
      </c>
      <c r="F62" s="694">
        <f>E62*$N$2</f>
        <v/>
      </c>
      <c r="G62" s="695" t="n">
        <v>0</v>
      </c>
      <c r="H62" s="696">
        <f>F62-G62</f>
        <v/>
      </c>
      <c r="I62" s="151" t="n"/>
      <c r="J62" s="152" t="n">
        <v>44714</v>
      </c>
      <c r="K62" s="692" t="inlineStr">
        <is>
          <t>FERRETERIA GENERAL</t>
        </is>
      </c>
    </row>
    <row r="63" ht="20.1" customHeight="1">
      <c r="A63" s="430">
        <f>_xlfn.XLOOKUP(B63,'INSUMOS MAT '!B:B,'INSUMOS MAT '!C:C,"ERROR",0)</f>
        <v/>
      </c>
      <c r="B63" s="142" t="inlineStr">
        <is>
          <t>MAT08-0250</t>
        </is>
      </c>
      <c r="C63" s="691" t="inlineStr">
        <is>
          <t>BROCA SIERRA</t>
        </is>
      </c>
      <c r="D63" s="692" t="inlineStr">
        <is>
          <t>UND</t>
        </is>
      </c>
      <c r="E63" s="693" t="n">
        <v>33787</v>
      </c>
      <c r="F63" s="694">
        <f>E63*$N$2</f>
        <v/>
      </c>
      <c r="G63" s="695" t="n">
        <v>0</v>
      </c>
      <c r="H63" s="696">
        <f>F63-G63</f>
        <v/>
      </c>
      <c r="I63" s="151" t="n"/>
      <c r="J63" s="152" t="n">
        <v>44495</v>
      </c>
      <c r="K63" s="692" t="inlineStr">
        <is>
          <t>FERRETERIA GENERAL</t>
        </is>
      </c>
    </row>
    <row r="64" ht="20.1" customHeight="1">
      <c r="A64" s="430">
        <f>_xlfn.XLOOKUP(B64,'INSUMOS MAT '!B:B,'INSUMOS MAT '!C:C,"ERROR",0)</f>
        <v/>
      </c>
      <c r="B64" s="142" t="inlineStr">
        <is>
          <t>MAT08-0011</t>
        </is>
      </c>
      <c r="C64" s="691" t="inlineStr">
        <is>
          <t>BROCA P/CONCRETO 5/16 PULG</t>
        </is>
      </c>
      <c r="D64" s="692" t="inlineStr">
        <is>
          <t>UND</t>
        </is>
      </c>
      <c r="E64" s="693" t="n">
        <v>1720.8061</v>
      </c>
      <c r="F64" s="694">
        <f>E64*$N$2</f>
        <v/>
      </c>
      <c r="G64" s="695" t="n">
        <v>0</v>
      </c>
      <c r="H64" s="696">
        <f>F64-G64</f>
        <v/>
      </c>
      <c r="I64" s="151" t="n"/>
      <c r="J64" s="152" t="n">
        <v>44720</v>
      </c>
      <c r="K64" s="692" t="inlineStr">
        <is>
          <t>FERRETERIA GENERAL</t>
        </is>
      </c>
    </row>
    <row r="65">
      <c r="A65" s="430">
        <f>_xlfn.XLOOKUP(B65,'INSUMOS MAT '!B:B,'INSUMOS MAT '!C:C,"ERROR",0)</f>
        <v/>
      </c>
      <c r="B65" s="142" t="inlineStr">
        <is>
          <t>MAT08-0012</t>
        </is>
      </c>
      <c r="C65" s="691" t="inlineStr">
        <is>
          <t>BROCHA CORRIENTE 2"</t>
        </is>
      </c>
      <c r="D65" s="692" t="inlineStr">
        <is>
          <t>UND</t>
        </is>
      </c>
      <c r="E65" s="693" t="n">
        <v>1471.5988</v>
      </c>
      <c r="F65" s="694">
        <f>E65*$N$2</f>
        <v/>
      </c>
      <c r="G65" s="695" t="n">
        <v>0</v>
      </c>
      <c r="H65" s="696">
        <f>F65-G65</f>
        <v/>
      </c>
      <c r="I65" s="151" t="n"/>
      <c r="J65" s="152" t="n">
        <v>44721</v>
      </c>
      <c r="K65" s="692" t="inlineStr">
        <is>
          <t>FERRETERIA GENERAL</t>
        </is>
      </c>
    </row>
    <row r="66">
      <c r="A66" s="430">
        <f>_xlfn.XLOOKUP(B66,'INSUMOS MAT '!B:B,'INSUMOS MAT '!C:C,"ERROR",0)</f>
        <v/>
      </c>
      <c r="B66" s="142" t="inlineStr">
        <is>
          <t>MAT08-0013</t>
        </is>
      </c>
      <c r="C66" s="691" t="inlineStr">
        <is>
          <t>BROCHA CORRIENTE 3"</t>
        </is>
      </c>
      <c r="D66" s="692" t="inlineStr">
        <is>
          <t>UND</t>
        </is>
      </c>
      <c r="E66" s="693" t="n">
        <v>1807.5316</v>
      </c>
      <c r="F66" s="694">
        <f>E66*$N$2</f>
        <v/>
      </c>
      <c r="G66" s="695" t="n">
        <v>0</v>
      </c>
      <c r="H66" s="696">
        <f>F66-G66</f>
        <v/>
      </c>
      <c r="I66" s="151" t="n"/>
      <c r="J66" s="152" t="n">
        <v>44720</v>
      </c>
      <c r="K66" s="692" t="inlineStr">
        <is>
          <t>FERRETERIA GENERAL</t>
        </is>
      </c>
    </row>
    <row r="67" ht="20.1" customHeight="1">
      <c r="A67" s="430">
        <f>_xlfn.XLOOKUP(B67,'INSUMOS MAT '!B:B,'INSUMOS MAT '!C:C,"ERROR",0)</f>
        <v/>
      </c>
      <c r="B67" s="142" t="inlineStr">
        <is>
          <t>MAT06-0155</t>
        </is>
      </c>
      <c r="C67" s="691" t="inlineStr">
        <is>
          <t>CABLE #4 TRIPLEX</t>
        </is>
      </c>
      <c r="D67" s="692" t="inlineStr">
        <is>
          <t>M</t>
        </is>
      </c>
      <c r="E67" s="693" t="n">
        <v>1299.4662</v>
      </c>
      <c r="F67" s="694">
        <f>E67*$N$2</f>
        <v/>
      </c>
      <c r="G67" s="695" t="n">
        <v>0</v>
      </c>
      <c r="H67" s="696">
        <f>F67-G67</f>
        <v/>
      </c>
      <c r="I67" s="151" t="n"/>
      <c r="J67" s="152" t="n">
        <v>44498</v>
      </c>
      <c r="K67" s="692" t="inlineStr">
        <is>
          <t>ELECTRICO</t>
        </is>
      </c>
    </row>
    <row r="68" ht="20.1" customHeight="1">
      <c r="A68" s="430">
        <f>_xlfn.XLOOKUP(B68,'INSUMOS MAT '!B:B,'INSUMOS MAT '!C:C,"ERROR",0)</f>
        <v/>
      </c>
      <c r="B68" s="142" t="inlineStr">
        <is>
          <t>MAT06-0248</t>
        </is>
      </c>
      <c r="C68" s="691" t="inlineStr">
        <is>
          <t>CABLE 1/0 TRIPLEX</t>
        </is>
      </c>
      <c r="D68" s="692" t="inlineStr">
        <is>
          <t>M</t>
        </is>
      </c>
      <c r="E68" s="693" t="n">
        <v>2624.1538</v>
      </c>
      <c r="F68" s="694">
        <f>E68*$N$2</f>
        <v/>
      </c>
      <c r="G68" s="695" t="n">
        <v>0</v>
      </c>
      <c r="H68" s="696">
        <f>F68-G68</f>
        <v/>
      </c>
      <c r="I68" s="151" t="n"/>
      <c r="J68" s="152" t="n">
        <v>44692</v>
      </c>
      <c r="K68" s="692" t="inlineStr">
        <is>
          <t>ELECTRICO</t>
        </is>
      </c>
    </row>
    <row r="69" ht="20.1" customHeight="1">
      <c r="A69" s="430">
        <f>_xlfn.XLOOKUP(B69,'INSUMOS MAT '!B:B,'INSUMOS MAT '!C:C,"ERROR",0)</f>
        <v/>
      </c>
      <c r="B69" s="142" t="inlineStr">
        <is>
          <t>MAT06-0027</t>
        </is>
      </c>
      <c r="C69" s="691" t="inlineStr">
        <is>
          <t>CABLE #10 BLANCO</t>
        </is>
      </c>
      <c r="D69" s="692" t="inlineStr">
        <is>
          <t>M</t>
        </is>
      </c>
      <c r="E69" s="693" t="n">
        <v>379.5597</v>
      </c>
      <c r="F69" s="694">
        <f>E69*$N$2</f>
        <v/>
      </c>
      <c r="G69" s="695" t="n">
        <v>0</v>
      </c>
      <c r="H69" s="696">
        <f>F69-G69</f>
        <v/>
      </c>
      <c r="I69" s="151" t="n"/>
      <c r="J69" s="152" t="n">
        <v>44692</v>
      </c>
      <c r="K69" s="692" t="inlineStr">
        <is>
          <t>ELECTRICO</t>
        </is>
      </c>
    </row>
    <row r="70" ht="20.1" customHeight="1">
      <c r="A70" s="430">
        <f>_xlfn.XLOOKUP(B70,'INSUMOS MAT '!B:B,'INSUMOS MAT '!C:C,"ERROR",0)</f>
        <v/>
      </c>
      <c r="B70" s="142" t="inlineStr">
        <is>
          <t>MAT06-0028</t>
        </is>
      </c>
      <c r="C70" s="691" t="inlineStr">
        <is>
          <t>CABLE #10 ROJO</t>
        </is>
      </c>
      <c r="D70" s="692" t="inlineStr">
        <is>
          <t>M</t>
        </is>
      </c>
      <c r="E70" s="693" t="n">
        <v>562.5366</v>
      </c>
      <c r="F70" s="694">
        <f>E70*$N$2</f>
        <v/>
      </c>
      <c r="G70" s="695" t="n">
        <v>0</v>
      </c>
      <c r="H70" s="696">
        <f>F70-G70</f>
        <v/>
      </c>
      <c r="I70" s="151" t="n"/>
      <c r="J70" s="152" t="n">
        <v>44719</v>
      </c>
      <c r="K70" s="692" t="inlineStr">
        <is>
          <t>ELECTRICO</t>
        </is>
      </c>
    </row>
    <row r="71" ht="20.1" customHeight="1">
      <c r="A71" s="430">
        <f>_xlfn.XLOOKUP(B71,'INSUMOS MAT '!B:B,'INSUMOS MAT '!C:C,"ERROR",0)</f>
        <v/>
      </c>
      <c r="B71" s="142" t="inlineStr">
        <is>
          <t>MAT06-0029</t>
        </is>
      </c>
      <c r="C71" s="691" t="inlineStr">
        <is>
          <t>CABLE #10 VERDE</t>
        </is>
      </c>
      <c r="D71" s="692" t="inlineStr">
        <is>
          <t>M</t>
        </is>
      </c>
      <c r="E71" s="693" t="n">
        <v>562.5366</v>
      </c>
      <c r="F71" s="694">
        <f>E71*$N$2</f>
        <v/>
      </c>
      <c r="G71" s="695" t="n">
        <v>0</v>
      </c>
      <c r="H71" s="696">
        <f>F71-G71</f>
        <v/>
      </c>
      <c r="I71" s="151" t="n"/>
      <c r="J71" s="152" t="n">
        <v>44712</v>
      </c>
      <c r="K71" s="692" t="inlineStr">
        <is>
          <t>ELECTRICO</t>
        </is>
      </c>
    </row>
    <row r="72" ht="20.1" customHeight="1">
      <c r="A72" s="430">
        <f>_xlfn.XLOOKUP(B72,'INSUMOS MAT '!B:B,'INSUMOS MAT '!C:C,"ERROR",0)</f>
        <v/>
      </c>
      <c r="B72" s="142" t="inlineStr">
        <is>
          <t>MAT06-0030</t>
        </is>
      </c>
      <c r="C72" s="691" t="inlineStr">
        <is>
          <t>CABLE #12 AZUL</t>
        </is>
      </c>
      <c r="D72" s="692" t="inlineStr">
        <is>
          <t>M</t>
        </is>
      </c>
      <c r="E72" s="693" t="n">
        <v>331.7567</v>
      </c>
      <c r="F72" s="694">
        <f>E72*$N$2</f>
        <v/>
      </c>
      <c r="G72" s="695" t="n">
        <v>0</v>
      </c>
      <c r="H72" s="696">
        <f>F72-G72</f>
        <v/>
      </c>
      <c r="I72" s="151" t="n"/>
      <c r="J72" s="152" t="n">
        <v>44722</v>
      </c>
      <c r="K72" s="692" t="inlineStr">
        <is>
          <t>ELECTRICO</t>
        </is>
      </c>
    </row>
    <row r="73" ht="20.1" customHeight="1">
      <c r="A73" s="430">
        <f>_xlfn.XLOOKUP(B73,'INSUMOS MAT '!B:B,'INSUMOS MAT '!C:C,"ERROR",0)</f>
        <v/>
      </c>
      <c r="B73" s="142" t="inlineStr">
        <is>
          <t>MAT06-0031</t>
        </is>
      </c>
      <c r="C73" s="691" t="inlineStr">
        <is>
          <t>CABLE #12 BLANCO</t>
        </is>
      </c>
      <c r="D73" s="692" t="inlineStr">
        <is>
          <t>M</t>
        </is>
      </c>
      <c r="E73" s="693" t="n">
        <v>331.7567</v>
      </c>
      <c r="F73" s="694">
        <f>E73*$N$2</f>
        <v/>
      </c>
      <c r="G73" s="695" t="n">
        <v>0</v>
      </c>
      <c r="H73" s="696">
        <f>F73-G73</f>
        <v/>
      </c>
      <c r="I73" s="151" t="n"/>
      <c r="J73" s="152" t="n">
        <v>44720</v>
      </c>
      <c r="K73" s="692" t="inlineStr">
        <is>
          <t>ELECTRICO</t>
        </is>
      </c>
    </row>
    <row r="74" ht="20.1" customHeight="1">
      <c r="A74" s="430">
        <f>_xlfn.XLOOKUP(B74,'INSUMOS MAT '!B:B,'INSUMOS MAT '!C:C,"ERROR",0)</f>
        <v/>
      </c>
      <c r="B74" s="142" t="inlineStr">
        <is>
          <t>MAT06-0032</t>
        </is>
      </c>
      <c r="C74" s="691" t="inlineStr">
        <is>
          <t>CABLE #12 NEGRO</t>
        </is>
      </c>
      <c r="D74" s="692" t="inlineStr">
        <is>
          <t>M</t>
        </is>
      </c>
      <c r="E74" s="693" t="n">
        <v>331.7567</v>
      </c>
      <c r="F74" s="694">
        <f>E74*$N$2</f>
        <v/>
      </c>
      <c r="G74" s="695" t="n">
        <v>0</v>
      </c>
      <c r="H74" s="696">
        <f>F74-G74</f>
        <v/>
      </c>
      <c r="I74" s="151" t="n"/>
      <c r="J74" s="152" t="n">
        <v>44722</v>
      </c>
      <c r="K74" s="692" t="inlineStr">
        <is>
          <t>ELECTRICO</t>
        </is>
      </c>
    </row>
    <row r="75" ht="20.1" customHeight="1">
      <c r="A75" s="135" t="n"/>
      <c r="B75" s="142" t="inlineStr">
        <is>
          <t>MAT0320</t>
        </is>
      </c>
      <c r="C75" s="691" t="inlineStr">
        <is>
          <t>CABLE #12 ROJO</t>
        </is>
      </c>
      <c r="D75" s="692" t="inlineStr">
        <is>
          <t>M</t>
        </is>
      </c>
      <c r="E75" s="693" t="n">
        <v>317.2814</v>
      </c>
      <c r="F75" s="694">
        <f>E75*$N$2</f>
        <v/>
      </c>
      <c r="G75" s="695" t="n">
        <v>0</v>
      </c>
      <c r="H75" s="696">
        <f>F75-G75</f>
        <v/>
      </c>
      <c r="I75" s="151" t="n"/>
      <c r="J75" s="152" t="n">
        <v>44692</v>
      </c>
      <c r="K75" s="692" t="n">
        <v>0</v>
      </c>
    </row>
    <row r="76" ht="20.1" customHeight="1">
      <c r="A76" s="430">
        <f>_xlfn.XLOOKUP(B76,'INSUMOS MAT '!B:B,'INSUMOS MAT '!C:C,"ERROR",0)</f>
        <v/>
      </c>
      <c r="B76" s="142" t="inlineStr">
        <is>
          <t>MAT06-0033</t>
        </is>
      </c>
      <c r="C76" s="691" t="inlineStr">
        <is>
          <t>CABLE #12 ROJO</t>
        </is>
      </c>
      <c r="D76" s="692" t="inlineStr">
        <is>
          <t>M</t>
        </is>
      </c>
      <c r="E76" s="693" t="n">
        <v>331.7567</v>
      </c>
      <c r="F76" s="694">
        <f>E76*$N$2</f>
        <v/>
      </c>
      <c r="G76" s="695" t="n">
        <v>0</v>
      </c>
      <c r="H76" s="696">
        <f>F76-G76</f>
        <v/>
      </c>
      <c r="I76" s="151" t="n"/>
      <c r="J76" s="152" t="n">
        <v>44720</v>
      </c>
      <c r="K76" s="692" t="inlineStr">
        <is>
          <t>ELECTRICO</t>
        </is>
      </c>
    </row>
    <row r="77" ht="20.1" customHeight="1">
      <c r="A77" s="430">
        <f>_xlfn.XLOOKUP(B77,'INSUMOS MAT '!B:B,'INSUMOS MAT '!C:C,"ERROR",0)</f>
        <v/>
      </c>
      <c r="B77" s="142" t="inlineStr">
        <is>
          <t>MAT06-0034</t>
        </is>
      </c>
      <c r="C77" s="691" t="inlineStr">
        <is>
          <t>CABLE #12 VERDE</t>
        </is>
      </c>
      <c r="D77" s="692" t="inlineStr">
        <is>
          <t>M</t>
        </is>
      </c>
      <c r="E77" s="693" t="n">
        <v>331.7567</v>
      </c>
      <c r="F77" s="694">
        <f>E77*$N$2</f>
        <v/>
      </c>
      <c r="G77" s="695" t="n">
        <v>0</v>
      </c>
      <c r="H77" s="696">
        <f>F77-G77</f>
        <v/>
      </c>
      <c r="I77" s="151" t="n"/>
      <c r="J77" s="152" t="n">
        <v>44721</v>
      </c>
      <c r="K77" s="692" t="inlineStr">
        <is>
          <t>ELECTRICO</t>
        </is>
      </c>
    </row>
    <row r="78" ht="20.1" customHeight="1">
      <c r="A78" s="430">
        <f>_xlfn.XLOOKUP(B78,'INSUMOS MAT '!B:B,'INSUMOS MAT '!C:C,"ERROR",0)</f>
        <v/>
      </c>
      <c r="B78" s="142" t="inlineStr">
        <is>
          <t>MAT06-0037</t>
        </is>
      </c>
      <c r="C78" s="691" t="inlineStr">
        <is>
          <t>CABLE #8 BLANCO</t>
        </is>
      </c>
      <c r="D78" s="692" t="inlineStr">
        <is>
          <t>M</t>
        </is>
      </c>
      <c r="E78" s="693" t="n">
        <v>977.0093000000001</v>
      </c>
      <c r="F78" s="694">
        <f>E78*$N$2</f>
        <v/>
      </c>
      <c r="G78" s="695" t="n">
        <v>0</v>
      </c>
      <c r="H78" s="696">
        <f>F78-G78</f>
        <v/>
      </c>
      <c r="I78" s="151" t="n"/>
      <c r="J78" s="152" t="n">
        <v>44721</v>
      </c>
      <c r="K78" s="692" t="inlineStr">
        <is>
          <t>ELECTRICO</t>
        </is>
      </c>
    </row>
    <row r="79" ht="20.1" customHeight="1">
      <c r="A79" s="430">
        <f>_xlfn.XLOOKUP(B79,'INSUMOS MAT '!B:B,'INSUMOS MAT '!C:C,"ERROR",0)</f>
        <v/>
      </c>
      <c r="B79" s="142" t="inlineStr">
        <is>
          <t>MAT06-0038</t>
        </is>
      </c>
      <c r="C79" s="691" t="inlineStr">
        <is>
          <t>CABLE #8 ROJO</t>
        </is>
      </c>
      <c r="D79" s="692" t="inlineStr">
        <is>
          <t>M</t>
        </is>
      </c>
      <c r="E79" s="693" t="n">
        <v>1025.4524</v>
      </c>
      <c r="F79" s="694">
        <f>E79*$N$2</f>
        <v/>
      </c>
      <c r="G79" s="695" t="n">
        <v>0</v>
      </c>
      <c r="H79" s="696">
        <f>F79-G79</f>
        <v/>
      </c>
      <c r="I79" s="151" t="n"/>
      <c r="J79" s="152" t="n">
        <v>44721</v>
      </c>
      <c r="K79" s="692" t="inlineStr">
        <is>
          <t>ELECTRICO</t>
        </is>
      </c>
    </row>
    <row r="80" ht="20.1" customHeight="1">
      <c r="A80" s="430">
        <f>_xlfn.XLOOKUP(B80,'INSUMOS MAT '!B:B,'INSUMOS MAT '!C:C,"ERROR",0)</f>
        <v/>
      </c>
      <c r="B80" s="142" t="inlineStr">
        <is>
          <t>MAT06-0039</t>
        </is>
      </c>
      <c r="C80" s="691" t="inlineStr">
        <is>
          <t>CABLE #8 VERDE</t>
        </is>
      </c>
      <c r="D80" s="692" t="inlineStr">
        <is>
          <t>M</t>
        </is>
      </c>
      <c r="E80" s="693" t="n">
        <v>976.7735</v>
      </c>
      <c r="F80" s="694">
        <f>E80*$N$2</f>
        <v/>
      </c>
      <c r="G80" s="695" t="n">
        <v>0</v>
      </c>
      <c r="H80" s="696">
        <f>F80-G80</f>
        <v/>
      </c>
      <c r="I80" s="151" t="n"/>
      <c r="J80" s="152" t="n">
        <v>44712</v>
      </c>
      <c r="K80" s="692" t="inlineStr">
        <is>
          <t>ELECTRICO</t>
        </is>
      </c>
    </row>
    <row r="81" ht="20.1" customHeight="1">
      <c r="A81" s="430">
        <f>_xlfn.XLOOKUP(B81,'INSUMOS MAT '!B:B,'INSUMOS MAT '!C:C,"ERROR",0)</f>
        <v/>
      </c>
      <c r="B81" s="142" t="inlineStr">
        <is>
          <t>MAT06-0040</t>
        </is>
      </c>
      <c r="C81" s="691" t="inlineStr">
        <is>
          <t>CABLE ALUMINIO 1/0 SERIE 8000</t>
        </is>
      </c>
      <c r="D81" s="692" t="inlineStr">
        <is>
          <t>M</t>
        </is>
      </c>
      <c r="E81" s="693" t="n">
        <v>1129.4915</v>
      </c>
      <c r="F81" s="694">
        <f>E81*$N$2</f>
        <v/>
      </c>
      <c r="G81" s="695" t="n">
        <v>0</v>
      </c>
      <c r="H81" s="696">
        <f>F81-G81</f>
        <v/>
      </c>
      <c r="I81" s="151" t="n"/>
      <c r="J81" s="152" t="n">
        <v>44720</v>
      </c>
      <c r="K81" s="692" t="inlineStr">
        <is>
          <t>ELECTRICO</t>
        </is>
      </c>
    </row>
    <row r="82" ht="20.1" customHeight="1">
      <c r="A82" s="430">
        <f>_xlfn.XLOOKUP(B82,'INSUMOS MAT '!B:B,'INSUMOS MAT '!C:C,"ERROR",0)</f>
        <v/>
      </c>
      <c r="B82" s="142" t="inlineStr">
        <is>
          <t>MAT06-0235</t>
        </is>
      </c>
      <c r="C82" s="691" t="inlineStr">
        <is>
          <t>CABLE DE ALUMINIO #4 SERIE 8000</t>
        </is>
      </c>
      <c r="D82" s="692" t="inlineStr">
        <is>
          <t>M</t>
        </is>
      </c>
      <c r="E82" s="693" t="n">
        <v>393.24</v>
      </c>
      <c r="F82" s="694">
        <f>E82*$N$2</f>
        <v/>
      </c>
      <c r="G82" s="695" t="n">
        <v>0</v>
      </c>
      <c r="H82" s="696">
        <f>F82-G82</f>
        <v/>
      </c>
      <c r="I82" s="151" t="n"/>
      <c r="J82" s="152" t="n">
        <v>44433</v>
      </c>
      <c r="K82" s="692" t="inlineStr">
        <is>
          <t>ELECTRICO</t>
        </is>
      </c>
    </row>
    <row r="83" ht="20.1" customHeight="1">
      <c r="A83" s="430">
        <f>_xlfn.XLOOKUP(B83,'INSUMOS MAT '!B:B,'INSUMOS MAT '!C:C,"ERROR",0)</f>
        <v/>
      </c>
      <c r="B83" s="142" t="inlineStr">
        <is>
          <t>MAT06-0041</t>
        </is>
      </c>
      <c r="C83" s="691" t="inlineStr">
        <is>
          <t>CABLE DE ALUMINIO #6 SERIE 8000</t>
        </is>
      </c>
      <c r="D83" s="692" t="inlineStr">
        <is>
          <t>M</t>
        </is>
      </c>
      <c r="E83" s="693" t="n">
        <v>356.8345</v>
      </c>
      <c r="F83" s="694">
        <f>E83*$N$2</f>
        <v/>
      </c>
      <c r="G83" s="695" t="n">
        <v>0</v>
      </c>
      <c r="H83" s="696">
        <f>F83-G83</f>
        <v/>
      </c>
      <c r="I83" s="151" t="n"/>
      <c r="J83" s="152" t="n">
        <v>44720</v>
      </c>
      <c r="K83" s="692" t="inlineStr">
        <is>
          <t>ELECTRICO</t>
        </is>
      </c>
    </row>
    <row r="84" ht="20.1" customHeight="1">
      <c r="A84" s="430">
        <f>_xlfn.XLOOKUP(B84,'INSUMOS MAT '!B:B,'INSUMOS MAT '!C:C,"ERROR",0)</f>
        <v/>
      </c>
      <c r="B84" s="142" t="inlineStr">
        <is>
          <t>MAT06-0042</t>
        </is>
      </c>
      <c r="C84" s="691" t="inlineStr">
        <is>
          <t>CABLE TGP 3X12</t>
        </is>
      </c>
      <c r="D84" s="692" t="inlineStr">
        <is>
          <t>M</t>
        </is>
      </c>
      <c r="E84" s="693" t="n">
        <v>1617.5391</v>
      </c>
      <c r="F84" s="694">
        <f>E84*$N$2</f>
        <v/>
      </c>
      <c r="G84" s="695" t="n">
        <v>0</v>
      </c>
      <c r="H84" s="696">
        <f>F84-G84</f>
        <v/>
      </c>
      <c r="I84" s="151" t="n"/>
      <c r="J84" s="152" t="n">
        <v>44714</v>
      </c>
      <c r="K84" s="692" t="inlineStr">
        <is>
          <t>ELECTRICO</t>
        </is>
      </c>
    </row>
    <row r="85" ht="20.1" customHeight="1">
      <c r="A85" s="430">
        <f>_xlfn.XLOOKUP(B85,'INSUMOS MAT '!B:B,'INSUMOS MAT '!C:C,"ERROR",0)</f>
        <v/>
      </c>
      <c r="B85" s="142" t="inlineStr">
        <is>
          <t>MAT06-0043</t>
        </is>
      </c>
      <c r="C85" s="691" t="inlineStr">
        <is>
          <t>CABLE UTP CAT 5 AZUL</t>
        </is>
      </c>
      <c r="D85" s="692" t="inlineStr">
        <is>
          <t>M</t>
        </is>
      </c>
      <c r="E85" s="693" t="n">
        <v>314.7448</v>
      </c>
      <c r="F85" s="694">
        <f>E85*$N$2</f>
        <v/>
      </c>
      <c r="G85" s="695" t="n">
        <v>0</v>
      </c>
      <c r="H85" s="696">
        <f>F85-G85</f>
        <v/>
      </c>
      <c r="I85" s="151" t="n"/>
      <c r="J85" s="152" t="n">
        <v>44720</v>
      </c>
      <c r="K85" s="692" t="inlineStr">
        <is>
          <t>ELECTRICO</t>
        </is>
      </c>
    </row>
    <row r="86" ht="20.1" customHeight="1">
      <c r="A86" s="430">
        <f>_xlfn.XLOOKUP(B86,'INSUMOS MAT '!B:B,'INSUMOS MAT '!C:C,"ERROR",0)</f>
        <v/>
      </c>
      <c r="B86" s="142" t="inlineStr">
        <is>
          <t>MAT06-0136</t>
        </is>
      </c>
      <c r="C86" s="691" t="inlineStr">
        <is>
          <t>CABLE UTP CAT 6 AZUL</t>
        </is>
      </c>
      <c r="D86" s="692" t="inlineStr">
        <is>
          <t>M</t>
        </is>
      </c>
      <c r="E86" s="693" t="n">
        <v>259.5307</v>
      </c>
      <c r="F86" s="694">
        <f>E86*$N$2</f>
        <v/>
      </c>
      <c r="G86" s="695" t="n">
        <v>0</v>
      </c>
      <c r="H86" s="696">
        <f>F86-G86</f>
        <v/>
      </c>
      <c r="I86" s="151" t="n"/>
      <c r="J86" s="152" t="n">
        <v>44692</v>
      </c>
      <c r="K86" s="692" t="inlineStr">
        <is>
          <t>ELECTRICO</t>
        </is>
      </c>
    </row>
    <row r="87" ht="20.1" customHeight="1">
      <c r="A87" s="430">
        <f>_xlfn.XLOOKUP(B87,'INSUMOS MAT '!B:B,'INSUMOS MAT '!C:C,"ERROR",0)</f>
        <v/>
      </c>
      <c r="B87" s="142" t="inlineStr">
        <is>
          <t>MAT01-0053</t>
        </is>
      </c>
      <c r="C87" s="691" t="inlineStr">
        <is>
          <t>CACHERA FREGADERO MONOCOMANDO KORAL</t>
        </is>
      </c>
      <c r="D87" s="692" t="inlineStr">
        <is>
          <t>UND</t>
        </is>
      </c>
      <c r="E87" s="693" t="n">
        <v>28815</v>
      </c>
      <c r="F87" s="694">
        <f>E87*$N$2</f>
        <v/>
      </c>
      <c r="G87" s="695" t="n">
        <v>0</v>
      </c>
      <c r="H87" s="696">
        <f>F87-G87</f>
        <v/>
      </c>
      <c r="I87" s="151" t="n"/>
      <c r="J87" s="152" t="n">
        <v>44719</v>
      </c>
      <c r="K87" s="692" t="inlineStr">
        <is>
          <t>ACABADOS</t>
        </is>
      </c>
    </row>
    <row r="88" ht="20.1" customHeight="1">
      <c r="A88" s="430">
        <f>_xlfn.XLOOKUP(B88,'INSUMOS MAT '!B:B,'INSUMOS MAT '!C:C,"ERROR",0)</f>
        <v/>
      </c>
      <c r="B88" s="142" t="inlineStr">
        <is>
          <t>MAT06-0110</t>
        </is>
      </c>
      <c r="C88" s="691" t="inlineStr">
        <is>
          <t>CAJA CUADRADA EMT CON HUECO DE 1/2 Y 3/4</t>
        </is>
      </c>
      <c r="D88" s="692" t="inlineStr">
        <is>
          <t>UND</t>
        </is>
      </c>
      <c r="E88" s="693" t="n">
        <v>1111.1516</v>
      </c>
      <c r="F88" s="694">
        <f>E88*$N$2</f>
        <v/>
      </c>
      <c r="G88" s="695" t="n">
        <v>0</v>
      </c>
      <c r="H88" s="696">
        <f>F88-G88</f>
        <v/>
      </c>
      <c r="I88" s="151" t="n"/>
      <c r="J88" s="152" t="n">
        <v>44712</v>
      </c>
      <c r="K88" s="692" t="inlineStr">
        <is>
          <t>ELECTRICO</t>
        </is>
      </c>
    </row>
    <row r="89" ht="20.1" customHeight="1">
      <c r="A89" s="430">
        <f>_xlfn.XLOOKUP(B89,'INSUMOS MAT '!B:B,'INSUMOS MAT '!C:C,"ERROR",0)</f>
        <v/>
      </c>
      <c r="B89" s="142" t="inlineStr">
        <is>
          <t>MAT08-0015</t>
        </is>
      </c>
      <c r="C89" s="691" t="inlineStr">
        <is>
          <t>CAJA DE 1/2" DE PROTECCION AGUA HF FUNIDADELIMA</t>
        </is>
      </c>
      <c r="D89" s="692" t="inlineStr">
        <is>
          <t>UND</t>
        </is>
      </c>
      <c r="E89" s="693" t="n">
        <v>16837</v>
      </c>
      <c r="F89" s="694">
        <f>E89*$N$2</f>
        <v/>
      </c>
      <c r="G89" s="695" t="n">
        <v>0</v>
      </c>
      <c r="H89" s="696">
        <f>F89-G89</f>
        <v/>
      </c>
      <c r="I89" s="151" t="n"/>
      <c r="J89" s="152" t="n">
        <v>44720</v>
      </c>
      <c r="K89" s="692" t="inlineStr">
        <is>
          <t>FERRETERIA GENERAL</t>
        </is>
      </c>
    </row>
    <row r="90" ht="20.1" customHeight="1">
      <c r="A90" s="430">
        <f>_xlfn.XLOOKUP(B90,'INSUMOS MAT '!B:B,'INSUMOS MAT '!C:C,"ERROR",0)</f>
        <v/>
      </c>
      <c r="B90" s="142" t="inlineStr">
        <is>
          <t>MAT08-0513</t>
        </is>
      </c>
      <c r="C90" s="691" t="inlineStr">
        <is>
          <t>CAJA DE REMACHE 1/8X3/4PULG  P/PISTOLA</t>
        </is>
      </c>
      <c r="D90" s="692" t="inlineStr">
        <is>
          <t>CAJA</t>
        </is>
      </c>
      <c r="E90" s="693" t="n">
        <v>2836.3</v>
      </c>
      <c r="F90" s="694">
        <f>E90*$N$2</f>
        <v/>
      </c>
      <c r="G90" s="695" t="n">
        <v>0</v>
      </c>
      <c r="H90" s="696">
        <f>F90-G90</f>
        <v/>
      </c>
      <c r="I90" s="151" t="n"/>
      <c r="J90" s="152" t="n">
        <v>44692</v>
      </c>
      <c r="K90" s="692" t="inlineStr">
        <is>
          <t>FERRETERIA GENERAL</t>
        </is>
      </c>
    </row>
    <row r="91" ht="20.1" customHeight="1">
      <c r="A91" s="430">
        <f>_xlfn.XLOOKUP(B91,'INSUMOS MAT '!B:B,'INSUMOS MAT '!C:C,"ERROR",0)</f>
        <v/>
      </c>
      <c r="B91" s="142" t="inlineStr">
        <is>
          <t>MAT06-0045</t>
        </is>
      </c>
      <c r="C91" s="691" t="inlineStr">
        <is>
          <t>CAJA CUADRADA EMT 4X4 DOBLE FONDO CON HUECO DE 1</t>
        </is>
      </c>
      <c r="D91" s="692" t="inlineStr">
        <is>
          <t>UND</t>
        </is>
      </c>
      <c r="E91" s="693" t="n">
        <v>1293.0164</v>
      </c>
      <c r="F91" s="694">
        <f>E91*$N$2</f>
        <v/>
      </c>
      <c r="G91" s="695" t="n">
        <v>0</v>
      </c>
      <c r="H91" s="696">
        <f>F91-G91</f>
        <v/>
      </c>
      <c r="I91" s="151" t="n"/>
      <c r="J91" s="152" t="n">
        <v>44712</v>
      </c>
      <c r="K91" s="692" t="inlineStr">
        <is>
          <t>ELECTRICO</t>
        </is>
      </c>
    </row>
    <row r="92" ht="20.1" customHeight="1">
      <c r="A92" s="430">
        <f>_xlfn.XLOOKUP(B92,'INSUMOS MAT '!B:B,'INSUMOS MAT '!C:C,"ERROR",0)</f>
        <v/>
      </c>
      <c r="B92" s="142" t="inlineStr">
        <is>
          <t>MAT06-0046</t>
        </is>
      </c>
      <c r="C92" s="691" t="inlineStr">
        <is>
          <t>CAJA CUADRADA EMT 4X4 DOBLE FONDO CON HUECO DE 3/4</t>
        </is>
      </c>
      <c r="D92" s="692" t="inlineStr">
        <is>
          <t>UND</t>
        </is>
      </c>
      <c r="E92" s="693" t="n">
        <v>1687.1348</v>
      </c>
      <c r="F92" s="694">
        <f>E92*$N$2</f>
        <v/>
      </c>
      <c r="G92" s="695" t="n">
        <v>0</v>
      </c>
      <c r="H92" s="696">
        <f>F92-G92</f>
        <v/>
      </c>
      <c r="I92" s="151" t="n"/>
      <c r="J92" s="152" t="n">
        <v>44707</v>
      </c>
      <c r="K92" s="692" t="inlineStr">
        <is>
          <t>ELECTRICO</t>
        </is>
      </c>
    </row>
    <row r="93" ht="20.1" customHeight="1">
      <c r="A93" s="430">
        <f>_xlfn.XLOOKUP(B93,'INSUMOS MAT '!B:B,'INSUMOS MAT '!C:C,"ERROR",0)</f>
        <v/>
      </c>
      <c r="B93" s="142" t="inlineStr">
        <is>
          <t>MAT04-0002</t>
        </is>
      </c>
      <c r="C93" s="691" t="inlineStr">
        <is>
          <t>CAJA DE REGISTRO 30X30 PARA VARILLA COPERWELL</t>
        </is>
      </c>
      <c r="D93" s="692" t="inlineStr">
        <is>
          <t>UND</t>
        </is>
      </c>
      <c r="E93" s="693" t="n">
        <v>2867.8383</v>
      </c>
      <c r="F93" s="694">
        <f>E93*$N$2</f>
        <v/>
      </c>
      <c r="G93" s="695" t="n">
        <v>0</v>
      </c>
      <c r="H93" s="696">
        <f>F93-G93</f>
        <v/>
      </c>
      <c r="I93" s="151" t="n"/>
      <c r="J93" s="152" t="n">
        <v>44720</v>
      </c>
      <c r="K93" s="692" t="inlineStr">
        <is>
          <t>CONCRETOS CEMENTOS Y MORTEROS</t>
        </is>
      </c>
    </row>
    <row r="94" ht="20.1" customHeight="1">
      <c r="A94" s="430">
        <f>_xlfn.XLOOKUP(B94,'INSUMOS MAT '!B:B,'INSUMOS MAT '!C:C,"ERROR",0)</f>
        <v/>
      </c>
      <c r="B94" s="142" t="inlineStr">
        <is>
          <t>MAT06-0048</t>
        </is>
      </c>
      <c r="C94" s="691" t="inlineStr">
        <is>
          <t>CAJA OCTAGONAL 1/2 EMT PESADAS (8 SALIDAS )</t>
        </is>
      </c>
      <c r="D94" s="692" t="inlineStr">
        <is>
          <t>UND</t>
        </is>
      </c>
      <c r="E94" s="693" t="n">
        <v>914.3738</v>
      </c>
      <c r="F94" s="694">
        <f>E94*$N$2</f>
        <v/>
      </c>
      <c r="G94" s="695" t="n">
        <v>0</v>
      </c>
      <c r="H94" s="696">
        <f>F94-G94</f>
        <v/>
      </c>
      <c r="I94" s="151" t="n"/>
      <c r="J94" s="152" t="n">
        <v>44721</v>
      </c>
      <c r="K94" s="692" t="inlineStr">
        <is>
          <t>ELECTRICO</t>
        </is>
      </c>
    </row>
    <row r="95" ht="20.1" customHeight="1">
      <c r="A95" s="430">
        <f>_xlfn.XLOOKUP(B95,'INSUMOS MAT '!B:B,'INSUMOS MAT '!C:C,"ERROR",0)</f>
        <v/>
      </c>
      <c r="B95" s="142" t="inlineStr">
        <is>
          <t>MAT08-0016</t>
        </is>
      </c>
      <c r="C95" s="691" t="inlineStr">
        <is>
          <t>CAJA PARA LAVADORA</t>
        </is>
      </c>
      <c r="D95" s="692" t="inlineStr">
        <is>
          <t>UND</t>
        </is>
      </c>
      <c r="E95" s="693" t="n">
        <v>20562.61</v>
      </c>
      <c r="F95" s="694">
        <f>E95*$N$2</f>
        <v/>
      </c>
      <c r="G95" s="695" t="n">
        <v>0</v>
      </c>
      <c r="H95" s="696">
        <f>F95-G95</f>
        <v/>
      </c>
      <c r="I95" s="151" t="n"/>
      <c r="J95" s="152" t="n">
        <v>44721</v>
      </c>
      <c r="K95" s="692" t="inlineStr">
        <is>
          <t>FERRETERIA GENERAL</t>
        </is>
      </c>
    </row>
    <row r="96" ht="20.1" customHeight="1">
      <c r="A96" s="430">
        <f>_xlfn.XLOOKUP(B96,'INSUMOS MAT '!B:B,'INSUMOS MAT '!C:C,"ERROR",0)</f>
        <v/>
      </c>
      <c r="B96" s="142" t="inlineStr">
        <is>
          <t>MAT06-0051</t>
        </is>
      </c>
      <c r="C96" s="691" t="inlineStr">
        <is>
          <t>CAJA RECTANGULAR EMT 1" UL</t>
        </is>
      </c>
      <c r="D96" s="692" t="inlineStr">
        <is>
          <t>UND</t>
        </is>
      </c>
      <c r="E96" s="693" t="n">
        <v>578.7153</v>
      </c>
      <c r="F96" s="694">
        <f>E96*$N$2</f>
        <v/>
      </c>
      <c r="G96" s="695" t="n">
        <v>0</v>
      </c>
      <c r="H96" s="696">
        <f>F96-G96</f>
        <v/>
      </c>
      <c r="I96" s="151" t="n"/>
      <c r="J96" s="152" t="n">
        <v>44697</v>
      </c>
      <c r="K96" s="692" t="inlineStr">
        <is>
          <t>ELECTRICO</t>
        </is>
      </c>
    </row>
    <row r="97" ht="20.1" customHeight="1">
      <c r="A97" s="430">
        <f>_xlfn.XLOOKUP(B97,'INSUMOS MAT '!B:B,'INSUMOS MAT '!C:C,"ERROR",0)</f>
        <v/>
      </c>
      <c r="B97" s="142" t="inlineStr">
        <is>
          <t>MAT08-0017</t>
        </is>
      </c>
      <c r="C97" s="691" t="inlineStr">
        <is>
          <t>CAL</t>
        </is>
      </c>
      <c r="D97" s="692" t="inlineStr">
        <is>
          <t>BOLSA</t>
        </is>
      </c>
      <c r="E97" s="693" t="n">
        <v>1627.2</v>
      </c>
      <c r="F97" s="694">
        <f>E97*$N$2</f>
        <v/>
      </c>
      <c r="G97" s="695" t="n">
        <v>0</v>
      </c>
      <c r="H97" s="696">
        <f>F97-G97</f>
        <v/>
      </c>
      <c r="I97" s="151" t="n"/>
      <c r="J97" s="152" t="n">
        <v>44708</v>
      </c>
      <c r="K97" s="692" t="inlineStr">
        <is>
          <t>FERRETERIA GENERAL</t>
        </is>
      </c>
    </row>
    <row r="98" ht="20.1" customHeight="1">
      <c r="A98" s="430">
        <f>_xlfn.XLOOKUP(B98,'INSUMOS MAT '!B:B,'INSUMOS MAT '!C:C,"ERROR",0)</f>
        <v/>
      </c>
      <c r="B98" s="142" t="inlineStr">
        <is>
          <t>MAT06-0052</t>
        </is>
      </c>
      <c r="C98" s="691" t="inlineStr">
        <is>
          <t>CALENTADOR INSTANTANEO KRONOX 12000 W/240 V</t>
        </is>
      </c>
      <c r="D98" s="692" t="inlineStr">
        <is>
          <t>UND</t>
        </is>
      </c>
      <c r="E98" s="693" t="n">
        <v>195603</v>
      </c>
      <c r="F98" s="694">
        <f>E98*$N$2</f>
        <v/>
      </c>
      <c r="G98" s="695" t="n">
        <v>0</v>
      </c>
      <c r="H98" s="696">
        <f>F98-G98</f>
        <v/>
      </c>
      <c r="I98" s="151" t="n"/>
      <c r="J98" s="152" t="n">
        <v>44711</v>
      </c>
      <c r="K98" s="692" t="inlineStr">
        <is>
          <t>ELECTRICO</t>
        </is>
      </c>
    </row>
    <row r="99" ht="20.1" customHeight="1">
      <c r="A99" s="430">
        <f>_xlfn.XLOOKUP(B99,'INSUMOS MAT '!B:B,'INSUMOS MAT '!C:C,"ERROR",0)</f>
        <v/>
      </c>
      <c r="B99" s="142" t="inlineStr">
        <is>
          <t>MAT07-0003</t>
        </is>
      </c>
      <c r="C99" s="691" t="inlineStr">
        <is>
          <t>CANAL U 1 1/2X16X4.88 CAL #20</t>
        </is>
      </c>
      <c r="D99" s="692" t="inlineStr">
        <is>
          <t>UND</t>
        </is>
      </c>
      <c r="E99" s="693" t="n">
        <v>2049.14</v>
      </c>
      <c r="F99" s="694">
        <f>E99*$N$2</f>
        <v/>
      </c>
      <c r="G99" s="695" t="n">
        <v>0</v>
      </c>
      <c r="H99" s="696">
        <f>F99-G99</f>
        <v/>
      </c>
      <c r="I99" s="151" t="n"/>
      <c r="J99" s="152" t="n">
        <v>44715</v>
      </c>
      <c r="K99" s="692" t="inlineStr">
        <is>
          <t>ESTRUCTURA LIVIANA</t>
        </is>
      </c>
    </row>
    <row r="100" ht="20.1" customHeight="1">
      <c r="A100" s="430">
        <f>_xlfn.XLOOKUP(B100,'INSUMOS MAT '!B:B,'INSUMOS MAT '!C:C,"ERROR",0)</f>
        <v/>
      </c>
      <c r="B100" s="142" t="inlineStr">
        <is>
          <t>MAT08-0195</t>
        </is>
      </c>
      <c r="C100" s="691" t="inlineStr">
        <is>
          <t>CEDAZO</t>
        </is>
      </c>
      <c r="D100" s="692" t="inlineStr">
        <is>
          <t>M</t>
        </is>
      </c>
      <c r="E100" s="693" t="n">
        <v>1415.41</v>
      </c>
      <c r="F100" s="694">
        <f>E100*$N$2</f>
        <v/>
      </c>
      <c r="G100" s="695" t="n">
        <v>0</v>
      </c>
      <c r="H100" s="696">
        <f>F100-G100</f>
        <v/>
      </c>
      <c r="I100" s="151" t="n"/>
      <c r="J100" s="152" t="n">
        <v>44694</v>
      </c>
      <c r="K100" s="692" t="inlineStr">
        <is>
          <t>FERRETERIA GENERAL</t>
        </is>
      </c>
    </row>
    <row r="101" ht="20.1" customHeight="1">
      <c r="A101" s="430">
        <f>_xlfn.XLOOKUP(B101,'INSUMOS MAT '!B:B,'INSUMOS MAT '!C:C,"ERROR",0)</f>
        <v/>
      </c>
      <c r="B101" s="142" t="inlineStr">
        <is>
          <t>MAT04-0003</t>
        </is>
      </c>
      <c r="C101" s="691" t="inlineStr">
        <is>
          <t>CEMENTO UG</t>
        </is>
      </c>
      <c r="D101" s="692" t="inlineStr">
        <is>
          <t>UND</t>
        </is>
      </c>
      <c r="E101" s="693" t="n">
        <v>5925.8328</v>
      </c>
      <c r="F101" s="694">
        <f>E101*$N$2</f>
        <v/>
      </c>
      <c r="G101" s="695" t="n">
        <v>0</v>
      </c>
      <c r="H101" s="696">
        <f>F101-G101</f>
        <v/>
      </c>
      <c r="I101" s="151" t="n"/>
      <c r="J101" s="152" t="n">
        <v>44719</v>
      </c>
      <c r="K101" s="692" t="inlineStr">
        <is>
          <t>CONCRETOS CEMENTOS Y MORTEROS</t>
        </is>
      </c>
    </row>
    <row r="102" ht="20.1" customHeight="1">
      <c r="A102" s="430">
        <f>_xlfn.XLOOKUP(B102,'INSUMOS MAT '!B:B,'INSUMOS MAT '!C:C,"ERROR",0)</f>
        <v/>
      </c>
      <c r="B102" s="142" t="inlineStr">
        <is>
          <t>MAT06-0054</t>
        </is>
      </c>
      <c r="C102" s="691" t="inlineStr">
        <is>
          <t>CENTRO DE CARGA QO124L125PG</t>
        </is>
      </c>
      <c r="D102" s="692" t="inlineStr">
        <is>
          <t>UND</t>
        </is>
      </c>
      <c r="E102" s="693" t="n">
        <v>107292.92</v>
      </c>
      <c r="F102" s="694">
        <f>E102*$N$2</f>
        <v/>
      </c>
      <c r="G102" s="695" t="n">
        <v>0</v>
      </c>
      <c r="H102" s="696">
        <f>F102-G102</f>
        <v/>
      </c>
      <c r="I102" s="151" t="n"/>
      <c r="J102" s="152" t="n">
        <v>44719</v>
      </c>
      <c r="K102" s="692" t="inlineStr">
        <is>
          <t>ELECTRICO</t>
        </is>
      </c>
    </row>
    <row r="103">
      <c r="A103" s="430">
        <f>_xlfn.XLOOKUP(B103,'INSUMOS MAT '!B:B,'INSUMOS MAT '!C:C,"ERROR",0)</f>
        <v/>
      </c>
      <c r="B103" s="142" t="inlineStr">
        <is>
          <t>MAT17-0073</t>
        </is>
      </c>
      <c r="C103" s="691" t="inlineStr">
        <is>
          <t>CERAMICA 60021 60X60</t>
        </is>
      </c>
      <c r="D103" s="692" t="inlineStr">
        <is>
          <t>M2</t>
        </is>
      </c>
      <c r="E103" s="693" t="n">
        <v>4976.5297</v>
      </c>
      <c r="F103" s="694">
        <f>E103*$N$2</f>
        <v/>
      </c>
      <c r="G103" s="695" t="n">
        <v>0</v>
      </c>
      <c r="H103" s="696">
        <f>F103-G103</f>
        <v/>
      </c>
      <c r="I103" s="151" t="n"/>
      <c r="J103" s="152" t="n">
        <v>44692</v>
      </c>
      <c r="K103" s="692" t="inlineStr">
        <is>
          <t>PISOS Y ENCHAPES</t>
        </is>
      </c>
    </row>
    <row r="104">
      <c r="A104" s="430">
        <f>_xlfn.XLOOKUP(B104,'INSUMOS MAT '!B:B,'INSUMOS MAT '!C:C,"ERROR",0)</f>
        <v/>
      </c>
      <c r="B104" s="142" t="inlineStr">
        <is>
          <t>MAT17-0070</t>
        </is>
      </c>
      <c r="C104" s="691" t="inlineStr">
        <is>
          <t>CERAMICA 62HDA22 BEIGE</t>
        </is>
      </c>
      <c r="D104" s="692" t="inlineStr">
        <is>
          <t>M2</t>
        </is>
      </c>
      <c r="E104" s="693" t="n">
        <v>5426.3171</v>
      </c>
      <c r="F104" s="694">
        <f>E104*$N$2</f>
        <v/>
      </c>
      <c r="G104" s="695" t="n">
        <v>0</v>
      </c>
      <c r="H104" s="696">
        <f>F104-G104</f>
        <v/>
      </c>
      <c r="I104" s="151" t="n"/>
      <c r="J104" s="152" t="n">
        <v>44692</v>
      </c>
      <c r="K104" s="692" t="inlineStr">
        <is>
          <t>PISOS Y ENCHAPES</t>
        </is>
      </c>
    </row>
    <row r="105">
      <c r="A105" s="430">
        <f>_xlfn.XLOOKUP(B105,'INSUMOS MAT '!B:B,'INSUMOS MAT '!C:C,"ERROR",0)</f>
        <v/>
      </c>
      <c r="B105" s="142" t="inlineStr">
        <is>
          <t>MAT17-0074</t>
        </is>
      </c>
      <c r="C105" s="691" t="inlineStr">
        <is>
          <t>CERAMICA ALTAR GRIS</t>
        </is>
      </c>
      <c r="D105" s="692" t="inlineStr">
        <is>
          <t>M2</t>
        </is>
      </c>
      <c r="E105" s="693" t="n">
        <v>6237.5997</v>
      </c>
      <c r="F105" s="694">
        <f>E105*$N$2</f>
        <v/>
      </c>
      <c r="G105" s="695" t="n">
        <v>0</v>
      </c>
      <c r="H105" s="696">
        <f>F105-G105</f>
        <v/>
      </c>
      <c r="I105" s="151" t="n"/>
      <c r="J105" s="152" t="n">
        <v>44692</v>
      </c>
      <c r="K105" s="692" t="inlineStr">
        <is>
          <t>PISOS Y ENCHAPES</t>
        </is>
      </c>
    </row>
    <row r="106" ht="20.1" customHeight="1">
      <c r="A106" s="430">
        <f>_xlfn.XLOOKUP(B106,'INSUMOS MAT '!B:B,'INSUMOS MAT '!C:C,"ERROR",0)</f>
        <v/>
      </c>
      <c r="B106" s="142" t="inlineStr">
        <is>
          <t>MAT17-0075</t>
        </is>
      </c>
      <c r="C106" s="691" t="inlineStr">
        <is>
          <t>CERAMICA AMBAR BRILLO 60X60</t>
        </is>
      </c>
      <c r="D106" s="692" t="inlineStr">
        <is>
          <t>M2</t>
        </is>
      </c>
      <c r="E106" s="693" t="n">
        <v>5489.6616</v>
      </c>
      <c r="F106" s="694">
        <f>E106*$N$2</f>
        <v/>
      </c>
      <c r="G106" s="695" t="n">
        <v>0</v>
      </c>
      <c r="H106" s="696">
        <f>F106-G106</f>
        <v/>
      </c>
      <c r="I106" s="151" t="n"/>
      <c r="J106" s="152" t="n">
        <v>44692</v>
      </c>
      <c r="K106" s="692" t="inlineStr">
        <is>
          <t>PISOS Y ENCHAPES</t>
        </is>
      </c>
    </row>
    <row r="107">
      <c r="A107" s="430">
        <f>_xlfn.XLOOKUP(B107,'INSUMOS MAT '!B:B,'INSUMOS MAT '!C:C,"ERROR",0)</f>
        <v/>
      </c>
      <c r="B107" s="142" t="inlineStr">
        <is>
          <t>MAT17-0028</t>
        </is>
      </c>
      <c r="C107" s="691" t="inlineStr">
        <is>
          <t>CERAMICA ANTARA SAND 55X55</t>
        </is>
      </c>
      <c r="D107" s="692" t="inlineStr">
        <is>
          <t>M2</t>
        </is>
      </c>
      <c r="E107" s="693" t="n">
        <v>4961.2692</v>
      </c>
      <c r="F107" s="694">
        <f>E107*$N$2</f>
        <v/>
      </c>
      <c r="G107" s="695" t="n">
        <v>0</v>
      </c>
      <c r="H107" s="696">
        <f>F107-G107</f>
        <v/>
      </c>
      <c r="I107" s="151" t="n"/>
      <c r="J107" s="152" t="n">
        <v>44692</v>
      </c>
      <c r="K107" s="692" t="inlineStr">
        <is>
          <t>PISOS Y ENCHAPES</t>
        </is>
      </c>
    </row>
    <row r="108">
      <c r="A108" s="430">
        <f>_xlfn.XLOOKUP(B108,'INSUMOS MAT '!B:B,'INSUMOS MAT '!C:C,"ERROR",0)</f>
        <v/>
      </c>
      <c r="B108" s="142" t="inlineStr">
        <is>
          <t>MAT17-0045</t>
        </is>
      </c>
      <c r="C108" s="691" t="inlineStr">
        <is>
          <t>CERAMICA AZ.BRUNI GRIS CLARO 30X60</t>
        </is>
      </c>
      <c r="D108" s="692" t="inlineStr">
        <is>
          <t>M2</t>
        </is>
      </c>
      <c r="E108" s="693" t="n">
        <v>5610.62</v>
      </c>
      <c r="F108" s="694">
        <f>E108*$N$2</f>
        <v/>
      </c>
      <c r="G108" s="695" t="n">
        <v>0</v>
      </c>
      <c r="H108" s="696">
        <f>F108-G108</f>
        <v/>
      </c>
      <c r="I108" s="151" t="n"/>
      <c r="J108" s="152" t="n">
        <v>44692</v>
      </c>
      <c r="K108" s="692" t="inlineStr">
        <is>
          <t>PISOS Y ENCHAPES</t>
        </is>
      </c>
    </row>
    <row r="109" ht="20.1" customHeight="1">
      <c r="A109" s="430">
        <f>_xlfn.XLOOKUP(B109,'INSUMOS MAT '!B:B,'INSUMOS MAT '!C:C,"ERROR",0)</f>
        <v/>
      </c>
      <c r="B109" s="142" t="inlineStr">
        <is>
          <t>MAT17-0044</t>
        </is>
      </c>
      <c r="C109" s="691" t="inlineStr">
        <is>
          <t>CERAMICA BRUNI GRIS CLARO  55X55</t>
        </is>
      </c>
      <c r="D109" s="692" t="inlineStr">
        <is>
          <t>M2</t>
        </is>
      </c>
      <c r="E109" s="693" t="n">
        <v>4603.0462</v>
      </c>
      <c r="F109" s="694">
        <f>E109*$N$2</f>
        <v/>
      </c>
      <c r="G109" s="695" t="n">
        <v>0</v>
      </c>
      <c r="H109" s="696">
        <f>F109-G109</f>
        <v/>
      </c>
      <c r="I109" s="151" t="n"/>
      <c r="J109" s="152" t="n">
        <v>44692</v>
      </c>
      <c r="K109" s="692" t="inlineStr">
        <is>
          <t>PISOS Y ENCHAPES</t>
        </is>
      </c>
    </row>
    <row r="110">
      <c r="A110" s="430">
        <f>_xlfn.XLOOKUP(B110,'INSUMOS MAT '!B:B,'INSUMOS MAT '!C:C,"ERROR",0)</f>
        <v/>
      </c>
      <c r="B110" s="142" t="inlineStr">
        <is>
          <t>MAT17-0048</t>
        </is>
      </c>
      <c r="C110" s="691" t="inlineStr">
        <is>
          <t>CERAMICA CONSTANZA BEIGE</t>
        </is>
      </c>
      <c r="D110" s="692" t="inlineStr">
        <is>
          <t>M2</t>
        </is>
      </c>
      <c r="E110" s="693" t="n">
        <v>7853.5</v>
      </c>
      <c r="F110" s="694">
        <f>E110*$N$2</f>
        <v/>
      </c>
      <c r="G110" s="695" t="n">
        <v>0</v>
      </c>
      <c r="H110" s="696">
        <f>F110-G110</f>
        <v/>
      </c>
      <c r="I110" s="151" t="n"/>
      <c r="J110" s="152" t="n">
        <v>44692</v>
      </c>
      <c r="K110" s="692" t="inlineStr">
        <is>
          <t>PISOS Y ENCHAPES</t>
        </is>
      </c>
    </row>
    <row r="111" ht="20.1" customHeight="1">
      <c r="A111" s="430">
        <f>_xlfn.XLOOKUP(B111,'INSUMOS MAT '!B:B,'INSUMOS MAT '!C:C,"ERROR",0)</f>
        <v/>
      </c>
      <c r="B111" s="142" t="inlineStr">
        <is>
          <t>MAT17-0097</t>
        </is>
      </c>
      <c r="C111" s="691" t="inlineStr">
        <is>
          <t>CERAMICA DIAMANTE BATTISTI</t>
        </is>
      </c>
      <c r="D111" s="692" t="inlineStr">
        <is>
          <t>M2</t>
        </is>
      </c>
      <c r="E111" s="693" t="n">
        <v>8949.995500000001</v>
      </c>
      <c r="F111" s="694">
        <f>E111*$N$2</f>
        <v/>
      </c>
      <c r="G111" s="695" t="n">
        <v>0</v>
      </c>
      <c r="H111" s="696">
        <f>F111-G111</f>
        <v/>
      </c>
      <c r="I111" s="151" t="n"/>
      <c r="J111" s="152" t="n">
        <v>44692</v>
      </c>
      <c r="K111" s="692" t="inlineStr">
        <is>
          <t>PISOS Y ENCHAPES</t>
        </is>
      </c>
    </row>
    <row r="112" ht="20.1" customHeight="1">
      <c r="A112" s="430">
        <f>_xlfn.XLOOKUP(B112,'INSUMOS MAT '!B:B,'INSUMOS MAT '!C:C,"ERROR",0)</f>
        <v/>
      </c>
      <c r="B112" s="142" t="inlineStr">
        <is>
          <t>MAT17-0046</t>
        </is>
      </c>
      <c r="C112" s="691" t="inlineStr">
        <is>
          <t>CERAMICA DIAMANTE CELESTINI 60X60</t>
        </is>
      </c>
      <c r="D112" s="692" t="inlineStr">
        <is>
          <t>M2</t>
        </is>
      </c>
      <c r="E112" s="693" t="n">
        <v>7853.5</v>
      </c>
      <c r="F112" s="694">
        <f>E112*$N$2</f>
        <v/>
      </c>
      <c r="G112" s="695" t="n">
        <v>0</v>
      </c>
      <c r="H112" s="696">
        <f>F112-G112</f>
        <v/>
      </c>
      <c r="I112" s="151" t="n"/>
      <c r="J112" s="152" t="n">
        <v>44692</v>
      </c>
      <c r="K112" s="692" t="inlineStr">
        <is>
          <t>PISOS Y ENCHAPES</t>
        </is>
      </c>
    </row>
    <row r="113" ht="20.1" customHeight="1">
      <c r="A113" s="430">
        <f>_xlfn.XLOOKUP(B113,'INSUMOS MAT '!B:B,'INSUMOS MAT '!C:C,"ERROR",0)</f>
        <v/>
      </c>
      <c r="B113" s="142" t="inlineStr">
        <is>
          <t>MAT17-0036</t>
        </is>
      </c>
      <c r="C113" s="691" t="inlineStr">
        <is>
          <t>CERAMICA EMOTION T.MADERA HARDY CAOBA 20X60</t>
        </is>
      </c>
      <c r="D113" s="692" t="inlineStr">
        <is>
          <t>M2</t>
        </is>
      </c>
      <c r="E113" s="693" t="n">
        <v>8849.559999999999</v>
      </c>
      <c r="F113" s="694">
        <f>E113*$N$2</f>
        <v/>
      </c>
      <c r="G113" s="695" t="n">
        <v>0</v>
      </c>
      <c r="H113" s="696">
        <f>F113-G113</f>
        <v/>
      </c>
      <c r="I113" s="151" t="n"/>
      <c r="J113" s="152" t="n">
        <v>44692</v>
      </c>
      <c r="K113" s="692" t="inlineStr">
        <is>
          <t>PISOS Y ENCHAPES</t>
        </is>
      </c>
    </row>
    <row r="114" ht="20.1" customHeight="1">
      <c r="A114" s="430">
        <f>_xlfn.XLOOKUP(B114,'INSUMOS MAT '!B:B,'INSUMOS MAT '!C:C,"ERROR",0)</f>
        <v/>
      </c>
      <c r="B114" s="142" t="inlineStr">
        <is>
          <t>MAT17-0037</t>
        </is>
      </c>
      <c r="C114" s="691" t="inlineStr">
        <is>
          <t>CERAMICA EMOTION T.MADERA HARDY GRIS 20X60</t>
        </is>
      </c>
      <c r="D114" s="692" t="inlineStr">
        <is>
          <t>M2</t>
        </is>
      </c>
      <c r="E114" s="693" t="n">
        <v>6287.0845</v>
      </c>
      <c r="F114" s="694">
        <f>E114*$N$2</f>
        <v/>
      </c>
      <c r="G114" s="695" t="n">
        <v>0</v>
      </c>
      <c r="H114" s="696">
        <f>F114-G114</f>
        <v/>
      </c>
      <c r="I114" s="151" t="n"/>
      <c r="J114" s="152" t="n">
        <v>44722</v>
      </c>
      <c r="K114" s="692" t="inlineStr">
        <is>
          <t>PISOS Y ENCHAPES</t>
        </is>
      </c>
    </row>
    <row r="115">
      <c r="A115" s="430">
        <f>_xlfn.XLOOKUP(B115,'INSUMOS MAT '!B:B,'INSUMOS MAT '!C:C,"ERROR",0)</f>
        <v/>
      </c>
      <c r="B115" s="142" t="inlineStr">
        <is>
          <t>MAT17-0035</t>
        </is>
      </c>
      <c r="C115" s="691" t="inlineStr">
        <is>
          <t>CERAMICA EMOTION T.MADERA HARDY HAYA 20X60</t>
        </is>
      </c>
      <c r="D115" s="692" t="inlineStr">
        <is>
          <t>M2</t>
        </is>
      </c>
      <c r="E115" s="693" t="n">
        <v>8098.5514</v>
      </c>
      <c r="F115" s="694">
        <f>E115*$N$2</f>
        <v/>
      </c>
      <c r="G115" s="695" t="n">
        <v>0</v>
      </c>
      <c r="H115" s="696">
        <f>F115-G115</f>
        <v/>
      </c>
      <c r="I115" s="151" t="n"/>
      <c r="J115" s="152" t="n">
        <v>44692</v>
      </c>
      <c r="K115" s="692" t="inlineStr">
        <is>
          <t>PISOS Y ENCHAPES</t>
        </is>
      </c>
    </row>
    <row r="116" ht="20.1" customHeight="1">
      <c r="A116" s="430">
        <f>_xlfn.XLOOKUP(B116,'INSUMOS MAT '!B:B,'INSUMOS MAT '!C:C,"ERROR",0)</f>
        <v/>
      </c>
      <c r="B116" s="142" t="inlineStr">
        <is>
          <t>MAT17-0072</t>
        </is>
      </c>
      <c r="C116" s="691" t="inlineStr">
        <is>
          <t>CERAMICA GRES GROUND 60X60</t>
        </is>
      </c>
      <c r="D116" s="692" t="inlineStr">
        <is>
          <t>M2</t>
        </is>
      </c>
      <c r="E116" s="693" t="n">
        <v>5570.1268</v>
      </c>
      <c r="F116" s="694">
        <f>E116*$N$2</f>
        <v/>
      </c>
      <c r="G116" s="695" t="n">
        <v>0</v>
      </c>
      <c r="H116" s="696">
        <f>F116-G116</f>
        <v/>
      </c>
      <c r="I116" s="151" t="n"/>
      <c r="J116" s="152" t="n">
        <v>44692</v>
      </c>
      <c r="K116" s="692" t="inlineStr">
        <is>
          <t>PISOS Y ENCHAPES</t>
        </is>
      </c>
    </row>
    <row r="117" ht="20.1" customHeight="1">
      <c r="A117" s="430">
        <f>_xlfn.XLOOKUP(B117,'INSUMOS MAT '!B:B,'INSUMOS MAT '!C:C,"ERROR",0)</f>
        <v/>
      </c>
      <c r="B117" s="142" t="inlineStr">
        <is>
          <t>MAT17-0100</t>
        </is>
      </c>
      <c r="C117" s="691" t="inlineStr">
        <is>
          <t>CERAMICA MARMOL ASTRA IVORY</t>
        </is>
      </c>
      <c r="D117" s="692" t="inlineStr">
        <is>
          <t>M2</t>
        </is>
      </c>
      <c r="E117" s="693" t="n">
        <v>7502.522</v>
      </c>
      <c r="F117" s="694">
        <f>E117*$N$2</f>
        <v/>
      </c>
      <c r="G117" s="695" t="n">
        <v>0</v>
      </c>
      <c r="H117" s="696">
        <f>F117-G117</f>
        <v/>
      </c>
      <c r="I117" s="151" t="n"/>
      <c r="J117" s="152" t="n">
        <v>44692</v>
      </c>
      <c r="K117" s="692" t="inlineStr">
        <is>
          <t>PISOS Y ENCHAPES</t>
        </is>
      </c>
    </row>
    <row r="118" ht="20.1" customHeight="1">
      <c r="A118" s="430">
        <f>_xlfn.XLOOKUP(B118,'INSUMOS MAT '!B:B,'INSUMOS MAT '!C:C,"ERROR",0)</f>
        <v/>
      </c>
      <c r="B118" s="142" t="inlineStr">
        <is>
          <t>MAT17-0030</t>
        </is>
      </c>
      <c r="C118" s="691" t="inlineStr">
        <is>
          <t>CERAMICA SENOIA BEIGE 30X45</t>
        </is>
      </c>
      <c r="D118" s="692" t="inlineStr">
        <is>
          <t>M2</t>
        </is>
      </c>
      <c r="E118" s="693" t="n">
        <v>5410.44</v>
      </c>
      <c r="F118" s="694">
        <f>E118*$N$2</f>
        <v/>
      </c>
      <c r="G118" s="695" t="n">
        <v>0</v>
      </c>
      <c r="H118" s="696">
        <f>F118-G118</f>
        <v/>
      </c>
      <c r="I118" s="151" t="n"/>
      <c r="J118" s="152" t="n">
        <v>44692</v>
      </c>
      <c r="K118" s="692" t="inlineStr">
        <is>
          <t>PISOS Y ENCHAPES</t>
        </is>
      </c>
    </row>
    <row r="119" ht="20.1" customHeight="1">
      <c r="A119" s="430">
        <f>_xlfn.XLOOKUP(B119,'INSUMOS MAT '!B:B,'INSUMOS MAT '!C:C,"ERROR",0)</f>
        <v/>
      </c>
      <c r="B119" s="142" t="inlineStr">
        <is>
          <t>MAT17-0069</t>
        </is>
      </c>
      <c r="C119" s="691" t="inlineStr">
        <is>
          <t>CERAMICA SENOIA GRIS 30X45</t>
        </is>
      </c>
      <c r="D119" s="692" t="inlineStr">
        <is>
          <t>M2</t>
        </is>
      </c>
      <c r="E119" s="693" t="n">
        <v>5410.44</v>
      </c>
      <c r="F119" s="694">
        <f>E119*$N$2</f>
        <v/>
      </c>
      <c r="G119" s="695" t="n">
        <v>0</v>
      </c>
      <c r="H119" s="696">
        <f>F119-G119</f>
        <v/>
      </c>
      <c r="I119" s="151" t="n"/>
      <c r="J119" s="152" t="n">
        <v>44692</v>
      </c>
      <c r="K119" s="692" t="inlineStr">
        <is>
          <t>PISOS Y ENCHAPES</t>
        </is>
      </c>
    </row>
    <row r="120" ht="20.1" customHeight="1">
      <c r="A120" s="430">
        <f>_xlfn.XLOOKUP(B120,'INSUMOS MAT '!B:B,'INSUMOS MAT '!C:C,"ERROR",0)</f>
        <v/>
      </c>
      <c r="B120" s="142" t="inlineStr">
        <is>
          <t>MAT17-0058</t>
        </is>
      </c>
      <c r="C120" s="691" t="inlineStr">
        <is>
          <t>CERAMICA TORAZZO</t>
        </is>
      </c>
      <c r="D120" s="692" t="inlineStr">
        <is>
          <t>M2</t>
        </is>
      </c>
      <c r="E120" s="693" t="n">
        <v>7853.5</v>
      </c>
      <c r="F120" s="694">
        <f>E120*$N$2</f>
        <v/>
      </c>
      <c r="G120" s="695" t="n">
        <v>0</v>
      </c>
      <c r="H120" s="696">
        <f>F120-G120</f>
        <v/>
      </c>
      <c r="I120" s="151" t="n"/>
      <c r="J120" s="152" t="n">
        <v>44692</v>
      </c>
      <c r="K120" s="692" t="inlineStr">
        <is>
          <t>PISOS Y ENCHAPES</t>
        </is>
      </c>
    </row>
    <row r="121" ht="20.1" customHeight="1">
      <c r="A121" s="430">
        <f>_xlfn.XLOOKUP(B121,'INSUMOS MAT '!B:B,'INSUMOS MAT '!C:C,"ERROR",0)</f>
        <v/>
      </c>
      <c r="B121" s="142" t="inlineStr">
        <is>
          <t>MAT18-0007</t>
        </is>
      </c>
      <c r="C121" s="691" t="inlineStr">
        <is>
          <t>CERRADURA INTERNO MANIJA YALE LEEDS</t>
        </is>
      </c>
      <c r="D121" s="692" t="inlineStr">
        <is>
          <t>UND</t>
        </is>
      </c>
      <c r="E121" s="693" t="n">
        <v>10718.2082</v>
      </c>
      <c r="F121" s="694">
        <f>E121*$N$2</f>
        <v/>
      </c>
      <c r="G121" s="695" t="n">
        <v>0</v>
      </c>
      <c r="H121" s="696">
        <f>F121-G121</f>
        <v/>
      </c>
      <c r="I121" s="151" t="n"/>
      <c r="J121" s="152" t="n">
        <v>44714</v>
      </c>
      <c r="K121" s="692" t="inlineStr">
        <is>
          <t>PUERTAS Y RODAPIE</t>
        </is>
      </c>
    </row>
    <row r="122" ht="20.1" customHeight="1">
      <c r="A122" s="430">
        <f>_xlfn.XLOOKUP(B122,'INSUMOS MAT '!B:B,'INSUMOS MAT '!C:C,"ERROR",0)</f>
        <v/>
      </c>
      <c r="B122" s="142" t="inlineStr">
        <is>
          <t>MAT18-0008</t>
        </is>
      </c>
      <c r="C122" s="691" t="inlineStr">
        <is>
          <t>CERRADURA PRINCIPAL VERO NIQ 210 GEO</t>
        </is>
      </c>
      <c r="D122" s="692" t="inlineStr">
        <is>
          <t>UND</t>
        </is>
      </c>
      <c r="E122" s="693" t="n">
        <v>21709.8767</v>
      </c>
      <c r="F122" s="694">
        <f>E122*$N$2</f>
        <v/>
      </c>
      <c r="G122" s="695" t="n">
        <v>0</v>
      </c>
      <c r="H122" s="696">
        <f>F122-G122</f>
        <v/>
      </c>
      <c r="I122" s="151" t="n"/>
      <c r="J122" s="152" t="n">
        <v>44712</v>
      </c>
      <c r="K122" s="692" t="inlineStr">
        <is>
          <t>PUERTAS Y RODAPIE</t>
        </is>
      </c>
    </row>
    <row r="123" ht="20.1" customHeight="1">
      <c r="A123" s="430">
        <f>_xlfn.XLOOKUP(B123,'INSUMOS MAT '!B:B,'INSUMOS MAT '!C:C,"ERROR",0)</f>
        <v/>
      </c>
      <c r="B123" s="142" t="inlineStr">
        <is>
          <t>MAT05-0075</t>
        </is>
      </c>
      <c r="C123" s="691" t="inlineStr">
        <is>
          <t>CINTA DE ALUMINIO 25MM C/50M (POLYCARBONATO)</t>
        </is>
      </c>
      <c r="D123" s="692" t="inlineStr">
        <is>
          <t>UND</t>
        </is>
      </c>
      <c r="E123" s="693" t="n">
        <v>219.879</v>
      </c>
      <c r="F123" s="694">
        <f>E123*$N$2</f>
        <v/>
      </c>
      <c r="G123" s="695" t="n">
        <v>0</v>
      </c>
      <c r="H123" s="696">
        <f>F123-G123</f>
        <v/>
      </c>
      <c r="I123" s="151" t="n"/>
      <c r="J123" s="152" t="n">
        <v>44692</v>
      </c>
      <c r="K123" s="692" t="inlineStr">
        <is>
          <t>CUBIERTAS E IMPERMEBILIZANTES</t>
        </is>
      </c>
    </row>
    <row r="124" ht="20.1" customHeight="1">
      <c r="A124" s="430">
        <f>_xlfn.XLOOKUP(B124,'INSUMOS MAT '!B:B,'INSUMOS MAT '!C:C,"ERROR",0)</f>
        <v/>
      </c>
      <c r="B124" s="142" t="inlineStr">
        <is>
          <t>MAT05-0076</t>
        </is>
      </c>
      <c r="C124" s="691" t="inlineStr">
        <is>
          <t>CINTA DE VENTILACION 25MM / M PARA ST (POLYCARBONATO)</t>
        </is>
      </c>
      <c r="D124" s="692" t="inlineStr">
        <is>
          <t>UND</t>
        </is>
      </c>
      <c r="E124" s="693" t="n">
        <v>481.17</v>
      </c>
      <c r="F124" s="694">
        <f>E124*$N$2</f>
        <v/>
      </c>
      <c r="G124" s="695" t="n">
        <v>0</v>
      </c>
      <c r="H124" s="696">
        <f>F124-G124</f>
        <v/>
      </c>
      <c r="I124" s="151" t="n"/>
      <c r="J124" s="152" t="n">
        <v>44692</v>
      </c>
      <c r="K124" s="692" t="inlineStr">
        <is>
          <t>CUBIERTAS E IMPERMEBILIZANTES</t>
        </is>
      </c>
    </row>
    <row r="125" ht="20.1" customHeight="1">
      <c r="A125" s="430">
        <f>_xlfn.XLOOKUP(B125,'INSUMOS MAT '!B:B,'INSUMOS MAT '!C:C,"ERROR",0)</f>
        <v/>
      </c>
      <c r="B125" s="142" t="inlineStr">
        <is>
          <t>MAT08-0203</t>
        </is>
      </c>
      <c r="C125" s="691" t="inlineStr">
        <is>
          <t>CINTA PELIGRO</t>
        </is>
      </c>
      <c r="D125" s="692" t="inlineStr">
        <is>
          <t>UND</t>
        </is>
      </c>
      <c r="E125" s="693" t="n">
        <v>4941.9075</v>
      </c>
      <c r="F125" s="694">
        <f>E125*$N$2</f>
        <v/>
      </c>
      <c r="G125" s="695" t="n">
        <v>0</v>
      </c>
      <c r="H125" s="696">
        <f>F125-G125</f>
        <v/>
      </c>
      <c r="I125" s="151" t="n"/>
      <c r="J125" s="152" t="n">
        <v>44722</v>
      </c>
      <c r="K125" s="692" t="inlineStr">
        <is>
          <t>FERRETERIA GENERAL</t>
        </is>
      </c>
    </row>
    <row r="126" ht="20.1" customHeight="1">
      <c r="A126" s="430">
        <f>_xlfn.XLOOKUP(B126,'INSUMOS MAT '!B:B,'INSUMOS MAT '!C:C,"ERROR",0)</f>
        <v/>
      </c>
      <c r="B126" s="142" t="inlineStr">
        <is>
          <t>MAT08-0018</t>
        </is>
      </c>
      <c r="C126" s="691" t="inlineStr">
        <is>
          <t>CINTA EMPAQUE 2</t>
        </is>
      </c>
      <c r="D126" s="692" t="inlineStr">
        <is>
          <t>UND</t>
        </is>
      </c>
      <c r="E126" s="693" t="n">
        <v>1404.4398</v>
      </c>
      <c r="F126" s="694">
        <f>E126*$N$2</f>
        <v/>
      </c>
      <c r="G126" s="695" t="n">
        <v>0</v>
      </c>
      <c r="H126" s="696">
        <f>F126-G126</f>
        <v/>
      </c>
      <c r="I126" s="151" t="n"/>
      <c r="J126" s="152" t="n">
        <v>44721</v>
      </c>
      <c r="K126" s="692" t="inlineStr">
        <is>
          <t>FERRETERIA GENERAL</t>
        </is>
      </c>
    </row>
    <row r="127" ht="20.1" customHeight="1">
      <c r="A127" s="430">
        <f>_xlfn.XLOOKUP(B127,'INSUMOS MAT '!B:B,'INSUMOS MAT '!C:C,"ERROR",0)</f>
        <v/>
      </c>
      <c r="B127" s="142" t="inlineStr">
        <is>
          <t>MAT07-0004</t>
        </is>
      </c>
      <c r="C127" s="691" t="inlineStr">
        <is>
          <t>CINTA JUNTAS PAPEL 2 X 250</t>
        </is>
      </c>
      <c r="D127" s="692" t="inlineStr">
        <is>
          <t>UND</t>
        </is>
      </c>
      <c r="E127" s="693" t="n">
        <v>1751.3896</v>
      </c>
      <c r="F127" s="694">
        <f>E127*$N$2</f>
        <v/>
      </c>
      <c r="G127" s="695" t="n">
        <v>0</v>
      </c>
      <c r="H127" s="696">
        <f>F127-G127</f>
        <v/>
      </c>
      <c r="I127" s="151" t="n"/>
      <c r="J127" s="152" t="n">
        <v>44692</v>
      </c>
      <c r="K127" s="692" t="inlineStr">
        <is>
          <t>ESTRUCTURA LIVIANA</t>
        </is>
      </c>
    </row>
    <row r="128" ht="20.1" customHeight="1">
      <c r="A128" s="430">
        <f>_xlfn.XLOOKUP(B128,'INSUMOS MAT '!B:B,'INSUMOS MAT '!C:C,"ERROR",0)</f>
        <v/>
      </c>
      <c r="B128" s="142" t="inlineStr">
        <is>
          <t>MAT07-0006</t>
        </is>
      </c>
      <c r="C128" s="691" t="inlineStr">
        <is>
          <t>CINTA MALLA ADHESIVA P/GYP (90M)</t>
        </is>
      </c>
      <c r="D128" s="692" t="inlineStr">
        <is>
          <t>ROLLO</t>
        </is>
      </c>
      <c r="E128" s="693" t="n">
        <v>2090.2738</v>
      </c>
      <c r="F128" s="694">
        <f>E128*$N$2</f>
        <v/>
      </c>
      <c r="G128" s="695" t="n">
        <v>0</v>
      </c>
      <c r="H128" s="696">
        <f>F128-G128</f>
        <v/>
      </c>
      <c r="I128" s="151" t="n"/>
      <c r="J128" s="152" t="n">
        <v>44712</v>
      </c>
      <c r="K128" s="692" t="inlineStr">
        <is>
          <t>ESTRUCTURA LIVIANA</t>
        </is>
      </c>
    </row>
    <row r="129" ht="20.1" customHeight="1">
      <c r="A129" s="430">
        <f>_xlfn.XLOOKUP(B129,'INSUMOS MAT '!B:B,'INSUMOS MAT '!C:C,"ERROR",0)</f>
        <v/>
      </c>
      <c r="B129" s="142" t="inlineStr">
        <is>
          <t>MAT08-0019</t>
        </is>
      </c>
      <c r="C129" s="691" t="inlineStr">
        <is>
          <t>CLAVO NEGRO 1"</t>
        </is>
      </c>
      <c r="D129" s="692" t="inlineStr">
        <is>
          <t>CAJA</t>
        </is>
      </c>
      <c r="E129" s="693" t="n">
        <v>571</v>
      </c>
      <c r="F129" s="694">
        <f>E129*$N$2</f>
        <v/>
      </c>
      <c r="G129" s="695" t="n">
        <v>0</v>
      </c>
      <c r="H129" s="696">
        <f>F129-G129</f>
        <v/>
      </c>
      <c r="I129" s="151" t="n"/>
      <c r="J129" s="152" t="n">
        <v>44715</v>
      </c>
      <c r="K129" s="692" t="inlineStr">
        <is>
          <t>FERRETERIA GENERAL</t>
        </is>
      </c>
    </row>
    <row r="130" ht="20.1" customHeight="1">
      <c r="A130" s="430">
        <f>_xlfn.XLOOKUP(B130,'INSUMOS MAT '!B:B,'INSUMOS MAT '!C:C,"ERROR",0)</f>
        <v/>
      </c>
      <c r="B130" s="142" t="inlineStr">
        <is>
          <t>MAT08-0022</t>
        </is>
      </c>
      <c r="C130" s="691" t="inlineStr">
        <is>
          <t>CLAVO ACERO 2 X 3.8MM</t>
        </is>
      </c>
      <c r="D130" s="692" t="inlineStr">
        <is>
          <t>CAJA</t>
        </is>
      </c>
      <c r="E130" s="693" t="n">
        <v>8186.85</v>
      </c>
      <c r="F130" s="694">
        <f>E130*$N$2</f>
        <v/>
      </c>
      <c r="G130" s="695" t="n">
        <v>0</v>
      </c>
      <c r="H130" s="696">
        <f>F130-G130</f>
        <v/>
      </c>
      <c r="I130" s="151" t="n"/>
      <c r="J130" s="152" t="n">
        <v>44719</v>
      </c>
      <c r="K130" s="692" t="inlineStr">
        <is>
          <t>FERRETERIA GENERAL</t>
        </is>
      </c>
    </row>
    <row r="131" ht="20.1" customHeight="1">
      <c r="A131" s="430">
        <f>_xlfn.XLOOKUP(B131,'INSUMOS MAT '!B:B,'INSUMOS MAT '!C:C,"ERROR",0)</f>
        <v/>
      </c>
      <c r="B131" s="142" t="inlineStr">
        <is>
          <t>MAT08-0023</t>
        </is>
      </c>
      <c r="C131" s="691" t="inlineStr">
        <is>
          <t>CLAVO C/CABEZA  2 1/2"</t>
        </is>
      </c>
      <c r="D131" s="692" t="inlineStr">
        <is>
          <t>KG</t>
        </is>
      </c>
      <c r="E131" s="693" t="n">
        <v>1346.0384</v>
      </c>
      <c r="F131" s="694">
        <f>E131*$N$2</f>
        <v/>
      </c>
      <c r="G131" s="695" t="n">
        <v>0</v>
      </c>
      <c r="H131" s="696">
        <f>F131-G131</f>
        <v/>
      </c>
      <c r="I131" s="151" t="n"/>
      <c r="J131" s="152" t="n">
        <v>44701</v>
      </c>
      <c r="K131" s="692" t="inlineStr">
        <is>
          <t>FERRETERIA GENERAL</t>
        </is>
      </c>
    </row>
    <row r="132" ht="20.1" customHeight="1">
      <c r="A132" s="430">
        <f>_xlfn.XLOOKUP(B132,'INSUMOS MAT '!B:B,'INSUMOS MAT '!C:C,"ERROR",0)</f>
        <v/>
      </c>
      <c r="B132" s="142" t="inlineStr">
        <is>
          <t>MAT08-0024</t>
        </is>
      </c>
      <c r="C132" s="691" t="inlineStr">
        <is>
          <t>CLAVO C/CABEZA  2"</t>
        </is>
      </c>
      <c r="D132" s="692" t="inlineStr">
        <is>
          <t>KG</t>
        </is>
      </c>
      <c r="E132" s="693" t="n">
        <v>1282.6042</v>
      </c>
      <c r="F132" s="694">
        <f>E132*$N$2</f>
        <v/>
      </c>
      <c r="G132" s="695" t="n">
        <v>0</v>
      </c>
      <c r="H132" s="696">
        <f>F132-G132</f>
        <v/>
      </c>
      <c r="I132" s="151" t="n"/>
      <c r="J132" s="152" t="n">
        <v>44695</v>
      </c>
      <c r="K132" s="692" t="inlineStr">
        <is>
          <t>FERRETERIA GENERAL</t>
        </is>
      </c>
    </row>
    <row r="133" ht="20.1" customHeight="1">
      <c r="A133" s="430">
        <f>_xlfn.XLOOKUP(B133,'INSUMOS MAT '!B:B,'INSUMOS MAT '!C:C,"ERROR",0)</f>
        <v/>
      </c>
      <c r="B133" s="142" t="inlineStr">
        <is>
          <t>MAT08-0026</t>
        </is>
      </c>
      <c r="C133" s="691" t="inlineStr">
        <is>
          <t>CLAVO DE IMPACTO 1"</t>
        </is>
      </c>
      <c r="D133" s="692" t="inlineStr">
        <is>
          <t>CAJA</t>
        </is>
      </c>
      <c r="E133" s="693" t="n">
        <v>2208.7</v>
      </c>
      <c r="F133" s="694">
        <f>E133*$N$2</f>
        <v/>
      </c>
      <c r="G133" s="695" t="n">
        <v>0</v>
      </c>
      <c r="H133" s="696">
        <f>F133-G133</f>
        <v/>
      </c>
      <c r="I133" s="151" t="n"/>
      <c r="J133" s="152" t="n">
        <v>44719</v>
      </c>
      <c r="K133" s="692" t="inlineStr">
        <is>
          <t>FERRETERIA GENERAL</t>
        </is>
      </c>
    </row>
    <row r="134" ht="20.1" customHeight="1">
      <c r="A134" s="430">
        <f>_xlfn.XLOOKUP(B134,'INSUMOS MAT '!B:B,'INSUMOS MAT '!C:C,"ERROR",0)</f>
        <v/>
      </c>
      <c r="B134" s="142" t="inlineStr">
        <is>
          <t>MAT05-0080</t>
        </is>
      </c>
      <c r="C134" s="691" t="inlineStr">
        <is>
          <t>CLIP ESMALTADO CALIBRE 24</t>
        </is>
      </c>
      <c r="D134" s="692" t="inlineStr">
        <is>
          <t>UND</t>
        </is>
      </c>
      <c r="E134" s="693" t="n">
        <v>169.5</v>
      </c>
      <c r="F134" s="694">
        <f>E134*$N$2</f>
        <v/>
      </c>
      <c r="G134" s="695" t="n">
        <v>0</v>
      </c>
      <c r="H134" s="696">
        <f>F134-G134</f>
        <v/>
      </c>
      <c r="I134" s="151" t="n"/>
      <c r="J134" s="152" t="n">
        <v>44719</v>
      </c>
      <c r="K134" s="692" t="inlineStr">
        <is>
          <t>CUBIERTAS E IMPERMEBILIZANTES</t>
        </is>
      </c>
    </row>
    <row r="135" ht="20.1" customHeight="1">
      <c r="A135" s="430">
        <f>_xlfn.XLOOKUP(B135,'INSUMOS MAT '!B:B,'INSUMOS MAT '!C:C,"ERROR",0)</f>
        <v/>
      </c>
      <c r="B135" s="142" t="inlineStr">
        <is>
          <t>MAT08-0028</t>
        </is>
      </c>
      <c r="C135" s="691" t="inlineStr">
        <is>
          <t>CODO 90 HG 1/2"</t>
        </is>
      </c>
      <c r="D135" s="692" t="inlineStr">
        <is>
          <t>UND</t>
        </is>
      </c>
      <c r="E135" s="693" t="n">
        <v>499.5075</v>
      </c>
      <c r="F135" s="694">
        <f>E135*$N$2</f>
        <v/>
      </c>
      <c r="G135" s="695" t="n">
        <v>0</v>
      </c>
      <c r="H135" s="696">
        <f>F135-G135</f>
        <v/>
      </c>
      <c r="I135" s="151" t="n"/>
      <c r="J135" s="152" t="n">
        <v>44694</v>
      </c>
      <c r="K135" s="692" t="inlineStr">
        <is>
          <t>FERRETERIA GENERAL</t>
        </is>
      </c>
    </row>
    <row r="136">
      <c r="A136" s="135" t="n"/>
      <c r="B136" s="142" t="inlineStr">
        <is>
          <t>MAT0528</t>
        </is>
      </c>
      <c r="C136" s="691" t="inlineStr">
        <is>
          <t>CODO 1/2X90 HG</t>
        </is>
      </c>
      <c r="D136" s="692" t="inlineStr">
        <is>
          <t>UND</t>
        </is>
      </c>
      <c r="E136" s="693" t="n">
        <v>483.0976</v>
      </c>
      <c r="F136" s="694">
        <f>E136*$N$2</f>
        <v/>
      </c>
      <c r="G136" s="695" t="n">
        <v>0</v>
      </c>
      <c r="H136" s="696">
        <f>F136-G136</f>
        <v/>
      </c>
      <c r="I136" s="151" t="n"/>
      <c r="J136" s="152" t="n">
        <v>44701</v>
      </c>
      <c r="K136" s="692" t="n">
        <v>0</v>
      </c>
    </row>
    <row r="137">
      <c r="A137" s="430">
        <f>_xlfn.XLOOKUP(B137,'INSUMOS MAT '!B:B,'INSUMOS MAT '!C:C,"ERROR",0)</f>
        <v/>
      </c>
      <c r="B137" s="142" t="inlineStr">
        <is>
          <t>MAT19-0018</t>
        </is>
      </c>
      <c r="C137" s="691" t="inlineStr">
        <is>
          <t>CODO 45 PVC PARED DELGADA 4"</t>
        </is>
      </c>
      <c r="D137" s="692" t="inlineStr">
        <is>
          <t>UND</t>
        </is>
      </c>
      <c r="E137" s="693" t="n">
        <v>3119.052</v>
      </c>
      <c r="F137" s="694">
        <f>E137*$N$2</f>
        <v/>
      </c>
      <c r="G137" s="695" t="n">
        <v>0</v>
      </c>
      <c r="H137" s="696">
        <f>F137-G137</f>
        <v/>
      </c>
      <c r="I137" s="151" t="n"/>
      <c r="J137" s="152" t="n">
        <v>44722</v>
      </c>
      <c r="K137" s="692" t="inlineStr">
        <is>
          <t>PVC</t>
        </is>
      </c>
    </row>
    <row r="138" ht="20.1" customHeight="1">
      <c r="A138" s="430">
        <f>_xlfn.XLOOKUP(B138,'INSUMOS MAT '!B:B,'INSUMOS MAT '!C:C,"ERROR",0)</f>
        <v/>
      </c>
      <c r="B138" s="142" t="inlineStr">
        <is>
          <t>MAT19-0016</t>
        </is>
      </c>
      <c r="C138" s="691" t="inlineStr">
        <is>
          <t>CODO 45 PVC PARED DELGADA 1.1/2"</t>
        </is>
      </c>
      <c r="D138" s="692" t="inlineStr">
        <is>
          <t>UND</t>
        </is>
      </c>
      <c r="E138" s="693" t="n">
        <v>2046.0116</v>
      </c>
      <c r="F138" s="694">
        <f>E138*$N$2</f>
        <v/>
      </c>
      <c r="G138" s="695" t="n">
        <v>0</v>
      </c>
      <c r="H138" s="696">
        <f>F138-G138</f>
        <v/>
      </c>
      <c r="I138" s="151" t="n"/>
      <c r="J138" s="152" t="n">
        <v>44692</v>
      </c>
      <c r="K138" s="692" t="inlineStr">
        <is>
          <t>PVC</t>
        </is>
      </c>
    </row>
    <row r="139" ht="20.1" customHeight="1">
      <c r="A139" s="430">
        <f>_xlfn.XLOOKUP(B139,'INSUMOS MAT '!B:B,'INSUMOS MAT '!C:C,"ERROR",0)</f>
        <v/>
      </c>
      <c r="B139" s="142" t="inlineStr">
        <is>
          <t>MAT19-0015</t>
        </is>
      </c>
      <c r="C139" s="691" t="inlineStr">
        <is>
          <t>CODO 45 PVC PARED DELGADA 1.1/4"</t>
        </is>
      </c>
      <c r="D139" s="692" t="inlineStr">
        <is>
          <t>UND</t>
        </is>
      </c>
      <c r="E139" s="693" t="n">
        <v>1156.926</v>
      </c>
      <c r="F139" s="694">
        <f>E139*$N$2</f>
        <v/>
      </c>
      <c r="G139" s="695" t="n">
        <v>0</v>
      </c>
      <c r="H139" s="696">
        <f>F139-G139</f>
        <v/>
      </c>
      <c r="I139" s="151" t="n"/>
      <c r="J139" s="152" t="n">
        <v>44692</v>
      </c>
      <c r="K139" s="692" t="inlineStr">
        <is>
          <t>PVC</t>
        </is>
      </c>
    </row>
    <row r="140" ht="20.1" customHeight="1">
      <c r="A140" s="430">
        <f>_xlfn.XLOOKUP(B140,'INSUMOS MAT '!B:B,'INSUMOS MAT '!C:C,"ERROR",0)</f>
        <v/>
      </c>
      <c r="B140" s="142" t="inlineStr">
        <is>
          <t>MAT19-0017</t>
        </is>
      </c>
      <c r="C140" s="691" t="inlineStr">
        <is>
          <t>CODO 45 PVC PARED DELGADA 3"</t>
        </is>
      </c>
      <c r="D140" s="692" t="inlineStr">
        <is>
          <t>UND</t>
        </is>
      </c>
      <c r="E140" s="693" t="n">
        <v>1813.6551</v>
      </c>
      <c r="F140" s="694">
        <f>E140*$N$2</f>
        <v/>
      </c>
      <c r="G140" s="695" t="n">
        <v>0</v>
      </c>
      <c r="H140" s="696">
        <f>F140-G140</f>
        <v/>
      </c>
      <c r="I140" s="151" t="n"/>
      <c r="J140" s="152" t="n">
        <v>44722</v>
      </c>
      <c r="K140" s="692" t="inlineStr">
        <is>
          <t>PVC</t>
        </is>
      </c>
    </row>
    <row r="141" ht="20.1" customHeight="1">
      <c r="A141" s="430">
        <f>_xlfn.XLOOKUP(B141,'INSUMOS MAT '!B:B,'INSUMOS MAT '!C:C,"ERROR",0)</f>
        <v/>
      </c>
      <c r="B141" s="142" t="inlineStr">
        <is>
          <t>MAT19-0013</t>
        </is>
      </c>
      <c r="C141" s="691" t="inlineStr">
        <is>
          <t>CODO 45 CPVC 1/2"</t>
        </is>
      </c>
      <c r="D141" s="692" t="inlineStr">
        <is>
          <t>UND</t>
        </is>
      </c>
      <c r="E141" s="693" t="n">
        <v>570.8547</v>
      </c>
      <c r="F141" s="694">
        <f>E141*$N$2</f>
        <v/>
      </c>
      <c r="G141" s="695" t="n">
        <v>0</v>
      </c>
      <c r="H141" s="696">
        <f>F141-G141</f>
        <v/>
      </c>
      <c r="I141" s="151" t="n"/>
      <c r="J141" s="152" t="n">
        <v>44719</v>
      </c>
      <c r="K141" s="692" t="inlineStr">
        <is>
          <t>PVC</t>
        </is>
      </c>
    </row>
    <row r="142" ht="20.1" customHeight="1">
      <c r="A142" s="430">
        <f>_xlfn.XLOOKUP(B142,'INSUMOS MAT '!B:B,'INSUMOS MAT '!C:C,"ERROR",0)</f>
        <v/>
      </c>
      <c r="B142" s="142" t="inlineStr">
        <is>
          <t>MAT19-0014</t>
        </is>
      </c>
      <c r="C142" s="691" t="inlineStr">
        <is>
          <t>CODO 45 PVC LISO 1/2"</t>
        </is>
      </c>
      <c r="D142" s="692" t="inlineStr">
        <is>
          <t>UND</t>
        </is>
      </c>
      <c r="E142" s="693" t="n">
        <v>229.85</v>
      </c>
      <c r="F142" s="694">
        <f>E142*$N$2</f>
        <v/>
      </c>
      <c r="G142" s="695" t="n">
        <v>0</v>
      </c>
      <c r="H142" s="696">
        <f>F142-G142</f>
        <v/>
      </c>
      <c r="I142" s="151" t="n"/>
      <c r="J142" s="152" t="n">
        <v>44692</v>
      </c>
      <c r="K142" s="692" t="inlineStr">
        <is>
          <t>PVC</t>
        </is>
      </c>
    </row>
    <row r="143" ht="20.1" customHeight="1">
      <c r="A143" s="430">
        <f>_xlfn.XLOOKUP(B143,'INSUMOS MAT '!B:B,'INSUMOS MAT '!C:C,"ERROR",0)</f>
        <v/>
      </c>
      <c r="B143" s="142" t="inlineStr">
        <is>
          <t>MAT19-0019</t>
        </is>
      </c>
      <c r="C143" s="691" t="inlineStr">
        <is>
          <t>CODO 45 PVC PARED DELGADA SANITARIO 2"</t>
        </is>
      </c>
      <c r="D143" s="692" t="inlineStr">
        <is>
          <t>UND</t>
        </is>
      </c>
      <c r="E143" s="693" t="n">
        <v>693.5700000000001</v>
      </c>
      <c r="F143" s="694">
        <f>E143*$N$2</f>
        <v/>
      </c>
      <c r="G143" s="695" t="n">
        <v>0</v>
      </c>
      <c r="H143" s="696">
        <f>F143-G143</f>
        <v/>
      </c>
      <c r="I143" s="151" t="n"/>
      <c r="J143" s="152" t="n">
        <v>44722</v>
      </c>
      <c r="K143" s="692" t="inlineStr">
        <is>
          <t>PVC</t>
        </is>
      </c>
    </row>
    <row r="144" ht="20.1" customHeight="1">
      <c r="A144" s="430">
        <f>_xlfn.XLOOKUP(B144,'INSUMOS MAT '!B:B,'INSUMOS MAT '!C:C,"ERROR",0)</f>
        <v/>
      </c>
      <c r="B144" s="142" t="inlineStr">
        <is>
          <t>MAT19-0022</t>
        </is>
      </c>
      <c r="C144" s="691" t="inlineStr">
        <is>
          <t>CODO 90 PVC PARED DELGADA 1 1/2"</t>
        </is>
      </c>
      <c r="D144" s="692" t="inlineStr">
        <is>
          <t>UND</t>
        </is>
      </c>
      <c r="E144" s="693" t="n">
        <v>595.848</v>
      </c>
      <c r="F144" s="694">
        <f>E144*$N$2</f>
        <v/>
      </c>
      <c r="G144" s="695" t="n">
        <v>0</v>
      </c>
      <c r="H144" s="696">
        <f>F144-G144</f>
        <v/>
      </c>
      <c r="I144" s="151" t="n"/>
      <c r="J144" s="152" t="n">
        <v>44719</v>
      </c>
      <c r="K144" s="692" t="inlineStr">
        <is>
          <t>PVC</t>
        </is>
      </c>
    </row>
    <row r="145" ht="20.1" customHeight="1">
      <c r="A145" s="430">
        <f>_xlfn.XLOOKUP(B145,'INSUMOS MAT '!B:B,'INSUMOS MAT '!C:C,"ERROR",0)</f>
        <v/>
      </c>
      <c r="B145" s="142" t="inlineStr">
        <is>
          <t>MAT19-0021</t>
        </is>
      </c>
      <c r="C145" s="691" t="inlineStr">
        <is>
          <t>CODO 90 CPVC 1/2"</t>
        </is>
      </c>
      <c r="D145" s="692" t="inlineStr">
        <is>
          <t>UND</t>
        </is>
      </c>
      <c r="E145" s="693" t="n">
        <v>362.6735</v>
      </c>
      <c r="F145" s="694">
        <f>E145*$N$2</f>
        <v/>
      </c>
      <c r="G145" s="695" t="n">
        <v>0</v>
      </c>
      <c r="H145" s="696">
        <f>F145-G145</f>
        <v/>
      </c>
      <c r="I145" s="151" t="n"/>
      <c r="J145" s="152" t="n">
        <v>44719</v>
      </c>
      <c r="K145" s="692" t="inlineStr">
        <is>
          <t>PVC</t>
        </is>
      </c>
    </row>
    <row r="146" ht="20.1" customHeight="1">
      <c r="A146" s="430">
        <f>_xlfn.XLOOKUP(B146,'INSUMOS MAT '!B:B,'INSUMOS MAT '!C:C,"ERROR",0)</f>
        <v/>
      </c>
      <c r="B146" s="142" t="inlineStr">
        <is>
          <t>MAT19-0023</t>
        </is>
      </c>
      <c r="C146" s="691" t="inlineStr">
        <is>
          <t>CODO 90 PVC PARED DELGADA 1 1/4"</t>
        </is>
      </c>
      <c r="D146" s="692" t="inlineStr">
        <is>
          <t>UND</t>
        </is>
      </c>
      <c r="E146" s="693" t="n">
        <v>589.992</v>
      </c>
      <c r="F146" s="694">
        <f>E146*$N$2</f>
        <v/>
      </c>
      <c r="G146" s="695" t="n">
        <v>0</v>
      </c>
      <c r="H146" s="696">
        <f>F146-G146</f>
        <v/>
      </c>
      <c r="I146" s="151" t="n"/>
      <c r="J146" s="152" t="n">
        <v>44700</v>
      </c>
      <c r="K146" s="692" t="inlineStr">
        <is>
          <t>PVC</t>
        </is>
      </c>
    </row>
    <row r="147" ht="20.1" customHeight="1">
      <c r="A147" s="430">
        <f>_xlfn.XLOOKUP(B147,'INSUMOS MAT '!B:B,'INSUMOS MAT '!C:C,"ERROR",0)</f>
        <v/>
      </c>
      <c r="B147" s="142" t="inlineStr">
        <is>
          <t>MAT19-0024</t>
        </is>
      </c>
      <c r="C147" s="691" t="inlineStr">
        <is>
          <t>CODO 90 PVC PARED DELGADA 2"</t>
        </is>
      </c>
      <c r="D147" s="692" t="inlineStr">
        <is>
          <t>UND</t>
        </is>
      </c>
      <c r="E147" s="693" t="n">
        <v>757.9859999999999</v>
      </c>
      <c r="F147" s="694">
        <f>E147*$N$2</f>
        <v/>
      </c>
      <c r="G147" s="695" t="n">
        <v>0</v>
      </c>
      <c r="H147" s="696">
        <f>F147-G147</f>
        <v/>
      </c>
      <c r="I147" s="151" t="n"/>
      <c r="J147" s="152" t="n">
        <v>44718</v>
      </c>
      <c r="K147" s="692" t="inlineStr">
        <is>
          <t>PVC</t>
        </is>
      </c>
    </row>
    <row r="148" ht="20.1" customHeight="1">
      <c r="A148" s="430">
        <f>_xlfn.XLOOKUP(B148,'INSUMOS MAT '!B:B,'INSUMOS MAT '!C:C,"ERROR",0)</f>
        <v/>
      </c>
      <c r="B148" s="142" t="inlineStr">
        <is>
          <t>MAT19-0025</t>
        </is>
      </c>
      <c r="C148" s="691" t="inlineStr">
        <is>
          <t>CODO 90 PVC PARED DELGADA 3"</t>
        </is>
      </c>
      <c r="D148" s="692" t="inlineStr">
        <is>
          <t>UND</t>
        </is>
      </c>
      <c r="E148" s="693" t="n">
        <v>1995.066</v>
      </c>
      <c r="F148" s="694">
        <f>E148*$N$2</f>
        <v/>
      </c>
      <c r="G148" s="695" t="n">
        <v>0</v>
      </c>
      <c r="H148" s="696">
        <f>F148-G148</f>
        <v/>
      </c>
      <c r="I148" s="151" t="n"/>
      <c r="J148" s="152" t="n">
        <v>44721</v>
      </c>
      <c r="K148" s="692" t="inlineStr">
        <is>
          <t>PVC</t>
        </is>
      </c>
    </row>
    <row r="149" ht="20.1" customHeight="1">
      <c r="A149" s="430">
        <f>_xlfn.XLOOKUP(B149,'INSUMOS MAT '!B:B,'INSUMOS MAT '!C:C,"ERROR",0)</f>
        <v/>
      </c>
      <c r="B149" s="142" t="inlineStr">
        <is>
          <t>MAT19-0026</t>
        </is>
      </c>
      <c r="C149" s="691" t="inlineStr">
        <is>
          <t>CODO 90 PVC PARED DELGADA 4"</t>
        </is>
      </c>
      <c r="D149" s="692" t="inlineStr">
        <is>
          <t>UND</t>
        </is>
      </c>
      <c r="E149" s="693" t="n">
        <v>3715.632</v>
      </c>
      <c r="F149" s="694">
        <f>E149*$N$2</f>
        <v/>
      </c>
      <c r="G149" s="695" t="n">
        <v>0</v>
      </c>
      <c r="H149" s="696">
        <f>F149-G149</f>
        <v/>
      </c>
      <c r="I149" s="151" t="n"/>
      <c r="J149" s="152" t="n">
        <v>44722</v>
      </c>
      <c r="K149" s="692" t="inlineStr">
        <is>
          <t>PVC</t>
        </is>
      </c>
    </row>
    <row r="150" ht="20.1" customHeight="1">
      <c r="A150" s="430">
        <f>_xlfn.XLOOKUP(B150,'INSUMOS MAT '!B:B,'INSUMOS MAT '!C:C,"ERROR",0)</f>
        <v/>
      </c>
      <c r="B150" s="142" t="inlineStr">
        <is>
          <t>MAT19-0020</t>
        </is>
      </c>
      <c r="C150" s="691" t="inlineStr">
        <is>
          <t>CODO 90 PVC LISO 1/2"</t>
        </is>
      </c>
      <c r="D150" s="692" t="inlineStr">
        <is>
          <t>UND</t>
        </is>
      </c>
      <c r="E150" s="693" t="n">
        <v>137.9418</v>
      </c>
      <c r="F150" s="694">
        <f>E150*$N$2</f>
        <v/>
      </c>
      <c r="G150" s="695" t="n">
        <v>0</v>
      </c>
      <c r="H150" s="696">
        <f>F150-G150</f>
        <v/>
      </c>
      <c r="I150" s="151" t="n"/>
      <c r="J150" s="152" t="n">
        <v>44722</v>
      </c>
      <c r="K150" s="692" t="inlineStr">
        <is>
          <t>PVC</t>
        </is>
      </c>
    </row>
    <row r="151" ht="20.1" customHeight="1">
      <c r="A151" s="430">
        <f>_xlfn.XLOOKUP(B151,'INSUMOS MAT '!B:B,'INSUMOS MAT '!C:C,"ERROR",0)</f>
        <v/>
      </c>
      <c r="B151" s="142" t="inlineStr">
        <is>
          <t>MAT06-0055</t>
        </is>
      </c>
      <c r="C151" s="691" t="inlineStr">
        <is>
          <t>CONDULETA BOTAGUA 1-1/4</t>
        </is>
      </c>
      <c r="D151" s="692" t="inlineStr">
        <is>
          <t>UND</t>
        </is>
      </c>
      <c r="E151" s="693" t="n">
        <v>2018.3955</v>
      </c>
      <c r="F151" s="694">
        <f>E151*$N$2</f>
        <v/>
      </c>
      <c r="G151" s="695" t="n">
        <v>0</v>
      </c>
      <c r="H151" s="696">
        <f>F151-G151</f>
        <v/>
      </c>
      <c r="I151" s="151" t="n"/>
      <c r="J151" s="152" t="n">
        <v>44714</v>
      </c>
      <c r="K151" s="692" t="inlineStr">
        <is>
          <t>ELECTRICO</t>
        </is>
      </c>
    </row>
    <row r="152" ht="20.1" customHeight="1">
      <c r="A152" s="430">
        <f>_xlfn.XLOOKUP(B152,'INSUMOS MAT '!B:B,'INSUMOS MAT '!C:C,"ERROR",0)</f>
        <v/>
      </c>
      <c r="B152" s="142" t="inlineStr">
        <is>
          <t>MAT06-0056</t>
        </is>
      </c>
      <c r="C152" s="691" t="inlineStr">
        <is>
          <t>CONDULETA BOTAGUA 1</t>
        </is>
      </c>
      <c r="D152" s="692" t="inlineStr">
        <is>
          <t>UND</t>
        </is>
      </c>
      <c r="E152" s="693" t="n">
        <v>1506.7893</v>
      </c>
      <c r="F152" s="694">
        <f>E152*$N$2</f>
        <v/>
      </c>
      <c r="G152" s="695" t="n">
        <v>0</v>
      </c>
      <c r="H152" s="696">
        <f>F152-G152</f>
        <v/>
      </c>
      <c r="I152" s="151" t="n"/>
      <c r="J152" s="152" t="n">
        <v>44715</v>
      </c>
      <c r="K152" s="692" t="inlineStr">
        <is>
          <t>ELECTRICO</t>
        </is>
      </c>
    </row>
    <row r="153" ht="20.1" customHeight="1">
      <c r="A153" s="430">
        <f>_xlfn.XLOOKUP(B153,'INSUMOS MAT '!B:B,'INSUMOS MAT '!C:C,"ERROR",0)</f>
        <v/>
      </c>
      <c r="B153" s="142" t="inlineStr">
        <is>
          <t>MAT06-0196</t>
        </is>
      </c>
      <c r="C153" s="691" t="inlineStr">
        <is>
          <t>CONECTOR COMPRESION #1 6-2 YHO-100</t>
        </is>
      </c>
      <c r="D153" s="692" t="inlineStr">
        <is>
          <t>UND</t>
        </is>
      </c>
      <c r="E153" s="693" t="n">
        <v>1092</v>
      </c>
      <c r="F153" s="694">
        <f>E153*$N$2</f>
        <v/>
      </c>
      <c r="G153" s="695" t="n">
        <v>0</v>
      </c>
      <c r="H153" s="696">
        <f>F153-G153</f>
        <v/>
      </c>
      <c r="I153" s="151" t="n"/>
      <c r="J153" s="152" t="n">
        <v>44692</v>
      </c>
      <c r="K153" s="692" t="inlineStr">
        <is>
          <t>ELECTRICO</t>
        </is>
      </c>
    </row>
    <row r="154" ht="20.1" customHeight="1">
      <c r="A154" s="430">
        <f>_xlfn.XLOOKUP(B154,'INSUMOS MAT '!B:B,'INSUMOS MAT '!C:C,"ERROR",0)</f>
        <v/>
      </c>
      <c r="B154" s="142" t="inlineStr">
        <is>
          <t>MAT06-0060</t>
        </is>
      </c>
      <c r="C154" s="691" t="inlineStr">
        <is>
          <t>CONECTOR DE BARRIL PARA 1/0 CU-AL</t>
        </is>
      </c>
      <c r="D154" s="692" t="inlineStr">
        <is>
          <t>UND</t>
        </is>
      </c>
      <c r="E154" s="693" t="n">
        <v>2697.3585</v>
      </c>
      <c r="F154" s="694">
        <f>E154*$N$2</f>
        <v/>
      </c>
      <c r="G154" s="695" t="n">
        <v>0</v>
      </c>
      <c r="H154" s="696">
        <f>F154-G154</f>
        <v/>
      </c>
      <c r="I154" s="151" t="n"/>
      <c r="J154" s="152" t="n">
        <v>44721</v>
      </c>
      <c r="K154" s="692" t="inlineStr">
        <is>
          <t>ELECTRICO</t>
        </is>
      </c>
    </row>
    <row r="155" ht="20.1" customHeight="1">
      <c r="A155" s="430">
        <f>_xlfn.XLOOKUP(B155,'INSUMOS MAT '!B:B,'INSUMOS MAT '!C:C,"ERROR",0)</f>
        <v/>
      </c>
      <c r="B155" s="142" t="inlineStr">
        <is>
          <t>MAT06-0164</t>
        </is>
      </c>
      <c r="C155" s="691" t="inlineStr">
        <is>
          <t>CONECTOR DE COMPRESION #2</t>
        </is>
      </c>
      <c r="D155" s="692" t="inlineStr">
        <is>
          <t>UND</t>
        </is>
      </c>
      <c r="E155" s="693" t="n">
        <v>769.3533</v>
      </c>
      <c r="F155" s="694">
        <f>E155*$N$2</f>
        <v/>
      </c>
      <c r="G155" s="695" t="n">
        <v>0</v>
      </c>
      <c r="H155" s="696">
        <f>F155-G155</f>
        <v/>
      </c>
      <c r="I155" s="151" t="n"/>
      <c r="J155" s="152" t="n">
        <v>44680</v>
      </c>
      <c r="K155" s="692" t="inlineStr">
        <is>
          <t>ELECTRICO</t>
        </is>
      </c>
    </row>
    <row r="156" ht="20.1" customHeight="1">
      <c r="A156" s="430">
        <f>_xlfn.XLOOKUP(B156,'INSUMOS MAT '!B:B,'INSUMOS MAT '!C:C,"ERROR",0)</f>
        <v/>
      </c>
      <c r="B156" s="142" t="inlineStr">
        <is>
          <t>MAT06-0279</t>
        </is>
      </c>
      <c r="C156" s="691" t="inlineStr">
        <is>
          <t>CONECTOR DE COMPRESION #4</t>
        </is>
      </c>
      <c r="D156" s="692" t="inlineStr">
        <is>
          <t>UND</t>
        </is>
      </c>
      <c r="E156" s="693" t="n">
        <v>1292.448</v>
      </c>
      <c r="F156" s="694">
        <f>E156*$N$2</f>
        <v/>
      </c>
      <c r="G156" s="695" t="n">
        <v>0</v>
      </c>
      <c r="H156" s="696">
        <f>F156-G156</f>
        <v/>
      </c>
      <c r="I156" s="151" t="n"/>
      <c r="J156" s="152" t="n">
        <v>44692</v>
      </c>
      <c r="K156" s="692" t="inlineStr">
        <is>
          <t>ELECTRICO</t>
        </is>
      </c>
    </row>
    <row r="157" ht="20.1" customHeight="1">
      <c r="A157" s="430">
        <f>_xlfn.XLOOKUP(B157,'INSUMOS MAT '!B:B,'INSUMOS MAT '!C:C,"ERROR",0)</f>
        <v/>
      </c>
      <c r="B157" s="142" t="inlineStr">
        <is>
          <t>MAT06-0165</t>
        </is>
      </c>
      <c r="C157" s="691" t="inlineStr">
        <is>
          <t>CONECTOR DE COMPRESION #4</t>
        </is>
      </c>
      <c r="D157" s="692" t="inlineStr">
        <is>
          <t>UND</t>
        </is>
      </c>
      <c r="E157" s="693" t="n">
        <v>1292.45</v>
      </c>
      <c r="F157" s="694">
        <f>E157*$N$2</f>
        <v/>
      </c>
      <c r="G157" s="695" t="n">
        <v>0</v>
      </c>
      <c r="H157" s="696">
        <f>F157-G157</f>
        <v/>
      </c>
      <c r="I157" s="151" t="n"/>
      <c r="J157" s="152" t="n">
        <v>44692</v>
      </c>
      <c r="K157" s="692" t="inlineStr">
        <is>
          <t>ELECTRICO</t>
        </is>
      </c>
    </row>
    <row r="158" ht="20.1" customHeight="1">
      <c r="A158" s="430">
        <f>_xlfn.XLOOKUP(B158,'INSUMOS MAT '!B:B,'INSUMOS MAT '!C:C,"ERROR",0)</f>
        <v/>
      </c>
      <c r="B158" s="142" t="inlineStr">
        <is>
          <t>MAT06-0290</t>
        </is>
      </c>
      <c r="C158" s="691" t="inlineStr">
        <is>
          <t>CONECTOR DE COMPRESION DE ALUMINIO #3</t>
        </is>
      </c>
      <c r="D158" s="692" t="inlineStr">
        <is>
          <t>UND</t>
        </is>
      </c>
      <c r="E158" s="693" t="n">
        <v>976.3117</v>
      </c>
      <c r="F158" s="694">
        <f>E158*$N$2</f>
        <v/>
      </c>
      <c r="G158" s="695" t="n">
        <v>0</v>
      </c>
      <c r="H158" s="696">
        <f>F158-G158</f>
        <v/>
      </c>
      <c r="I158" s="151" t="n"/>
      <c r="J158" s="152" t="n">
        <v>44680</v>
      </c>
      <c r="K158" s="692" t="inlineStr">
        <is>
          <t>ELECTRICO</t>
        </is>
      </c>
    </row>
    <row r="159" ht="20.1" customHeight="1">
      <c r="A159" s="430">
        <f>_xlfn.XLOOKUP(B159,'INSUMOS MAT '!B:B,'INSUMOS MAT '!C:C,"ERROR",0)</f>
        <v/>
      </c>
      <c r="B159" s="142" t="inlineStr">
        <is>
          <t>MAT06-0117</t>
        </is>
      </c>
      <c r="C159" s="691" t="inlineStr">
        <is>
          <t>CONECTOR DE RESORTE 3M AZUL</t>
        </is>
      </c>
      <c r="D159" s="692" t="inlineStr">
        <is>
          <t>UND</t>
        </is>
      </c>
      <c r="E159" s="693" t="n">
        <v>272.4906</v>
      </c>
      <c r="F159" s="694">
        <f>E159*$N$2</f>
        <v/>
      </c>
      <c r="G159" s="695" t="n">
        <v>0</v>
      </c>
      <c r="H159" s="696">
        <f>F159-G159</f>
        <v/>
      </c>
      <c r="I159" s="151" t="n"/>
      <c r="J159" s="152" t="n">
        <v>44692</v>
      </c>
      <c r="K159" s="692" t="inlineStr">
        <is>
          <t>ELECTRICO</t>
        </is>
      </c>
    </row>
    <row r="160" ht="20.1" customHeight="1">
      <c r="A160" s="430">
        <f>_xlfn.XLOOKUP(B160,'INSUMOS MAT '!B:B,'INSUMOS MAT '!C:C,"ERROR",0)</f>
        <v/>
      </c>
      <c r="B160" s="142" t="inlineStr">
        <is>
          <t>MAT06-0061</t>
        </is>
      </c>
      <c r="C160" s="691" t="inlineStr">
        <is>
          <t>CONECTOR DERIVADOR 12-10 AWG IDC 562 562 AMARILLO</t>
        </is>
      </c>
      <c r="D160" s="692" t="inlineStr">
        <is>
          <t>CAJA</t>
        </is>
      </c>
      <c r="E160" s="693" t="n">
        <v>25000</v>
      </c>
      <c r="F160" s="694">
        <f>E160*$N$2</f>
        <v/>
      </c>
      <c r="G160" s="695" t="n">
        <v>0</v>
      </c>
      <c r="H160" s="696">
        <f>F160-G160</f>
        <v/>
      </c>
      <c r="I160" s="151" t="n"/>
      <c r="J160" s="152" t="n">
        <v>44721</v>
      </c>
      <c r="K160" s="692" t="inlineStr">
        <is>
          <t>ELECTRICO</t>
        </is>
      </c>
    </row>
    <row r="161" ht="20.1" customHeight="1">
      <c r="A161" s="430">
        <f>_xlfn.XLOOKUP(B161,'INSUMOS MAT '!B:B,'INSUMOS MAT '!C:C,"ERROR",0)</f>
        <v/>
      </c>
      <c r="B161" s="142" t="inlineStr">
        <is>
          <t>MAT06-0307</t>
        </is>
      </c>
      <c r="C161" s="691" t="inlineStr">
        <is>
          <t>CONECTOR EMT 1/2 TORNILLO</t>
        </is>
      </c>
      <c r="D161" s="692" t="inlineStr">
        <is>
          <t>UND</t>
        </is>
      </c>
      <c r="E161" s="693" t="n">
        <v>300.96</v>
      </c>
      <c r="F161" s="694">
        <f>E161*$N$2</f>
        <v/>
      </c>
      <c r="G161" s="695" t="n">
        <v>0</v>
      </c>
      <c r="H161" s="696">
        <f>F161-G161</f>
        <v/>
      </c>
      <c r="I161" s="151" t="n"/>
      <c r="J161" s="152" t="n">
        <v>44720</v>
      </c>
      <c r="K161" s="692" t="inlineStr">
        <is>
          <t>ELECTRICO</t>
        </is>
      </c>
    </row>
    <row r="162" ht="20.1" customHeight="1">
      <c r="A162" s="430">
        <f>_xlfn.XLOOKUP(B162,'INSUMOS MAT '!B:B,'INSUMOS MAT '!C:C,"ERROR",0)</f>
        <v/>
      </c>
      <c r="B162" s="142" t="inlineStr">
        <is>
          <t>MAT06-0121</t>
        </is>
      </c>
      <c r="C162" s="691" t="inlineStr">
        <is>
          <t>CONECTOR MACHO RJ45</t>
        </is>
      </c>
      <c r="D162" s="692" t="inlineStr">
        <is>
          <t>UND</t>
        </is>
      </c>
      <c r="E162" s="693" t="n">
        <v>360.47</v>
      </c>
      <c r="F162" s="694">
        <f>E162*$N$2</f>
        <v/>
      </c>
      <c r="G162" s="695" t="n">
        <v>0</v>
      </c>
      <c r="H162" s="696">
        <f>F162-G162</f>
        <v/>
      </c>
      <c r="I162" s="151" t="n"/>
      <c r="J162" s="152" t="n">
        <v>44711</v>
      </c>
      <c r="K162" s="692" t="inlineStr">
        <is>
          <t>ELECTRICO</t>
        </is>
      </c>
    </row>
    <row r="163" ht="20.1" customHeight="1">
      <c r="A163" s="430">
        <f>_xlfn.XLOOKUP(B163,'INSUMOS MAT '!B:B,'INSUMOS MAT '!C:C,"ERROR",0)</f>
        <v/>
      </c>
      <c r="B163" s="142" t="inlineStr">
        <is>
          <t>MAT06-0062</t>
        </is>
      </c>
      <c r="C163" s="691" t="inlineStr">
        <is>
          <t>CONECTOR RESORTE ROJO</t>
        </is>
      </c>
      <c r="D163" s="692" t="inlineStr">
        <is>
          <t>UND</t>
        </is>
      </c>
      <c r="E163" s="693" t="n">
        <v>124.6493</v>
      </c>
      <c r="F163" s="694">
        <f>E163*$N$2</f>
        <v/>
      </c>
      <c r="G163" s="695" t="n">
        <v>0</v>
      </c>
      <c r="H163" s="696">
        <f>F163-G163</f>
        <v/>
      </c>
      <c r="I163" s="151" t="n"/>
      <c r="J163" s="152" t="n">
        <v>44721</v>
      </c>
      <c r="K163" s="692" t="inlineStr">
        <is>
          <t>ELECTRICO</t>
        </is>
      </c>
    </row>
    <row r="164" ht="20.1" customHeight="1">
      <c r="A164" s="430">
        <f>_xlfn.XLOOKUP(B164,'INSUMOS MAT '!B:B,'INSUMOS MAT '!C:C,"ERROR",0)</f>
        <v/>
      </c>
      <c r="B164" s="142" t="inlineStr">
        <is>
          <t>MAT06-0119</t>
        </is>
      </c>
      <c r="C164" s="691" t="inlineStr">
        <is>
          <t>CONECTOR TORNILLO EMT 11/4</t>
        </is>
      </c>
      <c r="D164" s="692" t="inlineStr">
        <is>
          <t>UND</t>
        </is>
      </c>
      <c r="E164" s="693" t="n">
        <v>605.4400000000001</v>
      </c>
      <c r="F164" s="694">
        <f>E164*$N$2</f>
        <v/>
      </c>
      <c r="G164" s="695" t="n">
        <v>0</v>
      </c>
      <c r="H164" s="696">
        <f>F164-G164</f>
        <v/>
      </c>
      <c r="I164" s="151" t="n"/>
      <c r="J164" s="152" t="n">
        <v>44714</v>
      </c>
      <c r="K164" s="692" t="inlineStr">
        <is>
          <t>ELECTRICO</t>
        </is>
      </c>
    </row>
    <row r="165" ht="20.1" customHeight="1">
      <c r="A165" s="430">
        <f>_xlfn.XLOOKUP(B165,'INSUMOS MAT '!B:B,'INSUMOS MAT '!C:C,"ERROR",0)</f>
        <v/>
      </c>
      <c r="B165" s="142" t="inlineStr">
        <is>
          <t>MAT06-0063</t>
        </is>
      </c>
      <c r="C165" s="691" t="inlineStr">
        <is>
          <t>CONECTOR COAXIAL TIPO F BLANCO COOPER</t>
        </is>
      </c>
      <c r="D165" s="692" t="inlineStr">
        <is>
          <t>UND</t>
        </is>
      </c>
      <c r="E165" s="693" t="n">
        <v>717.3126</v>
      </c>
      <c r="F165" s="694">
        <f>E165*$N$2</f>
        <v/>
      </c>
      <c r="G165" s="695" t="n">
        <v>0</v>
      </c>
      <c r="H165" s="696">
        <f>F165-G165</f>
        <v/>
      </c>
      <c r="I165" s="151" t="n"/>
      <c r="J165" s="152" t="n">
        <v>44715</v>
      </c>
      <c r="K165" s="692" t="inlineStr">
        <is>
          <t>ELECTRICO</t>
        </is>
      </c>
    </row>
    <row r="166" ht="20.1" customHeight="1">
      <c r="A166" s="430">
        <f>_xlfn.XLOOKUP(B166,'INSUMOS MAT '!B:B,'INSUMOS MAT '!C:C,"ERROR",0)</f>
        <v/>
      </c>
      <c r="B166" s="142" t="inlineStr">
        <is>
          <t>MAT19-0027</t>
        </is>
      </c>
      <c r="C166" s="691" t="inlineStr">
        <is>
          <t>CONECTOR CONDUIT 1 1/2 UL</t>
        </is>
      </c>
      <c r="D166" s="692" t="inlineStr">
        <is>
          <t>UND</t>
        </is>
      </c>
      <c r="E166" s="693" t="n">
        <v>540.5819999999999</v>
      </c>
      <c r="F166" s="694">
        <f>E166*$N$2</f>
        <v/>
      </c>
      <c r="G166" s="695" t="n">
        <v>0</v>
      </c>
      <c r="H166" s="696">
        <f>F166-G166</f>
        <v/>
      </c>
      <c r="I166" s="151" t="n"/>
      <c r="J166" s="152" t="n">
        <v>44705</v>
      </c>
      <c r="K166" s="692" t="inlineStr">
        <is>
          <t>PVC</t>
        </is>
      </c>
    </row>
    <row r="167" ht="20.1" customHeight="1">
      <c r="A167" s="430">
        <f>_xlfn.XLOOKUP(B167,'INSUMOS MAT '!B:B,'INSUMOS MAT '!C:C,"ERROR",0)</f>
        <v/>
      </c>
      <c r="B167" s="142" t="inlineStr">
        <is>
          <t>MAT19-0028</t>
        </is>
      </c>
      <c r="C167" s="691" t="inlineStr">
        <is>
          <t>CONECTOR CONDUIT 1" UL</t>
        </is>
      </c>
      <c r="D167" s="692" t="inlineStr">
        <is>
          <t>UND</t>
        </is>
      </c>
      <c r="E167" s="693" t="n">
        <v>486.3112</v>
      </c>
      <c r="F167" s="694">
        <f>E167*$N$2</f>
        <v/>
      </c>
      <c r="G167" s="695" t="n">
        <v>0</v>
      </c>
      <c r="H167" s="696">
        <f>F167-G167</f>
        <v/>
      </c>
      <c r="I167" s="151" t="n"/>
      <c r="J167" s="152" t="n">
        <v>44722</v>
      </c>
      <c r="K167" s="692" t="inlineStr">
        <is>
          <t>PVC</t>
        </is>
      </c>
    </row>
    <row r="168" ht="20.1" customHeight="1">
      <c r="A168" s="430">
        <f>_xlfn.XLOOKUP(B168,'INSUMOS MAT '!B:B,'INSUMOS MAT '!C:C,"ERROR",0)</f>
        <v/>
      </c>
      <c r="B168" s="142" t="inlineStr">
        <is>
          <t>MAT19-0029</t>
        </is>
      </c>
      <c r="C168" s="691" t="inlineStr">
        <is>
          <t>CONECTOR CONDUIT 1/2 UL</t>
        </is>
      </c>
      <c r="D168" s="692" t="inlineStr">
        <is>
          <t>UND</t>
        </is>
      </c>
      <c r="E168" s="693" t="n">
        <v>138.348</v>
      </c>
      <c r="F168" s="694">
        <f>E168*$N$2</f>
        <v/>
      </c>
      <c r="G168" s="695" t="n">
        <v>0</v>
      </c>
      <c r="H168" s="696">
        <f>F168-G168</f>
        <v/>
      </c>
      <c r="I168" s="151" t="n"/>
      <c r="J168" s="152" t="n">
        <v>44722</v>
      </c>
      <c r="K168" s="692" t="inlineStr">
        <is>
          <t>PVC</t>
        </is>
      </c>
    </row>
    <row r="169" ht="20.1" customHeight="1">
      <c r="A169" s="430">
        <f>_xlfn.XLOOKUP(B169,'INSUMOS MAT '!B:B,'INSUMOS MAT '!C:C,"ERROR",0)</f>
        <v/>
      </c>
      <c r="B169" s="142" t="inlineStr">
        <is>
          <t>MAT19-0030</t>
        </is>
      </c>
      <c r="C169" s="691" t="inlineStr">
        <is>
          <t>CONECTOR CONDUIT 3/4 UL</t>
        </is>
      </c>
      <c r="D169" s="692" t="inlineStr">
        <is>
          <t>UND</t>
        </is>
      </c>
      <c r="E169" s="693" t="n">
        <v>175.68</v>
      </c>
      <c r="F169" s="694">
        <f>E169*$N$2</f>
        <v/>
      </c>
      <c r="G169" s="695" t="n">
        <v>0</v>
      </c>
      <c r="H169" s="696">
        <f>F169-G169</f>
        <v/>
      </c>
      <c r="I169" s="151" t="n"/>
      <c r="J169" s="152" t="n">
        <v>44722</v>
      </c>
      <c r="K169" s="692" t="inlineStr">
        <is>
          <t>PVC</t>
        </is>
      </c>
    </row>
    <row r="170" ht="20.1" customHeight="1">
      <c r="A170" s="430">
        <f>_xlfn.XLOOKUP(B170,'INSUMOS MAT '!B:B,'INSUMOS MAT '!C:C,"ERROR",0)</f>
        <v/>
      </c>
      <c r="B170" s="142" t="inlineStr">
        <is>
          <t>MAT06-0065</t>
        </is>
      </c>
      <c r="C170" s="691" t="inlineStr">
        <is>
          <t>CONECTOR FITTING RG6 P/COAXIAL 100% MALLA</t>
        </is>
      </c>
      <c r="D170" s="692" t="inlineStr">
        <is>
          <t>UND</t>
        </is>
      </c>
      <c r="E170" s="693" t="n">
        <v>440</v>
      </c>
      <c r="F170" s="694">
        <f>E170*$N$2</f>
        <v/>
      </c>
      <c r="G170" s="695" t="n">
        <v>0</v>
      </c>
      <c r="H170" s="696">
        <f>F170-G170</f>
        <v/>
      </c>
      <c r="I170" s="151" t="n"/>
      <c r="J170" s="152" t="n">
        <v>44692</v>
      </c>
      <c r="K170" s="692" t="inlineStr">
        <is>
          <t>ELECTRICO</t>
        </is>
      </c>
    </row>
    <row r="171" ht="20.1" customHeight="1">
      <c r="A171" s="430">
        <f>_xlfn.XLOOKUP(B171,'INSUMOS MAT '!B:B,'INSUMOS MAT '!C:C,"ERROR",0)</f>
        <v/>
      </c>
      <c r="B171" s="142" t="inlineStr">
        <is>
          <t>MAT06-0068</t>
        </is>
      </c>
      <c r="C171" s="691" t="inlineStr">
        <is>
          <t>CONECTOR RJ45 CAT5E 5547-5EW BLANCO COOPER</t>
        </is>
      </c>
      <c r="D171" s="692" t="inlineStr">
        <is>
          <t>UND</t>
        </is>
      </c>
      <c r="E171" s="693" t="n">
        <v>2389.4981</v>
      </c>
      <c r="F171" s="694">
        <f>E171*$N$2</f>
        <v/>
      </c>
      <c r="G171" s="695" t="n">
        <v>0</v>
      </c>
      <c r="H171" s="696">
        <f>F171-G171</f>
        <v/>
      </c>
      <c r="I171" s="151" t="n"/>
      <c r="J171" s="152" t="n">
        <v>44721</v>
      </c>
      <c r="K171" s="692" t="inlineStr">
        <is>
          <t>ELECTRICO</t>
        </is>
      </c>
    </row>
    <row r="172" ht="20.1" customHeight="1">
      <c r="A172" s="430">
        <f>_xlfn.XLOOKUP(B172,'INSUMOS MAT '!B:B,'INSUMOS MAT '!C:C,"ERROR",0)</f>
        <v/>
      </c>
      <c r="B172" s="142" t="inlineStr">
        <is>
          <t>MAT06-0069</t>
        </is>
      </c>
      <c r="C172" s="691" t="inlineStr">
        <is>
          <t>CONECTOR TORNILLO EMT 1</t>
        </is>
      </c>
      <c r="D172" s="692" t="inlineStr">
        <is>
          <t>UND</t>
        </is>
      </c>
      <c r="E172" s="693" t="n">
        <v>172.0576</v>
      </c>
      <c r="F172" s="694">
        <f>E172*$N$2</f>
        <v/>
      </c>
      <c r="G172" s="695" t="n">
        <v>0</v>
      </c>
      <c r="H172" s="696">
        <f>F172-G172</f>
        <v/>
      </c>
      <c r="I172" s="151" t="n"/>
      <c r="J172" s="152" t="n">
        <v>44712</v>
      </c>
      <c r="K172" s="692" t="inlineStr">
        <is>
          <t>ELECTRICO</t>
        </is>
      </c>
    </row>
    <row r="173" ht="20.1" customHeight="1">
      <c r="A173" s="430">
        <f>_xlfn.XLOOKUP(B173,'INSUMOS MAT '!B:B,'INSUMOS MAT '!C:C,"ERROR",0)</f>
        <v/>
      </c>
      <c r="B173" s="142" t="inlineStr">
        <is>
          <t>MAT06-0072</t>
        </is>
      </c>
      <c r="C173" s="691" t="inlineStr">
        <is>
          <t>CONECTOR TSJ 1/2-3/8 EMT</t>
        </is>
      </c>
      <c r="D173" s="692" t="inlineStr">
        <is>
          <t>UND</t>
        </is>
      </c>
      <c r="E173" s="693" t="n">
        <v>158.229</v>
      </c>
      <c r="F173" s="694">
        <f>E173*$N$2</f>
        <v/>
      </c>
      <c r="G173" s="695" t="n">
        <v>0</v>
      </c>
      <c r="H173" s="696">
        <f>F173-G173</f>
        <v/>
      </c>
      <c r="I173" s="151" t="n"/>
      <c r="J173" s="152" t="n">
        <v>44719</v>
      </c>
      <c r="K173" s="692" t="inlineStr">
        <is>
          <t>ELECTRICO</t>
        </is>
      </c>
    </row>
    <row r="174" ht="20.1" customHeight="1">
      <c r="A174" s="430">
        <f>_xlfn.XLOOKUP(B174,'INSUMOS MAT '!B:B,'INSUMOS MAT '!C:C,"ERROR",0)</f>
        <v/>
      </c>
      <c r="B174" s="142" t="inlineStr">
        <is>
          <t>MAT07-0007</t>
        </is>
      </c>
      <c r="C174" s="691" t="inlineStr">
        <is>
          <t>CORNIZA PARA TABLILLA PVC BLANCA</t>
        </is>
      </c>
      <c r="D174" s="692" t="inlineStr">
        <is>
          <t>UND</t>
        </is>
      </c>
      <c r="E174" s="693" t="n">
        <v>3955.4862</v>
      </c>
      <c r="F174" s="694">
        <f>E174*$N$2</f>
        <v/>
      </c>
      <c r="G174" s="695" t="n">
        <v>0</v>
      </c>
      <c r="H174" s="696">
        <f>F174-G174</f>
        <v/>
      </c>
      <c r="I174" s="151" t="n"/>
      <c r="J174" s="152" t="n">
        <v>44718</v>
      </c>
      <c r="K174" s="692" t="inlineStr">
        <is>
          <t>ESTRUCTURA LIVIANA</t>
        </is>
      </c>
    </row>
    <row r="175" ht="20.1" customHeight="1">
      <c r="A175" s="430">
        <f>_xlfn.XLOOKUP(B175,'INSUMOS MAT '!B:B,'INSUMOS MAT '!C:C,"ERROR",0)</f>
        <v/>
      </c>
      <c r="B175" s="142" t="inlineStr">
        <is>
          <t>MAT08-0029</t>
        </is>
      </c>
      <c r="C175" s="691" t="inlineStr">
        <is>
          <t>CRAYON AMARILLO</t>
        </is>
      </c>
      <c r="D175" s="692" t="inlineStr">
        <is>
          <t>UND</t>
        </is>
      </c>
      <c r="E175" s="693" t="n">
        <v>464.5883</v>
      </c>
      <c r="F175" s="694">
        <f>E175*$N$2</f>
        <v/>
      </c>
      <c r="G175" s="695" t="n">
        <v>0</v>
      </c>
      <c r="H175" s="696">
        <f>F175-G175</f>
        <v/>
      </c>
      <c r="I175" s="151" t="n"/>
      <c r="J175" s="152" t="n">
        <v>44721</v>
      </c>
      <c r="K175" s="692" t="inlineStr">
        <is>
          <t>FERRETERIA GENERAL</t>
        </is>
      </c>
    </row>
    <row r="176" ht="20.1" customHeight="1">
      <c r="A176" s="135" t="n"/>
      <c r="B176" s="142" t="inlineStr">
        <is>
          <t>MAT08-0295</t>
        </is>
      </c>
      <c r="C176" s="691" t="inlineStr">
        <is>
          <t>CUBO MAGNETICO P/TORN.TECHO 3/8"</t>
        </is>
      </c>
      <c r="D176" s="692" t="inlineStr">
        <is>
          <t>UND</t>
        </is>
      </c>
      <c r="E176" s="693" t="n">
        <v>564.8117</v>
      </c>
      <c r="F176" s="694">
        <f>E176*$N$2</f>
        <v/>
      </c>
      <c r="G176" s="695" t="n">
        <v>0</v>
      </c>
      <c r="H176" s="696">
        <f>F176-G176</f>
        <v/>
      </c>
      <c r="I176" s="151" t="n"/>
      <c r="J176" s="152" t="n">
        <v>44692</v>
      </c>
      <c r="K176" s="692" t="inlineStr">
        <is>
          <t>FERRETERIA GENERAL</t>
        </is>
      </c>
    </row>
    <row r="177" ht="20.1" customHeight="1">
      <c r="A177" s="135" t="n"/>
      <c r="B177" s="142" t="inlineStr">
        <is>
          <t>MAT08-0339</t>
        </is>
      </c>
      <c r="C177" s="691" t="inlineStr">
        <is>
          <t>CUERDA PARA MOTOGUADAÑA</t>
        </is>
      </c>
      <c r="D177" s="692" t="inlineStr">
        <is>
          <t>M</t>
        </is>
      </c>
      <c r="E177" s="693" t="n">
        <v>81.0617</v>
      </c>
      <c r="F177" s="694">
        <f>E177*$N$2</f>
        <v/>
      </c>
      <c r="G177" s="695" t="n">
        <v>0</v>
      </c>
      <c r="H177" s="696">
        <f>F177-G177</f>
        <v/>
      </c>
      <c r="I177" s="151" t="n"/>
      <c r="J177" s="152" t="n">
        <v>44692</v>
      </c>
      <c r="K177" s="692" t="inlineStr">
        <is>
          <t>FERRETERIA GENERAL</t>
        </is>
      </c>
    </row>
    <row r="178" ht="20.1" customHeight="1">
      <c r="A178" s="430">
        <f>_xlfn.XLOOKUP(B178,'INSUMOS MAT '!B:B,'INSUMOS MAT '!C:C,"ERROR",0)</f>
        <v/>
      </c>
      <c r="B178" s="142" t="inlineStr">
        <is>
          <t>MAT08-0031</t>
        </is>
      </c>
      <c r="C178" s="691" t="inlineStr">
        <is>
          <t>CUERDA ALBAÑIL BLANCA</t>
        </is>
      </c>
      <c r="D178" s="692" t="inlineStr">
        <is>
          <t>UND</t>
        </is>
      </c>
      <c r="E178" s="693" t="n">
        <v>827.4714</v>
      </c>
      <c r="F178" s="694">
        <f>E178*$N$2</f>
        <v/>
      </c>
      <c r="G178" s="695" t="n">
        <v>0</v>
      </c>
      <c r="H178" s="696">
        <f>F178-G178</f>
        <v/>
      </c>
      <c r="I178" s="151" t="n"/>
      <c r="J178" s="152" t="n">
        <v>44723</v>
      </c>
      <c r="K178" s="692" t="inlineStr">
        <is>
          <t>FERRETERIA GENERAL</t>
        </is>
      </c>
    </row>
    <row r="179" ht="20.1" customHeight="1">
      <c r="A179" s="430">
        <f>_xlfn.XLOOKUP(B179,'INSUMOS MAT '!B:B,'INSUMOS MAT '!C:C,"ERROR",0)</f>
        <v/>
      </c>
      <c r="B179" s="142" t="inlineStr">
        <is>
          <t>MAT21-0002</t>
        </is>
      </c>
      <c r="C179" s="691" t="inlineStr">
        <is>
          <t>CURADOR CURING ECO</t>
        </is>
      </c>
      <c r="D179" s="692" t="inlineStr">
        <is>
          <t>ESTAÑON</t>
        </is>
      </c>
      <c r="E179" s="693" t="n">
        <v>231036.6692</v>
      </c>
      <c r="F179" s="694">
        <f>E179*$N$2</f>
        <v/>
      </c>
      <c r="G179" s="695" t="n">
        <v>0</v>
      </c>
      <c r="H179" s="696">
        <f>F179-G179</f>
        <v/>
      </c>
      <c r="I179" s="151" t="n"/>
      <c r="J179" s="152" t="n">
        <v>44706</v>
      </c>
      <c r="K179" s="692" t="inlineStr">
        <is>
          <t>SILICONES-SELLADORES-ADITIVOS</t>
        </is>
      </c>
    </row>
    <row r="180" ht="20.1" customHeight="1">
      <c r="A180" s="430">
        <f>_xlfn.XLOOKUP(B180,'INSUMOS MAT '!B:B,'INSUMOS MAT '!C:C,"ERROR",0)</f>
        <v/>
      </c>
      <c r="B180" s="142" t="inlineStr">
        <is>
          <t>MAT06-0308</t>
        </is>
      </c>
      <c r="C180" s="691" t="inlineStr">
        <is>
          <t>CURVA EMT 1/2 PULG</t>
        </is>
      </c>
      <c r="D180" s="692" t="inlineStr">
        <is>
          <t>UND</t>
        </is>
      </c>
      <c r="E180" s="693" t="n">
        <v>707.2444</v>
      </c>
      <c r="F180" s="694">
        <f>E180*$N$2</f>
        <v/>
      </c>
      <c r="G180" s="695" t="n">
        <v>0</v>
      </c>
      <c r="H180" s="696">
        <f>F180-G180</f>
        <v/>
      </c>
      <c r="I180" s="151" t="n"/>
      <c r="J180" s="152" t="n">
        <v>44701</v>
      </c>
      <c r="K180" s="692" t="inlineStr">
        <is>
          <t>ELECTRICO</t>
        </is>
      </c>
    </row>
    <row r="181" ht="20.1" customHeight="1">
      <c r="A181" s="135" t="n"/>
      <c r="B181" s="142" t="inlineStr">
        <is>
          <t>MAT0678</t>
        </is>
      </c>
      <c r="C181" s="691" t="inlineStr">
        <is>
          <t>CURVA CONDUIT 1 1/2 UL</t>
        </is>
      </c>
      <c r="D181" s="692" t="inlineStr">
        <is>
          <t>UND</t>
        </is>
      </c>
      <c r="E181" s="693" t="n">
        <v>2242.7706</v>
      </c>
      <c r="F181" s="694">
        <f>E181*$N$2</f>
        <v/>
      </c>
      <c r="G181" s="695" t="n">
        <v>0</v>
      </c>
      <c r="H181" s="696">
        <f>F181-G181</f>
        <v/>
      </c>
      <c r="I181" s="151" t="n"/>
      <c r="J181" s="152" t="n">
        <v>44718</v>
      </c>
      <c r="K181" s="692" t="n">
        <v>0</v>
      </c>
    </row>
    <row r="182" ht="20.1" customHeight="1">
      <c r="A182" s="430">
        <f>_xlfn.XLOOKUP(B182,'INSUMOS MAT '!B:B,'INSUMOS MAT '!C:C,"ERROR",0)</f>
        <v/>
      </c>
      <c r="B182" s="142" t="inlineStr">
        <is>
          <t>MAT19-0031</t>
        </is>
      </c>
      <c r="C182" s="691" t="inlineStr">
        <is>
          <t>CURVA CONDUIT 1 1/2 UL</t>
        </is>
      </c>
      <c r="D182" s="692" t="inlineStr">
        <is>
          <t>UND</t>
        </is>
      </c>
      <c r="E182" s="693" t="n">
        <v>2078.514</v>
      </c>
      <c r="F182" s="694">
        <f>E182*$N$2</f>
        <v/>
      </c>
      <c r="G182" s="695" t="n">
        <v>0</v>
      </c>
      <c r="H182" s="696">
        <f>F182-G182</f>
        <v/>
      </c>
      <c r="I182" s="151" t="n"/>
      <c r="J182" s="152" t="n">
        <v>44701</v>
      </c>
      <c r="K182" s="692" t="inlineStr">
        <is>
          <t>PVC</t>
        </is>
      </c>
    </row>
    <row r="183" ht="20.1" customHeight="1">
      <c r="A183" s="430">
        <f>_xlfn.XLOOKUP(B183,'INSUMOS MAT '!B:B,'INSUMOS MAT '!C:C,"ERROR",0)</f>
        <v/>
      </c>
      <c r="B183" s="142" t="inlineStr">
        <is>
          <t>MAT19-0032</t>
        </is>
      </c>
      <c r="C183" s="691" t="inlineStr">
        <is>
          <t>CURVA CONDUIT 1 UL</t>
        </is>
      </c>
      <c r="D183" s="692" t="inlineStr">
        <is>
          <t>UND</t>
        </is>
      </c>
      <c r="E183" s="693" t="n">
        <v>715.896</v>
      </c>
      <c r="F183" s="694">
        <f>E183*$N$2</f>
        <v/>
      </c>
      <c r="G183" s="695" t="n">
        <v>0</v>
      </c>
      <c r="H183" s="696">
        <f>F183-G183</f>
        <v/>
      </c>
      <c r="I183" s="151" t="n"/>
      <c r="J183" s="152" t="n">
        <v>44701</v>
      </c>
      <c r="K183" s="692" t="inlineStr">
        <is>
          <t>PVC</t>
        </is>
      </c>
    </row>
    <row r="184" ht="20.1" customHeight="1">
      <c r="A184" s="430">
        <f>_xlfn.XLOOKUP(B184,'INSUMOS MAT '!B:B,'INSUMOS MAT '!C:C,"ERROR",0)</f>
        <v/>
      </c>
      <c r="B184" s="142" t="inlineStr">
        <is>
          <t>MAT19-0033</t>
        </is>
      </c>
      <c r="C184" s="691" t="inlineStr">
        <is>
          <t>CURVA CONDUIT 1/2 UL</t>
        </is>
      </c>
      <c r="D184" s="692" t="inlineStr">
        <is>
          <t>UND</t>
        </is>
      </c>
      <c r="E184" s="693" t="n">
        <v>480.5579999999999</v>
      </c>
      <c r="F184" s="694">
        <f>E184*$N$2</f>
        <v/>
      </c>
      <c r="G184" s="695" t="n">
        <v>0</v>
      </c>
      <c r="H184" s="696">
        <f>F184-G184</f>
        <v/>
      </c>
      <c r="I184" s="151" t="n"/>
      <c r="J184" s="152" t="n">
        <v>44720</v>
      </c>
      <c r="K184" s="692" t="inlineStr">
        <is>
          <t>PVC</t>
        </is>
      </c>
    </row>
    <row r="185" ht="20.1" customHeight="1">
      <c r="A185" s="430">
        <f>_xlfn.XLOOKUP(B185,'INSUMOS MAT '!B:B,'INSUMOS MAT '!C:C,"ERROR",0)</f>
        <v/>
      </c>
      <c r="B185" s="142" t="inlineStr">
        <is>
          <t>MAT19-0138</t>
        </is>
      </c>
      <c r="C185" s="691" t="inlineStr">
        <is>
          <t>CURVA CONDUIT 2 UL</t>
        </is>
      </c>
      <c r="D185" s="692" t="inlineStr">
        <is>
          <t>UND</t>
        </is>
      </c>
      <c r="E185" s="693" t="n">
        <v>3115.3538</v>
      </c>
      <c r="F185" s="694">
        <f>E185*$N$2</f>
        <v/>
      </c>
      <c r="G185" s="695" t="n">
        <v>0</v>
      </c>
      <c r="H185" s="696">
        <f>F185-G185</f>
        <v/>
      </c>
      <c r="I185" s="151" t="n"/>
      <c r="J185" s="152" t="n">
        <v>44692</v>
      </c>
      <c r="K185" s="692" t="inlineStr">
        <is>
          <t>PVC</t>
        </is>
      </c>
    </row>
    <row r="186" ht="20.1" customHeight="1">
      <c r="A186" s="135" t="n"/>
      <c r="B186" s="142" t="inlineStr">
        <is>
          <t>MAT0681</t>
        </is>
      </c>
      <c r="C186" s="691" t="inlineStr">
        <is>
          <t>CURVA CONDUIT 3/4 UL</t>
        </is>
      </c>
      <c r="D186" s="692" t="inlineStr">
        <is>
          <t>UND</t>
        </is>
      </c>
      <c r="E186" s="693" t="n">
        <v>589.26</v>
      </c>
      <c r="F186" s="694">
        <f>E186*$N$2</f>
        <v/>
      </c>
      <c r="G186" s="695" t="n">
        <v>0</v>
      </c>
      <c r="H186" s="696">
        <f>F186-G186</f>
        <v/>
      </c>
      <c r="I186" s="151" t="n"/>
      <c r="J186" s="152" t="n">
        <v>44718</v>
      </c>
      <c r="K186" s="692" t="n">
        <v>0</v>
      </c>
    </row>
    <row r="187">
      <c r="A187" s="430">
        <f>_xlfn.XLOOKUP(B187,'INSUMOS MAT '!B:B,'INSUMOS MAT '!C:C,"ERROR",0)</f>
        <v/>
      </c>
      <c r="B187" s="142" t="inlineStr">
        <is>
          <t>MAT19-0034</t>
        </is>
      </c>
      <c r="C187" s="691" t="inlineStr">
        <is>
          <t>CURVA CONDUIT 3/4 UL</t>
        </is>
      </c>
      <c r="D187" s="692" t="inlineStr">
        <is>
          <t>UND</t>
        </is>
      </c>
      <c r="E187" s="693" t="n">
        <v>589.26</v>
      </c>
      <c r="F187" s="694">
        <f>E187*$N$2</f>
        <v/>
      </c>
      <c r="G187" s="695" t="n">
        <v>0</v>
      </c>
      <c r="H187" s="696">
        <f>F187-G187</f>
        <v/>
      </c>
      <c r="I187" s="151" t="n"/>
      <c r="J187" s="152" t="n">
        <v>44719</v>
      </c>
      <c r="K187" s="692" t="inlineStr">
        <is>
          <t>PVC</t>
        </is>
      </c>
    </row>
    <row r="188">
      <c r="A188" s="430">
        <f>_xlfn.XLOOKUP(B188,'INSUMOS MAT '!B:B,'INSUMOS MAT '!C:C,"ERROR",0)</f>
        <v/>
      </c>
      <c r="B188" s="142" t="inlineStr">
        <is>
          <t>MAT08-0033</t>
        </is>
      </c>
      <c r="C188" s="691" t="inlineStr">
        <is>
          <t>DESAGUE METAL PARA LAVATORIO 11/4</t>
        </is>
      </c>
      <c r="D188" s="692" t="inlineStr">
        <is>
          <t>UND</t>
        </is>
      </c>
      <c r="E188" s="693" t="n">
        <v>1516.1093</v>
      </c>
      <c r="F188" s="694">
        <f>E188*$N$2</f>
        <v/>
      </c>
      <c r="G188" s="695" t="n">
        <v>0</v>
      </c>
      <c r="H188" s="696">
        <f>F188-G188</f>
        <v/>
      </c>
      <c r="I188" s="151" t="n"/>
      <c r="J188" s="152" t="n">
        <v>44722</v>
      </c>
      <c r="K188" s="692" t="inlineStr">
        <is>
          <t>FERRETERIA GENERAL</t>
        </is>
      </c>
    </row>
    <row r="189">
      <c r="A189" s="430">
        <f>_xlfn.XLOOKUP(B189,'INSUMOS MAT '!B:B,'INSUMOS MAT '!C:C,"ERROR",0)</f>
        <v/>
      </c>
      <c r="B189" s="142" t="inlineStr">
        <is>
          <t>MAT08-0057</t>
        </is>
      </c>
      <c r="C189" s="691" t="inlineStr">
        <is>
          <t>DESATORADOR</t>
        </is>
      </c>
      <c r="D189" s="692" t="inlineStr">
        <is>
          <t>LITRO</t>
        </is>
      </c>
      <c r="E189" s="693" t="n">
        <v>3789.0839</v>
      </c>
      <c r="F189" s="694">
        <f>E189*$N$2</f>
        <v/>
      </c>
      <c r="G189" s="695" t="n">
        <v>0</v>
      </c>
      <c r="H189" s="696">
        <f>F189-G189</f>
        <v/>
      </c>
      <c r="I189" s="151" t="n"/>
      <c r="J189" s="152" t="n">
        <v>44692</v>
      </c>
      <c r="K189" s="692" t="inlineStr">
        <is>
          <t>FERRETERIA GENERAL</t>
        </is>
      </c>
    </row>
    <row r="190" ht="20.1" customHeight="1">
      <c r="A190" s="430">
        <f>_xlfn.XLOOKUP(B190,'INSUMOS MAT '!B:B,'INSUMOS MAT '!C:C,"ERROR",0)</f>
        <v/>
      </c>
      <c r="B190" s="142" t="inlineStr">
        <is>
          <t>MAT21-0003</t>
        </is>
      </c>
      <c r="C190" s="691" t="inlineStr">
        <is>
          <t>DESMOLDANTE  CASSEROIL</t>
        </is>
      </c>
      <c r="D190" s="692" t="inlineStr">
        <is>
          <t>ESTAÑON</t>
        </is>
      </c>
      <c r="E190" s="693" t="n">
        <v>393116.8</v>
      </c>
      <c r="F190" s="694">
        <f>E190*$N$2</f>
        <v/>
      </c>
      <c r="G190" s="695" t="n">
        <v>0</v>
      </c>
      <c r="H190" s="696">
        <f>F190-G190</f>
        <v/>
      </c>
      <c r="I190" s="151" t="n"/>
      <c r="J190" s="152" t="n">
        <v>44712</v>
      </c>
      <c r="K190" s="692" t="inlineStr">
        <is>
          <t>SILICONES-SELLADORES-ADITIVOS</t>
        </is>
      </c>
    </row>
    <row r="191" ht="20.1" customHeight="1">
      <c r="A191" s="135" t="n"/>
      <c r="B191" s="142" t="inlineStr">
        <is>
          <t>MAT08-0143</t>
        </is>
      </c>
      <c r="C191" s="691" t="inlineStr">
        <is>
          <t>DILUYENTE AGUARRAS</t>
        </is>
      </c>
      <c r="D191" s="692" t="inlineStr">
        <is>
          <t>GALON</t>
        </is>
      </c>
      <c r="E191" s="693" t="n">
        <v>5822.665</v>
      </c>
      <c r="F191" s="694">
        <f>E191*$N$2</f>
        <v/>
      </c>
      <c r="G191" s="695" t="n">
        <v>0</v>
      </c>
      <c r="H191" s="696">
        <f>F191-G191</f>
        <v/>
      </c>
      <c r="I191" s="151" t="n"/>
      <c r="J191" s="152" t="n">
        <v>44692</v>
      </c>
      <c r="K191" s="692" t="inlineStr">
        <is>
          <t>FERRETERIA GENERAL</t>
        </is>
      </c>
    </row>
    <row r="192" ht="20.1" customHeight="1">
      <c r="A192" s="135" t="n"/>
      <c r="B192" s="142" t="inlineStr">
        <is>
          <t>MAT08-0508</t>
        </is>
      </c>
      <c r="C192" s="691" t="inlineStr">
        <is>
          <t>DISCO COPA DIAMANTE DE 7"</t>
        </is>
      </c>
      <c r="D192" s="692" t="inlineStr">
        <is>
          <t>UND</t>
        </is>
      </c>
      <c r="E192" s="693" t="n">
        <v>38902.285</v>
      </c>
      <c r="F192" s="694">
        <f>E192*$N$2</f>
        <v/>
      </c>
      <c r="G192" s="695" t="n">
        <v>0</v>
      </c>
      <c r="H192" s="696">
        <f>F192-G192</f>
        <v/>
      </c>
      <c r="I192" s="151" t="n"/>
      <c r="J192" s="152" t="n">
        <v>44623</v>
      </c>
      <c r="K192" s="692" t="inlineStr">
        <is>
          <t>FERRETERIA GENERAL</t>
        </is>
      </c>
    </row>
    <row r="193" ht="20.1" customHeight="1">
      <c r="A193" s="430">
        <f>_xlfn.XLOOKUP(B193,'INSUMOS MAT '!B:B,'INSUMOS MAT '!C:C,"ERROR",0)</f>
        <v/>
      </c>
      <c r="B193" s="142" t="inlineStr">
        <is>
          <t>MAT08-0327</t>
        </is>
      </c>
      <c r="C193" s="691" t="inlineStr">
        <is>
          <t>DISCO CORTE CONCRETO DIAM CONTINUIO 4 1/2</t>
        </is>
      </c>
      <c r="D193" s="692" t="inlineStr">
        <is>
          <t>UND</t>
        </is>
      </c>
      <c r="E193" s="693" t="n">
        <v>3006.017</v>
      </c>
      <c r="F193" s="694">
        <f>E193*$N$2</f>
        <v/>
      </c>
      <c r="G193" s="695" t="n">
        <v>0</v>
      </c>
      <c r="H193" s="696">
        <f>F193-G193</f>
        <v/>
      </c>
      <c r="I193" s="151" t="n"/>
      <c r="J193" s="152" t="n">
        <v>44692</v>
      </c>
      <c r="K193" s="692" t="inlineStr">
        <is>
          <t>FERRETERIA GENERAL</t>
        </is>
      </c>
    </row>
    <row r="194" ht="20.1" customHeight="1">
      <c r="A194" s="430">
        <f>_xlfn.XLOOKUP(B194,'INSUMOS MAT '!B:B,'INSUMOS MAT '!C:C,"ERROR",0)</f>
        <v/>
      </c>
      <c r="B194" s="142" t="inlineStr">
        <is>
          <t>MAT08-0036</t>
        </is>
      </c>
      <c r="C194" s="691" t="inlineStr">
        <is>
          <t>DISCO CORTE METAL 14"</t>
        </is>
      </c>
      <c r="D194" s="692" t="inlineStr">
        <is>
          <t>UND</t>
        </is>
      </c>
      <c r="E194" s="693" t="n">
        <v>4176.7391</v>
      </c>
      <c r="F194" s="694">
        <f>E194*$N$2</f>
        <v/>
      </c>
      <c r="G194" s="695" t="n">
        <v>0</v>
      </c>
      <c r="H194" s="696">
        <f>F194-G194</f>
        <v/>
      </c>
      <c r="I194" s="151" t="n"/>
      <c r="J194" s="152" t="n">
        <v>44692</v>
      </c>
      <c r="K194" s="692" t="inlineStr">
        <is>
          <t>FERRETERIA GENERAL</t>
        </is>
      </c>
    </row>
    <row r="195" ht="20.1" customHeight="1">
      <c r="A195" s="430">
        <f>_xlfn.XLOOKUP(B195,'INSUMOS MAT '!B:B,'INSUMOS MAT '!C:C,"ERROR",0)</f>
        <v/>
      </c>
      <c r="B195" s="142" t="inlineStr">
        <is>
          <t>MAT08-0446</t>
        </is>
      </c>
      <c r="C195" s="691" t="inlineStr">
        <is>
          <t>DISCO CORTE METAL 4 1/2 PULGADA</t>
        </is>
      </c>
      <c r="D195" s="692" t="inlineStr">
        <is>
          <t>UND</t>
        </is>
      </c>
      <c r="E195" s="693" t="n">
        <v>564.9773</v>
      </c>
      <c r="F195" s="694">
        <f>E195*$N$2</f>
        <v/>
      </c>
      <c r="G195" s="695" t="n">
        <v>0</v>
      </c>
      <c r="H195" s="696">
        <f>F195-G195</f>
        <v/>
      </c>
      <c r="I195" s="151" t="n"/>
      <c r="J195" s="152" t="n">
        <v>44718</v>
      </c>
      <c r="K195" s="692" t="inlineStr">
        <is>
          <t>FERRETERIA GENERAL</t>
        </is>
      </c>
    </row>
    <row r="196" ht="20.1" customHeight="1">
      <c r="A196" s="430">
        <f>_xlfn.XLOOKUP(B196,'INSUMOS MAT '!B:B,'INSUMOS MAT '!C:C,"ERROR",0)</f>
        <v/>
      </c>
      <c r="B196" s="142" t="inlineStr">
        <is>
          <t>MAT08-0309</t>
        </is>
      </c>
      <c r="C196" s="691" t="inlineStr">
        <is>
          <t>DISCO DIAMANTADO CONCRETO 14"</t>
        </is>
      </c>
      <c r="D196" s="692" t="inlineStr">
        <is>
          <t>UND</t>
        </is>
      </c>
      <c r="E196" s="693" t="n">
        <v>80414.85000000001</v>
      </c>
      <c r="F196" s="694">
        <f>E196*$N$2</f>
        <v/>
      </c>
      <c r="G196" s="695" t="n">
        <v>0</v>
      </c>
      <c r="H196" s="696">
        <f>F196-G196</f>
        <v/>
      </c>
      <c r="I196" s="151" t="n"/>
      <c r="J196" s="152" t="n">
        <v>44706</v>
      </c>
      <c r="K196" s="692" t="inlineStr">
        <is>
          <t>FERRETERIA GENERAL</t>
        </is>
      </c>
    </row>
    <row r="197" ht="20.1" customHeight="1">
      <c r="A197" s="430">
        <f>_xlfn.XLOOKUP(B197,'INSUMOS MAT '!B:B,'INSUMOS MAT '!C:C,"ERROR",0)</f>
        <v/>
      </c>
      <c r="B197" s="142" t="inlineStr">
        <is>
          <t>MAT08-0486</t>
        </is>
      </c>
      <c r="C197" s="691" t="inlineStr">
        <is>
          <t>DISCO DIAMANTADO PARA CONCRETO 5"</t>
        </is>
      </c>
      <c r="D197" s="692" t="inlineStr">
        <is>
          <t>UND</t>
        </is>
      </c>
      <c r="E197" s="693" t="n">
        <v>52039.9133</v>
      </c>
      <c r="F197" s="694">
        <f>E197*$N$2</f>
        <v/>
      </c>
      <c r="G197" s="695" t="n">
        <v>0</v>
      </c>
      <c r="H197" s="696">
        <f>F197-G197</f>
        <v/>
      </c>
      <c r="I197" s="151" t="n"/>
      <c r="J197" s="152" t="n">
        <v>44692</v>
      </c>
      <c r="K197" s="692" t="inlineStr">
        <is>
          <t>FERRETERIA GENERAL</t>
        </is>
      </c>
    </row>
    <row r="198" ht="20.1" customHeight="1">
      <c r="A198" s="430">
        <f>_xlfn.XLOOKUP(B198,'INSUMOS MAT '!B:B,'INSUMOS MAT '!C:C,"ERROR",0)</f>
        <v/>
      </c>
      <c r="B198" s="142" t="inlineStr">
        <is>
          <t>MAT08-0035</t>
        </is>
      </c>
      <c r="C198" s="691" t="inlineStr">
        <is>
          <t>DISCO PARA ESMERILAR DE 9 PULGADAS</t>
        </is>
      </c>
      <c r="D198" s="692" t="inlineStr">
        <is>
          <t>UND</t>
        </is>
      </c>
      <c r="E198" s="693" t="n">
        <v>4014.325</v>
      </c>
      <c r="F198" s="694">
        <f>E198*$N$2</f>
        <v/>
      </c>
      <c r="G198" s="695" t="n">
        <v>0</v>
      </c>
      <c r="H198" s="696">
        <f>F198-G198</f>
        <v/>
      </c>
      <c r="I198" s="151" t="n"/>
      <c r="J198" s="152" t="n">
        <v>44692</v>
      </c>
      <c r="K198" s="692" t="inlineStr">
        <is>
          <t>FERRETERIA GENERAL</t>
        </is>
      </c>
    </row>
    <row r="199" ht="20.1" customHeight="1">
      <c r="A199" s="430">
        <f>_xlfn.XLOOKUP(B199,'INSUMOS MAT '!B:B,'INSUMOS MAT '!C:C,"ERROR",0)</f>
        <v/>
      </c>
      <c r="B199" s="142" t="inlineStr">
        <is>
          <t>MAT08-0257</t>
        </is>
      </c>
      <c r="C199" s="691" t="inlineStr">
        <is>
          <t>DISCO SIERRA CIRCULAR 7-1/4</t>
        </is>
      </c>
      <c r="D199" s="692" t="inlineStr">
        <is>
          <t>UND</t>
        </is>
      </c>
      <c r="E199" s="693" t="n">
        <v>11424.3</v>
      </c>
      <c r="F199" s="694">
        <f>E199*$N$2</f>
        <v/>
      </c>
      <c r="G199" s="695" t="n">
        <v>0</v>
      </c>
      <c r="H199" s="696">
        <f>F199-G199</f>
        <v/>
      </c>
      <c r="I199" s="151" t="n"/>
      <c r="J199" s="152" t="n">
        <v>44692</v>
      </c>
      <c r="K199" s="692" t="inlineStr">
        <is>
          <t>FERRETERIA GENERAL</t>
        </is>
      </c>
    </row>
    <row r="200" ht="20.1" customHeight="1">
      <c r="A200" s="430">
        <f>_xlfn.XLOOKUP(B200,'INSUMOS MAT '!B:B,'INSUMOS MAT '!C:C,"ERROR",0)</f>
        <v/>
      </c>
      <c r="B200" s="142" t="inlineStr">
        <is>
          <t>MAT08-0038</t>
        </is>
      </c>
      <c r="C200" s="691" t="inlineStr">
        <is>
          <t>DISCO CORTE METAL FINO 9"</t>
        </is>
      </c>
      <c r="D200" s="692" t="inlineStr">
        <is>
          <t>UND</t>
        </is>
      </c>
      <c r="E200" s="693" t="n">
        <v>1369.702</v>
      </c>
      <c r="F200" s="694">
        <f>E200*$N$2</f>
        <v/>
      </c>
      <c r="G200" s="695" t="n">
        <v>0</v>
      </c>
      <c r="H200" s="696">
        <f>F200-G200</f>
        <v/>
      </c>
      <c r="I200" s="151" t="n"/>
      <c r="J200" s="152" t="n">
        <v>44701</v>
      </c>
      <c r="K200" s="692" t="inlineStr">
        <is>
          <t>FERRETERIA GENERAL</t>
        </is>
      </c>
    </row>
    <row r="201" ht="20.1" customHeight="1">
      <c r="A201" s="430">
        <f>_xlfn.XLOOKUP(B201,'INSUMOS MAT '!B:B,'INSUMOS MAT '!C:C,"ERROR",0)</f>
        <v/>
      </c>
      <c r="B201" s="142" t="inlineStr">
        <is>
          <t>MAT08-0040</t>
        </is>
      </c>
      <c r="C201" s="691" t="inlineStr">
        <is>
          <t>DISCO ESMERILAR 4 1/2</t>
        </is>
      </c>
      <c r="D201" s="692" t="inlineStr">
        <is>
          <t>UND</t>
        </is>
      </c>
      <c r="E201" s="693" t="n">
        <v>881.4888</v>
      </c>
      <c r="F201" s="694">
        <f>E201*$N$2</f>
        <v/>
      </c>
      <c r="G201" s="695" t="n">
        <v>0</v>
      </c>
      <c r="H201" s="696">
        <f>F201-G201</f>
        <v/>
      </c>
      <c r="I201" s="151" t="n"/>
      <c r="J201" s="152" t="n">
        <v>44709</v>
      </c>
      <c r="K201" s="692" t="inlineStr">
        <is>
          <t>FERRETERIA GENERAL</t>
        </is>
      </c>
    </row>
    <row r="202" ht="20.1" customHeight="1">
      <c r="A202" s="430">
        <f>_xlfn.XLOOKUP(B202,'INSUMOS MAT '!B:B,'INSUMOS MAT '!C:C,"ERROR",0)</f>
        <v/>
      </c>
      <c r="B202" s="142" t="inlineStr">
        <is>
          <t>MAT08-0042</t>
        </is>
      </c>
      <c r="C202" s="691" t="inlineStr">
        <is>
          <t>DISCO FLAP G60 4 1/2"</t>
        </is>
      </c>
      <c r="D202" s="692" t="inlineStr">
        <is>
          <t>UND</t>
        </is>
      </c>
      <c r="E202" s="693" t="n">
        <v>1298.6905</v>
      </c>
      <c r="F202" s="694">
        <f>E202*$N$2</f>
        <v/>
      </c>
      <c r="G202" s="695" t="n">
        <v>0</v>
      </c>
      <c r="H202" s="696">
        <f>F202-G202</f>
        <v/>
      </c>
      <c r="I202" s="151" t="n"/>
      <c r="J202" s="152" t="n">
        <v>44721</v>
      </c>
      <c r="K202" s="692" t="inlineStr">
        <is>
          <t>FERRETERIA GENERAL</t>
        </is>
      </c>
    </row>
    <row r="203" ht="20.1" customHeight="1">
      <c r="A203" s="430">
        <f>_xlfn.XLOOKUP(B203,'INSUMOS MAT '!B:B,'INSUMOS MAT '!C:C,"ERROR",0)</f>
        <v/>
      </c>
      <c r="B203" s="142" t="inlineStr">
        <is>
          <t>MAT08-0043</t>
        </is>
      </c>
      <c r="C203" s="691" t="inlineStr">
        <is>
          <t>DISCO PUNTA DIAMANTE 9" SEGMENTADO</t>
        </is>
      </c>
      <c r="D203" s="692" t="inlineStr">
        <is>
          <t>UND</t>
        </is>
      </c>
      <c r="E203" s="693" t="n">
        <v>16046</v>
      </c>
      <c r="F203" s="694">
        <f>E203*$N$2</f>
        <v/>
      </c>
      <c r="G203" s="695" t="n">
        <v>0</v>
      </c>
      <c r="H203" s="696">
        <f>F203-G203</f>
        <v/>
      </c>
      <c r="I203" s="151" t="n"/>
      <c r="J203" s="152" t="n">
        <v>44722</v>
      </c>
      <c r="K203" s="692" t="inlineStr">
        <is>
          <t>FERRETERIA GENERAL</t>
        </is>
      </c>
    </row>
    <row r="204" ht="20.1" customHeight="1">
      <c r="A204" s="430">
        <f>_xlfn.XLOOKUP(B204,'INSUMOS MAT '!B:B,'INSUMOS MAT '!C:C,"ERROR",0)</f>
        <v/>
      </c>
      <c r="B204" s="142" t="inlineStr">
        <is>
          <t>MAT21-0005</t>
        </is>
      </c>
      <c r="C204" s="691" t="inlineStr">
        <is>
          <t>DURETAN BLANCO</t>
        </is>
      </c>
      <c r="D204" s="692" t="inlineStr">
        <is>
          <t>CARTUCHO</t>
        </is>
      </c>
      <c r="E204" s="693" t="n">
        <v>4746.815</v>
      </c>
      <c r="F204" s="694">
        <f>E204*$N$2</f>
        <v/>
      </c>
      <c r="G204" s="695" t="n">
        <v>0</v>
      </c>
      <c r="H204" s="696">
        <f>F204-G204</f>
        <v/>
      </c>
      <c r="I204" s="151" t="n"/>
      <c r="J204" s="152" t="n">
        <v>44722</v>
      </c>
      <c r="K204" s="692" t="inlineStr">
        <is>
          <t>SILICONES-SELLADORES-ADITIVOS</t>
        </is>
      </c>
    </row>
    <row r="205" ht="20.1" customHeight="1">
      <c r="A205" s="430">
        <f>_xlfn.XLOOKUP(B205,'INSUMOS MAT '!B:B,'INSUMOS MAT '!C:C,"ERROR",0)</f>
        <v/>
      </c>
      <c r="B205" s="142" t="inlineStr">
        <is>
          <t>MAT21-0006</t>
        </is>
      </c>
      <c r="C205" s="691" t="inlineStr">
        <is>
          <t>DURETAN GRIS</t>
        </is>
      </c>
      <c r="D205" s="692" t="inlineStr">
        <is>
          <t>CARTUCHO</t>
        </is>
      </c>
      <c r="E205" s="693" t="n">
        <v>4650.95</v>
      </c>
      <c r="F205" s="694">
        <f>E205*$N$2</f>
        <v/>
      </c>
      <c r="G205" s="695" t="n">
        <v>0</v>
      </c>
      <c r="H205" s="696">
        <f>F205-G205</f>
        <v/>
      </c>
      <c r="I205" s="151" t="n"/>
      <c r="J205" s="152" t="n">
        <v>44720</v>
      </c>
      <c r="K205" s="692" t="inlineStr">
        <is>
          <t>SILICONES-SELLADORES-ADITIVOS</t>
        </is>
      </c>
    </row>
    <row r="206" ht="20.1" customHeight="1">
      <c r="A206" s="430">
        <f>_xlfn.XLOOKUP(B206,'INSUMOS MAT '!B:B,'INSUMOS MAT '!C:C,"ERROR",0)</f>
        <v/>
      </c>
      <c r="B206" s="142" t="inlineStr">
        <is>
          <t>MAT08-0044</t>
        </is>
      </c>
      <c r="C206" s="691" t="inlineStr">
        <is>
          <t>EMPAQUE CERA</t>
        </is>
      </c>
      <c r="D206" s="692" t="inlineStr">
        <is>
          <t>UND</t>
        </is>
      </c>
      <c r="E206" s="693" t="n">
        <v>1073.5</v>
      </c>
      <c r="F206" s="694">
        <f>E206*$N$2</f>
        <v/>
      </c>
      <c r="G206" s="695" t="n">
        <v>0</v>
      </c>
      <c r="H206" s="696">
        <f>F206-G206</f>
        <v/>
      </c>
      <c r="I206" s="151" t="n"/>
      <c r="J206" s="152" t="n">
        <v>44718</v>
      </c>
      <c r="K206" s="692" t="inlineStr">
        <is>
          <t>FERRETERIA GENERAL</t>
        </is>
      </c>
    </row>
    <row r="207">
      <c r="A207" s="430">
        <f>_xlfn.XLOOKUP(B207,'INSUMOS MAT '!B:B,'INSUMOS MAT '!C:C,"ERROR",0)</f>
        <v/>
      </c>
      <c r="B207" s="142" t="inlineStr">
        <is>
          <t>MAT04-0008</t>
        </is>
      </c>
      <c r="C207" s="691" t="inlineStr">
        <is>
          <t>EMPASTE CEMENTICIO BLANCO CEMEX 20KG</t>
        </is>
      </c>
      <c r="D207" s="692" t="inlineStr">
        <is>
          <t>UND</t>
        </is>
      </c>
      <c r="E207" s="693" t="n">
        <v>4491.75</v>
      </c>
      <c r="F207" s="694">
        <f>E207*$N$2</f>
        <v/>
      </c>
      <c r="G207" s="695" t="n">
        <v>0</v>
      </c>
      <c r="H207" s="696">
        <f>F207-G207</f>
        <v/>
      </c>
      <c r="I207" s="151" t="n"/>
      <c r="J207" s="152" t="n">
        <v>44510</v>
      </c>
      <c r="K207" s="692" t="inlineStr">
        <is>
          <t>CONCRETOS CEMENTOS Y MORTEROS</t>
        </is>
      </c>
    </row>
    <row r="208" ht="20.1" customHeight="1">
      <c r="A208" s="135" t="n"/>
      <c r="B208" s="142" t="inlineStr">
        <is>
          <t>HER13-0258</t>
        </is>
      </c>
      <c r="C208" s="691" t="inlineStr">
        <is>
          <t>ESCOBON</t>
        </is>
      </c>
      <c r="D208" s="692" t="inlineStr">
        <is>
          <t>UND</t>
        </is>
      </c>
      <c r="E208" s="693" t="n">
        <v>6984.3788</v>
      </c>
      <c r="F208" s="694">
        <f>E208*$N$2</f>
        <v/>
      </c>
      <c r="G208" s="695" t="n">
        <v>0</v>
      </c>
      <c r="H208" s="696">
        <f>F208-G208</f>
        <v/>
      </c>
      <c r="I208" s="151" t="n"/>
      <c r="J208" s="152" t="n">
        <v>44722</v>
      </c>
      <c r="K208" s="692" t="inlineStr">
        <is>
          <t>MENOR</t>
        </is>
      </c>
    </row>
    <row r="209" ht="20.1" customHeight="1">
      <c r="A209" s="430">
        <f>_xlfn.XLOOKUP(B209,'INSUMOS MAT '!B:B,'INSUMOS MAT '!C:C,"ERROR",0)</f>
        <v/>
      </c>
      <c r="B209" s="142" t="inlineStr">
        <is>
          <t>MAT08-0226</t>
        </is>
      </c>
      <c r="C209" s="691" t="inlineStr">
        <is>
          <t>ESPANDER #6</t>
        </is>
      </c>
      <c r="D209" s="692" t="inlineStr">
        <is>
          <t>UND</t>
        </is>
      </c>
      <c r="E209" s="693" t="n">
        <v>6.788</v>
      </c>
      <c r="F209" s="694">
        <f>E209*$N$2</f>
        <v/>
      </c>
      <c r="G209" s="695" t="n">
        <v>0</v>
      </c>
      <c r="H209" s="696">
        <f>F209-G209</f>
        <v/>
      </c>
      <c r="I209" s="151" t="n"/>
      <c r="J209" s="152" t="n">
        <v>44692</v>
      </c>
      <c r="K209" s="692" t="inlineStr">
        <is>
          <t>FERRETERIA GENERAL</t>
        </is>
      </c>
    </row>
    <row r="210" ht="20.1" customHeight="1">
      <c r="A210" s="430">
        <f>_xlfn.XLOOKUP(B210,'INSUMOS MAT '!B:B,'INSUMOS MAT '!C:C,"ERROR",0)</f>
        <v/>
      </c>
      <c r="B210" s="142" t="inlineStr">
        <is>
          <t>MAT07-0039</t>
        </is>
      </c>
      <c r="C210" s="691" t="inlineStr">
        <is>
          <t>ESPANDER P/GYPSUM</t>
        </is>
      </c>
      <c r="D210" s="692" t="inlineStr">
        <is>
          <t>UND</t>
        </is>
      </c>
      <c r="E210" s="693" t="n">
        <v>46.193</v>
      </c>
      <c r="F210" s="694">
        <f>E210*$N$2</f>
        <v/>
      </c>
      <c r="G210" s="695" t="n">
        <v>0</v>
      </c>
      <c r="H210" s="696">
        <f>F210-G210</f>
        <v/>
      </c>
      <c r="I210" s="151" t="n"/>
      <c r="J210" s="152" t="n">
        <v>44692</v>
      </c>
      <c r="K210" s="692" t="inlineStr">
        <is>
          <t>ESTRUCTURA LIVIANA</t>
        </is>
      </c>
    </row>
    <row r="211" ht="20.1" customHeight="1">
      <c r="A211" s="430">
        <f>_xlfn.XLOOKUP(B211,'INSUMOS MAT '!B:B,'INSUMOS MAT '!C:C,"ERROR",0)</f>
        <v/>
      </c>
      <c r="B211" s="142" t="inlineStr">
        <is>
          <t>MAT08-0045</t>
        </is>
      </c>
      <c r="C211" s="691" t="inlineStr">
        <is>
          <t>ESPANDER PLASTICO #8</t>
        </is>
      </c>
      <c r="D211" s="692" t="inlineStr">
        <is>
          <t>UND</t>
        </is>
      </c>
      <c r="E211" s="693" t="n">
        <v>6.0907</v>
      </c>
      <c r="F211" s="694">
        <f>E211*$N$2</f>
        <v/>
      </c>
      <c r="G211" s="695" t="n">
        <v>0</v>
      </c>
      <c r="H211" s="696">
        <f>F211-G211</f>
        <v/>
      </c>
      <c r="I211" s="151" t="n"/>
      <c r="J211" s="152" t="n">
        <v>44720</v>
      </c>
      <c r="K211" s="692" t="inlineStr">
        <is>
          <t>FERRETERIA GENERAL</t>
        </is>
      </c>
    </row>
    <row r="212" ht="20.1" customHeight="1">
      <c r="A212" s="430">
        <f>_xlfn.XLOOKUP(B212,'INSUMOS MAT '!B:B,'INSUMOS MAT '!C:C,"ERROR",0)</f>
        <v/>
      </c>
      <c r="B212" s="142" t="inlineStr">
        <is>
          <t>MAT08-0046</t>
        </is>
      </c>
      <c r="C212" s="691" t="inlineStr">
        <is>
          <t>ESPUMA EXPANSIVA</t>
        </is>
      </c>
      <c r="D212" s="692" t="inlineStr">
        <is>
          <t>UND</t>
        </is>
      </c>
      <c r="E212" s="693" t="n">
        <v>5648.87</v>
      </c>
      <c r="F212" s="694">
        <f>E212*$N$2</f>
        <v/>
      </c>
      <c r="G212" s="695" t="n">
        <v>0</v>
      </c>
      <c r="H212" s="696">
        <f>F212-G212</f>
        <v/>
      </c>
      <c r="I212" s="151" t="n"/>
      <c r="J212" s="152" t="n">
        <v>44720</v>
      </c>
      <c r="K212" s="692" t="inlineStr">
        <is>
          <t>FERRETERIA GENERAL</t>
        </is>
      </c>
    </row>
    <row r="213" ht="20.1" customHeight="1">
      <c r="A213" s="430">
        <f>_xlfn.XLOOKUP(B213,'INSUMOS MAT '!B:B,'INSUMOS MAT '!C:C,"ERROR",0)</f>
        <v/>
      </c>
      <c r="B213" s="142" t="inlineStr">
        <is>
          <t>MAT08-0130</t>
        </is>
      </c>
      <c r="C213" s="691" t="inlineStr">
        <is>
          <t>ESPUMA P/LIMPIAR</t>
        </is>
      </c>
      <c r="D213" s="692" t="inlineStr">
        <is>
          <t>UND</t>
        </is>
      </c>
      <c r="E213" s="693" t="n">
        <v>486.2616</v>
      </c>
      <c r="F213" s="694">
        <f>E213*$N$2</f>
        <v/>
      </c>
      <c r="G213" s="695" t="n">
        <v>0</v>
      </c>
      <c r="H213" s="696">
        <f>F213-G213</f>
        <v/>
      </c>
      <c r="I213" s="151" t="n"/>
      <c r="J213" s="152" t="n">
        <v>44720</v>
      </c>
      <c r="K213" s="692" t="inlineStr">
        <is>
          <t>FERRETERIA GENERAL</t>
        </is>
      </c>
    </row>
    <row r="214">
      <c r="A214" s="430">
        <f>_xlfn.XLOOKUP(B214,'INSUMOS MAT '!B:B,'INSUMOS MAT '!C:C,"ERROR",0)</f>
        <v/>
      </c>
      <c r="B214" s="142" t="inlineStr">
        <is>
          <t>MAT07-0009</t>
        </is>
      </c>
      <c r="C214" s="691" t="inlineStr">
        <is>
          <t>ESQUINERO PLASTICO 1 1/4X10</t>
        </is>
      </c>
      <c r="D214" s="692" t="inlineStr">
        <is>
          <t>UND</t>
        </is>
      </c>
      <c r="E214" s="693" t="n">
        <v>929.1426</v>
      </c>
      <c r="F214" s="694">
        <f>E214*$N$2</f>
        <v/>
      </c>
      <c r="G214" s="695" t="n">
        <v>0</v>
      </c>
      <c r="H214" s="696">
        <f>F214-G214</f>
        <v/>
      </c>
      <c r="I214" s="151" t="n"/>
      <c r="J214" s="152" t="n">
        <v>44718</v>
      </c>
      <c r="K214" s="692" t="inlineStr">
        <is>
          <t>ESTRUCTURA LIVIANA</t>
        </is>
      </c>
    </row>
    <row r="215" ht="20.1" customHeight="1">
      <c r="A215" s="430">
        <f>_xlfn.XLOOKUP(B215,'INSUMOS MAT '!B:B,'INSUMOS MAT '!C:C,"ERROR",0)</f>
        <v/>
      </c>
      <c r="B215" s="142" t="inlineStr">
        <is>
          <t>MAT08-0047</t>
        </is>
      </c>
      <c r="C215" s="691" t="inlineStr">
        <is>
          <t>EXTENSION METLA PARA SIFON 1 1/4X8</t>
        </is>
      </c>
      <c r="D215" s="692" t="inlineStr">
        <is>
          <t>UND</t>
        </is>
      </c>
      <c r="E215" s="693" t="n">
        <v>3197.5802</v>
      </c>
      <c r="F215" s="694">
        <f>E215*$N$2</f>
        <v/>
      </c>
      <c r="G215" s="695" t="n">
        <v>0</v>
      </c>
      <c r="H215" s="696">
        <f>F215-G215</f>
        <v/>
      </c>
      <c r="I215" s="151" t="n"/>
      <c r="J215" s="152" t="n">
        <v>44713</v>
      </c>
      <c r="K215" s="692" t="inlineStr">
        <is>
          <t>FERRETERIA GENERAL</t>
        </is>
      </c>
    </row>
    <row r="216" ht="20.1" customHeight="1">
      <c r="A216" s="430">
        <f>_xlfn.XLOOKUP(B216,'INSUMOS MAT '!B:B,'INSUMOS MAT '!C:C,"ERROR",0)</f>
        <v/>
      </c>
      <c r="B216" s="142" t="inlineStr">
        <is>
          <t>MAT08-0048</t>
        </is>
      </c>
      <c r="C216" s="691" t="inlineStr">
        <is>
          <t>FELPA 1/2</t>
        </is>
      </c>
      <c r="D216" s="692" t="inlineStr">
        <is>
          <t>UND</t>
        </is>
      </c>
      <c r="E216" s="693" t="n">
        <v>1382.4961</v>
      </c>
      <c r="F216" s="694">
        <f>E216*$N$2</f>
        <v/>
      </c>
      <c r="G216" s="695" t="n">
        <v>0</v>
      </c>
      <c r="H216" s="696">
        <f>F216-G216</f>
        <v/>
      </c>
      <c r="I216" s="151" t="n"/>
      <c r="J216" s="152" t="n">
        <v>44713</v>
      </c>
      <c r="K216" s="692" t="inlineStr">
        <is>
          <t>FERRETERIA GENERAL</t>
        </is>
      </c>
    </row>
    <row r="217" ht="20.1" customHeight="1">
      <c r="A217" s="430">
        <f>_xlfn.XLOOKUP(B217,'INSUMOS MAT '!B:B,'INSUMOS MAT '!C:C,"ERROR",0)</f>
        <v/>
      </c>
      <c r="B217" s="142" t="inlineStr">
        <is>
          <t>MAT08-0049</t>
        </is>
      </c>
      <c r="C217" s="691" t="inlineStr">
        <is>
          <t>FELPA 3/4</t>
        </is>
      </c>
      <c r="D217" s="692" t="inlineStr">
        <is>
          <t>UND</t>
        </is>
      </c>
      <c r="E217" s="693" t="n">
        <v>1557.0267</v>
      </c>
      <c r="F217" s="694">
        <f>E217*$N$2</f>
        <v/>
      </c>
      <c r="G217" s="695" t="n">
        <v>0</v>
      </c>
      <c r="H217" s="696">
        <f>F217-G217</f>
        <v/>
      </c>
      <c r="I217" s="151" t="n"/>
      <c r="J217" s="152" t="n">
        <v>44721</v>
      </c>
      <c r="K217" s="692" t="inlineStr">
        <is>
          <t>FERRETERIA GENERAL</t>
        </is>
      </c>
    </row>
    <row r="218" ht="20.1" customHeight="1">
      <c r="A218" s="135" t="n"/>
      <c r="B218" s="142" t="inlineStr">
        <is>
          <t>MAT08-0050</t>
        </is>
      </c>
      <c r="C218" s="691" t="inlineStr">
        <is>
          <t>FELPA CHAPISCO</t>
        </is>
      </c>
      <c r="D218" s="692" t="inlineStr">
        <is>
          <t>UND</t>
        </is>
      </c>
      <c r="E218" s="693" t="n">
        <v>4592.92</v>
      </c>
      <c r="F218" s="694">
        <f>E218*$N$2</f>
        <v/>
      </c>
      <c r="G218" s="695" t="n">
        <v>0</v>
      </c>
      <c r="H218" s="696">
        <f>F218-G218</f>
        <v/>
      </c>
      <c r="I218" s="151" t="n"/>
      <c r="J218" s="152" t="n">
        <v>44692</v>
      </c>
      <c r="K218" s="692" t="inlineStr">
        <is>
          <t>FERRETERIA GENERAL</t>
        </is>
      </c>
    </row>
    <row r="219">
      <c r="A219" s="430">
        <f>_xlfn.XLOOKUP(B219,'INSUMOS MAT '!B:B,'INSUMOS MAT '!C:C,"ERROR",0)</f>
        <v/>
      </c>
      <c r="B219" s="142" t="inlineStr">
        <is>
          <t>MAT04-0009</t>
        </is>
      </c>
      <c r="C219" s="691" t="inlineStr">
        <is>
          <t>FIBRA DE CARBONO 1KG</t>
        </is>
      </c>
      <c r="D219" s="692" t="inlineStr">
        <is>
          <t>BOLSA</t>
        </is>
      </c>
      <c r="E219" s="693" t="n">
        <v>5067.3247</v>
      </c>
      <c r="F219" s="694">
        <f>E219*$N$2</f>
        <v/>
      </c>
      <c r="G219" s="695" t="n">
        <v>0</v>
      </c>
      <c r="H219" s="696">
        <f>F219-G219</f>
        <v/>
      </c>
      <c r="I219" s="151" t="n"/>
      <c r="J219" s="152" t="n">
        <v>44692</v>
      </c>
      <c r="K219" s="692" t="inlineStr">
        <is>
          <t>CONCRETOS CEMENTOS Y MORTEROS</t>
        </is>
      </c>
    </row>
    <row r="220">
      <c r="A220" s="430">
        <f>_xlfn.XLOOKUP(B220,'INSUMOS MAT '!B:B,'INSUMOS MAT '!C:C,"ERROR",0)</f>
        <v/>
      </c>
      <c r="B220" s="142" t="inlineStr">
        <is>
          <t>MAT04-0061</t>
        </is>
      </c>
      <c r="C220" s="691" t="inlineStr">
        <is>
          <t>FIBRA DE VIDRIO</t>
        </is>
      </c>
      <c r="D220" s="692" t="inlineStr">
        <is>
          <t>KG</t>
        </is>
      </c>
      <c r="E220" s="693" t="n">
        <v>4900</v>
      </c>
      <c r="F220" s="694">
        <f>E220*$N$2</f>
        <v/>
      </c>
      <c r="G220" s="695" t="n">
        <v>0</v>
      </c>
      <c r="H220" s="696">
        <f>F220-G220</f>
        <v/>
      </c>
      <c r="I220" s="151" t="n"/>
      <c r="J220" s="152" t="n">
        <v>44692</v>
      </c>
      <c r="K220" s="692" t="inlineStr">
        <is>
          <t>CONCRETOS CEMENTOS Y MORTEROS</t>
        </is>
      </c>
    </row>
    <row r="221" ht="20.1" customHeight="1">
      <c r="A221" s="430">
        <f>_xlfn.XLOOKUP(B221,'INSUMOS MAT '!B:B,'INSUMOS MAT '!C:C,"ERROR",0)</f>
        <v/>
      </c>
      <c r="B221" s="142" t="inlineStr">
        <is>
          <t>MAT08-0517</t>
        </is>
      </c>
      <c r="C221" s="691" t="inlineStr">
        <is>
          <t>FLANGER DE 2 PULG P/TANQUE DE AGUA DE ALMACENAJE</t>
        </is>
      </c>
      <c r="D221" s="692" t="inlineStr">
        <is>
          <t>UND</t>
        </is>
      </c>
      <c r="E221" s="693" t="n">
        <v>4113.2</v>
      </c>
      <c r="F221" s="694">
        <f>E221*$N$2</f>
        <v/>
      </c>
      <c r="G221" s="695" t="n">
        <v>0</v>
      </c>
      <c r="H221" s="696">
        <f>F221-G221</f>
        <v/>
      </c>
      <c r="I221" s="151" t="n"/>
      <c r="J221" s="152" t="n">
        <v>44650</v>
      </c>
      <c r="K221" s="692" t="inlineStr">
        <is>
          <t>FERRETERIA GENERAL</t>
        </is>
      </c>
    </row>
    <row r="222" ht="20.1" customHeight="1">
      <c r="A222" s="430">
        <f>_xlfn.XLOOKUP(B222,'INSUMOS MAT '!B:B,'INSUMOS MAT '!C:C,"ERROR",0)</f>
        <v/>
      </c>
      <c r="B222" s="142" t="inlineStr">
        <is>
          <t>MAT08-0052</t>
        </is>
      </c>
      <c r="C222" s="691" t="inlineStr">
        <is>
          <t>FLANGER DE INODORO 4</t>
        </is>
      </c>
      <c r="D222" s="692" t="inlineStr">
        <is>
          <t>UND</t>
        </is>
      </c>
      <c r="E222" s="693" t="n">
        <v>5085</v>
      </c>
      <c r="F222" s="694">
        <f>E222*$N$2</f>
        <v/>
      </c>
      <c r="G222" s="695" t="n">
        <v>0</v>
      </c>
      <c r="H222" s="696">
        <f>F222-G222</f>
        <v/>
      </c>
      <c r="I222" s="151" t="n"/>
      <c r="J222" s="152" t="n">
        <v>44516</v>
      </c>
      <c r="K222" s="692" t="inlineStr">
        <is>
          <t>FERRETERIA GENERAL</t>
        </is>
      </c>
    </row>
    <row r="223" ht="20.1" customHeight="1">
      <c r="A223" s="430">
        <f>_xlfn.XLOOKUP(B223,'INSUMOS MAT '!B:B,'INSUMOS MAT '!C:C,"ERROR",0)</f>
        <v/>
      </c>
      <c r="B223" s="142" t="inlineStr">
        <is>
          <t>ACA15-0001</t>
        </is>
      </c>
      <c r="C223" s="691" t="inlineStr">
        <is>
          <t>FLETE EQUIPO PESADO</t>
        </is>
      </c>
      <c r="D223" s="692" t="inlineStr">
        <is>
          <t>UND</t>
        </is>
      </c>
      <c r="E223" s="693" t="n">
        <v>100328.974</v>
      </c>
      <c r="F223" s="694">
        <f>E223*$N$2</f>
        <v/>
      </c>
      <c r="G223" s="695" t="n">
        <v>0</v>
      </c>
      <c r="H223" s="696">
        <f>F223-G223</f>
        <v/>
      </c>
      <c r="I223" s="151" t="n"/>
      <c r="J223" s="152" t="n">
        <v>44707</v>
      </c>
      <c r="K223" s="692" t="inlineStr">
        <is>
          <t>PESADO</t>
        </is>
      </c>
    </row>
    <row r="224" ht="20.1" customHeight="1">
      <c r="A224" s="430">
        <f>_xlfn.XLOOKUP(B224,'INSUMOS MAT '!B:B,'INSUMOS MAT '!C:C,"ERROR",0)</f>
        <v/>
      </c>
      <c r="B224" s="142" t="inlineStr">
        <is>
          <t>MAT08-0514</t>
        </is>
      </c>
      <c r="C224" s="697" t="inlineStr">
        <is>
          <t>FORMALETA 1X8X12 SIN CEPILLAR</t>
        </is>
      </c>
      <c r="D224" s="692" t="inlineStr">
        <is>
          <t>UND</t>
        </is>
      </c>
      <c r="E224" s="698" t="n">
        <v>8603.661899999999</v>
      </c>
      <c r="F224" s="699">
        <f>E224*$N$3</f>
        <v/>
      </c>
      <c r="G224" s="695" t="n">
        <v>0</v>
      </c>
      <c r="H224" s="696">
        <f>F224-G224</f>
        <v/>
      </c>
      <c r="I224" s="151" t="n"/>
      <c r="J224" s="152" t="n">
        <v>44692</v>
      </c>
      <c r="K224" s="692" t="inlineStr">
        <is>
          <t>FERRETERIA GENERAL</t>
        </is>
      </c>
    </row>
    <row r="225" ht="20.1" customHeight="1">
      <c r="A225" s="430">
        <f>_xlfn.XLOOKUP(B225,'INSUMOS MAT '!B:B,'INSUMOS MAT '!C:C,"ERROR",0)</f>
        <v/>
      </c>
      <c r="B225" s="142" t="inlineStr">
        <is>
          <t>MAT08-0054</t>
        </is>
      </c>
      <c r="C225" s="697" t="inlineStr">
        <is>
          <t>FORMALETA DE 1X12X4</t>
        </is>
      </c>
      <c r="D225" s="692" t="inlineStr">
        <is>
          <t>UND</t>
        </is>
      </c>
      <c r="E225" s="698" t="n">
        <v>9249.1343</v>
      </c>
      <c r="F225" s="699">
        <f>E225*$N$3</f>
        <v/>
      </c>
      <c r="G225" s="695" t="n">
        <v>0</v>
      </c>
      <c r="H225" s="696">
        <f>F225-G225</f>
        <v/>
      </c>
      <c r="I225" s="151" t="n"/>
      <c r="J225" s="152" t="n">
        <v>44709</v>
      </c>
      <c r="K225" s="692" t="inlineStr">
        <is>
          <t>FERRETERIA GENERAL</t>
        </is>
      </c>
    </row>
    <row r="226" ht="20.1" customHeight="1">
      <c r="A226" s="430">
        <f>_xlfn.XLOOKUP(B226,'INSUMOS MAT '!B:B,'INSUMOS MAT '!C:C,"ERROR",0)</f>
        <v/>
      </c>
      <c r="B226" s="142" t="inlineStr">
        <is>
          <t>MAT04-0011</t>
        </is>
      </c>
      <c r="C226" s="691" t="inlineStr">
        <is>
          <t>FRAGUA INTACO ARENA #28 CON ARENA</t>
        </is>
      </c>
      <c r="D226" s="692" t="inlineStr">
        <is>
          <t>UND</t>
        </is>
      </c>
      <c r="E226" s="693" t="n">
        <v>1705.2718</v>
      </c>
      <c r="F226" s="694">
        <f>E226*$N$2</f>
        <v/>
      </c>
      <c r="G226" s="695" t="n">
        <v>0</v>
      </c>
      <c r="H226" s="696">
        <f>F226-G226</f>
        <v/>
      </c>
      <c r="I226" s="151" t="n"/>
      <c r="J226" s="152" t="n">
        <v>44719</v>
      </c>
      <c r="K226" s="692" t="inlineStr">
        <is>
          <t>CONCRETOS CEMENTOS Y MORTEROS</t>
        </is>
      </c>
    </row>
    <row r="227" ht="20.1" customHeight="1">
      <c r="A227" s="430">
        <f>_xlfn.XLOOKUP(B227,'INSUMOS MAT '!B:B,'INSUMOS MAT '!C:C,"ERROR",0)</f>
        <v/>
      </c>
      <c r="B227" s="142" t="inlineStr">
        <is>
          <t>MAT04-0012</t>
        </is>
      </c>
      <c r="C227" s="691" t="inlineStr">
        <is>
          <t>FRAGUA INTACO GRAFITO #12 CON ARENA</t>
        </is>
      </c>
      <c r="D227" s="692" t="inlineStr">
        <is>
          <t>UND</t>
        </is>
      </c>
      <c r="E227" s="693" t="n">
        <v>1705.2717</v>
      </c>
      <c r="F227" s="694">
        <f>E227*$N$2</f>
        <v/>
      </c>
      <c r="G227" s="695" t="n">
        <v>0</v>
      </c>
      <c r="H227" s="696">
        <f>F227-G227</f>
        <v/>
      </c>
      <c r="I227" s="151" t="n"/>
      <c r="J227" s="152" t="n">
        <v>44718</v>
      </c>
      <c r="K227" s="692" t="inlineStr">
        <is>
          <t>CONCRETOS CEMENTOS Y MORTEROS</t>
        </is>
      </c>
    </row>
    <row r="228" ht="20.1" customHeight="1">
      <c r="A228" s="430">
        <f>_xlfn.XLOOKUP(B228,'INSUMOS MAT '!B:B,'INSUMOS MAT '!C:C,"ERROR",0)</f>
        <v/>
      </c>
      <c r="B228" s="142" t="inlineStr">
        <is>
          <t>MAT04-0077</t>
        </is>
      </c>
      <c r="C228" s="691" t="inlineStr">
        <is>
          <t>FRAGUA INTACO PLATA CON ARENA</t>
        </is>
      </c>
      <c r="D228" s="692" t="inlineStr">
        <is>
          <t>BOLSA</t>
        </is>
      </c>
      <c r="E228" s="693" t="n">
        <v>1310.495</v>
      </c>
      <c r="F228" s="694">
        <f>E228*$N$2</f>
        <v/>
      </c>
      <c r="G228" s="695" t="n">
        <v>0</v>
      </c>
      <c r="H228" s="696">
        <f>F228-G228</f>
        <v/>
      </c>
      <c r="I228" s="151" t="n"/>
      <c r="J228" s="152" t="n">
        <v>44720</v>
      </c>
      <c r="K228" s="692" t="inlineStr">
        <is>
          <t>CONCRETOS CEMENTOS Y MORTEROS</t>
        </is>
      </c>
    </row>
    <row r="229" ht="20.1" customHeight="1">
      <c r="A229" s="430">
        <f>_xlfn.XLOOKUP(B229,'INSUMOS MAT '!B:B,'INSUMOS MAT '!C:C,"ERROR",0)</f>
        <v/>
      </c>
      <c r="B229" s="142" t="inlineStr">
        <is>
          <t>MAT14-0007</t>
        </is>
      </c>
      <c r="C229" s="691" t="inlineStr">
        <is>
          <t>FREGADERO 1 TANQUE 58X45X20</t>
        </is>
      </c>
      <c r="D229" s="692" t="inlineStr">
        <is>
          <t>UND</t>
        </is>
      </c>
      <c r="E229" s="693" t="n">
        <v>45087</v>
      </c>
      <c r="F229" s="694">
        <f>E229*$N$2</f>
        <v/>
      </c>
      <c r="G229" s="695" t="n">
        <v>0</v>
      </c>
      <c r="H229" s="696">
        <f>F229-G229</f>
        <v/>
      </c>
      <c r="I229" s="151" t="n"/>
      <c r="J229" s="152" t="n">
        <v>44718</v>
      </c>
      <c r="K229" s="692" t="inlineStr">
        <is>
          <t>MUEBLES</t>
        </is>
      </c>
    </row>
    <row r="230" ht="20.1" customHeight="1">
      <c r="A230" s="430">
        <f>_xlfn.XLOOKUP(B230,'INSUMOS MAT '!B:B,'INSUMOS MAT '!C:C,"ERROR",0)</f>
        <v/>
      </c>
      <c r="B230" s="142" t="inlineStr">
        <is>
          <t>MAT01-0040</t>
        </is>
      </c>
      <c r="C230" s="691" t="inlineStr">
        <is>
          <t>FREGADERO DOBLE 83.8X55.8X23CM</t>
        </is>
      </c>
      <c r="D230" s="692" t="inlineStr">
        <is>
          <t>UND</t>
        </is>
      </c>
      <c r="E230" s="693" t="n">
        <v>85880</v>
      </c>
      <c r="F230" s="694">
        <f>E230*$N$2</f>
        <v/>
      </c>
      <c r="G230" s="695" t="n">
        <v>0</v>
      </c>
      <c r="H230" s="696">
        <f>F230-G230</f>
        <v/>
      </c>
      <c r="I230" s="151" t="n"/>
      <c r="J230" s="152" t="n">
        <v>44532</v>
      </c>
      <c r="K230" s="692" t="inlineStr">
        <is>
          <t>ACABADOS</t>
        </is>
      </c>
    </row>
    <row r="231" ht="20.1" customHeight="1">
      <c r="A231" s="430">
        <f>_xlfn.XLOOKUP(B231,'INSUMOS MAT '!B:B,'INSUMOS MAT '!C:C,"ERROR",0)</f>
        <v/>
      </c>
      <c r="B231" s="142" t="inlineStr">
        <is>
          <t>MAT08-0059</t>
        </is>
      </c>
      <c r="C231" s="691" t="inlineStr">
        <is>
          <t>FUNDAS DE 10CM</t>
        </is>
      </c>
      <c r="D231" s="692" t="inlineStr">
        <is>
          <t>UND</t>
        </is>
      </c>
      <c r="E231" s="693" t="n">
        <v>29.5532</v>
      </c>
      <c r="F231" s="694">
        <f>E231*$N$2</f>
        <v/>
      </c>
      <c r="G231" s="695" t="n">
        <v>0</v>
      </c>
      <c r="H231" s="696">
        <f>F231-G231</f>
        <v/>
      </c>
      <c r="I231" s="151" t="n"/>
      <c r="J231" s="152" t="n">
        <v>44713</v>
      </c>
      <c r="K231" s="692" t="inlineStr">
        <is>
          <t>FERRETERIA GENERAL</t>
        </is>
      </c>
    </row>
    <row r="232" ht="20.1" customHeight="1">
      <c r="A232" s="430">
        <f>_xlfn.XLOOKUP(B232,'INSUMOS MAT '!B:B,'INSUMOS MAT '!C:C,"ERROR",0)</f>
        <v/>
      </c>
      <c r="B232" s="142" t="inlineStr">
        <is>
          <t>MAT07-0010</t>
        </is>
      </c>
      <c r="C232" s="691" t="inlineStr">
        <is>
          <t>FURRING 2 1/2X3.66M CAL#25</t>
        </is>
      </c>
      <c r="D232" s="692" t="inlineStr">
        <is>
          <t>UND</t>
        </is>
      </c>
      <c r="E232" s="693" t="n">
        <v>1230.8412</v>
      </c>
      <c r="F232" s="694">
        <f>E232*$N$2</f>
        <v/>
      </c>
      <c r="G232" s="695" t="n">
        <v>0</v>
      </c>
      <c r="H232" s="696">
        <f>F232-G232</f>
        <v/>
      </c>
      <c r="I232" s="151" t="n"/>
      <c r="J232" s="152" t="n">
        <v>44704</v>
      </c>
      <c r="K232" s="692" t="inlineStr">
        <is>
          <t>ESTRUCTURA LIVIANA</t>
        </is>
      </c>
    </row>
    <row r="233" ht="20.1" customHeight="1">
      <c r="A233" s="430">
        <f>_xlfn.XLOOKUP(B233,'INSUMOS MAT '!B:B,'INSUMOS MAT '!C:C,"ERROR",0)</f>
        <v/>
      </c>
      <c r="B233" s="142" t="inlineStr">
        <is>
          <t>MAT06-0074</t>
        </is>
      </c>
      <c r="C233" s="691" t="inlineStr">
        <is>
          <t>GABINETE 15" PLASTICO UL</t>
        </is>
      </c>
      <c r="D233" s="692" t="inlineStr">
        <is>
          <t>UND</t>
        </is>
      </c>
      <c r="E233" s="693" t="n">
        <v>51721.7143</v>
      </c>
      <c r="F233" s="694">
        <f>E233*$N$2</f>
        <v/>
      </c>
      <c r="G233" s="695" t="n">
        <v>0</v>
      </c>
      <c r="H233" s="696">
        <f>F233-G233</f>
        <v/>
      </c>
      <c r="I233" s="151" t="n"/>
      <c r="J233" s="152" t="n">
        <v>44715</v>
      </c>
      <c r="K233" s="692" t="inlineStr">
        <is>
          <t>ELECTRICO</t>
        </is>
      </c>
    </row>
    <row r="234" ht="20.1" customHeight="1">
      <c r="A234" s="430">
        <f>_xlfn.XLOOKUP(B234,'INSUMOS MAT '!B:B,'INSUMOS MAT '!C:C,"ERROR",0)</f>
        <v/>
      </c>
      <c r="B234" s="142" t="inlineStr">
        <is>
          <t>MAT05-0073</t>
        </is>
      </c>
      <c r="C234" s="691" t="inlineStr">
        <is>
          <t>GANCHJO DE SOPORTE NEGRO 25CM (PARA POLYCARBONATO)</t>
        </is>
      </c>
      <c r="D234" s="692" t="inlineStr">
        <is>
          <t>UND</t>
        </is>
      </c>
      <c r="E234" s="693" t="n">
        <v>368.188</v>
      </c>
      <c r="F234" s="694">
        <f>E234*$N$2</f>
        <v/>
      </c>
      <c r="G234" s="695" t="n">
        <v>0</v>
      </c>
      <c r="H234" s="696">
        <f>F234-G234</f>
        <v/>
      </c>
      <c r="I234" s="151" t="n"/>
      <c r="J234" s="152" t="n">
        <v>44692</v>
      </c>
      <c r="K234" s="692" t="inlineStr">
        <is>
          <t>CUBIERTAS E IMPERMEBILIZANTES</t>
        </is>
      </c>
    </row>
    <row r="235" ht="20.1" customHeight="1">
      <c r="A235" s="430">
        <f>_xlfn.XLOOKUP(B235,'INSUMOS MAT '!B:B,'INSUMOS MAT '!C:C,"ERROR",0)</f>
        <v/>
      </c>
      <c r="B235" s="142" t="inlineStr">
        <is>
          <t>MAT02-0102</t>
        </is>
      </c>
      <c r="C235" s="691" t="inlineStr">
        <is>
          <t>GANCHO #3 G60 400 100P</t>
        </is>
      </c>
      <c r="D235" s="692" t="inlineStr">
        <is>
          <t>UND</t>
        </is>
      </c>
      <c r="E235" s="693" t="n">
        <v>249.4954</v>
      </c>
      <c r="F235" s="694">
        <f>E235*$N$2</f>
        <v/>
      </c>
      <c r="G235" s="695" t="n">
        <v>0</v>
      </c>
      <c r="H235" s="696">
        <f>F235-G235</f>
        <v/>
      </c>
      <c r="I235" s="151" t="n"/>
      <c r="J235" s="152" t="n">
        <v>44692</v>
      </c>
      <c r="K235" s="692" t="inlineStr">
        <is>
          <t>ACEROS Y METALES</t>
        </is>
      </c>
    </row>
    <row r="236" ht="20.1" customHeight="1">
      <c r="A236" s="135" t="n"/>
      <c r="B236" s="142" t="inlineStr">
        <is>
          <t>EQU20-0005</t>
        </is>
      </c>
      <c r="C236" s="691" t="inlineStr">
        <is>
          <t>GAS JUMBO PARA SOPLETE TRUPPER</t>
        </is>
      </c>
      <c r="D236" s="692" t="inlineStr">
        <is>
          <t>UND</t>
        </is>
      </c>
      <c r="E236" s="693" t="n">
        <v>1915.9263</v>
      </c>
      <c r="F236" s="694">
        <f>E236*$N$2</f>
        <v/>
      </c>
      <c r="G236" s="695" t="n">
        <v>0</v>
      </c>
      <c r="H236" s="696">
        <f>F236-G236</f>
        <v/>
      </c>
      <c r="I236" s="151" t="n"/>
      <c r="J236" s="152" t="n">
        <v>44720</v>
      </c>
      <c r="K236" s="692" t="inlineStr">
        <is>
          <t>REPUESTOS-COMBUSTIBLES</t>
        </is>
      </c>
    </row>
    <row r="237" ht="20.1" customHeight="1">
      <c r="A237" s="430">
        <f>_xlfn.XLOOKUP(B237,'INSUMOS MAT '!B:B,'INSUMOS MAT '!C:C,"ERROR",0)</f>
        <v/>
      </c>
      <c r="B237" s="142" t="inlineStr">
        <is>
          <t>MAT19-0140</t>
        </is>
      </c>
      <c r="C237" s="691" t="inlineStr">
        <is>
          <t>GAZA P/BAJANTE 4"</t>
        </is>
      </c>
      <c r="D237" s="692" t="inlineStr">
        <is>
          <t>UND</t>
        </is>
      </c>
      <c r="E237" s="693" t="n">
        <v>516.0599999999999</v>
      </c>
      <c r="F237" s="694">
        <f>E237*$N$2</f>
        <v/>
      </c>
      <c r="G237" s="695" t="n">
        <v>0</v>
      </c>
      <c r="H237" s="696">
        <f>F237-G237</f>
        <v/>
      </c>
      <c r="I237" s="151" t="n"/>
      <c r="J237" s="152" t="n">
        <v>44692</v>
      </c>
      <c r="K237" s="692" t="inlineStr">
        <is>
          <t>PVC</t>
        </is>
      </c>
    </row>
    <row r="238" ht="20.1" customHeight="1">
      <c r="A238" s="430">
        <f>_xlfn.XLOOKUP(B238,'INSUMOS MAT '!B:B,'INSUMOS MAT '!C:C,"ERROR",0)</f>
        <v/>
      </c>
      <c r="B238" s="142" t="inlineStr">
        <is>
          <t>MAT06-0109</t>
        </is>
      </c>
      <c r="C238" s="691" t="inlineStr">
        <is>
          <t>GAZA EMT 1 OREJAS 1"</t>
        </is>
      </c>
      <c r="D238" s="692" t="inlineStr">
        <is>
          <t>UND</t>
        </is>
      </c>
      <c r="E238" s="693" t="n">
        <v>50.7144</v>
      </c>
      <c r="F238" s="694">
        <f>E238*$N$2</f>
        <v/>
      </c>
      <c r="G238" s="695" t="n">
        <v>0</v>
      </c>
      <c r="H238" s="696">
        <f>F238-G238</f>
        <v/>
      </c>
      <c r="I238" s="151" t="n"/>
      <c r="J238" s="152" t="n">
        <v>44692</v>
      </c>
      <c r="K238" s="692" t="inlineStr">
        <is>
          <t>ELECTRICO</t>
        </is>
      </c>
    </row>
    <row r="239" ht="20.1" customHeight="1">
      <c r="A239" s="430">
        <f>_xlfn.XLOOKUP(B239,'INSUMOS MAT '!B:B,'INSUMOS MAT '!C:C,"ERROR",0)</f>
        <v/>
      </c>
      <c r="B239" s="142" t="inlineStr">
        <is>
          <t>MAT06-0076</t>
        </is>
      </c>
      <c r="C239" s="691" t="inlineStr">
        <is>
          <t>GAZA EMT 1 OREJAS 1/2</t>
        </is>
      </c>
      <c r="D239" s="692" t="inlineStr">
        <is>
          <t>UND</t>
        </is>
      </c>
      <c r="E239" s="693" t="n">
        <v>22.2949</v>
      </c>
      <c r="F239" s="694">
        <f>E239*$N$2</f>
        <v/>
      </c>
      <c r="G239" s="695" t="n">
        <v>0</v>
      </c>
      <c r="H239" s="696">
        <f>F239-G239</f>
        <v/>
      </c>
      <c r="I239" s="151" t="n"/>
      <c r="J239" s="152" t="n">
        <v>44692</v>
      </c>
      <c r="K239" s="692" t="inlineStr">
        <is>
          <t>ELECTRICO</t>
        </is>
      </c>
    </row>
    <row r="240" ht="20.1" customHeight="1">
      <c r="A240" s="430">
        <f>_xlfn.XLOOKUP(B240,'INSUMOS MAT '!B:B,'INSUMOS MAT '!C:C,"ERROR",0)</f>
        <v/>
      </c>
      <c r="B240" s="142" t="inlineStr">
        <is>
          <t>MAT06-0108</t>
        </is>
      </c>
      <c r="C240" s="691" t="inlineStr">
        <is>
          <t>GAZA EMT 1 OREJAS 3/4"</t>
        </is>
      </c>
      <c r="D240" s="692" t="inlineStr">
        <is>
          <t>UND</t>
        </is>
      </c>
      <c r="E240" s="693" t="n">
        <v>45.7825</v>
      </c>
      <c r="F240" s="694">
        <f>E240*$N$2</f>
        <v/>
      </c>
      <c r="G240" s="695" t="n">
        <v>0</v>
      </c>
      <c r="H240" s="696">
        <f>F240-G240</f>
        <v/>
      </c>
      <c r="I240" s="151" t="n"/>
      <c r="J240" s="152" t="n">
        <v>44714</v>
      </c>
      <c r="K240" s="692" t="inlineStr">
        <is>
          <t>ELECTRICO</t>
        </is>
      </c>
    </row>
    <row r="241" ht="20.1" customHeight="1">
      <c r="A241" s="430">
        <f>_xlfn.XLOOKUP(B241,'INSUMOS MAT '!B:B,'INSUMOS MAT '!C:C,"ERROR",0)</f>
        <v/>
      </c>
      <c r="B241" s="142" t="inlineStr">
        <is>
          <t>MAT06-0077</t>
        </is>
      </c>
      <c r="C241" s="691" t="inlineStr">
        <is>
          <t>GAZA P/VARILLA COPPERWELD USA UL</t>
        </is>
      </c>
      <c r="D241" s="692" t="inlineStr">
        <is>
          <t>UND</t>
        </is>
      </c>
      <c r="E241" s="693" t="n">
        <v>1034.4145</v>
      </c>
      <c r="F241" s="694">
        <f>E241*$N$2</f>
        <v/>
      </c>
      <c r="G241" s="695" t="n">
        <v>0</v>
      </c>
      <c r="H241" s="696">
        <f>F241-G241</f>
        <v/>
      </c>
      <c r="I241" s="151" t="n"/>
      <c r="J241" s="152" t="n">
        <v>44714</v>
      </c>
      <c r="K241" s="692" t="inlineStr">
        <is>
          <t>ELECTRICO</t>
        </is>
      </c>
    </row>
    <row r="242" ht="20.1" customHeight="1">
      <c r="A242" s="135" t="n"/>
      <c r="B242" s="142" t="inlineStr">
        <is>
          <t>MAT08-0061</t>
        </is>
      </c>
      <c r="C242" s="691" t="inlineStr">
        <is>
          <t>GAZA PARA BAJANTE BLANCA 3"</t>
        </is>
      </c>
      <c r="D242" s="692" t="inlineStr">
        <is>
          <t>UND</t>
        </is>
      </c>
      <c r="E242" s="693" t="n">
        <v>501.0985</v>
      </c>
      <c r="F242" s="694">
        <f>E242*$N$2</f>
        <v/>
      </c>
      <c r="G242" s="695" t="n">
        <v>0</v>
      </c>
      <c r="H242" s="696">
        <f>F242-G242</f>
        <v/>
      </c>
      <c r="I242" s="151" t="n"/>
      <c r="J242" s="152" t="n">
        <v>44692</v>
      </c>
      <c r="K242" s="692" t="inlineStr">
        <is>
          <t>FERRETERIA GENERAL</t>
        </is>
      </c>
    </row>
    <row r="243" ht="20.1" customHeight="1">
      <c r="A243" s="135" t="n"/>
      <c r="B243" s="142" t="inlineStr">
        <is>
          <t>MAT10-0001</t>
        </is>
      </c>
      <c r="C243" s="691" t="inlineStr">
        <is>
          <t>GENERICO MATERIALES</t>
        </is>
      </c>
      <c r="D243" s="692" t="inlineStr">
        <is>
          <t>UND</t>
        </is>
      </c>
      <c r="E243" s="693" t="n">
        <v>1491.6</v>
      </c>
      <c r="F243" s="694">
        <f>E243*$N$2</f>
        <v/>
      </c>
      <c r="G243" s="695" t="n">
        <v>0</v>
      </c>
      <c r="H243" s="696">
        <f>F243-G243</f>
        <v/>
      </c>
      <c r="I243" s="151" t="n"/>
      <c r="J243" s="152" t="n">
        <v>44721</v>
      </c>
      <c r="K243" s="692" t="inlineStr">
        <is>
          <t>GENERALES</t>
        </is>
      </c>
    </row>
    <row r="244" ht="20.1" customHeight="1">
      <c r="A244" s="430">
        <f>_xlfn.XLOOKUP(B244,'INSUMOS MAT '!B:B,'INSUMOS MAT '!C:C,"ERROR",0)</f>
        <v/>
      </c>
      <c r="B244" s="142" t="inlineStr">
        <is>
          <t>MAT22-0002</t>
        </is>
      </c>
      <c r="C244" s="691" t="inlineStr">
        <is>
          <t>GEOCELDAS P/ZACATE 56X56</t>
        </is>
      </c>
      <c r="D244" s="692" t="inlineStr">
        <is>
          <t>UND</t>
        </is>
      </c>
      <c r="E244" s="693" t="n">
        <v>2964.4058</v>
      </c>
      <c r="F244" s="694">
        <f>E244*$N$2</f>
        <v/>
      </c>
      <c r="G244" s="695" t="n">
        <v>0</v>
      </c>
      <c r="H244" s="696">
        <f>F244-G244</f>
        <v/>
      </c>
      <c r="I244" s="151" t="n"/>
      <c r="J244" s="152" t="n">
        <v>44722</v>
      </c>
      <c r="K244" s="692" t="inlineStr">
        <is>
          <t>VEGETACION Y AMENIDADES</t>
        </is>
      </c>
    </row>
    <row r="245" ht="20.1" customHeight="1">
      <c r="A245" s="430">
        <f>_xlfn.XLOOKUP(B245,'INSUMOS MAT '!B:B,'INSUMOS MAT '!C:C,"ERROR",0)</f>
        <v/>
      </c>
      <c r="B245" s="142" t="inlineStr">
        <is>
          <t>MAT22-0005</t>
        </is>
      </c>
      <c r="C245" s="691" t="inlineStr">
        <is>
          <t>GEOTEXTIL</t>
        </is>
      </c>
      <c r="D245" s="692" t="inlineStr">
        <is>
          <t>M</t>
        </is>
      </c>
      <c r="E245" s="693" t="n">
        <v>2900.0003</v>
      </c>
      <c r="F245" s="694">
        <f>E245*$N$2</f>
        <v/>
      </c>
      <c r="G245" s="695" t="n">
        <v>0</v>
      </c>
      <c r="H245" s="696">
        <f>F245-G245</f>
        <v/>
      </c>
      <c r="I245" s="151" t="n"/>
      <c r="J245" s="152" t="n">
        <v>44692</v>
      </c>
      <c r="K245" s="692" t="inlineStr">
        <is>
          <t>VEGETACION Y AMENIDADES</t>
        </is>
      </c>
    </row>
    <row r="246" ht="20.1" customHeight="1">
      <c r="A246" s="430">
        <f>_xlfn.XLOOKUP(B246,'INSUMOS MAT '!B:B,'INSUMOS MAT '!C:C,"ERROR",0)</f>
        <v/>
      </c>
      <c r="B246" s="142" t="inlineStr">
        <is>
          <t>MAT07-0035</t>
        </is>
      </c>
      <c r="C246" s="691" t="inlineStr">
        <is>
          <t>GRAPAS PARA GYPSUM MODELO ET50 TRUPPER</t>
        </is>
      </c>
      <c r="D246" s="692" t="inlineStr">
        <is>
          <t>UND</t>
        </is>
      </c>
      <c r="E246" s="693" t="n">
        <v>1599.2325</v>
      </c>
      <c r="F246" s="694">
        <f>E246*$N$2</f>
        <v/>
      </c>
      <c r="G246" s="695" t="n">
        <v>0</v>
      </c>
      <c r="H246" s="696">
        <f>F246-G246</f>
        <v/>
      </c>
      <c r="I246" s="151" t="n"/>
      <c r="J246" s="152" t="n">
        <v>44711</v>
      </c>
      <c r="K246" s="692" t="inlineStr">
        <is>
          <t>ESTRUCTURA LIVIANA</t>
        </is>
      </c>
    </row>
    <row r="247" ht="20.1" customHeight="1">
      <c r="A247" s="430">
        <f>_xlfn.XLOOKUP(B247,'INSUMOS MAT '!B:B,'INSUMOS MAT '!C:C,"ERROR",0)</f>
        <v/>
      </c>
      <c r="B247" s="142" t="inlineStr">
        <is>
          <t>MAT01-0019</t>
        </is>
      </c>
      <c r="C247" s="691" t="inlineStr">
        <is>
          <t>GRIFERIA  ADARA CON LAVAPIES</t>
        </is>
      </c>
      <c r="D247" s="692" t="inlineStr">
        <is>
          <t>UND</t>
        </is>
      </c>
      <c r="E247" s="693" t="n">
        <v>78987</v>
      </c>
      <c r="F247" s="694">
        <f>E247*$N$2</f>
        <v/>
      </c>
      <c r="G247" s="695" t="n">
        <v>0</v>
      </c>
      <c r="H247" s="696">
        <f>F247-G247</f>
        <v/>
      </c>
      <c r="I247" s="151" t="n"/>
      <c r="J247" s="152" t="n">
        <v>44692</v>
      </c>
      <c r="K247" s="692" t="inlineStr">
        <is>
          <t>ACABADOS</t>
        </is>
      </c>
    </row>
    <row r="248" ht="20.1" customHeight="1">
      <c r="A248" s="430">
        <f>_xlfn.XLOOKUP(B248,'INSUMOS MAT '!B:B,'INSUMOS MAT '!C:C,"ERROR",0)</f>
        <v/>
      </c>
      <c r="B248" s="142" t="inlineStr">
        <is>
          <t>MAT01-0001</t>
        </is>
      </c>
      <c r="C248" s="691" t="inlineStr">
        <is>
          <t>GRIFERIA ALTA NOVO CROMADA P/VESSEL</t>
        </is>
      </c>
      <c r="D248" s="692" t="inlineStr">
        <is>
          <t>UND</t>
        </is>
      </c>
      <c r="E248" s="693" t="n">
        <v>34939.6</v>
      </c>
      <c r="F248" s="694">
        <f>E248*$N$2</f>
        <v/>
      </c>
      <c r="G248" s="695" t="n">
        <v>0</v>
      </c>
      <c r="H248" s="696">
        <f>F248-G248</f>
        <v/>
      </c>
      <c r="I248" s="151" t="n"/>
      <c r="J248" s="152" t="n">
        <v>44722</v>
      </c>
      <c r="K248" s="692" t="inlineStr">
        <is>
          <t>ACABADOS</t>
        </is>
      </c>
    </row>
    <row r="249" ht="20.1" customHeight="1">
      <c r="A249" s="430">
        <f>_xlfn.XLOOKUP(B249,'INSUMOS MAT '!B:B,'INSUMOS MAT '!C:C,"ERROR",0)</f>
        <v/>
      </c>
      <c r="B249" s="142" t="inlineStr">
        <is>
          <t>MAT01-0002</t>
        </is>
      </c>
      <c r="C249" s="691" t="inlineStr">
        <is>
          <t>GRIFERIA DUCHA BREZZA  MONO S/LAVAPIES EZ4015551  SSB</t>
        </is>
      </c>
      <c r="D249" s="692" t="inlineStr">
        <is>
          <t>UND</t>
        </is>
      </c>
      <c r="E249" s="693" t="n">
        <v>41378.5455</v>
      </c>
      <c r="F249" s="694">
        <f>E249*$N$2</f>
        <v/>
      </c>
      <c r="G249" s="695" t="n">
        <v>0</v>
      </c>
      <c r="H249" s="696">
        <f>F249-G249</f>
        <v/>
      </c>
      <c r="I249" s="151" t="n"/>
      <c r="J249" s="152" t="n">
        <v>44719</v>
      </c>
      <c r="K249" s="692" t="inlineStr">
        <is>
          <t>ACABADOS</t>
        </is>
      </c>
    </row>
    <row r="250" ht="20.1" customHeight="1">
      <c r="A250" s="430">
        <f>_xlfn.XLOOKUP(B250,'INSUMOS MAT '!B:B,'INSUMOS MAT '!C:C,"ERROR",0)</f>
        <v/>
      </c>
      <c r="B250" s="142" t="inlineStr">
        <is>
          <t>MAT01-0005</t>
        </is>
      </c>
      <c r="C250" s="691" t="inlineStr">
        <is>
          <t>GRIFERIA LAV.CROMA METAL 4" PALANCA CROMO P/LAV MILANO</t>
        </is>
      </c>
      <c r="D250" s="692" t="inlineStr">
        <is>
          <t>UND</t>
        </is>
      </c>
      <c r="E250" s="693" t="n">
        <v>16807.3188</v>
      </c>
      <c r="F250" s="694">
        <f>E250*$N$2</f>
        <v/>
      </c>
      <c r="G250" s="695" t="n">
        <v>0</v>
      </c>
      <c r="H250" s="696">
        <f>F250-G250</f>
        <v/>
      </c>
      <c r="I250" s="151" t="n"/>
      <c r="J250" s="152" t="n">
        <v>44712</v>
      </c>
      <c r="K250" s="692" t="inlineStr">
        <is>
          <t>ACABADOS</t>
        </is>
      </c>
    </row>
    <row r="251" ht="20.1" customHeight="1">
      <c r="A251" s="430">
        <f>_xlfn.XLOOKUP(B251,'INSUMOS MAT '!B:B,'INSUMOS MAT '!C:C,"ERROR",0)</f>
        <v/>
      </c>
      <c r="B251" s="142" t="inlineStr">
        <is>
          <t>MAT01-0006</t>
        </is>
      </c>
      <c r="C251" s="691" t="inlineStr">
        <is>
          <t>GRIFERIA LAVAPLATOS KENAI MONO</t>
        </is>
      </c>
      <c r="D251" s="692" t="inlineStr">
        <is>
          <t>UND</t>
        </is>
      </c>
      <c r="E251" s="693" t="n">
        <v>53675</v>
      </c>
      <c r="F251" s="694">
        <f>E251*$N$2</f>
        <v/>
      </c>
      <c r="G251" s="695" t="n">
        <v>0</v>
      </c>
      <c r="H251" s="696">
        <f>F251-G251</f>
        <v/>
      </c>
      <c r="I251" s="151" t="n"/>
      <c r="J251" s="152" t="n">
        <v>44579</v>
      </c>
      <c r="K251" s="692" t="inlineStr">
        <is>
          <t>ACABADOS</t>
        </is>
      </c>
    </row>
    <row r="252" ht="20.1" customHeight="1">
      <c r="A252" s="430">
        <f>_xlfn.XLOOKUP(B252,'INSUMOS MAT '!B:B,'INSUMOS MAT '!C:C,"ERROR",0)</f>
        <v/>
      </c>
      <c r="B252" s="142" t="inlineStr">
        <is>
          <t>MAT01-0007</t>
        </is>
      </c>
      <c r="C252" s="691" t="inlineStr">
        <is>
          <t>GRIFERIA BREZZA MONO BAJA MU1015551</t>
        </is>
      </c>
      <c r="D252" s="692" t="inlineStr">
        <is>
          <t>UND</t>
        </is>
      </c>
      <c r="E252" s="693" t="n">
        <v>32770</v>
      </c>
      <c r="F252" s="694">
        <f>E252*$N$2</f>
        <v/>
      </c>
      <c r="G252" s="695" t="n">
        <v>0</v>
      </c>
      <c r="H252" s="696">
        <f>F252-G252</f>
        <v/>
      </c>
      <c r="I252" s="151" t="n"/>
      <c r="J252" s="152" t="n">
        <v>44722</v>
      </c>
      <c r="K252" s="692" t="inlineStr">
        <is>
          <t>ACABADOS</t>
        </is>
      </c>
    </row>
    <row r="253" ht="20.1" customHeight="1">
      <c r="A253" s="430">
        <f>_xlfn.XLOOKUP(B253,'INSUMOS MAT '!B:B,'INSUMOS MAT '!C:C,"ERROR",0)</f>
        <v/>
      </c>
      <c r="B253" s="142" t="inlineStr">
        <is>
          <t>MAT07-0011</t>
        </is>
      </c>
      <c r="C253" s="691" t="inlineStr">
        <is>
          <t>GYPSUM DENSGLASS 12MM</t>
        </is>
      </c>
      <c r="D253" s="692" t="inlineStr">
        <is>
          <t>UND</t>
        </is>
      </c>
      <c r="E253" s="693" t="n">
        <v>21115.05</v>
      </c>
      <c r="F253" s="694">
        <f>E253*$N$2</f>
        <v/>
      </c>
      <c r="G253" s="695" t="n">
        <v>0</v>
      </c>
      <c r="H253" s="696">
        <f>F253-G253</f>
        <v/>
      </c>
      <c r="I253" s="151" t="n"/>
      <c r="J253" s="152" t="n">
        <v>44723</v>
      </c>
      <c r="K253" s="692" t="inlineStr">
        <is>
          <t>ESTRUCTURA LIVIANA</t>
        </is>
      </c>
    </row>
    <row r="254" ht="20.1" customHeight="1">
      <c r="A254" s="430">
        <f>_xlfn.XLOOKUP(B254,'INSUMOS MAT '!B:B,'INSUMOS MAT '!C:C,"ERROR",0)</f>
        <v/>
      </c>
      <c r="B254" s="142" t="inlineStr">
        <is>
          <t>MAT07-0012</t>
        </is>
      </c>
      <c r="C254" s="691" t="inlineStr">
        <is>
          <t>GYPSUM MR VERDE 12MM</t>
        </is>
      </c>
      <c r="D254" s="692" t="inlineStr">
        <is>
          <t>UND</t>
        </is>
      </c>
      <c r="E254" s="693" t="n">
        <v>8814.297</v>
      </c>
      <c r="F254" s="694">
        <f>E254*$N$2</f>
        <v/>
      </c>
      <c r="G254" s="695" t="n">
        <v>0</v>
      </c>
      <c r="H254" s="696">
        <f>F254-G254</f>
        <v/>
      </c>
      <c r="I254" s="151" t="n"/>
      <c r="J254" s="152" t="n">
        <v>44714</v>
      </c>
      <c r="K254" s="692" t="inlineStr">
        <is>
          <t>ESTRUCTURA LIVIANA</t>
        </is>
      </c>
    </row>
    <row r="255" ht="20.1" customHeight="1">
      <c r="A255" s="430">
        <f>_xlfn.XLOOKUP(B255,'INSUMOS MAT '!B:B,'INSUMOS MAT '!C:C,"ERROR",0)</f>
        <v/>
      </c>
      <c r="B255" s="142" t="inlineStr">
        <is>
          <t>MAT07-0013</t>
        </is>
      </c>
      <c r="C255" s="691" t="inlineStr">
        <is>
          <t>GYPSUM REGULAR 12MM</t>
        </is>
      </c>
      <c r="D255" s="692" t="inlineStr">
        <is>
          <t>UND</t>
        </is>
      </c>
      <c r="E255" s="693" t="n">
        <v>5790</v>
      </c>
      <c r="F255" s="694">
        <f>E255*$N$2</f>
        <v/>
      </c>
      <c r="G255" s="695" t="n">
        <v>0</v>
      </c>
      <c r="H255" s="696">
        <f>F255-G255</f>
        <v/>
      </c>
      <c r="I255" s="151" t="n"/>
      <c r="J255" s="152" t="n">
        <v>44715</v>
      </c>
      <c r="K255" s="692" t="inlineStr">
        <is>
          <t>ESTRUCTURA LIVIANA</t>
        </is>
      </c>
    </row>
    <row r="256" ht="20.1" customHeight="1">
      <c r="A256" s="430">
        <f>_xlfn.XLOOKUP(B256,'INSUMOS MAT '!B:B,'INSUMOS MAT '!C:C,"ERROR",0)</f>
        <v/>
      </c>
      <c r="B256" s="142" t="inlineStr">
        <is>
          <t>MAT08-0062</t>
        </is>
      </c>
      <c r="C256" s="691" t="inlineStr">
        <is>
          <t>HIDROMETRO DE 1/2Q (12MM) ENCAPSULADO ROSCADO ARAD</t>
        </is>
      </c>
      <c r="D256" s="692" t="inlineStr">
        <is>
          <t>UND</t>
        </is>
      </c>
      <c r="E256" s="693" t="n">
        <v>17515</v>
      </c>
      <c r="F256" s="694">
        <f>E256*$N$2</f>
        <v/>
      </c>
      <c r="G256" s="695" t="n">
        <v>0</v>
      </c>
      <c r="H256" s="696">
        <f>F256-G256</f>
        <v/>
      </c>
      <c r="I256" s="151" t="n"/>
      <c r="J256" s="152" t="n">
        <v>44720</v>
      </c>
      <c r="K256" s="692" t="inlineStr">
        <is>
          <t>FERRETERIA GENERAL</t>
        </is>
      </c>
    </row>
    <row r="257" ht="20.1" customHeight="1">
      <c r="A257" s="430">
        <f>_xlfn.XLOOKUP(B257,'INSUMOS MAT '!B:B,'INSUMOS MAT '!C:C,"ERROR",0)</f>
        <v/>
      </c>
      <c r="B257" s="142" t="inlineStr">
        <is>
          <t>MAT08-0034</t>
        </is>
      </c>
      <c r="C257" s="691" t="inlineStr">
        <is>
          <t>HOJA DE SEGUETA</t>
        </is>
      </c>
      <c r="D257" s="692" t="inlineStr">
        <is>
          <t>UND</t>
        </is>
      </c>
      <c r="E257" s="693" t="n">
        <v>904.6442</v>
      </c>
      <c r="F257" s="694">
        <f>E257*$N$2</f>
        <v/>
      </c>
      <c r="G257" s="695" t="n">
        <v>0</v>
      </c>
      <c r="H257" s="696">
        <f>F257-G257</f>
        <v/>
      </c>
      <c r="I257" s="151" t="n"/>
      <c r="J257" s="152" t="n">
        <v>44723</v>
      </c>
      <c r="K257" s="692" t="inlineStr">
        <is>
          <t>FERRETERIA GENERAL</t>
        </is>
      </c>
    </row>
    <row r="258" ht="30" customHeight="1">
      <c r="A258" s="430">
        <f>_xlfn.XLOOKUP(B258,'INSUMOS MAT '!B:B,'INSUMOS MAT '!C:C,"ERROR",0)</f>
        <v/>
      </c>
      <c r="B258" s="142" t="inlineStr">
        <is>
          <t>MAT05-0001</t>
        </is>
      </c>
      <c r="C258" s="691" t="inlineStr">
        <is>
          <t>IMPERMEABILIZANTE BASE 201</t>
        </is>
      </c>
      <c r="D258" s="692" t="inlineStr">
        <is>
          <t>CUBETA</t>
        </is>
      </c>
      <c r="E258" s="693" t="n">
        <v>173415.04</v>
      </c>
      <c r="F258" s="694">
        <f>E258*$N$2</f>
        <v/>
      </c>
      <c r="G258" s="695" t="n">
        <v>0</v>
      </c>
      <c r="H258" s="696">
        <f>F258-G258</f>
        <v/>
      </c>
      <c r="I258" s="151" t="n"/>
      <c r="J258" s="152" t="n">
        <v>44692</v>
      </c>
      <c r="K258" s="692" t="inlineStr">
        <is>
          <t>CUBIERTAS E IMPERMEBILIZANTES</t>
        </is>
      </c>
    </row>
    <row r="259" ht="20.1" customHeight="1">
      <c r="A259" s="430">
        <f>_xlfn.XLOOKUP(B259,'INSUMOS MAT '!B:B,'INSUMOS MAT '!C:C,"ERROR",0)</f>
        <v/>
      </c>
      <c r="B259" s="142" t="inlineStr">
        <is>
          <t>MAT05-0047</t>
        </is>
      </c>
      <c r="C259" s="691" t="inlineStr">
        <is>
          <t>IMPERMEABILIZANTE ELASTBIT - PINTURA</t>
        </is>
      </c>
      <c r="D259" s="692" t="inlineStr">
        <is>
          <t>UND</t>
        </is>
      </c>
      <c r="E259" s="693" t="n">
        <v>92408.88830000001</v>
      </c>
      <c r="F259" s="694">
        <f>E259*$N$2</f>
        <v/>
      </c>
      <c r="G259" s="695" t="n">
        <v>0</v>
      </c>
      <c r="H259" s="696">
        <f>F259-G259</f>
        <v/>
      </c>
      <c r="I259" s="151" t="n"/>
      <c r="J259" s="152" t="n">
        <v>44692</v>
      </c>
      <c r="K259" s="692" t="inlineStr">
        <is>
          <t>CUBIERTAS E IMPERMEBILIZANTES</t>
        </is>
      </c>
    </row>
    <row r="260" ht="20.1" customHeight="1">
      <c r="A260" s="430">
        <f>_xlfn.XLOOKUP(B260,'INSUMOS MAT '!B:B,'INSUMOS MAT '!C:C,"ERROR",0)</f>
        <v/>
      </c>
      <c r="B260" s="142" t="inlineStr">
        <is>
          <t>MAT05-0103</t>
        </is>
      </c>
      <c r="C260" s="691" t="inlineStr">
        <is>
          <t>IMPERMEABILIZANTE MASTERSEAL 590</t>
        </is>
      </c>
      <c r="D260" s="692" t="inlineStr">
        <is>
          <t>SACO</t>
        </is>
      </c>
      <c r="E260" s="693" t="n">
        <v>36437.415</v>
      </c>
      <c r="F260" s="694">
        <f>E260*$N$2</f>
        <v/>
      </c>
      <c r="G260" s="695" t="n">
        <v>0</v>
      </c>
      <c r="H260" s="696">
        <f>F260-G260</f>
        <v/>
      </c>
      <c r="I260" s="151" t="n"/>
      <c r="J260" s="152" t="n">
        <v>44704</v>
      </c>
      <c r="K260" s="692" t="inlineStr">
        <is>
          <t>CUBIERTAS E IMPERMEBILIZANTES</t>
        </is>
      </c>
    </row>
    <row r="261" ht="20.1" customHeight="1">
      <c r="A261" s="430">
        <f>_xlfn.XLOOKUP(B261,'INSUMOS MAT '!B:B,'INSUMOS MAT '!C:C,"ERROR",0)</f>
        <v/>
      </c>
      <c r="B261" s="142" t="inlineStr">
        <is>
          <t>MAT01-0008</t>
        </is>
      </c>
      <c r="C261" s="691" t="inlineStr">
        <is>
          <t>INODORO CORONA SMART BLANCO</t>
        </is>
      </c>
      <c r="D261" s="692" t="inlineStr">
        <is>
          <t>UND</t>
        </is>
      </c>
      <c r="E261" s="693" t="n">
        <v>81360</v>
      </c>
      <c r="F261" s="694">
        <f>E261*$N$2</f>
        <v/>
      </c>
      <c r="G261" s="695" t="n">
        <v>0</v>
      </c>
      <c r="H261" s="696">
        <f>F261-G261</f>
        <v/>
      </c>
      <c r="I261" s="151" t="n"/>
      <c r="J261" s="152" t="n">
        <v>44719</v>
      </c>
      <c r="K261" s="692" t="inlineStr">
        <is>
          <t>ACABADOS</t>
        </is>
      </c>
    </row>
    <row r="262" ht="20.1" customHeight="1">
      <c r="A262" s="430">
        <f>_xlfn.XLOOKUP(B262,'INSUMOS MAT '!B:B,'INSUMOS MAT '!C:C,"ERROR",0)</f>
        <v/>
      </c>
      <c r="B262" s="142" t="inlineStr">
        <is>
          <t>MAT08-0063</t>
        </is>
      </c>
      <c r="C262" s="691" t="inlineStr">
        <is>
          <t>JUEGO DE ACCESORIOS 1/2 BRONCE BTP</t>
        </is>
      </c>
      <c r="D262" s="692" t="inlineStr">
        <is>
          <t>UND</t>
        </is>
      </c>
      <c r="E262" s="693" t="n">
        <v>12268.568</v>
      </c>
      <c r="F262" s="694">
        <f>E262*$N$2</f>
        <v/>
      </c>
      <c r="G262" s="695" t="n">
        <v>0</v>
      </c>
      <c r="H262" s="696">
        <f>F262-G262</f>
        <v/>
      </c>
      <c r="I262" s="151" t="n"/>
      <c r="J262" s="152" t="n">
        <v>44720</v>
      </c>
      <c r="K262" s="692" t="inlineStr">
        <is>
          <t>FERRETERIA GENERAL</t>
        </is>
      </c>
    </row>
    <row r="263" ht="20.1" customHeight="1">
      <c r="A263" s="135" t="n"/>
      <c r="B263" s="142" t="inlineStr">
        <is>
          <t>MAT08-0321</t>
        </is>
      </c>
      <c r="C263" s="691" t="inlineStr">
        <is>
          <t>JUEGO DE SIERRAS FREUD SDFX2, DISCO DE 300MM E INCISOR DE 120MM</t>
        </is>
      </c>
      <c r="D263" s="692" t="inlineStr">
        <is>
          <t>UND</t>
        </is>
      </c>
      <c r="E263" s="693" t="n">
        <v>80000</v>
      </c>
      <c r="F263" s="694">
        <f>E263*$N$2</f>
        <v/>
      </c>
      <c r="G263" s="695" t="n">
        <v>0</v>
      </c>
      <c r="H263" s="696">
        <f>F263-G263</f>
        <v/>
      </c>
      <c r="I263" s="151" t="n"/>
      <c r="J263" s="152" t="n">
        <v>44720</v>
      </c>
      <c r="K263" s="692" t="inlineStr">
        <is>
          <t>FERRETERIA GENERAL</t>
        </is>
      </c>
    </row>
    <row r="264" ht="20.1" customHeight="1">
      <c r="A264" s="430">
        <f>_xlfn.XLOOKUP(B264,'INSUMOS MAT '!B:B,'INSUMOS MAT '!C:C,"ERROR",0)</f>
        <v/>
      </c>
      <c r="B264" s="142" t="inlineStr">
        <is>
          <t>MAT02-0041</t>
        </is>
      </c>
      <c r="C264" s="691" t="inlineStr">
        <is>
          <t>LAMINA 1.22X2.44  HN 1/8</t>
        </is>
      </c>
      <c r="D264" s="692" t="inlineStr">
        <is>
          <t>UND</t>
        </is>
      </c>
      <c r="E264" s="693" t="n">
        <v>88317.5125</v>
      </c>
      <c r="F264" s="694">
        <f>E264*$N$2</f>
        <v/>
      </c>
      <c r="G264" s="695" t="n">
        <v>0</v>
      </c>
      <c r="H264" s="696">
        <f>F264-G264</f>
        <v/>
      </c>
      <c r="I264" s="151" t="n"/>
      <c r="J264" s="152" t="n">
        <v>44637</v>
      </c>
      <c r="K264" s="692" t="inlineStr">
        <is>
          <t>ACEROS Y METALES</t>
        </is>
      </c>
    </row>
    <row r="265" ht="20.1" customHeight="1">
      <c r="A265" s="430">
        <f>_xlfn.XLOOKUP(B265,'INSUMOS MAT '!B:B,'INSUMOS MAT '!C:C,"ERROR",0)</f>
        <v/>
      </c>
      <c r="B265" s="142" t="inlineStr">
        <is>
          <t>MAT02-0142</t>
        </is>
      </c>
      <c r="C265" s="691" t="inlineStr">
        <is>
          <t>LAMINA DIAMANTADA 1/8 HN</t>
        </is>
      </c>
      <c r="D265" s="692" t="inlineStr">
        <is>
          <t>UND</t>
        </is>
      </c>
      <c r="E265" s="693" t="n">
        <v>94424.7311</v>
      </c>
      <c r="F265" s="694">
        <f>E265*$N$2</f>
        <v/>
      </c>
      <c r="G265" s="695" t="n">
        <v>0</v>
      </c>
      <c r="H265" s="696">
        <f>F265-G265</f>
        <v/>
      </c>
      <c r="I265" s="151" t="n"/>
      <c r="J265" s="152" t="n">
        <v>44692</v>
      </c>
      <c r="K265" s="692" t="inlineStr">
        <is>
          <t>ACEROS Y METALES</t>
        </is>
      </c>
    </row>
    <row r="266" ht="20.1" customHeight="1">
      <c r="A266" s="430">
        <f>_xlfn.XLOOKUP(B266,'INSUMOS MAT '!B:B,'INSUMOS MAT '!C:C,"ERROR",0)</f>
        <v/>
      </c>
      <c r="B266" s="142" t="inlineStr">
        <is>
          <t>MAT08-0065</t>
        </is>
      </c>
      <c r="C266" s="691" t="inlineStr">
        <is>
          <t>LAMINA ESTEREOFON 2" 1.22X2.44</t>
        </is>
      </c>
      <c r="D266" s="692" t="inlineStr">
        <is>
          <t>UND</t>
        </is>
      </c>
      <c r="E266" s="693" t="n">
        <v>8946.209999999999</v>
      </c>
      <c r="F266" s="694">
        <f>E266*$N$2</f>
        <v/>
      </c>
      <c r="G266" s="695" t="n">
        <v>0</v>
      </c>
      <c r="H266" s="696">
        <f>F266-G266</f>
        <v/>
      </c>
      <c r="I266" s="151" t="n"/>
      <c r="J266" s="152" t="n">
        <v>44711</v>
      </c>
      <c r="K266" s="692" t="inlineStr">
        <is>
          <t>FERRETERIA GENERAL</t>
        </is>
      </c>
    </row>
    <row r="267" ht="20.1" customHeight="1">
      <c r="A267" s="430">
        <f>_xlfn.XLOOKUP(B267,'INSUMOS MAT '!B:B,'INSUMOS MAT '!C:C,"ERROR",0)</f>
        <v/>
      </c>
      <c r="B267" s="142" t="inlineStr">
        <is>
          <t>MAT02-0151</t>
        </is>
      </c>
      <c r="C267" s="691" t="inlineStr">
        <is>
          <t>LAMINA JORDOMEX #1DESPLEGADA SOBRE PUESTA</t>
        </is>
      </c>
      <c r="D267" s="692" t="inlineStr">
        <is>
          <t>UND</t>
        </is>
      </c>
      <c r="E267" s="693" t="n">
        <v>28815</v>
      </c>
      <c r="F267" s="694">
        <f>E267*$N$2</f>
        <v/>
      </c>
      <c r="G267" s="695" t="n">
        <v>0</v>
      </c>
      <c r="H267" s="696">
        <f>F267-G267</f>
        <v/>
      </c>
      <c r="I267" s="151" t="n"/>
      <c r="J267" s="152" t="n">
        <v>44693</v>
      </c>
      <c r="K267" s="692" t="inlineStr">
        <is>
          <t>ACEROS Y METALES</t>
        </is>
      </c>
    </row>
    <row r="268" ht="20.1" customHeight="1">
      <c r="A268" s="135" t="n"/>
      <c r="B268" s="142" t="inlineStr">
        <is>
          <t>MAT0044</t>
        </is>
      </c>
      <c r="C268" s="691" t="inlineStr">
        <is>
          <t>ADAPTADOR MACHO CPVC 1/2"</t>
        </is>
      </c>
      <c r="D268" s="692" t="inlineStr">
        <is>
          <t>UND</t>
        </is>
      </c>
      <c r="E268" s="693" t="n">
        <v>365.4433</v>
      </c>
      <c r="F268" s="694">
        <f>E268*$N$2</f>
        <v/>
      </c>
      <c r="G268" s="695" t="n">
        <v>0</v>
      </c>
      <c r="H268" s="696">
        <f>F268-G268</f>
        <v/>
      </c>
      <c r="I268" s="151" t="n"/>
      <c r="J268" s="152" t="n">
        <v>44692</v>
      </c>
      <c r="K268" s="692" t="n">
        <v>0</v>
      </c>
    </row>
    <row r="269" ht="20.1" customHeight="1">
      <c r="A269" s="430">
        <f>_xlfn.XLOOKUP(B269,'INSUMOS MAT '!B:B,'INSUMOS MAT '!C:C,"ERROR",0)</f>
        <v/>
      </c>
      <c r="B269" s="142" t="inlineStr">
        <is>
          <t>MAT06-0255</t>
        </is>
      </c>
      <c r="C269" s="691" t="inlineStr">
        <is>
          <t>APAGADOR HBL RCD101W SENC DOBLE DEC 15A 120/277V BLANCO</t>
        </is>
      </c>
      <c r="D269" s="692" t="inlineStr">
        <is>
          <t>UND</t>
        </is>
      </c>
      <c r="E269" s="693" t="n">
        <v>8678.4</v>
      </c>
      <c r="F269" s="694">
        <f>E269*$N$2</f>
        <v/>
      </c>
      <c r="G269" s="695" t="n">
        <v>0</v>
      </c>
      <c r="H269" s="696">
        <f>F269-G269</f>
        <v/>
      </c>
      <c r="I269" s="151" t="n"/>
      <c r="J269" s="152" t="n">
        <v>44626</v>
      </c>
      <c r="K269" s="692" t="inlineStr">
        <is>
          <t>ELECTRICO</t>
        </is>
      </c>
    </row>
    <row r="270" ht="20.1" customHeight="1">
      <c r="A270" s="430">
        <f>_xlfn.XLOOKUP(B270,'INSUMOS MAT '!B:B,'INSUMOS MAT '!C:C,"ERROR",0)</f>
        <v/>
      </c>
      <c r="B270" s="142" t="inlineStr">
        <is>
          <t>MAT03-0001</t>
        </is>
      </c>
      <c r="C270" s="691" t="inlineStr">
        <is>
          <t>ARENA SILICA</t>
        </is>
      </c>
      <c r="D270" s="692" t="inlineStr">
        <is>
          <t>SACO</t>
        </is>
      </c>
      <c r="E270" s="693" t="n">
        <v>3390</v>
      </c>
      <c r="F270" s="694">
        <f>E270*$N$2</f>
        <v/>
      </c>
      <c r="G270" s="695" t="n">
        <v>0</v>
      </c>
      <c r="H270" s="696">
        <f>F270-G270</f>
        <v/>
      </c>
      <c r="I270" s="151" t="n"/>
      <c r="J270" s="152" t="n">
        <v>44692</v>
      </c>
      <c r="K270" s="692" t="inlineStr">
        <is>
          <t>AGREGADOS</t>
        </is>
      </c>
    </row>
    <row r="271" ht="20.1" customHeight="1">
      <c r="A271" s="135" t="n"/>
      <c r="B271" s="142" t="inlineStr">
        <is>
          <t>MAT14-0002</t>
        </is>
      </c>
      <c r="C271" s="691" t="inlineStr">
        <is>
          <t>BISAGRA DE 170</t>
        </is>
      </c>
      <c r="D271" s="692" t="inlineStr">
        <is>
          <t>UND</t>
        </is>
      </c>
      <c r="E271" s="693" t="n">
        <v>1799.9996</v>
      </c>
      <c r="F271" s="694">
        <f>E271*$N$2</f>
        <v/>
      </c>
      <c r="G271" s="695" t="n">
        <v>0</v>
      </c>
      <c r="H271" s="696">
        <f>F271-G271</f>
        <v/>
      </c>
      <c r="I271" s="151" t="n"/>
      <c r="J271" s="152" t="n">
        <v>44607</v>
      </c>
      <c r="K271" s="692" t="inlineStr">
        <is>
          <t>MUEBLES</t>
        </is>
      </c>
    </row>
    <row r="272" ht="20.1" customHeight="1">
      <c r="A272" s="430">
        <f>_xlfn.XLOOKUP(B272,'INSUMOS MAT '!B:B,'INSUMOS MAT '!C:C,"ERROR",0)</f>
        <v/>
      </c>
      <c r="B272" s="142" t="inlineStr">
        <is>
          <t>MAT08-0525</t>
        </is>
      </c>
      <c r="C272" s="691" t="inlineStr">
        <is>
          <t>BISAGRA DORADA 3"X3"</t>
        </is>
      </c>
      <c r="D272" s="692" t="inlineStr">
        <is>
          <t>UND</t>
        </is>
      </c>
      <c r="E272" s="693" t="n">
        <v>1268.75</v>
      </c>
      <c r="F272" s="694">
        <f>E272*$N$2</f>
        <v/>
      </c>
      <c r="G272" s="695" t="n">
        <v>0</v>
      </c>
      <c r="H272" s="696">
        <f>F272-G272</f>
        <v/>
      </c>
      <c r="I272" s="151" t="n"/>
      <c r="J272" s="152" t="n">
        <v>44679</v>
      </c>
      <c r="K272" s="692" t="inlineStr">
        <is>
          <t>FERRETERIA GENERAL</t>
        </is>
      </c>
    </row>
    <row r="273" ht="20.1" customHeight="1">
      <c r="A273" s="430">
        <f>_xlfn.XLOOKUP(B273,'INSUMOS MAT '!B:B,'INSUMOS MAT '!C:C,"ERROR",0)</f>
        <v/>
      </c>
      <c r="B273" s="142" t="inlineStr">
        <is>
          <t>MAT18-0001</t>
        </is>
      </c>
      <c r="C273" s="691" t="inlineStr">
        <is>
          <t>BISAGRA MARIPOSA PLATEADA</t>
        </is>
      </c>
      <c r="D273" s="692" t="inlineStr">
        <is>
          <t>PAR</t>
        </is>
      </c>
      <c r="E273" s="693" t="n">
        <v>1807.3</v>
      </c>
      <c r="F273" s="694">
        <f>E273*$N$2</f>
        <v/>
      </c>
      <c r="G273" s="695" t="n">
        <v>0</v>
      </c>
      <c r="H273" s="696">
        <f>F273-G273</f>
        <v/>
      </c>
      <c r="I273" s="151" t="n"/>
      <c r="J273" s="152" t="n">
        <v>44679</v>
      </c>
      <c r="K273" s="692" t="inlineStr">
        <is>
          <t>PUERTAS Y RODAPIE</t>
        </is>
      </c>
    </row>
    <row r="274" ht="20.1" customHeight="1">
      <c r="A274" s="430">
        <f>_xlfn.XLOOKUP(B274,'INSUMOS MAT '!B:B,'INSUMOS MAT '!C:C,"ERROR",0)</f>
        <v/>
      </c>
      <c r="B274" s="142" t="inlineStr">
        <is>
          <t>MAT06-0094</t>
        </is>
      </c>
      <c r="C274" s="691" t="inlineStr">
        <is>
          <t>BREAKER CHF120 1 POLO 20 AMP</t>
        </is>
      </c>
      <c r="D274" s="692" t="inlineStr">
        <is>
          <t>UND</t>
        </is>
      </c>
      <c r="E274" s="693" t="n">
        <v>5686.51</v>
      </c>
      <c r="F274" s="694">
        <f>E274*$N$2</f>
        <v/>
      </c>
      <c r="G274" s="695" t="n">
        <v>0</v>
      </c>
      <c r="H274" s="696">
        <f>F274-G274</f>
        <v/>
      </c>
      <c r="I274" s="151" t="n"/>
      <c r="J274" s="152" t="n">
        <v>44680</v>
      </c>
      <c r="K274" s="692" t="inlineStr">
        <is>
          <t>ELECTRICO</t>
        </is>
      </c>
    </row>
    <row r="275" ht="20.1" customHeight="1">
      <c r="A275" s="430">
        <f>_xlfn.XLOOKUP(B275,'INSUMOS MAT '!B:B,'INSUMOS MAT '!C:C,"ERROR",0)</f>
        <v/>
      </c>
      <c r="B275" s="142" t="inlineStr">
        <is>
          <t>MAT08-0228</t>
        </is>
      </c>
      <c r="C275" s="691" t="inlineStr">
        <is>
          <t>BROCA P/CONCRETO 1 1/4"</t>
        </is>
      </c>
      <c r="D275" s="692" t="inlineStr">
        <is>
          <t>UND</t>
        </is>
      </c>
      <c r="E275" s="693" t="n">
        <v>4288.35</v>
      </c>
      <c r="F275" s="694">
        <f>E275*$N$2</f>
        <v/>
      </c>
      <c r="G275" s="695" t="n">
        <v>0</v>
      </c>
      <c r="H275" s="696">
        <f>F275-G275</f>
        <v/>
      </c>
      <c r="I275" s="151" t="n"/>
      <c r="J275" s="152" t="n">
        <v>44508</v>
      </c>
      <c r="K275" s="692" t="inlineStr">
        <is>
          <t>FERRETERIA GENERAL</t>
        </is>
      </c>
    </row>
    <row r="276" ht="20.1" customHeight="1">
      <c r="A276" s="430">
        <f>_xlfn.XLOOKUP(B276,'INSUMOS MAT '!B:B,'INSUMOS MAT '!C:C,"ERROR",0)</f>
        <v/>
      </c>
      <c r="B276" s="142" t="inlineStr">
        <is>
          <t>MAT08-0224</t>
        </is>
      </c>
      <c r="C276" s="691" t="inlineStr">
        <is>
          <t>BROCA P/CONCRETO EN #8 CORRRIENTE</t>
        </is>
      </c>
      <c r="D276" s="692" t="inlineStr">
        <is>
          <t>UND</t>
        </is>
      </c>
      <c r="E276" s="693" t="n">
        <v>1459.836</v>
      </c>
      <c r="F276" s="694">
        <f>E276*$N$2</f>
        <v/>
      </c>
      <c r="G276" s="695" t="n">
        <v>0</v>
      </c>
      <c r="H276" s="696">
        <f>F276-G276</f>
        <v/>
      </c>
      <c r="I276" s="151" t="n"/>
      <c r="J276" s="152" t="n">
        <v>44692</v>
      </c>
      <c r="K276" s="692" t="inlineStr">
        <is>
          <t>FERRETERIA GENERAL</t>
        </is>
      </c>
    </row>
    <row r="277" ht="20.1" customHeight="1">
      <c r="A277" s="430">
        <f>_xlfn.XLOOKUP(B277,'INSUMOS MAT '!B:B,'INSUMOS MAT '!C:C,"ERROR",0)</f>
        <v/>
      </c>
      <c r="B277" s="142" t="inlineStr">
        <is>
          <t>MAT08-0523</t>
        </is>
      </c>
      <c r="C277" s="691" t="inlineStr">
        <is>
          <t>BROCA P/CONCRETO TIPO HILTI EN 1/4 CON ESPIGA 3/8</t>
        </is>
      </c>
      <c r="D277" s="692" t="inlineStr">
        <is>
          <t>UND</t>
        </is>
      </c>
      <c r="E277" s="693" t="n">
        <v>4181.9153</v>
      </c>
      <c r="F277" s="694">
        <f>E277*$N$2</f>
        <v/>
      </c>
      <c r="G277" s="695" t="n">
        <v>0</v>
      </c>
      <c r="H277" s="696">
        <f>F277-G277</f>
        <v/>
      </c>
      <c r="I277" s="151" t="n"/>
      <c r="J277" s="152" t="n">
        <v>44692</v>
      </c>
      <c r="K277" s="692" t="inlineStr">
        <is>
          <t>FERRETERIA GENERAL</t>
        </is>
      </c>
    </row>
    <row r="278" ht="20.1" customHeight="1">
      <c r="A278" s="430">
        <f>_xlfn.XLOOKUP(B278,'INSUMOS MAT '!B:B,'INSUMOS MAT '!C:C,"ERROR",0)</f>
        <v/>
      </c>
      <c r="B278" s="142" t="inlineStr">
        <is>
          <t>MAT08-0528</t>
        </is>
      </c>
      <c r="C278" s="691" t="inlineStr">
        <is>
          <t>BROCA P/METAL 5/16"</t>
        </is>
      </c>
      <c r="D278" s="692" t="inlineStr">
        <is>
          <t>UND</t>
        </is>
      </c>
      <c r="E278" s="693" t="n">
        <v>2416.652</v>
      </c>
      <c r="F278" s="694">
        <f>E278*$N$2</f>
        <v/>
      </c>
      <c r="G278" s="695" t="n">
        <v>0</v>
      </c>
      <c r="H278" s="696">
        <f>F278-G278</f>
        <v/>
      </c>
      <c r="I278" s="151" t="n"/>
      <c r="J278" s="152" t="n">
        <v>44679</v>
      </c>
      <c r="K278" s="692" t="inlineStr">
        <is>
          <t>FERRETERIA GENERAL</t>
        </is>
      </c>
    </row>
    <row r="279" ht="20.1" customHeight="1">
      <c r="A279" s="135" t="n"/>
      <c r="B279" s="142" t="inlineStr">
        <is>
          <t>MAT08-0334</t>
        </is>
      </c>
      <c r="C279" s="691" t="inlineStr">
        <is>
          <t>CAJA USA CUAD UL 4X4X2 1/8 #52171-1/2 Y 3/4</t>
        </is>
      </c>
      <c r="D279" s="692" t="inlineStr">
        <is>
          <t>UND</t>
        </is>
      </c>
      <c r="E279" s="693" t="n">
        <v>1310.8</v>
      </c>
      <c r="F279" s="694">
        <f>E279*$N$2</f>
        <v/>
      </c>
      <c r="G279" s="695" t="n">
        <v>0</v>
      </c>
      <c r="H279" s="696">
        <f>F279-G279</f>
        <v/>
      </c>
      <c r="I279" s="151" t="n"/>
      <c r="J279" s="152" t="n">
        <v>44626</v>
      </c>
      <c r="K279" s="692" t="inlineStr">
        <is>
          <t>FERRETERIA GENERAL</t>
        </is>
      </c>
    </row>
    <row r="280" ht="20.1" customHeight="1">
      <c r="A280" s="430">
        <f>_xlfn.XLOOKUP(B280,'INSUMOS MAT '!B:B,'INSUMOS MAT '!C:C,"ERROR",0)</f>
        <v/>
      </c>
      <c r="B280" s="142" t="inlineStr">
        <is>
          <t>MAT06-0050</t>
        </is>
      </c>
      <c r="C280" s="691" t="inlineStr">
        <is>
          <t>CAJA RECTANGULAR EMT 1/2 UL</t>
        </is>
      </c>
      <c r="D280" s="692" t="inlineStr">
        <is>
          <t>UND</t>
        </is>
      </c>
      <c r="E280" s="693" t="n">
        <v>747.495</v>
      </c>
      <c r="F280" s="694">
        <f>E280*$N$2</f>
        <v/>
      </c>
      <c r="G280" s="695" t="n">
        <v>0</v>
      </c>
      <c r="H280" s="696">
        <f>F280-G280</f>
        <v/>
      </c>
      <c r="I280" s="151" t="n"/>
      <c r="J280" s="152" t="n">
        <v>44692</v>
      </c>
      <c r="K280" s="692" t="inlineStr">
        <is>
          <t>ELECTRICO</t>
        </is>
      </c>
    </row>
    <row r="281" ht="20.1" customHeight="1">
      <c r="A281" s="135" t="n"/>
      <c r="B281" s="142" t="inlineStr">
        <is>
          <t>MAT0418</t>
        </is>
      </c>
      <c r="C281" s="691" t="inlineStr">
        <is>
          <t>CAL</t>
        </is>
      </c>
      <c r="D281" s="692" t="inlineStr">
        <is>
          <t>BOLSA</t>
        </is>
      </c>
      <c r="E281" s="693" t="n">
        <v>1627.2</v>
      </c>
      <c r="F281" s="694">
        <f>E281*$N$2</f>
        <v/>
      </c>
      <c r="G281" s="695" t="n">
        <v>0</v>
      </c>
      <c r="H281" s="696">
        <f>F281-G281</f>
        <v/>
      </c>
      <c r="I281" s="151" t="n"/>
      <c r="J281" s="152" t="n">
        <v>44692</v>
      </c>
      <c r="K281" s="692" t="n">
        <v>0</v>
      </c>
    </row>
    <row r="282" ht="20.1" customHeight="1">
      <c r="A282" s="430">
        <f>_xlfn.XLOOKUP(B282,'INSUMOS MAT '!B:B,'INSUMOS MAT '!C:C,"ERROR",0)</f>
        <v/>
      </c>
      <c r="B282" s="142" t="inlineStr">
        <is>
          <t>MAT08-0064</t>
        </is>
      </c>
      <c r="C282" s="691" t="inlineStr">
        <is>
          <t>CANDADOS</t>
        </is>
      </c>
      <c r="D282" s="692" t="inlineStr">
        <is>
          <t>UND</t>
        </is>
      </c>
      <c r="E282" s="693" t="n">
        <v>5369.995</v>
      </c>
      <c r="F282" s="694">
        <f>E282*$N$2</f>
        <v/>
      </c>
      <c r="G282" s="695" t="n">
        <v>0</v>
      </c>
      <c r="H282" s="696">
        <f>F282-G282</f>
        <v/>
      </c>
      <c r="I282" s="151" t="n"/>
      <c r="J282" s="152" t="n">
        <v>44692</v>
      </c>
      <c r="K282" s="692" t="inlineStr">
        <is>
          <t>FERRETERIA GENERAL</t>
        </is>
      </c>
    </row>
    <row r="283" ht="20.1" customHeight="1">
      <c r="A283" s="430">
        <f>_xlfn.XLOOKUP(B283,'INSUMOS MAT '!B:B,'INSUMOS MAT '!C:C,"ERROR",0)</f>
        <v/>
      </c>
      <c r="B283" s="142" t="inlineStr">
        <is>
          <t>MAT17-0087</t>
        </is>
      </c>
      <c r="C283" s="691" t="inlineStr">
        <is>
          <t>CERAMICA</t>
        </is>
      </c>
      <c r="D283" s="692" t="inlineStr">
        <is>
          <t>M2</t>
        </is>
      </c>
      <c r="E283" s="693" t="n">
        <v>8578.959999999999</v>
      </c>
      <c r="F283" s="694">
        <f>E283*$N$2</f>
        <v/>
      </c>
      <c r="G283" s="695" t="n">
        <v>0</v>
      </c>
      <c r="H283" s="696">
        <f>F283-G283</f>
        <v/>
      </c>
      <c r="I283" s="151" t="n"/>
      <c r="J283" s="152" t="n">
        <v>44692</v>
      </c>
      <c r="K283" s="692" t="inlineStr">
        <is>
          <t>PISOS Y ENCHAPES</t>
        </is>
      </c>
    </row>
    <row r="284" ht="20.1" customHeight="1">
      <c r="A284" s="430">
        <f>_xlfn.XLOOKUP(B284,'INSUMOS MAT '!B:B,'INSUMOS MAT '!C:C,"ERROR",0)</f>
        <v/>
      </c>
      <c r="B284" s="142" t="inlineStr">
        <is>
          <t>MAT19-0170</t>
        </is>
      </c>
      <c r="C284" s="691" t="inlineStr">
        <is>
          <t>CHECK LINEAL PVC 2 PULG</t>
        </is>
      </c>
      <c r="D284" s="692" t="inlineStr">
        <is>
          <t>UND</t>
        </is>
      </c>
      <c r="E284" s="693" t="n">
        <v>3404.995</v>
      </c>
      <c r="F284" s="694">
        <f>E284*$N$2</f>
        <v/>
      </c>
      <c r="G284" s="695" t="n">
        <v>0</v>
      </c>
      <c r="H284" s="696">
        <f>F284-G284</f>
        <v/>
      </c>
      <c r="I284" s="151" t="n"/>
      <c r="J284" s="152" t="n">
        <v>44678</v>
      </c>
      <c r="K284" s="692" t="inlineStr">
        <is>
          <t>PVC</t>
        </is>
      </c>
    </row>
    <row r="285" ht="20.1" customHeight="1">
      <c r="A285" s="430">
        <f>_xlfn.XLOOKUP(B285,'INSUMOS MAT '!B:B,'INSUMOS MAT '!C:C,"ERROR",0)</f>
        <v/>
      </c>
      <c r="B285" s="142" t="inlineStr">
        <is>
          <t>MAT07-0005</t>
        </is>
      </c>
      <c r="C285" s="691" t="inlineStr">
        <is>
          <t>CINTA MALLA ADHESIVA P/GYP (45M)</t>
        </is>
      </c>
      <c r="D285" s="692" t="inlineStr">
        <is>
          <t>ROLLO</t>
        </is>
      </c>
      <c r="E285" s="693" t="n">
        <v>2796.34</v>
      </c>
      <c r="F285" s="694">
        <f>E285*$N$2</f>
        <v/>
      </c>
      <c r="G285" s="695" t="n">
        <v>0</v>
      </c>
      <c r="H285" s="696">
        <f>F285-G285</f>
        <v/>
      </c>
      <c r="I285" s="151" t="n"/>
      <c r="J285" s="152" t="n">
        <v>44692</v>
      </c>
      <c r="K285" s="692" t="inlineStr">
        <is>
          <t>ESTRUCTURA LIVIANA</t>
        </is>
      </c>
    </row>
    <row r="286" ht="20.1" customHeight="1">
      <c r="A286" s="135" t="n"/>
      <c r="B286" s="142" t="inlineStr">
        <is>
          <t>HER13-0248</t>
        </is>
      </c>
      <c r="C286" s="691" t="inlineStr">
        <is>
          <t>CIZALLA #24</t>
        </is>
      </c>
      <c r="D286" s="692" t="inlineStr">
        <is>
          <t>UND</t>
        </is>
      </c>
      <c r="E286" s="693" t="n">
        <v>22093.095</v>
      </c>
      <c r="F286" s="694">
        <f>E286*$N$2</f>
        <v/>
      </c>
      <c r="G286" s="695" t="n">
        <v>0</v>
      </c>
      <c r="H286" s="696">
        <f>F286-G286</f>
        <v/>
      </c>
      <c r="I286" s="151" t="n"/>
      <c r="J286" s="152" t="n">
        <v>44692</v>
      </c>
      <c r="K286" s="692" t="inlineStr">
        <is>
          <t>MENOR</t>
        </is>
      </c>
    </row>
    <row r="287" ht="20.1" customHeight="1">
      <c r="A287" s="135" t="n"/>
      <c r="B287" s="142" t="inlineStr">
        <is>
          <t>HER13-0249</t>
        </is>
      </c>
      <c r="C287" s="691" t="inlineStr">
        <is>
          <t>CIZALLA #36</t>
        </is>
      </c>
      <c r="D287" s="692" t="inlineStr">
        <is>
          <t>UND</t>
        </is>
      </c>
      <c r="E287" s="693" t="n">
        <v>32528.745</v>
      </c>
      <c r="F287" s="694">
        <f>E287*$N$2</f>
        <v/>
      </c>
      <c r="G287" s="695" t="n">
        <v>0</v>
      </c>
      <c r="H287" s="696">
        <f>F287-G287</f>
        <v/>
      </c>
      <c r="I287" s="151" t="n"/>
      <c r="J287" s="152" t="n">
        <v>44692</v>
      </c>
      <c r="K287" s="692" t="inlineStr">
        <is>
          <t>MENOR</t>
        </is>
      </c>
    </row>
    <row r="288" ht="20.1" customHeight="1">
      <c r="A288" s="430">
        <f>_xlfn.XLOOKUP(B288,'INSUMOS MAT '!B:B,'INSUMOS MAT '!C:C,"ERROR",0)</f>
        <v/>
      </c>
      <c r="B288" s="142" t="inlineStr">
        <is>
          <t>MAT08-0197</t>
        </is>
      </c>
      <c r="C288" s="691" t="inlineStr">
        <is>
          <t>CLAVO NEGRO 3/4</t>
        </is>
      </c>
      <c r="D288" s="692" t="inlineStr">
        <is>
          <t>CAJA</t>
        </is>
      </c>
      <c r="E288" s="693" t="n">
        <v>8.85</v>
      </c>
      <c r="F288" s="694">
        <f>E288*$N$2</f>
        <v/>
      </c>
      <c r="G288" s="695" t="n">
        <v>0</v>
      </c>
      <c r="H288" s="696">
        <f>F288-G288</f>
        <v/>
      </c>
      <c r="I288" s="151" t="n"/>
      <c r="J288" s="152" t="n">
        <v>44692</v>
      </c>
      <c r="K288" s="692" t="inlineStr">
        <is>
          <t>FERRETERIA GENERAL</t>
        </is>
      </c>
    </row>
    <row r="289" ht="20.1" customHeight="1">
      <c r="A289" s="135" t="n"/>
      <c r="B289" s="142" t="inlineStr">
        <is>
          <t>MAT0551</t>
        </is>
      </c>
      <c r="C289" s="691" t="inlineStr">
        <is>
          <t>CODO 45 PARED DELGADA 3</t>
        </is>
      </c>
      <c r="D289" s="692" t="inlineStr">
        <is>
          <t>UND</t>
        </is>
      </c>
      <c r="E289" s="693" t="n">
        <v>1807.0395</v>
      </c>
      <c r="F289" s="694">
        <f>E289*$N$2</f>
        <v/>
      </c>
      <c r="G289" s="695" t="n">
        <v>0</v>
      </c>
      <c r="H289" s="696">
        <f>F289-G289</f>
        <v/>
      </c>
      <c r="I289" s="151" t="n"/>
      <c r="J289" s="152" t="n">
        <v>44692</v>
      </c>
      <c r="K289" s="692" t="n">
        <v>0</v>
      </c>
    </row>
    <row r="290" ht="20.1" customHeight="1">
      <c r="A290" s="430">
        <f>_xlfn.XLOOKUP(B290,'INSUMOS MAT '!B:B,'INSUMOS MAT '!C:C,"ERROR",0)</f>
        <v/>
      </c>
      <c r="B290" s="142" t="inlineStr">
        <is>
          <t>MAT04-0007</t>
        </is>
      </c>
      <c r="C290" s="691" t="inlineStr">
        <is>
          <t>CONCRETO FC 210 KG/CM2 NORMAL</t>
        </is>
      </c>
      <c r="D290" s="692" t="inlineStr">
        <is>
          <t>M3</t>
        </is>
      </c>
      <c r="E290" s="693" t="n">
        <v>75000.0028</v>
      </c>
      <c r="F290" s="694">
        <f>E290*$N$2</f>
        <v/>
      </c>
      <c r="G290" s="695" t="n">
        <v>0</v>
      </c>
      <c r="H290" s="696">
        <f>F290-G290</f>
        <v/>
      </c>
      <c r="I290" s="151" t="n"/>
      <c r="J290" s="152" t="n">
        <v>44692</v>
      </c>
      <c r="K290" s="692" t="inlineStr">
        <is>
          <t>CONCRETOS CEMENTOS Y MORTEROS</t>
        </is>
      </c>
    </row>
    <row r="291" ht="20.1" customHeight="1">
      <c r="A291" s="430">
        <f>_xlfn.XLOOKUP(B291,'INSUMOS MAT '!B:B,'INSUMOS MAT '!C:C,"ERROR",0)</f>
        <v/>
      </c>
      <c r="B291" s="142" t="inlineStr">
        <is>
          <t>MAT06-0066</t>
        </is>
      </c>
      <c r="C291" s="691" t="inlineStr">
        <is>
          <t>CONECTOR RESORTE AMARILLO</t>
        </is>
      </c>
      <c r="D291" s="692" t="inlineStr">
        <is>
          <t>CAJA</t>
        </is>
      </c>
      <c r="E291" s="693" t="n">
        <v>98.5505</v>
      </c>
      <c r="F291" s="694">
        <f>E291*$N$2</f>
        <v/>
      </c>
      <c r="G291" s="695" t="n">
        <v>0</v>
      </c>
      <c r="H291" s="696">
        <f>F291-G291</f>
        <v/>
      </c>
      <c r="I291" s="151" t="n"/>
      <c r="J291" s="152" t="n">
        <v>44692</v>
      </c>
      <c r="K291" s="692" t="inlineStr">
        <is>
          <t>ELECTRICO</t>
        </is>
      </c>
    </row>
    <row r="292" ht="20.1" customHeight="1">
      <c r="A292" s="430">
        <f>_xlfn.XLOOKUP(B292,'INSUMOS MAT '!B:B,'INSUMOS MAT '!C:C,"ERROR",0)</f>
        <v/>
      </c>
      <c r="B292" s="142" t="inlineStr">
        <is>
          <t>MAT08-0037</t>
        </is>
      </c>
      <c r="C292" s="691" t="inlineStr">
        <is>
          <t>DISCO CORTE DIAMANTADO LISO 4 1/2"</t>
        </is>
      </c>
      <c r="D292" s="692" t="inlineStr">
        <is>
          <t>UND</t>
        </is>
      </c>
      <c r="E292" s="693" t="n">
        <v>5663.46</v>
      </c>
      <c r="F292" s="694">
        <f>E292*$N$2</f>
        <v/>
      </c>
      <c r="G292" s="695" t="n">
        <v>0</v>
      </c>
      <c r="H292" s="696">
        <f>F292-G292</f>
        <v/>
      </c>
      <c r="I292" s="151" t="n"/>
      <c r="J292" s="152" t="n">
        <v>44692</v>
      </c>
      <c r="K292" s="692" t="inlineStr">
        <is>
          <t>FERRETERIA GENERAL</t>
        </is>
      </c>
    </row>
    <row r="293" ht="20.1" customHeight="1">
      <c r="A293" s="135" t="n"/>
      <c r="B293" s="142" t="inlineStr">
        <is>
          <t>MAT08-0041</t>
        </is>
      </c>
      <c r="C293" s="691" t="inlineStr">
        <is>
          <t>DISCO FLAP G80  41/2"</t>
        </is>
      </c>
      <c r="D293" s="692" t="inlineStr">
        <is>
          <t>UND</t>
        </is>
      </c>
      <c r="E293" s="693" t="n">
        <v>1304.52</v>
      </c>
      <c r="F293" s="694">
        <f>E293*$N$2</f>
        <v/>
      </c>
      <c r="G293" s="695" t="n">
        <v>0</v>
      </c>
      <c r="H293" s="696">
        <f>F293-G293</f>
        <v/>
      </c>
      <c r="I293" s="151" t="n"/>
      <c r="J293" s="152" t="n">
        <v>44692</v>
      </c>
      <c r="K293" s="692" t="inlineStr">
        <is>
          <t>FERRETERIA GENERAL</t>
        </is>
      </c>
    </row>
    <row r="294" ht="20.1" customHeight="1">
      <c r="A294" s="430">
        <f>_xlfn.XLOOKUP(B294,'INSUMOS MAT '!B:B,'INSUMOS MAT '!C:C,"ERROR",0)</f>
        <v/>
      </c>
      <c r="B294" s="142" t="inlineStr">
        <is>
          <t>MAT06-0127</t>
        </is>
      </c>
      <c r="C294" s="691" t="inlineStr">
        <is>
          <t>ENCHUFE PARA EXTENSION MACHO</t>
        </is>
      </c>
      <c r="D294" s="692" t="inlineStr">
        <is>
          <t>UND</t>
        </is>
      </c>
      <c r="E294" s="693" t="n">
        <v>800.944</v>
      </c>
      <c r="F294" s="694">
        <f>E294*$N$2</f>
        <v/>
      </c>
      <c r="G294" s="695" t="n">
        <v>0</v>
      </c>
      <c r="H294" s="696">
        <f>F294-G294</f>
        <v/>
      </c>
      <c r="I294" s="151" t="n"/>
      <c r="J294" s="152" t="n">
        <v>44692</v>
      </c>
      <c r="K294" s="692" t="inlineStr">
        <is>
          <t>ELECTRICO</t>
        </is>
      </c>
    </row>
    <row r="295" ht="20.1" customHeight="1">
      <c r="A295" s="135" t="n"/>
      <c r="B295" s="142" t="inlineStr">
        <is>
          <t>HER13-0059</t>
        </is>
      </c>
      <c r="C295" s="691" t="inlineStr">
        <is>
          <t>ESCALERA</t>
        </is>
      </c>
      <c r="D295" s="692" t="inlineStr">
        <is>
          <t>UND</t>
        </is>
      </c>
      <c r="E295" s="693" t="n">
        <v>134400</v>
      </c>
      <c r="F295" s="694">
        <f>E295*$N$2</f>
        <v/>
      </c>
      <c r="G295" s="695" t="n">
        <v>0</v>
      </c>
      <c r="H295" s="696">
        <f>F295-G295</f>
        <v/>
      </c>
      <c r="I295" s="151" t="n"/>
      <c r="J295" s="152" t="n">
        <v>44692</v>
      </c>
      <c r="K295" s="692" t="inlineStr">
        <is>
          <t>MENOR</t>
        </is>
      </c>
    </row>
    <row r="296" ht="20.1" customHeight="1">
      <c r="A296" s="430">
        <f>_xlfn.XLOOKUP(B296,'INSUMOS MAT '!B:B,'INSUMOS MAT '!C:C,"ERROR",0)</f>
        <v/>
      </c>
      <c r="B296" s="142" t="inlineStr">
        <is>
          <t>MAT14-0006</t>
        </is>
      </c>
      <c r="C296" s="691" t="inlineStr">
        <is>
          <t>ESQUINERO P/RODAPIE ALUMINIO **CODO** 15CM</t>
        </is>
      </c>
      <c r="D296" s="692" t="inlineStr">
        <is>
          <t>UND</t>
        </is>
      </c>
      <c r="E296" s="693" t="n">
        <v>999.994</v>
      </c>
      <c r="F296" s="694">
        <f>E296*$N$2</f>
        <v/>
      </c>
      <c r="G296" s="695" t="n">
        <v>0</v>
      </c>
      <c r="H296" s="696">
        <f>F296-G296</f>
        <v/>
      </c>
      <c r="I296" s="151" t="n"/>
      <c r="J296" s="152" t="n">
        <v>44680</v>
      </c>
      <c r="K296" s="692" t="inlineStr">
        <is>
          <t>MUEBLES</t>
        </is>
      </c>
    </row>
    <row r="297" ht="20.1" customHeight="1">
      <c r="A297" s="430">
        <f>_xlfn.XLOOKUP(B297,'INSUMOS MAT '!B:B,'INSUMOS MAT '!C:C,"ERROR",0)</f>
        <v/>
      </c>
      <c r="B297" s="142" t="inlineStr">
        <is>
          <t>MAT07-0008</t>
        </is>
      </c>
      <c r="C297" s="691" t="inlineStr">
        <is>
          <t>ESQUINERO METAL 1 1/4X10</t>
        </is>
      </c>
      <c r="D297" s="692" t="inlineStr">
        <is>
          <t>UND</t>
        </is>
      </c>
      <c r="E297" s="693" t="n">
        <v>991.575</v>
      </c>
      <c r="F297" s="694">
        <f>E297*$N$2</f>
        <v/>
      </c>
      <c r="G297" s="695" t="n">
        <v>0</v>
      </c>
      <c r="H297" s="696">
        <f>F297-G297</f>
        <v/>
      </c>
      <c r="I297" s="151" t="n"/>
      <c r="J297" s="152" t="n">
        <v>44692</v>
      </c>
      <c r="K297" s="692" t="inlineStr">
        <is>
          <t>ESTRUCTURA LIVIANA</t>
        </is>
      </c>
    </row>
    <row r="298" ht="20.1" customHeight="1">
      <c r="A298" s="430">
        <f>_xlfn.XLOOKUP(B298,'INSUMOS MAT '!B:B,'INSUMOS MAT '!C:C,"ERROR",0)</f>
        <v/>
      </c>
      <c r="B298" s="142" t="inlineStr">
        <is>
          <t>MAT06-0126</t>
        </is>
      </c>
      <c r="C298" s="691" t="inlineStr">
        <is>
          <t>EXTENSION ELECTRICA</t>
        </is>
      </c>
      <c r="D298" s="692" t="inlineStr">
        <is>
          <t>UND</t>
        </is>
      </c>
      <c r="E298" s="693" t="n">
        <v>11492.48</v>
      </c>
      <c r="F298" s="694">
        <f>E298*$N$2</f>
        <v/>
      </c>
      <c r="G298" s="695" t="n">
        <v>0</v>
      </c>
      <c r="H298" s="696">
        <f>F298-G298</f>
        <v/>
      </c>
      <c r="I298" s="151" t="n"/>
      <c r="J298" s="152" t="n">
        <v>44697</v>
      </c>
      <c r="K298" s="692" t="inlineStr">
        <is>
          <t>ELECTRICO</t>
        </is>
      </c>
    </row>
    <row r="299" ht="20.1" customHeight="1">
      <c r="A299" s="135" t="n"/>
      <c r="B299" s="142" t="inlineStr">
        <is>
          <t>AUX10-0348</t>
        </is>
      </c>
      <c r="C299" s="691" t="inlineStr">
        <is>
          <t>HIERBICIDA ROOT OUT 36SL 3.5 L</t>
        </is>
      </c>
      <c r="D299" s="692" t="inlineStr">
        <is>
          <t>UND</t>
        </is>
      </c>
      <c r="E299" s="693" t="n">
        <v>24408</v>
      </c>
      <c r="F299" s="694">
        <f>E299*$N$2</f>
        <v/>
      </c>
      <c r="G299" s="695" t="n">
        <v>0</v>
      </c>
      <c r="H299" s="696">
        <f>F299-G299</f>
        <v/>
      </c>
      <c r="I299" s="151" t="n"/>
      <c r="J299" s="152" t="n">
        <v>44678</v>
      </c>
      <c r="K299" s="692" t="inlineStr">
        <is>
          <t>GENERALES</t>
        </is>
      </c>
    </row>
    <row r="300" ht="20.1" customHeight="1">
      <c r="A300" s="430">
        <f>_xlfn.XLOOKUP(B300,'INSUMOS MAT '!B:B,'INSUMOS MAT '!C:C,"ERROR",0)</f>
        <v/>
      </c>
      <c r="B300" s="142" t="inlineStr">
        <is>
          <t>MAT02-0148</t>
        </is>
      </c>
      <c r="C300" s="691" t="inlineStr">
        <is>
          <t>LAMINA DIAMANTADA 1/4 HN</t>
        </is>
      </c>
      <c r="D300" s="692" t="inlineStr">
        <is>
          <t>UND</t>
        </is>
      </c>
      <c r="E300" s="693" t="n">
        <v>255578.88</v>
      </c>
      <c r="F300" s="694">
        <f>E300*$N$2</f>
        <v/>
      </c>
      <c r="G300" s="695" t="n">
        <v>0</v>
      </c>
      <c r="H300" s="696">
        <f>F300-G300</f>
        <v/>
      </c>
      <c r="I300" s="151" t="n"/>
      <c r="J300" s="152" t="n">
        <v>44692</v>
      </c>
      <c r="K300" s="692" t="inlineStr">
        <is>
          <t>ACEROS Y METALES</t>
        </is>
      </c>
    </row>
    <row r="301" ht="20.1" customHeight="1">
      <c r="A301" s="430">
        <f>_xlfn.XLOOKUP(B301,'INSUMOS MAT '!B:B,'INSUMOS MAT '!C:C,"ERROR",0)</f>
        <v/>
      </c>
      <c r="B301" s="142" t="inlineStr">
        <is>
          <t>MAT02-0006</t>
        </is>
      </c>
      <c r="C301" s="691" t="inlineStr">
        <is>
          <t>LAMINA DE JORDOMEX #3 (1/2) ROMBO 13X32  3MM ESPESOR</t>
        </is>
      </c>
      <c r="D301" s="692" t="inlineStr">
        <is>
          <t>UND</t>
        </is>
      </c>
      <c r="E301" s="693" t="n">
        <v>29718.235</v>
      </c>
      <c r="F301" s="694">
        <f>E301*$N$2</f>
        <v/>
      </c>
      <c r="G301" s="695" t="n">
        <v>0</v>
      </c>
      <c r="H301" s="696">
        <f>F301-G301</f>
        <v/>
      </c>
      <c r="I301" s="151" t="n"/>
      <c r="J301" s="152" t="n">
        <v>44692</v>
      </c>
      <c r="K301" s="692" t="inlineStr">
        <is>
          <t>ACEROS Y METALES</t>
        </is>
      </c>
    </row>
    <row r="302" ht="20.1" customHeight="1">
      <c r="A302" s="430">
        <f>_xlfn.XLOOKUP(B302,'INSUMOS MAT '!B:B,'INSUMOS MAT '!C:C,"ERROR",0)</f>
        <v/>
      </c>
      <c r="B302" s="142" t="inlineStr">
        <is>
          <t>MAT06-0264</t>
        </is>
      </c>
      <c r="C302" s="691" t="inlineStr">
        <is>
          <t>LAMPARA DE PARCHE LUZ FRÍA</t>
        </is>
      </c>
      <c r="D302" s="692" t="inlineStr">
        <is>
          <t>UND</t>
        </is>
      </c>
      <c r="E302" s="693" t="n">
        <v>4327.8627</v>
      </c>
      <c r="F302" s="694">
        <f>E302*$N$2</f>
        <v/>
      </c>
      <c r="G302" s="695" t="n">
        <v>0</v>
      </c>
      <c r="H302" s="696">
        <f>F302-G302</f>
        <v/>
      </c>
      <c r="I302" s="151" t="n"/>
      <c r="J302" s="152" t="n">
        <v>44692</v>
      </c>
      <c r="K302" s="692" t="inlineStr">
        <is>
          <t>ELECTRICO</t>
        </is>
      </c>
    </row>
    <row r="303" ht="20.1" customHeight="1">
      <c r="A303" s="430">
        <f>_xlfn.XLOOKUP(B303,'INSUMOS MAT '!B:B,'INSUMOS MAT '!C:C,"ERROR",0)</f>
        <v/>
      </c>
      <c r="B303" s="142" t="inlineStr">
        <is>
          <t>MAT06-0250</t>
        </is>
      </c>
      <c r="C303" s="691" t="inlineStr">
        <is>
          <t>LAMPARA LED CIRCULAR EMPOTRAR SLIM G2 LUZ CALIDA 3000K 12W 800LM IP 168MM 100-227V</t>
        </is>
      </c>
      <c r="D303" s="692" t="inlineStr">
        <is>
          <t>UND</t>
        </is>
      </c>
      <c r="E303" s="693" t="n">
        <v>3512.7519</v>
      </c>
      <c r="F303" s="694">
        <f>E303*$N$2</f>
        <v/>
      </c>
      <c r="G303" s="695" t="n">
        <v>0</v>
      </c>
      <c r="H303" s="696">
        <f>F303-G303</f>
        <v/>
      </c>
      <c r="I303" s="151" t="n"/>
      <c r="J303" s="152" t="n">
        <v>44692</v>
      </c>
      <c r="K303" s="692" t="inlineStr">
        <is>
          <t>ELECTRICO</t>
        </is>
      </c>
    </row>
    <row r="304" ht="20.1" customHeight="1">
      <c r="A304" s="430">
        <f>_xlfn.XLOOKUP(B304,'INSUMOS MAT '!B:B,'INSUMOS MAT '!C:C,"ERROR",0)</f>
        <v/>
      </c>
      <c r="B304" s="142" t="inlineStr">
        <is>
          <t>MAT06-0124</t>
        </is>
      </c>
      <c r="C304" s="691" t="inlineStr">
        <is>
          <t>LAMPARA LED REDONDO CALIDA 6W XT-2312</t>
        </is>
      </c>
      <c r="D304" s="692" t="inlineStr">
        <is>
          <t>UND</t>
        </is>
      </c>
      <c r="E304" s="693" t="n">
        <v>3525.42</v>
      </c>
      <c r="F304" s="694">
        <f>E304*$N$2</f>
        <v/>
      </c>
      <c r="G304" s="695" t="n">
        <v>0</v>
      </c>
      <c r="H304" s="696">
        <f>F304-G304</f>
        <v/>
      </c>
      <c r="I304" s="151" t="n"/>
      <c r="J304" s="152" t="n">
        <v>44692</v>
      </c>
      <c r="K304" s="692" t="inlineStr">
        <is>
          <t>ELECTRICO</t>
        </is>
      </c>
    </row>
    <row r="305" ht="20.1" customHeight="1">
      <c r="A305" s="430">
        <f>_xlfn.XLOOKUP(B305,'INSUMOS MAT '!B:B,'INSUMOS MAT '!C:C,"ERROR",0)</f>
        <v/>
      </c>
      <c r="B305" s="142" t="inlineStr">
        <is>
          <t>MAT06-0079</t>
        </is>
      </c>
      <c r="C305" s="691" t="inlineStr">
        <is>
          <t>LAMPARA TORTUGA 50013AEPI-BK</t>
        </is>
      </c>
      <c r="D305" s="692" t="inlineStr">
        <is>
          <t>UND</t>
        </is>
      </c>
      <c r="E305" s="693" t="n">
        <v>6368.6585</v>
      </c>
      <c r="F305" s="694">
        <f>E305*$N$2</f>
        <v/>
      </c>
      <c r="G305" s="695" t="n">
        <v>0</v>
      </c>
      <c r="H305" s="696">
        <f>F305-G305</f>
        <v/>
      </c>
      <c r="I305" s="151" t="n"/>
      <c r="J305" s="152" t="n">
        <v>44692</v>
      </c>
      <c r="K305" s="692" t="inlineStr">
        <is>
          <t>ELECTRICO</t>
        </is>
      </c>
    </row>
    <row r="306" ht="20.1" customHeight="1">
      <c r="A306" s="430">
        <f>_xlfn.XLOOKUP(B306,'INSUMOS MAT '!B:B,'INSUMOS MAT '!C:C,"ERROR",0)</f>
        <v/>
      </c>
      <c r="B306" s="142" t="inlineStr">
        <is>
          <t>MAT01-0010</t>
        </is>
      </c>
      <c r="C306" s="691" t="inlineStr">
        <is>
          <t>LAVATORIO SPAZIO DE SOBREPONER BLANCO</t>
        </is>
      </c>
      <c r="D306" s="692" t="inlineStr">
        <is>
          <t>UND</t>
        </is>
      </c>
      <c r="E306" s="693" t="n">
        <v>24860</v>
      </c>
      <c r="F306" s="694">
        <f>E306*$N$2</f>
        <v/>
      </c>
      <c r="G306" s="695" t="n">
        <v>0</v>
      </c>
      <c r="H306" s="696">
        <f>F306-G306</f>
        <v/>
      </c>
      <c r="I306" s="151" t="n"/>
      <c r="J306" s="152" t="n">
        <v>44671</v>
      </c>
      <c r="K306" s="692" t="inlineStr">
        <is>
          <t>ACABADOS</t>
        </is>
      </c>
    </row>
    <row r="307" ht="20.1" customHeight="1">
      <c r="A307" s="430">
        <f>_xlfn.XLOOKUP(B307,'INSUMOS MAT '!B:B,'INSUMOS MAT '!C:C,"ERROR",0)</f>
        <v/>
      </c>
      <c r="B307" s="142" t="inlineStr">
        <is>
          <t>MAT01-0011</t>
        </is>
      </c>
      <c r="C307" s="691" t="inlineStr">
        <is>
          <t>LAVATORIO MILANO BLANCO CON PEDESTAL</t>
        </is>
      </c>
      <c r="D307" s="692" t="inlineStr">
        <is>
          <t>UND</t>
        </is>
      </c>
      <c r="E307" s="693" t="n">
        <v>22608.8991</v>
      </c>
      <c r="F307" s="694">
        <f>E307*$N$2</f>
        <v/>
      </c>
      <c r="G307" s="695" t="n">
        <v>0</v>
      </c>
      <c r="H307" s="696">
        <f>F307-G307</f>
        <v/>
      </c>
      <c r="I307" s="151" t="n"/>
      <c r="J307" s="152" t="n">
        <v>44692</v>
      </c>
      <c r="K307" s="692" t="inlineStr">
        <is>
          <t>ACABADOS</t>
        </is>
      </c>
    </row>
    <row r="308" ht="20.1" customHeight="1">
      <c r="A308" s="430">
        <f>_xlfn.XLOOKUP(B308,'INSUMOS MAT '!B:B,'INSUMOS MAT '!C:C,"ERROR",0)</f>
        <v/>
      </c>
      <c r="B308" s="142" t="inlineStr">
        <is>
          <t>MAT01-0012</t>
        </is>
      </c>
      <c r="C308" s="691" t="inlineStr">
        <is>
          <t>LAVATORIO OLYMPUS II CON PEDESTAL</t>
        </is>
      </c>
      <c r="D308" s="692" t="inlineStr">
        <is>
          <t>UND</t>
        </is>
      </c>
      <c r="E308" s="693" t="n">
        <v>38759</v>
      </c>
      <c r="F308" s="694">
        <f>E308*$N$2</f>
        <v/>
      </c>
      <c r="G308" s="695" t="n">
        <v>0</v>
      </c>
      <c r="H308" s="696">
        <f>F308-G308</f>
        <v/>
      </c>
      <c r="I308" s="151" t="n"/>
      <c r="J308" s="152" t="n">
        <v>44692</v>
      </c>
      <c r="K308" s="692" t="inlineStr">
        <is>
          <t>ACABADOS</t>
        </is>
      </c>
    </row>
    <row r="309" ht="20.1" customHeight="1">
      <c r="A309" s="430">
        <f>_xlfn.XLOOKUP(B309,'INSUMOS MAT '!B:B,'INSUMOS MAT '!C:C,"ERROR",0)</f>
        <v/>
      </c>
      <c r="B309" s="142" t="inlineStr">
        <is>
          <t>MAT08-0067</t>
        </is>
      </c>
      <c r="C309" s="691" t="inlineStr">
        <is>
          <t>LIJA DE AGUA #120</t>
        </is>
      </c>
      <c r="D309" s="692" t="inlineStr">
        <is>
          <t>UND</t>
        </is>
      </c>
      <c r="E309" s="693" t="n">
        <v>329.96</v>
      </c>
      <c r="F309" s="694">
        <f>E309*$N$2</f>
        <v/>
      </c>
      <c r="G309" s="695" t="n">
        <v>0</v>
      </c>
      <c r="H309" s="696">
        <f>F309-G309</f>
        <v/>
      </c>
      <c r="I309" s="151" t="n"/>
      <c r="J309" s="152" t="n">
        <v>44692</v>
      </c>
      <c r="K309" s="692" t="inlineStr">
        <is>
          <t>FERRETERIA GENERAL</t>
        </is>
      </c>
    </row>
    <row r="310" ht="20.1" customHeight="1">
      <c r="A310" s="430">
        <f>_xlfn.XLOOKUP(B310,'INSUMOS MAT '!B:B,'INSUMOS MAT '!C:C,"ERROR",0)</f>
        <v/>
      </c>
      <c r="B310" s="142" t="inlineStr">
        <is>
          <t>MAT08-0068</t>
        </is>
      </c>
      <c r="C310" s="691" t="inlineStr">
        <is>
          <t>LIJA DE AGUA #150</t>
        </is>
      </c>
      <c r="D310" s="692" t="inlineStr">
        <is>
          <t>UND</t>
        </is>
      </c>
      <c r="E310" s="693" t="n">
        <v>331.1577</v>
      </c>
      <c r="F310" s="694">
        <f>E310*$N$2</f>
        <v/>
      </c>
      <c r="G310" s="695" t="n">
        <v>0</v>
      </c>
      <c r="H310" s="696">
        <f>F310-G310</f>
        <v/>
      </c>
      <c r="I310" s="151" t="n"/>
      <c r="J310" s="152" t="n">
        <v>44692</v>
      </c>
      <c r="K310" s="692" t="inlineStr">
        <is>
          <t>FERRETERIA GENERAL</t>
        </is>
      </c>
    </row>
    <row r="311" ht="20.1" customHeight="1">
      <c r="A311" s="430">
        <f>_xlfn.XLOOKUP(B311,'INSUMOS MAT '!B:B,'INSUMOS MAT '!C:C,"ERROR",0)</f>
        <v/>
      </c>
      <c r="B311" s="142" t="inlineStr">
        <is>
          <t>MAT08-0069</t>
        </is>
      </c>
      <c r="C311" s="691" t="inlineStr">
        <is>
          <t>LIJA DE AGUA #180</t>
        </is>
      </c>
      <c r="D311" s="692" t="inlineStr">
        <is>
          <t>UND</t>
        </is>
      </c>
      <c r="E311" s="693" t="n">
        <v>299.45</v>
      </c>
      <c r="F311" s="694">
        <f>E311*$N$2</f>
        <v/>
      </c>
      <c r="G311" s="695" t="n">
        <v>0</v>
      </c>
      <c r="H311" s="696">
        <f>F311-G311</f>
        <v/>
      </c>
      <c r="I311" s="151" t="n"/>
      <c r="J311" s="152" t="n">
        <v>44692</v>
      </c>
      <c r="K311" s="692" t="inlineStr">
        <is>
          <t>FERRETERIA GENERAL</t>
        </is>
      </c>
    </row>
    <row r="312" ht="20.1" customHeight="1">
      <c r="A312" s="430">
        <f>_xlfn.XLOOKUP(B312,'INSUMOS MAT '!B:B,'INSUMOS MAT '!C:C,"ERROR",0)</f>
        <v/>
      </c>
      <c r="B312" s="142" t="inlineStr">
        <is>
          <t>MAT08-0070</t>
        </is>
      </c>
      <c r="C312" s="691" t="inlineStr">
        <is>
          <t>LIJA DE AGUA #220</t>
        </is>
      </c>
      <c r="D312" s="692" t="inlineStr">
        <is>
          <t>UND</t>
        </is>
      </c>
      <c r="E312" s="693" t="n">
        <v>290.41</v>
      </c>
      <c r="F312" s="694">
        <f>E312*$N$2</f>
        <v/>
      </c>
      <c r="G312" s="695" t="n">
        <v>0</v>
      </c>
      <c r="H312" s="696">
        <f>F312-G312</f>
        <v/>
      </c>
      <c r="I312" s="151" t="n"/>
      <c r="J312" s="152" t="n">
        <v>44692</v>
      </c>
      <c r="K312" s="692" t="inlineStr">
        <is>
          <t>FERRETERIA GENERAL</t>
        </is>
      </c>
    </row>
    <row r="313" ht="20.1" customHeight="1">
      <c r="A313" s="135" t="n"/>
      <c r="B313" s="142" t="inlineStr">
        <is>
          <t>EQU20-0009</t>
        </is>
      </c>
      <c r="C313" s="691" t="inlineStr">
        <is>
          <t>LIMPIA CONCRETO</t>
        </is>
      </c>
      <c r="D313" s="692" t="inlineStr">
        <is>
          <t>UND</t>
        </is>
      </c>
      <c r="E313" s="693" t="n">
        <v>36725</v>
      </c>
      <c r="F313" s="694">
        <f>E313*$N$2</f>
        <v/>
      </c>
      <c r="G313" s="695" t="n">
        <v>0</v>
      </c>
      <c r="H313" s="696">
        <f>F313-G313</f>
        <v/>
      </c>
      <c r="I313" s="151" t="n"/>
      <c r="J313" s="152" t="n">
        <v>44692</v>
      </c>
      <c r="K313" s="692" t="inlineStr">
        <is>
          <t>REPUESTOS-COMBUSTIBLES</t>
        </is>
      </c>
    </row>
    <row r="314" ht="20.1" customHeight="1">
      <c r="A314" s="430">
        <f>_xlfn.XLOOKUP(B314,'INSUMOS MAT '!B:B,'INSUMOS MAT '!C:C,"ERROR",0)</f>
        <v/>
      </c>
      <c r="B314" s="142" t="inlineStr">
        <is>
          <t>MAT21-0037</t>
        </is>
      </c>
      <c r="C314" s="691" t="inlineStr">
        <is>
          <t>LIMPIADOR DE CERAMICA STONETECH</t>
        </is>
      </c>
      <c r="D314" s="692" t="inlineStr">
        <is>
          <t>GALON</t>
        </is>
      </c>
      <c r="E314" s="693" t="n">
        <v>13642.003</v>
      </c>
      <c r="F314" s="694">
        <f>E314*$N$2</f>
        <v/>
      </c>
      <c r="G314" s="695" t="n">
        <v>0</v>
      </c>
      <c r="H314" s="696">
        <f>F314-G314</f>
        <v/>
      </c>
      <c r="I314" s="151" t="n"/>
      <c r="J314" s="152" t="n">
        <v>44524</v>
      </c>
      <c r="K314" s="692" t="inlineStr">
        <is>
          <t>SILICONES-SELLADORES-ADITIVOS</t>
        </is>
      </c>
    </row>
    <row r="315" ht="20.1" customHeight="1">
      <c r="A315" s="135" t="n"/>
      <c r="B315" s="142" t="inlineStr">
        <is>
          <t>EQU20-0195</t>
        </is>
      </c>
      <c r="C315" s="691" t="inlineStr">
        <is>
          <t>LLANTA PARA CARRETILLO GIRATORIA</t>
        </is>
      </c>
      <c r="D315" s="692" t="inlineStr">
        <is>
          <t>UND</t>
        </is>
      </c>
      <c r="E315" s="693" t="n">
        <v>11219.635</v>
      </c>
      <c r="F315" s="694">
        <f>E315*$N$2</f>
        <v/>
      </c>
      <c r="G315" s="695" t="n">
        <v>0</v>
      </c>
      <c r="H315" s="696">
        <f>F315-G315</f>
        <v/>
      </c>
      <c r="I315" s="151" t="n"/>
      <c r="J315" s="152" t="n">
        <v>44620</v>
      </c>
      <c r="K315" s="692" t="inlineStr">
        <is>
          <t>REPUESTOS-COMBUSTIBLES</t>
        </is>
      </c>
    </row>
    <row r="316" ht="20.1" customHeight="1">
      <c r="A316" s="430">
        <f>_xlfn.XLOOKUP(B316,'INSUMOS MAT '!B:B,'INSUMOS MAT '!C:C,"ERROR",0)</f>
        <v/>
      </c>
      <c r="B316" s="142" t="inlineStr">
        <is>
          <t>MAT08-0487</t>
        </is>
      </c>
      <c r="C316" s="691" t="inlineStr">
        <is>
          <t>LLAVE COMPUERTA METALICA 2 PULGADAS</t>
        </is>
      </c>
      <c r="D316" s="692" t="inlineStr">
        <is>
          <t>UND</t>
        </is>
      </c>
      <c r="E316" s="693" t="n">
        <v>21484.125</v>
      </c>
      <c r="F316" s="694">
        <f>E316*$N$2</f>
        <v/>
      </c>
      <c r="G316" s="695" t="n">
        <v>0</v>
      </c>
      <c r="H316" s="696">
        <f>F316-G316</f>
        <v/>
      </c>
      <c r="I316" s="151" t="n"/>
      <c r="J316" s="152" t="n">
        <v>44650</v>
      </c>
      <c r="K316" s="692" t="inlineStr">
        <is>
          <t>FERRETERIA GENERAL</t>
        </is>
      </c>
    </row>
    <row r="317" ht="20.1" customHeight="1">
      <c r="A317" s="135" t="n"/>
      <c r="B317" s="142" t="inlineStr">
        <is>
          <t>MAT08-0315</t>
        </is>
      </c>
      <c r="C317" s="691" t="inlineStr">
        <is>
          <t>LLAVE CONTROL ESCUADRA 1/2 X 3/8</t>
        </is>
      </c>
      <c r="D317" s="692" t="inlineStr">
        <is>
          <t>UND</t>
        </is>
      </c>
      <c r="E317" s="693" t="n">
        <v>3333.5</v>
      </c>
      <c r="F317" s="694">
        <f>E317*$N$2</f>
        <v/>
      </c>
      <c r="G317" s="695" t="n">
        <v>0</v>
      </c>
      <c r="H317" s="696">
        <f>F317-G317</f>
        <v/>
      </c>
      <c r="I317" s="151" t="n"/>
      <c r="J317" s="152" t="n">
        <v>44692</v>
      </c>
      <c r="K317" s="692" t="inlineStr">
        <is>
          <t>FERRETERIA GENERAL</t>
        </is>
      </c>
    </row>
    <row r="318" ht="20.1" customHeight="1">
      <c r="A318" s="430">
        <f>_xlfn.XLOOKUP(B318,'INSUMOS MAT '!B:B,'INSUMOS MAT '!C:C,"ERROR",0)</f>
        <v/>
      </c>
      <c r="B318" s="142" t="inlineStr">
        <is>
          <t>MAT08-0072</t>
        </is>
      </c>
      <c r="C318" s="691" t="inlineStr">
        <is>
          <t>LLAVE  DE PASO PVC 1/2</t>
        </is>
      </c>
      <c r="D318" s="692" t="inlineStr">
        <is>
          <t>UND</t>
        </is>
      </c>
      <c r="E318" s="693" t="n">
        <v>1893.88</v>
      </c>
      <c r="F318" s="694">
        <f>E318*$N$2</f>
        <v/>
      </c>
      <c r="G318" s="695" t="n">
        <v>0</v>
      </c>
      <c r="H318" s="696">
        <f>F318-G318</f>
        <v/>
      </c>
      <c r="I318" s="151" t="n"/>
      <c r="J318" s="152" t="n">
        <v>44692</v>
      </c>
      <c r="K318" s="692" t="inlineStr">
        <is>
          <t>FERRETERIA GENERAL</t>
        </is>
      </c>
    </row>
    <row r="319" ht="20.1" customHeight="1">
      <c r="A319" s="430">
        <f>_xlfn.XLOOKUP(B319,'INSUMOS MAT '!B:B,'INSUMOS MAT '!C:C,"ERROR",0)</f>
        <v/>
      </c>
      <c r="B319" s="142" t="inlineStr">
        <is>
          <t>MAT08-0074</t>
        </is>
      </c>
      <c r="C319" s="691" t="inlineStr">
        <is>
          <t>LLAVE DE CHORRO PVC 1/2</t>
        </is>
      </c>
      <c r="D319" s="692" t="inlineStr">
        <is>
          <t>UND</t>
        </is>
      </c>
      <c r="E319" s="693" t="n">
        <v>960.5</v>
      </c>
      <c r="F319" s="694">
        <f>E319*$N$2</f>
        <v/>
      </c>
      <c r="G319" s="695" t="n">
        <v>0</v>
      </c>
      <c r="H319" s="696">
        <f>F319-G319</f>
        <v/>
      </c>
      <c r="I319" s="151" t="n"/>
      <c r="J319" s="152" t="n">
        <v>44692</v>
      </c>
      <c r="K319" s="692" t="inlineStr">
        <is>
          <t>FERRETERIA GENERAL</t>
        </is>
      </c>
    </row>
    <row r="320" ht="20.1" customHeight="1">
      <c r="A320" s="430">
        <f>_xlfn.XLOOKUP(B320,'INSUMOS MAT '!B:B,'INSUMOS MAT '!C:C,"ERROR",0)</f>
        <v/>
      </c>
      <c r="B320" s="142" t="inlineStr">
        <is>
          <t>MAT08-0075</t>
        </is>
      </c>
      <c r="C320" s="691" t="inlineStr">
        <is>
          <t>LLAVE DE CONTROL ESCUADRA 1/2 A 1/2</t>
        </is>
      </c>
      <c r="D320" s="692" t="inlineStr">
        <is>
          <t>UND</t>
        </is>
      </c>
      <c r="E320" s="693" t="n">
        <v>3667.7889</v>
      </c>
      <c r="F320" s="694">
        <f>E320*$N$2</f>
        <v/>
      </c>
      <c r="G320" s="695" t="n">
        <v>0</v>
      </c>
      <c r="H320" s="696">
        <f>F320-G320</f>
        <v/>
      </c>
      <c r="I320" s="151" t="n"/>
      <c r="J320" s="152" t="n">
        <v>44692</v>
      </c>
      <c r="K320" s="692" t="inlineStr">
        <is>
          <t>FERRETERIA GENERAL</t>
        </is>
      </c>
    </row>
    <row r="321" ht="20.1" customHeight="1">
      <c r="A321" s="430">
        <f>_xlfn.XLOOKUP(B321,'INSUMOS MAT '!B:B,'INSUMOS MAT '!C:C,"ERROR",0)</f>
        <v/>
      </c>
      <c r="B321" s="142" t="inlineStr">
        <is>
          <t>MAT08-0474</t>
        </is>
      </c>
      <c r="C321" s="691" t="inlineStr">
        <is>
          <t>LUBRICANTE PARA TUBERIA PVC</t>
        </is>
      </c>
      <c r="D321" s="692" t="inlineStr">
        <is>
          <t>UND</t>
        </is>
      </c>
      <c r="E321" s="693" t="n">
        <v>4411.52</v>
      </c>
      <c r="F321" s="694">
        <f>E321*$N$2</f>
        <v/>
      </c>
      <c r="G321" s="695" t="n">
        <v>0</v>
      </c>
      <c r="H321" s="696">
        <f>F321-G321</f>
        <v/>
      </c>
      <c r="I321" s="151" t="n"/>
      <c r="J321" s="152" t="n">
        <v>44692</v>
      </c>
      <c r="K321" s="692" t="inlineStr">
        <is>
          <t>FERRETERIA GENERAL</t>
        </is>
      </c>
    </row>
    <row r="322" ht="20.1" customHeight="1">
      <c r="A322" s="430">
        <f>_xlfn.XLOOKUP(B322,'INSUMOS MAT '!B:B,'INSUMOS MAT '!C:C,"ERROR",0)</f>
        <v/>
      </c>
      <c r="B322" s="142" t="inlineStr">
        <is>
          <t>MAT02-0010</t>
        </is>
      </c>
      <c r="C322" s="691" t="inlineStr">
        <is>
          <t>MALLA ELECTROSOLDADA #2 (5.3 MM)</t>
        </is>
      </c>
      <c r="D322" s="692" t="inlineStr">
        <is>
          <t>UND</t>
        </is>
      </c>
      <c r="E322" s="693" t="n">
        <v>25598.9249</v>
      </c>
      <c r="F322" s="694">
        <f>E322*$N$2</f>
        <v/>
      </c>
      <c r="G322" s="695" t="n">
        <v>0</v>
      </c>
      <c r="H322" s="696">
        <f>F322-G322</f>
        <v/>
      </c>
      <c r="I322" s="151" t="n"/>
      <c r="J322" s="152" t="n">
        <v>44692</v>
      </c>
      <c r="K322" s="692" t="inlineStr">
        <is>
          <t>ACEROS Y METALES</t>
        </is>
      </c>
    </row>
    <row r="323" ht="20.1" customHeight="1">
      <c r="A323" s="430">
        <f>_xlfn.XLOOKUP(B323,'INSUMOS MAT '!B:B,'INSUMOS MAT '!C:C,"ERROR",0)</f>
        <v/>
      </c>
      <c r="B323" s="142" t="inlineStr">
        <is>
          <t>MAT08-0079</t>
        </is>
      </c>
      <c r="C323" s="691" t="inlineStr">
        <is>
          <t>MANGUERA ABASTO  (1/2 A 1/2)</t>
        </is>
      </c>
      <c r="D323" s="692" t="inlineStr">
        <is>
          <t>UND</t>
        </is>
      </c>
      <c r="E323" s="693" t="n">
        <v>1678.1855</v>
      </c>
      <c r="F323" s="694">
        <f>E323*$N$2</f>
        <v/>
      </c>
      <c r="G323" s="695" t="n">
        <v>0</v>
      </c>
      <c r="H323" s="696">
        <f>F323-G323</f>
        <v/>
      </c>
      <c r="I323" s="151" t="n"/>
      <c r="J323" s="152" t="n">
        <v>44692</v>
      </c>
      <c r="K323" s="692" t="inlineStr">
        <is>
          <t>FERRETERIA GENERAL</t>
        </is>
      </c>
    </row>
    <row r="324" ht="20.1" customHeight="1">
      <c r="A324" s="430">
        <f>_xlfn.XLOOKUP(B324,'INSUMOS MAT '!B:B,'INSUMOS MAT '!C:C,"ERROR",0)</f>
        <v/>
      </c>
      <c r="B324" s="142" t="inlineStr">
        <is>
          <t>MAT08-0081</t>
        </is>
      </c>
      <c r="C324" s="691" t="inlineStr">
        <is>
          <t>MANGUERA ABASTO P/INODORO (7/8 A 1/2)</t>
        </is>
      </c>
      <c r="D324" s="692" t="inlineStr">
        <is>
          <t>UND</t>
        </is>
      </c>
      <c r="E324" s="693" t="n">
        <v>2186.5662</v>
      </c>
      <c r="F324" s="694">
        <f>E324*$N$2</f>
        <v/>
      </c>
      <c r="G324" s="695" t="n">
        <v>0</v>
      </c>
      <c r="H324" s="696">
        <f>F324-G324</f>
        <v/>
      </c>
      <c r="I324" s="151" t="n"/>
      <c r="J324" s="152" t="n">
        <v>44692</v>
      </c>
      <c r="K324" s="692" t="inlineStr">
        <is>
          <t>FERRETERIA GENERAL</t>
        </is>
      </c>
    </row>
    <row r="325" ht="20.1" customHeight="1">
      <c r="A325" s="430">
        <f>_xlfn.XLOOKUP(B325,'INSUMOS MAT '!B:B,'INSUMOS MAT '!C:C,"ERROR",0)</f>
        <v/>
      </c>
      <c r="B325" s="142" t="inlineStr">
        <is>
          <t>MAT18-0072</t>
        </is>
      </c>
      <c r="C325" s="691" t="inlineStr">
        <is>
          <t>MARCO/GUARNICION/BATIENTE TIPO COLOMBIA</t>
        </is>
      </c>
      <c r="D325" s="692" t="inlineStr">
        <is>
          <t>UND</t>
        </is>
      </c>
      <c r="E325" s="693" t="n">
        <v>46000</v>
      </c>
      <c r="F325" s="694">
        <f>E325*$N$2</f>
        <v/>
      </c>
      <c r="G325" s="695" t="n">
        <v>0</v>
      </c>
      <c r="H325" s="696">
        <f>F325-G325</f>
        <v/>
      </c>
      <c r="I325" s="151" t="n"/>
      <c r="J325" s="152" t="n">
        <v>44673</v>
      </c>
      <c r="K325" s="692" t="inlineStr">
        <is>
          <t>PUERTAS Y RODAPIE</t>
        </is>
      </c>
    </row>
    <row r="326" ht="20.1" customHeight="1">
      <c r="A326" s="430">
        <f>_xlfn.XLOOKUP(B326,'INSUMOS MAT '!B:B,'INSUMOS MAT '!C:C,"ERROR",0)</f>
        <v/>
      </c>
      <c r="B326" s="142" t="inlineStr">
        <is>
          <t>MAT18-0073</t>
        </is>
      </c>
      <c r="C326" s="691" t="inlineStr">
        <is>
          <t>MARCO/GUARNICION/BATIENTE TIPO PANAMA</t>
        </is>
      </c>
      <c r="D326" s="692" t="inlineStr">
        <is>
          <t>UND</t>
        </is>
      </c>
      <c r="E326" s="693" t="n">
        <v>46000</v>
      </c>
      <c r="F326" s="694">
        <f>E326*$N$2</f>
        <v/>
      </c>
      <c r="G326" s="695" t="n">
        <v>0</v>
      </c>
      <c r="H326" s="696">
        <f>F326-G326</f>
        <v/>
      </c>
      <c r="I326" s="151" t="n"/>
      <c r="J326" s="152" t="n">
        <v>44673</v>
      </c>
      <c r="K326" s="692" t="inlineStr">
        <is>
          <t>PUERTAS Y RODAPIE</t>
        </is>
      </c>
    </row>
    <row r="327" ht="20.1" customHeight="1">
      <c r="A327" s="430">
        <f>_xlfn.XLOOKUP(B327,'INSUMOS MAT '!B:B,'INSUMOS MAT '!C:C,"ERROR",0)</f>
        <v/>
      </c>
      <c r="B327" s="142" t="inlineStr">
        <is>
          <t>MAT05-0071</t>
        </is>
      </c>
      <c r="C327" s="691" t="inlineStr">
        <is>
          <t>MARLON ST FORWALL 8MM HUMO 1.05 X 5.90 M</t>
        </is>
      </c>
      <c r="D327" s="692" t="inlineStr">
        <is>
          <t>UND</t>
        </is>
      </c>
      <c r="E327" s="693" t="n">
        <v>100633.732</v>
      </c>
      <c r="F327" s="694">
        <f>E327*$N$2</f>
        <v/>
      </c>
      <c r="G327" s="695" t="n">
        <v>0</v>
      </c>
      <c r="H327" s="696">
        <f>F327-G327</f>
        <v/>
      </c>
      <c r="I327" s="151" t="n"/>
      <c r="J327" s="152" t="n">
        <v>44652</v>
      </c>
      <c r="K327" s="692" t="inlineStr">
        <is>
          <t>CUBIERTAS E IMPERMEBILIZANTES</t>
        </is>
      </c>
    </row>
    <row r="328" ht="20.1" customHeight="1">
      <c r="A328" s="430">
        <f>_xlfn.XLOOKUP(B328,'INSUMOS MAT '!B:B,'INSUMOS MAT '!C:C,"ERROR",0)</f>
        <v/>
      </c>
      <c r="B328" s="142" t="inlineStr">
        <is>
          <t>MAT08-0085</t>
        </is>
      </c>
      <c r="C328" s="691" t="inlineStr">
        <is>
          <t>MASKING BLANCO 2"</t>
        </is>
      </c>
      <c r="D328" s="692" t="inlineStr">
        <is>
          <t>UND</t>
        </is>
      </c>
      <c r="E328" s="693" t="n">
        <v>2382.897</v>
      </c>
      <c r="F328" s="694">
        <f>E328*$N$2</f>
        <v/>
      </c>
      <c r="G328" s="695" t="n">
        <v>0</v>
      </c>
      <c r="H328" s="696">
        <f>F328-G328</f>
        <v/>
      </c>
      <c r="I328" s="151" t="n"/>
      <c r="J328" s="152" t="n">
        <v>44692</v>
      </c>
      <c r="K328" s="692" t="inlineStr">
        <is>
          <t>FERRETERIA GENERAL</t>
        </is>
      </c>
    </row>
    <row r="329" ht="20.1" customHeight="1">
      <c r="A329" s="430">
        <f>_xlfn.XLOOKUP(B329,'INSUMOS MAT '!B:B,'INSUMOS MAT '!C:C,"ERROR",0)</f>
        <v/>
      </c>
      <c r="B329" s="142" t="inlineStr">
        <is>
          <t>MAT08-0087</t>
        </is>
      </c>
      <c r="C329" s="691" t="inlineStr">
        <is>
          <t>MASKING AZUL 2"</t>
        </is>
      </c>
      <c r="D329" s="692" t="inlineStr">
        <is>
          <t>UND</t>
        </is>
      </c>
      <c r="E329" s="693" t="n">
        <v>5472.477</v>
      </c>
      <c r="F329" s="694">
        <f>E329*$N$2</f>
        <v/>
      </c>
      <c r="G329" s="695" t="n">
        <v>0</v>
      </c>
      <c r="H329" s="696">
        <f>F329-G329</f>
        <v/>
      </c>
      <c r="I329" s="151" t="n"/>
      <c r="J329" s="152" t="n">
        <v>44692</v>
      </c>
      <c r="K329" s="692" t="inlineStr">
        <is>
          <t>FERRETERIA GENERAL</t>
        </is>
      </c>
    </row>
    <row r="330" ht="20.1" customHeight="1">
      <c r="A330" s="430">
        <f>_xlfn.XLOOKUP(B330,'INSUMOS MAT '!B:B,'INSUMOS MAT '!C:C,"ERROR",0)</f>
        <v/>
      </c>
      <c r="B330" s="142" t="inlineStr">
        <is>
          <t>MAT08-0137</t>
        </is>
      </c>
      <c r="C330" s="691" t="inlineStr">
        <is>
          <t>MASKING AZUL 3/4"</t>
        </is>
      </c>
      <c r="D330" s="692" t="inlineStr">
        <is>
          <t>UND</t>
        </is>
      </c>
      <c r="E330" s="693" t="n">
        <v>1899.4825</v>
      </c>
      <c r="F330" s="694">
        <f>E330*$N$2</f>
        <v/>
      </c>
      <c r="G330" s="695" t="n">
        <v>0</v>
      </c>
      <c r="H330" s="696">
        <f>F330-G330</f>
        <v/>
      </c>
      <c r="I330" s="151" t="n"/>
      <c r="J330" s="152" t="n">
        <v>44692</v>
      </c>
      <c r="K330" s="692" t="inlineStr">
        <is>
          <t>FERRETERIA GENERAL</t>
        </is>
      </c>
    </row>
    <row r="331" ht="20.1" customHeight="1">
      <c r="A331" s="430">
        <f>_xlfn.XLOOKUP(B331,'INSUMOS MAT '!B:B,'INSUMOS MAT '!C:C,"ERROR",0)</f>
        <v/>
      </c>
      <c r="B331" s="142" t="inlineStr">
        <is>
          <t>MAT05-0104</t>
        </is>
      </c>
      <c r="C331" s="691" t="inlineStr">
        <is>
          <t>MASTERSEAL HLM 5000</t>
        </is>
      </c>
      <c r="D331" s="692" t="inlineStr">
        <is>
          <t>CUB</t>
        </is>
      </c>
      <c r="E331" s="693" t="n">
        <v>92311.11</v>
      </c>
      <c r="F331" s="694">
        <f>E331*$N$2</f>
        <v/>
      </c>
      <c r="G331" s="695" t="n">
        <v>0</v>
      </c>
      <c r="H331" s="696">
        <f>F331-G331</f>
        <v/>
      </c>
      <c r="I331" s="151" t="n"/>
      <c r="J331" s="152" t="n">
        <v>44692</v>
      </c>
      <c r="K331" s="692" t="inlineStr">
        <is>
          <t>CUBIERTAS E IMPERMEBILIZANTES</t>
        </is>
      </c>
    </row>
    <row r="332" ht="20.1" customHeight="1">
      <c r="A332" s="430">
        <f>_xlfn.XLOOKUP(B332,'INSUMOS MAT '!B:B,'INSUMOS MAT '!C:C,"ERROR",0)</f>
        <v/>
      </c>
      <c r="B332" s="142" t="inlineStr">
        <is>
          <t>MAT21-0022</t>
        </is>
      </c>
      <c r="C332" s="691" t="inlineStr">
        <is>
          <t>MAXICLEAR BRILLANTE</t>
        </is>
      </c>
      <c r="D332" s="692" t="inlineStr">
        <is>
          <t>GALON</t>
        </is>
      </c>
      <c r="E332" s="693" t="n">
        <v>19097</v>
      </c>
      <c r="F332" s="694">
        <f>E332*$N$2</f>
        <v/>
      </c>
      <c r="G332" s="695" t="n">
        <v>0</v>
      </c>
      <c r="H332" s="696">
        <f>F332-G332</f>
        <v/>
      </c>
      <c r="I332" s="151" t="n"/>
      <c r="J332" s="152" t="n">
        <v>44692</v>
      </c>
      <c r="K332" s="692" t="inlineStr">
        <is>
          <t>SILICONES-SELLADORES-ADITIVOS</t>
        </is>
      </c>
    </row>
    <row r="333" ht="20.1" customHeight="1">
      <c r="A333" s="430">
        <f>_xlfn.XLOOKUP(B333,'INSUMOS MAT '!B:B,'INSUMOS MAT '!C:C,"ERROR",0)</f>
        <v/>
      </c>
      <c r="B333" s="142" t="inlineStr">
        <is>
          <t>MAT21-0007</t>
        </is>
      </c>
      <c r="C333" s="691" t="inlineStr">
        <is>
          <t>MAXICRIL ADHESIVO</t>
        </is>
      </c>
      <c r="D333" s="692" t="inlineStr">
        <is>
          <t>GALON</t>
        </is>
      </c>
      <c r="E333" s="693" t="n">
        <v>12009.3012</v>
      </c>
      <c r="F333" s="694">
        <f>E333*$N$2</f>
        <v/>
      </c>
      <c r="G333" s="695" t="n">
        <v>0</v>
      </c>
      <c r="H333" s="696">
        <f>F333-G333</f>
        <v/>
      </c>
      <c r="I333" s="151" t="n"/>
      <c r="J333" s="152" t="n">
        <v>44692</v>
      </c>
      <c r="K333" s="692" t="inlineStr">
        <is>
          <t>SILICONES-SELLADORES-ADITIVOS</t>
        </is>
      </c>
    </row>
    <row r="334" ht="20.1" customHeight="1">
      <c r="A334" s="430">
        <f>_xlfn.XLOOKUP(B334,'INSUMOS MAT '!B:B,'INSUMOS MAT '!C:C,"ERROR",0)</f>
        <v/>
      </c>
      <c r="B334" s="142" t="inlineStr">
        <is>
          <t>MAT04-0048</t>
        </is>
      </c>
      <c r="C334" s="691" t="inlineStr">
        <is>
          <t>MAXIEMPASTE EXTRA LISO 18KG</t>
        </is>
      </c>
      <c r="D334" s="692" t="inlineStr">
        <is>
          <t>SACO</t>
        </is>
      </c>
      <c r="E334" s="693" t="n">
        <v>6559.4466</v>
      </c>
      <c r="F334" s="694">
        <f>E334*$N$2</f>
        <v/>
      </c>
      <c r="G334" s="695" t="n">
        <v>0</v>
      </c>
      <c r="H334" s="696">
        <f>F334-G334</f>
        <v/>
      </c>
      <c r="I334" s="151" t="n"/>
      <c r="J334" s="152" t="n">
        <v>44692</v>
      </c>
      <c r="K334" s="692" t="inlineStr">
        <is>
          <t>CONCRETOS CEMENTOS Y MORTEROS</t>
        </is>
      </c>
    </row>
    <row r="335">
      <c r="A335" s="430">
        <f>_xlfn.XLOOKUP(B335,'INSUMOS MAT '!B:B,'INSUMOS MAT '!C:C,"ERROR",0)</f>
        <v/>
      </c>
      <c r="B335" s="142" t="inlineStr">
        <is>
          <t>MAT04-0042</t>
        </is>
      </c>
      <c r="C335" s="691" t="inlineStr">
        <is>
          <t>MAXISEAL PLUS BLANCO</t>
        </is>
      </c>
      <c r="D335" s="692" t="inlineStr">
        <is>
          <t>SACO</t>
        </is>
      </c>
      <c r="E335" s="693" t="n">
        <v>36836.52</v>
      </c>
      <c r="F335" s="694">
        <f>E335*$N$2</f>
        <v/>
      </c>
      <c r="G335" s="695" t="n">
        <v>0</v>
      </c>
      <c r="H335" s="696">
        <f>F335-G335</f>
        <v/>
      </c>
      <c r="I335" s="151" t="n"/>
      <c r="J335" s="152" t="n">
        <v>44692</v>
      </c>
      <c r="K335" s="692" t="inlineStr">
        <is>
          <t>CONCRETOS CEMENTOS Y MORTEROS</t>
        </is>
      </c>
    </row>
    <row r="336" ht="20.1" customHeight="1">
      <c r="A336" s="430">
        <f>_xlfn.XLOOKUP(B336,'INSUMOS MAT '!B:B,'INSUMOS MAT '!C:C,"ERROR",0)</f>
        <v/>
      </c>
      <c r="B336" s="142" t="inlineStr">
        <is>
          <t>MAT08-0091</t>
        </is>
      </c>
      <c r="C336" s="691" t="inlineStr">
        <is>
          <t>MECHA BLANCA</t>
        </is>
      </c>
      <c r="D336" s="692" t="inlineStr">
        <is>
          <t>KG</t>
        </is>
      </c>
      <c r="E336" s="693" t="n">
        <v>3161.0907</v>
      </c>
      <c r="F336" s="694">
        <f>E336*$N$2</f>
        <v/>
      </c>
      <c r="G336" s="695" t="n">
        <v>0</v>
      </c>
      <c r="H336" s="696">
        <f>F336-G336</f>
        <v/>
      </c>
      <c r="I336" s="151" t="n"/>
      <c r="J336" s="152" t="n">
        <v>44692</v>
      </c>
      <c r="K336" s="692" t="inlineStr">
        <is>
          <t>FERRETERIA GENERAL</t>
        </is>
      </c>
    </row>
    <row r="337" ht="20.1" customHeight="1">
      <c r="A337" s="430">
        <f>_xlfn.XLOOKUP(B337,'INSUMOS MAT '!B:B,'INSUMOS MAT '!C:C,"ERROR",0)</f>
        <v/>
      </c>
      <c r="B337" s="142" t="inlineStr">
        <is>
          <t>MAT14-0001</t>
        </is>
      </c>
      <c r="C337" s="691" t="inlineStr">
        <is>
          <t>MELAMINA</t>
        </is>
      </c>
      <c r="D337" s="692" t="inlineStr">
        <is>
          <t>UND</t>
        </is>
      </c>
      <c r="E337" s="693" t="n">
        <v>42401.6851</v>
      </c>
      <c r="F337" s="694">
        <f>E337*$N$2</f>
        <v/>
      </c>
      <c r="G337" s="695" t="n">
        <v>0</v>
      </c>
      <c r="H337" s="696">
        <f>F337-G337</f>
        <v/>
      </c>
      <c r="I337" s="151" t="n"/>
      <c r="J337" s="152" t="n">
        <v>44692</v>
      </c>
      <c r="K337" s="692" t="inlineStr">
        <is>
          <t>MUEBLES</t>
        </is>
      </c>
    </row>
    <row r="338" ht="20.1" customHeight="1">
      <c r="A338" s="430">
        <f>_xlfn.XLOOKUP(B338,'INSUMOS MAT '!B:B,'INSUMOS MAT '!C:C,"ERROR",0)</f>
        <v/>
      </c>
      <c r="B338" s="142" t="inlineStr">
        <is>
          <t>MAT14-0011</t>
        </is>
      </c>
      <c r="C338" s="691" t="inlineStr">
        <is>
          <t>MELAMINA COIG CHOCOLATE SW AMTK 18X1830X2500</t>
        </is>
      </c>
      <c r="D338" s="692" t="inlineStr">
        <is>
          <t>UND</t>
        </is>
      </c>
      <c r="E338" s="693" t="n">
        <v>42408.9</v>
      </c>
      <c r="F338" s="694">
        <f>E338*$N$2</f>
        <v/>
      </c>
      <c r="G338" s="695" t="n">
        <v>0</v>
      </c>
      <c r="H338" s="696">
        <f>F338-G338</f>
        <v/>
      </c>
      <c r="I338" s="151" t="n"/>
      <c r="J338" s="152" t="n">
        <v>44692</v>
      </c>
      <c r="K338" s="692" t="inlineStr">
        <is>
          <t>MUEBLES</t>
        </is>
      </c>
    </row>
    <row r="339" ht="20.1" customHeight="1">
      <c r="A339" s="430">
        <f>_xlfn.XLOOKUP(B339,'INSUMOS MAT '!B:B,'INSUMOS MAT '!C:C,"ERROR",0)</f>
        <v/>
      </c>
      <c r="B339" s="142" t="inlineStr">
        <is>
          <t>MAT08-0092</t>
        </is>
      </c>
      <c r="C339" s="691" t="inlineStr">
        <is>
          <t>MERULA C/CATALIZADOR</t>
        </is>
      </c>
      <c r="D339" s="692" t="inlineStr">
        <is>
          <t>1/4 DE GALON</t>
        </is>
      </c>
      <c r="E339" s="693" t="n">
        <v>4899.9964</v>
      </c>
      <c r="F339" s="694">
        <f>E339*$N$2</f>
        <v/>
      </c>
      <c r="G339" s="695" t="n">
        <v>0</v>
      </c>
      <c r="H339" s="696">
        <f>F339-G339</f>
        <v/>
      </c>
      <c r="I339" s="151" t="n"/>
      <c r="J339" s="152" t="n">
        <v>44692</v>
      </c>
      <c r="K339" s="692" t="inlineStr">
        <is>
          <t>FERRETERIA GENERAL</t>
        </is>
      </c>
    </row>
    <row r="340" ht="20.1" customHeight="1">
      <c r="A340" s="430">
        <f>_xlfn.XLOOKUP(B340,'INSUMOS MAT '!B:B,'INSUMOS MAT '!C:C,"ERROR",0)</f>
        <v/>
      </c>
      <c r="B340" s="142" t="inlineStr">
        <is>
          <t>MAT08-0093</t>
        </is>
      </c>
      <c r="C340" s="691" t="inlineStr">
        <is>
          <t>MOLDURA J PLASTICA 1/2 X 10</t>
        </is>
      </c>
      <c r="D340" s="692" t="inlineStr">
        <is>
          <t>UND</t>
        </is>
      </c>
      <c r="E340" s="693" t="n">
        <v>1037.34</v>
      </c>
      <c r="F340" s="694">
        <f>E340*$N$2</f>
        <v/>
      </c>
      <c r="G340" s="695" t="n">
        <v>0</v>
      </c>
      <c r="H340" s="696">
        <f>F340-G340</f>
        <v/>
      </c>
      <c r="I340" s="151" t="n"/>
      <c r="J340" s="152" t="n">
        <v>44692</v>
      </c>
      <c r="K340" s="692" t="inlineStr">
        <is>
          <t>FERRETERIA GENERAL</t>
        </is>
      </c>
    </row>
    <row r="341" ht="20.1" customHeight="1">
      <c r="A341" s="430">
        <f>_xlfn.XLOOKUP(B341,'INSUMOS MAT '!B:B,'INSUMOS MAT '!C:C,"ERROR",0)</f>
        <v/>
      </c>
      <c r="B341" s="142" t="inlineStr">
        <is>
          <t>MAT04-0013</t>
        </is>
      </c>
      <c r="C341" s="691" t="inlineStr">
        <is>
          <t>MORTERO DE REPARACION MR250 SUR</t>
        </is>
      </c>
      <c r="D341" s="692" t="inlineStr">
        <is>
          <t>UND</t>
        </is>
      </c>
      <c r="E341" s="693" t="n">
        <v>9195</v>
      </c>
      <c r="F341" s="694">
        <f>E341*$N$2</f>
        <v/>
      </c>
      <c r="G341" s="695" t="n">
        <v>0</v>
      </c>
      <c r="H341" s="696">
        <f>F341-G341</f>
        <v/>
      </c>
      <c r="I341" s="151" t="n"/>
      <c r="J341" s="152" t="n">
        <v>44692</v>
      </c>
      <c r="K341" s="692" t="inlineStr">
        <is>
          <t>CONCRETOS CEMENTOS Y MORTEROS</t>
        </is>
      </c>
    </row>
    <row r="342" ht="20.1" customHeight="1">
      <c r="A342" s="430">
        <f>_xlfn.XLOOKUP(B342,'INSUMOS MAT '!B:B,'INSUMOS MAT '!C:C,"ERROR",0)</f>
        <v/>
      </c>
      <c r="B342" s="142" t="inlineStr">
        <is>
          <t>MAT04-0046</t>
        </is>
      </c>
      <c r="C342" s="691" t="inlineStr">
        <is>
          <t>MORTERO REPEMAX MURO SECO BASE COAT 25KG</t>
        </is>
      </c>
      <c r="D342" s="692" t="inlineStr">
        <is>
          <t>SACO</t>
        </is>
      </c>
      <c r="E342" s="693" t="n">
        <v>5950.0037</v>
      </c>
      <c r="F342" s="694">
        <f>E342*$N$2</f>
        <v/>
      </c>
      <c r="G342" s="695" t="n">
        <v>0</v>
      </c>
      <c r="H342" s="696">
        <f>F342-G342</f>
        <v/>
      </c>
      <c r="I342" s="151" t="n"/>
      <c r="J342" s="152" t="n">
        <v>44692</v>
      </c>
      <c r="K342" s="692" t="inlineStr">
        <is>
          <t>CONCRETOS CEMENTOS Y MORTEROS</t>
        </is>
      </c>
    </row>
    <row r="343" ht="20.1" customHeight="1">
      <c r="A343" s="430">
        <f>_xlfn.XLOOKUP(B343,'INSUMOS MAT '!B:B,'INSUMOS MAT '!C:C,"ERROR",0)</f>
        <v/>
      </c>
      <c r="B343" s="142" t="inlineStr">
        <is>
          <t>MAT08-0094</t>
        </is>
      </c>
      <c r="C343" s="691" t="inlineStr">
        <is>
          <t>NIPLE 1/2X3 H.G.</t>
        </is>
      </c>
      <c r="D343" s="692" t="inlineStr">
        <is>
          <t>UND</t>
        </is>
      </c>
      <c r="E343" s="693" t="n">
        <v>307.8989</v>
      </c>
      <c r="F343" s="694">
        <f>E343*$N$2</f>
        <v/>
      </c>
      <c r="G343" s="695" t="n">
        <v>0</v>
      </c>
      <c r="H343" s="696">
        <f>F343-G343</f>
        <v/>
      </c>
      <c r="I343" s="151" t="n"/>
      <c r="J343" s="152" t="n">
        <v>44692</v>
      </c>
      <c r="K343" s="692" t="inlineStr">
        <is>
          <t>FERRETERIA GENERAL</t>
        </is>
      </c>
    </row>
    <row r="344" ht="20.1" customHeight="1">
      <c r="A344" s="430">
        <f>_xlfn.XLOOKUP(B344,'INSUMOS MAT '!B:B,'INSUMOS MAT '!C:C,"ERROR",0)</f>
        <v/>
      </c>
      <c r="B344" s="142" t="inlineStr">
        <is>
          <t>MAT08-0095</t>
        </is>
      </c>
      <c r="C344" s="691" t="inlineStr">
        <is>
          <t>NIPLE 1/2X4 HG</t>
        </is>
      </c>
      <c r="D344" s="692" t="inlineStr">
        <is>
          <t>UND</t>
        </is>
      </c>
      <c r="E344" s="693" t="n">
        <v>328.88</v>
      </c>
      <c r="F344" s="694">
        <f>E344*$N$2</f>
        <v/>
      </c>
      <c r="G344" s="695" t="n">
        <v>0</v>
      </c>
      <c r="H344" s="696">
        <f>F344-G344</f>
        <v/>
      </c>
      <c r="I344" s="151" t="n"/>
      <c r="J344" s="152" t="n">
        <v>44692</v>
      </c>
      <c r="K344" s="692" t="inlineStr">
        <is>
          <t>FERRETERIA GENERAL</t>
        </is>
      </c>
    </row>
    <row r="345" ht="20.1" customHeight="1">
      <c r="A345" s="135" t="n"/>
      <c r="B345" s="142" t="inlineStr">
        <is>
          <t>AUX10-0347</t>
        </is>
      </c>
      <c r="C345" s="691" t="inlineStr">
        <is>
          <t>PALO PARA ESCOBA REPUESTO</t>
        </is>
      </c>
      <c r="D345" s="692" t="inlineStr">
        <is>
          <t>UND</t>
        </is>
      </c>
      <c r="E345" s="693" t="n">
        <v>1316.518</v>
      </c>
      <c r="F345" s="694">
        <f>E345*$N$2</f>
        <v/>
      </c>
      <c r="G345" s="695" t="n">
        <v>0</v>
      </c>
      <c r="H345" s="696">
        <f>F345-G345</f>
        <v/>
      </c>
      <c r="I345" s="151" t="n"/>
      <c r="J345" s="152" t="n">
        <v>44676</v>
      </c>
      <c r="K345" s="692" t="inlineStr">
        <is>
          <t>GENERALES</t>
        </is>
      </c>
    </row>
    <row r="346" ht="20.1" customHeight="1">
      <c r="A346" s="430">
        <f>_xlfn.XLOOKUP(B346,'INSUMOS MAT '!B:B,'INSUMOS MAT '!C:C,"ERROR",0)</f>
        <v/>
      </c>
      <c r="B346" s="142" t="inlineStr">
        <is>
          <t>MAT08-0098</t>
        </is>
      </c>
      <c r="C346" s="691" t="inlineStr">
        <is>
          <t>PAPEL COVERTOR 9"</t>
        </is>
      </c>
      <c r="D346" s="692" t="inlineStr">
        <is>
          <t>ROLLO</t>
        </is>
      </c>
      <c r="E346" s="693" t="n">
        <v>1764.494</v>
      </c>
      <c r="F346" s="694">
        <f>E346*$N$2</f>
        <v/>
      </c>
      <c r="G346" s="695" t="n">
        <v>0</v>
      </c>
      <c r="H346" s="696">
        <f>F346-G346</f>
        <v/>
      </c>
      <c r="I346" s="151" t="n"/>
      <c r="J346" s="152" t="n">
        <v>44692</v>
      </c>
      <c r="K346" s="692" t="inlineStr">
        <is>
          <t>FERRETERIA GENERAL</t>
        </is>
      </c>
    </row>
    <row r="347" ht="20.1" customHeight="1">
      <c r="A347" s="430">
        <f>_xlfn.XLOOKUP(B347,'INSUMOS MAT '!B:B,'INSUMOS MAT '!C:C,"ERROR",0)</f>
        <v/>
      </c>
      <c r="B347" s="142" t="inlineStr">
        <is>
          <t>MAT07-0033</t>
        </is>
      </c>
      <c r="C347" s="691" t="inlineStr">
        <is>
          <t>PASTA RAPIDA 45</t>
        </is>
      </c>
      <c r="D347" s="692" t="inlineStr">
        <is>
          <t>SACO</t>
        </is>
      </c>
      <c r="E347" s="693" t="n">
        <v>9647.498600000001</v>
      </c>
      <c r="F347" s="694">
        <f>E347*$N$2</f>
        <v/>
      </c>
      <c r="G347" s="695" t="n">
        <v>0</v>
      </c>
      <c r="H347" s="696">
        <f>F347-G347</f>
        <v/>
      </c>
      <c r="I347" s="151" t="n"/>
      <c r="J347" s="152" t="n">
        <v>44692</v>
      </c>
      <c r="K347" s="692" t="inlineStr">
        <is>
          <t>ESTRUCTURA LIVIANA</t>
        </is>
      </c>
    </row>
    <row r="348" ht="20.1" customHeight="1">
      <c r="A348" s="430">
        <f>_xlfn.XLOOKUP(B348,'INSUMOS MAT '!B:B,'INSUMOS MAT '!C:C,"ERROR",0)</f>
        <v/>
      </c>
      <c r="B348" s="142" t="inlineStr">
        <is>
          <t>MAT07-0015</t>
        </is>
      </c>
      <c r="C348" s="691" t="inlineStr">
        <is>
          <t>PASTA P/GYPSUM</t>
        </is>
      </c>
      <c r="D348" s="692" t="inlineStr">
        <is>
          <t>CUBETA</t>
        </is>
      </c>
      <c r="E348" s="693" t="n">
        <v>19191.015</v>
      </c>
      <c r="F348" s="694">
        <f>E348*$N$2</f>
        <v/>
      </c>
      <c r="G348" s="695" t="n">
        <v>0</v>
      </c>
      <c r="H348" s="696">
        <f>F348-G348</f>
        <v/>
      </c>
      <c r="I348" s="151" t="n"/>
      <c r="J348" s="152" t="n">
        <v>44692</v>
      </c>
      <c r="K348" s="692" t="inlineStr">
        <is>
          <t>ESTRUCTURA LIVIANA</t>
        </is>
      </c>
    </row>
    <row r="349" ht="20.1" customHeight="1">
      <c r="A349" s="430">
        <f>_xlfn.XLOOKUP(B349,'INSUMOS MAT '!B:B,'INSUMOS MAT '!C:C,"ERROR",0)</f>
        <v/>
      </c>
      <c r="B349" s="142" t="inlineStr">
        <is>
          <t>MAT14-0013</t>
        </is>
      </c>
      <c r="C349" s="691" t="inlineStr">
        <is>
          <t>PATA NIVELA PLASTICO AL135A</t>
        </is>
      </c>
      <c r="D349" s="692" t="inlineStr">
        <is>
          <t>UND</t>
        </is>
      </c>
      <c r="E349" s="693" t="n">
        <v>207.6375</v>
      </c>
      <c r="F349" s="694">
        <f>E349*$N$2</f>
        <v/>
      </c>
      <c r="G349" s="695" t="n">
        <v>0</v>
      </c>
      <c r="H349" s="696">
        <f>F349-G349</f>
        <v/>
      </c>
      <c r="I349" s="151" t="n"/>
      <c r="J349" s="152" t="n">
        <v>44692</v>
      </c>
      <c r="K349" s="692" t="inlineStr">
        <is>
          <t>MUEBLES</t>
        </is>
      </c>
    </row>
    <row r="350">
      <c r="A350" s="430">
        <f>_xlfn.XLOOKUP(B350,'INSUMOS MAT '!B:B,'INSUMOS MAT '!C:C,"ERROR",0)</f>
        <v/>
      </c>
      <c r="B350" s="142" t="inlineStr">
        <is>
          <t>MAT14-0053</t>
        </is>
      </c>
      <c r="C350" s="691" t="inlineStr">
        <is>
          <t>PATA REDONDA 90CM</t>
        </is>
      </c>
      <c r="D350" s="692" t="inlineStr">
        <is>
          <t>UND</t>
        </is>
      </c>
      <c r="E350" s="693" t="n">
        <v>9902.4046</v>
      </c>
      <c r="F350" s="694">
        <f>E350*$N$2</f>
        <v/>
      </c>
      <c r="G350" s="695" t="n">
        <v>0</v>
      </c>
      <c r="H350" s="696">
        <f>F350-G350</f>
        <v/>
      </c>
      <c r="I350" s="151" t="n"/>
      <c r="J350" s="152" t="n">
        <v>44692</v>
      </c>
      <c r="K350" s="692" t="inlineStr">
        <is>
          <t>MUEBLES</t>
        </is>
      </c>
    </row>
    <row r="351" ht="20.1" customHeight="1">
      <c r="A351" s="430">
        <f>_xlfn.XLOOKUP(B351,'INSUMOS MAT '!B:B,'INSUMOS MAT '!C:C,"ERROR",0)</f>
        <v/>
      </c>
      <c r="B351" s="142" t="inlineStr">
        <is>
          <t>MAT04-0040</t>
        </is>
      </c>
      <c r="C351" s="691" t="inlineStr">
        <is>
          <t>PEGA BLOCK TIPO N INTACO</t>
        </is>
      </c>
      <c r="D351" s="692" t="inlineStr">
        <is>
          <t>SACO</t>
        </is>
      </c>
      <c r="E351" s="693" t="n">
        <v>3040.65</v>
      </c>
      <c r="F351" s="694">
        <f>E351*$N$2</f>
        <v/>
      </c>
      <c r="G351" s="695" t="n">
        <v>0</v>
      </c>
      <c r="H351" s="696">
        <f>F351-G351</f>
        <v/>
      </c>
      <c r="I351" s="151" t="n"/>
      <c r="J351" s="152" t="n">
        <v>44671</v>
      </c>
      <c r="K351" s="692" t="inlineStr">
        <is>
          <t>CONCRETOS CEMENTOS Y MORTEROS</t>
        </is>
      </c>
    </row>
    <row r="352" ht="20.1" customHeight="1">
      <c r="A352" s="430">
        <f>_xlfn.XLOOKUP(B352,'INSUMOS MAT '!B:B,'INSUMOS MAT '!C:C,"ERROR",0)</f>
        <v/>
      </c>
      <c r="B352" s="142" t="inlineStr">
        <is>
          <t>MAT21-0009</t>
        </is>
      </c>
      <c r="C352" s="691" t="inlineStr">
        <is>
          <t>PEGAMENTO  PVC AZUL WETBONDING</t>
        </is>
      </c>
      <c r="D352" s="692" t="inlineStr">
        <is>
          <t>1/8 DE GALON</t>
        </is>
      </c>
      <c r="E352" s="693" t="n">
        <v>3333.894</v>
      </c>
      <c r="F352" s="694">
        <f>E352*$N$2</f>
        <v/>
      </c>
      <c r="G352" s="695" t="n">
        <v>0</v>
      </c>
      <c r="H352" s="696">
        <f>F352-G352</f>
        <v/>
      </c>
      <c r="I352" s="151" t="n"/>
      <c r="J352" s="152" t="n">
        <v>44692</v>
      </c>
      <c r="K352" s="692" t="inlineStr">
        <is>
          <t>SILICONES-SELLADORES-ADITIVOS</t>
        </is>
      </c>
    </row>
    <row r="353" ht="20.1" customHeight="1">
      <c r="A353" s="430">
        <f>_xlfn.XLOOKUP(B353,'INSUMOS MAT '!B:B,'INSUMOS MAT '!C:C,"ERROR",0)</f>
        <v/>
      </c>
      <c r="B353" s="142" t="inlineStr">
        <is>
          <t>MAT21-0010</t>
        </is>
      </c>
      <c r="C353" s="691" t="inlineStr">
        <is>
          <t>PEGAMENTO DE CONTACTO</t>
        </is>
      </c>
      <c r="D353" s="692" t="inlineStr">
        <is>
          <t>GALON</t>
        </is>
      </c>
      <c r="E353" s="693" t="n">
        <v>2500.0007</v>
      </c>
      <c r="F353" s="694">
        <f>E353*$N$2</f>
        <v/>
      </c>
      <c r="G353" s="695" t="n">
        <v>0</v>
      </c>
      <c r="H353" s="696">
        <f>F353-G353</f>
        <v/>
      </c>
      <c r="I353" s="151" t="n"/>
      <c r="J353" s="152" t="n">
        <v>44487</v>
      </c>
      <c r="K353" s="692" t="inlineStr">
        <is>
          <t>SILICONES-SELLADORES-ADITIVOS</t>
        </is>
      </c>
    </row>
    <row r="354" ht="20.1" customHeight="1">
      <c r="A354" s="430">
        <f>_xlfn.XLOOKUP(B354,'INSUMOS MAT '!B:B,'INSUMOS MAT '!C:C,"ERROR",0)</f>
        <v/>
      </c>
      <c r="B354" s="142" t="inlineStr">
        <is>
          <t>MAT21-0012</t>
        </is>
      </c>
      <c r="C354" s="691" t="inlineStr">
        <is>
          <t>PEGAMENTO CONTACTO 1/32</t>
        </is>
      </c>
      <c r="D354" s="692" t="inlineStr">
        <is>
          <t>UND</t>
        </is>
      </c>
      <c r="E354" s="693" t="n">
        <v>2200</v>
      </c>
      <c r="F354" s="694">
        <f>E354*$N$2</f>
        <v/>
      </c>
      <c r="G354" s="695" t="n">
        <v>0</v>
      </c>
      <c r="H354" s="696">
        <f>F354-G354</f>
        <v/>
      </c>
      <c r="I354" s="151" t="n"/>
      <c r="J354" s="152" t="n">
        <v>44624</v>
      </c>
      <c r="K354" s="692" t="inlineStr">
        <is>
          <t>SILICONES-SELLADORES-ADITIVOS</t>
        </is>
      </c>
    </row>
    <row r="355" ht="20.1" customHeight="1">
      <c r="A355" s="430">
        <f>_xlfn.XLOOKUP(B355,'INSUMOS MAT '!B:B,'INSUMOS MAT '!C:C,"ERROR",0)</f>
        <v/>
      </c>
      <c r="B355" s="142" t="inlineStr">
        <is>
          <t>MAT21-0014</t>
        </is>
      </c>
      <c r="C355" s="691" t="inlineStr">
        <is>
          <t>PEGAMENTO PVC AZUL WETBONDING (DOBLE PROPOSITO)</t>
        </is>
      </c>
      <c r="D355" s="692" t="inlineStr">
        <is>
          <t>1/4 DE GALON</t>
        </is>
      </c>
      <c r="E355" s="693" t="n">
        <v>10025.46</v>
      </c>
      <c r="F355" s="694">
        <f>E355*$N$2</f>
        <v/>
      </c>
      <c r="G355" s="695" t="n">
        <v>0</v>
      </c>
      <c r="H355" s="696">
        <f>F355-G355</f>
        <v/>
      </c>
      <c r="I355" s="151" t="n"/>
      <c r="J355" s="152" t="n">
        <v>44692</v>
      </c>
      <c r="K355" s="692" t="inlineStr">
        <is>
          <t>SILICONES-SELLADORES-ADITIVOS</t>
        </is>
      </c>
    </row>
    <row r="356">
      <c r="A356" s="430">
        <f>_xlfn.XLOOKUP(B356,'INSUMOS MAT '!B:B,'INSUMOS MAT '!C:C,"ERROR",0)</f>
        <v/>
      </c>
      <c r="B356" s="142" t="inlineStr">
        <is>
          <t>MAT02-0161</t>
        </is>
      </c>
      <c r="C356" s="691" t="inlineStr">
        <is>
          <t>PERLING 2X3X2.2MM HG</t>
        </is>
      </c>
      <c r="D356" s="692" t="inlineStr">
        <is>
          <t>UND</t>
        </is>
      </c>
      <c r="E356" s="693" t="n">
        <v>10669.9905</v>
      </c>
      <c r="F356" s="694">
        <f>E356*$N$2</f>
        <v/>
      </c>
      <c r="G356" s="695" t="n">
        <v>0</v>
      </c>
      <c r="H356" s="696">
        <f>F356-G356</f>
        <v/>
      </c>
      <c r="I356" s="151" t="n"/>
      <c r="J356" s="152" t="n">
        <v>44614</v>
      </c>
      <c r="K356" s="692" t="inlineStr">
        <is>
          <t>ACEROS Y METALES</t>
        </is>
      </c>
    </row>
    <row r="357">
      <c r="A357" s="430">
        <f>_xlfn.XLOOKUP(B357,'INSUMOS MAT '!B:B,'INSUMOS MAT '!C:C,"ERROR",0)</f>
        <v/>
      </c>
      <c r="B357" s="142" t="inlineStr">
        <is>
          <t>MAT02-0038</t>
        </is>
      </c>
      <c r="C357" s="691" t="inlineStr">
        <is>
          <t>PERLING 3X2X15MM EN 1.5MM H.G</t>
        </is>
      </c>
      <c r="D357" s="692" t="inlineStr">
        <is>
          <t>UND</t>
        </is>
      </c>
      <c r="E357" s="693" t="n">
        <v>15377.1759</v>
      </c>
      <c r="F357" s="694">
        <f>E357*$N$2</f>
        <v/>
      </c>
      <c r="G357" s="695" t="n">
        <v>0</v>
      </c>
      <c r="H357" s="696">
        <f>F357-G357</f>
        <v/>
      </c>
      <c r="I357" s="151" t="n"/>
      <c r="J357" s="152" t="n">
        <v>44692</v>
      </c>
      <c r="K357" s="692" t="inlineStr">
        <is>
          <t>ACEROS Y METALES</t>
        </is>
      </c>
    </row>
    <row r="358" ht="20.1" customHeight="1">
      <c r="A358" s="135" t="n"/>
      <c r="B358" s="142" t="inlineStr">
        <is>
          <t>MAT08-0192</t>
        </is>
      </c>
      <c r="C358" s="691" t="inlineStr">
        <is>
          <t>PERNO 1/2X3 3/4 TIPO HILTI</t>
        </is>
      </c>
      <c r="D358" s="692" t="inlineStr">
        <is>
          <t>UND</t>
        </is>
      </c>
      <c r="E358" s="693" t="n">
        <v>118.9889</v>
      </c>
      <c r="F358" s="694">
        <f>E358*$N$2</f>
        <v/>
      </c>
      <c r="G358" s="695" t="n">
        <v>0</v>
      </c>
      <c r="H358" s="696">
        <f>F358-G358</f>
        <v/>
      </c>
      <c r="I358" s="151" t="n"/>
      <c r="J358" s="152" t="n">
        <v>44692</v>
      </c>
      <c r="K358" s="692" t="inlineStr">
        <is>
          <t>FERRETERIA GENERAL</t>
        </is>
      </c>
    </row>
    <row r="359" ht="20.1" customHeight="1">
      <c r="A359" s="430">
        <f>_xlfn.XLOOKUP(B359,'INSUMOS MAT '!B:B,'INSUMOS MAT '!C:C,"ERROR",0)</f>
        <v/>
      </c>
      <c r="B359" s="142" t="inlineStr">
        <is>
          <t>MAT08-0191</t>
        </is>
      </c>
      <c r="C359" s="691" t="inlineStr">
        <is>
          <t>PERNO 3/8X3 3/4 TIPO HILTI</t>
        </is>
      </c>
      <c r="D359" s="692" t="inlineStr">
        <is>
          <t>UND</t>
        </is>
      </c>
      <c r="E359" s="693" t="n">
        <v>236.45</v>
      </c>
      <c r="F359" s="694">
        <f>E359*$N$2</f>
        <v/>
      </c>
      <c r="G359" s="695" t="n">
        <v>0</v>
      </c>
      <c r="H359" s="696">
        <f>F359-G359</f>
        <v/>
      </c>
      <c r="I359" s="151" t="n"/>
      <c r="J359" s="152" t="n">
        <v>44692</v>
      </c>
      <c r="K359" s="692" t="inlineStr">
        <is>
          <t>FERRETERIA GENERAL</t>
        </is>
      </c>
    </row>
    <row r="360" ht="20.1" customHeight="1">
      <c r="A360" s="430">
        <f>_xlfn.XLOOKUP(B360,'INSUMOS MAT '!B:B,'INSUMOS MAT '!C:C,"ERROR",0)</f>
        <v/>
      </c>
      <c r="B360" s="142" t="inlineStr">
        <is>
          <t>MAT03-0012</t>
        </is>
      </c>
      <c r="C360" s="691" t="inlineStr">
        <is>
          <t>PIEDRA GRUESA GRIS CON VERDE</t>
        </is>
      </c>
      <c r="D360" s="692" t="inlineStr">
        <is>
          <t>SACO</t>
        </is>
      </c>
      <c r="E360" s="693" t="n">
        <v>3955</v>
      </c>
      <c r="F360" s="694">
        <f>E360*$N$2</f>
        <v/>
      </c>
      <c r="G360" s="695" t="n">
        <v>0</v>
      </c>
      <c r="H360" s="696">
        <f>F360-G360</f>
        <v/>
      </c>
      <c r="I360" s="151" t="n"/>
      <c r="J360" s="152" t="n">
        <v>44692</v>
      </c>
      <c r="K360" s="692" t="inlineStr">
        <is>
          <t>AGREGADOS</t>
        </is>
      </c>
    </row>
    <row r="361" ht="20.1" customHeight="1">
      <c r="A361" s="430">
        <f>_xlfn.XLOOKUP(B361,'INSUMOS MAT '!B:B,'INSUMOS MAT '!C:C,"ERROR",0)</f>
        <v/>
      </c>
      <c r="B361" s="142" t="inlineStr">
        <is>
          <t>MAT16-0058</t>
        </is>
      </c>
      <c r="C361" s="691" t="inlineStr">
        <is>
          <t>PIINTURA SUPER COAT GRIS LANCO</t>
        </is>
      </c>
      <c r="D361" s="692" t="inlineStr">
        <is>
          <t>CUBETA</t>
        </is>
      </c>
      <c r="E361" s="693" t="n">
        <v>73263.78</v>
      </c>
      <c r="F361" s="694">
        <f>E361*$N$2</f>
        <v/>
      </c>
      <c r="G361" s="695" t="n">
        <v>0</v>
      </c>
      <c r="H361" s="696">
        <f>F361-G361</f>
        <v/>
      </c>
      <c r="I361" s="151" t="n"/>
      <c r="J361" s="152" t="n">
        <v>44692</v>
      </c>
      <c r="K361" s="692" t="inlineStr">
        <is>
          <t>PINTURAS Y REVESTIMIENTOS</t>
        </is>
      </c>
    </row>
    <row r="362" ht="20.1" customHeight="1">
      <c r="A362" s="430">
        <f>_xlfn.XLOOKUP(B362,'INSUMOS MAT '!B:B,'INSUMOS MAT '!C:C,"ERROR",0)</f>
        <v/>
      </c>
      <c r="B362" s="142" t="inlineStr">
        <is>
          <t>MAT01-0025</t>
        </is>
      </c>
      <c r="C362" s="691" t="inlineStr">
        <is>
          <t>PILA FIBRA DE VIDRIO 50X63X22</t>
        </is>
      </c>
      <c r="D362" s="692" t="inlineStr">
        <is>
          <t>UND</t>
        </is>
      </c>
      <c r="E362" s="693" t="n">
        <v>100000.01</v>
      </c>
      <c r="F362" s="694">
        <f>E362*$N$2</f>
        <v/>
      </c>
      <c r="G362" s="695" t="n">
        <v>0</v>
      </c>
      <c r="H362" s="696">
        <f>F362-G362</f>
        <v/>
      </c>
      <c r="I362" s="151" t="n"/>
      <c r="J362" s="152" t="n">
        <v>44692</v>
      </c>
      <c r="K362" s="692" t="inlineStr">
        <is>
          <t>ACABADOS</t>
        </is>
      </c>
    </row>
    <row r="363" ht="20.1" customHeight="1">
      <c r="A363" s="430">
        <f>_xlfn.XLOOKUP(B363,'INSUMOS MAT '!B:B,'INSUMOS MAT '!C:C,"ERROR",0)</f>
        <v/>
      </c>
      <c r="B363" s="142" t="inlineStr">
        <is>
          <t>MAT01-0013</t>
        </is>
      </c>
      <c r="C363" s="691" t="inlineStr">
        <is>
          <t>PILA Y MUEBLE FIBRA DE VIDRIO 50X70CM</t>
        </is>
      </c>
      <c r="D363" s="692" t="inlineStr">
        <is>
          <t>UND</t>
        </is>
      </c>
      <c r="E363" s="693" t="n">
        <v>100000.005</v>
      </c>
      <c r="F363" s="694">
        <f>E363*$N$2</f>
        <v/>
      </c>
      <c r="G363" s="695" t="n">
        <v>0</v>
      </c>
      <c r="H363" s="696">
        <f>F363-G363</f>
        <v/>
      </c>
      <c r="I363" s="151" t="n"/>
      <c r="J363" s="152" t="n">
        <v>44692</v>
      </c>
      <c r="K363" s="692" t="inlineStr">
        <is>
          <t>ACABADOS</t>
        </is>
      </c>
    </row>
    <row r="364" ht="20.1" customHeight="1">
      <c r="A364" s="430">
        <f>_xlfn.XLOOKUP(B364,'INSUMOS MAT '!B:B,'INSUMOS MAT '!C:C,"ERROR",0)</f>
        <v/>
      </c>
      <c r="B364" s="142" t="inlineStr">
        <is>
          <t>MAT01-0048</t>
        </is>
      </c>
      <c r="C364" s="691" t="inlineStr">
        <is>
          <t>PILA Y MUEBLE FIBRA DE VIDRIO TANQUE DERECHO/50X70CM</t>
        </is>
      </c>
      <c r="D364" s="692" t="inlineStr">
        <is>
          <t>UND</t>
        </is>
      </c>
      <c r="E364" s="693" t="n">
        <v>100000.006</v>
      </c>
      <c r="F364" s="694">
        <f>E364*$N$2</f>
        <v/>
      </c>
      <c r="G364" s="695" t="n">
        <v>0</v>
      </c>
      <c r="H364" s="696">
        <f>F364-G364</f>
        <v/>
      </c>
      <c r="I364" s="151" t="n"/>
      <c r="J364" s="152" t="n">
        <v>44692</v>
      </c>
      <c r="K364" s="692" t="inlineStr">
        <is>
          <t>ACABADOS</t>
        </is>
      </c>
    </row>
    <row r="365" ht="20.1" customHeight="1">
      <c r="A365" s="430">
        <f>_xlfn.XLOOKUP(B365,'INSUMOS MAT '!B:B,'INSUMOS MAT '!C:C,"ERROR",0)</f>
        <v/>
      </c>
      <c r="B365" s="142" t="inlineStr">
        <is>
          <t>MAT01-0047</t>
        </is>
      </c>
      <c r="C365" s="691" t="inlineStr">
        <is>
          <t>PILA Y MUEBLE FIBRA DE VIDRIO TANQUE IZQUIERDO/50X70CM</t>
        </is>
      </c>
      <c r="D365" s="692" t="inlineStr">
        <is>
          <t>UND</t>
        </is>
      </c>
      <c r="E365" s="693" t="n">
        <v>102999.9967</v>
      </c>
      <c r="F365" s="694">
        <f>E365*$N$2</f>
        <v/>
      </c>
      <c r="G365" s="695" t="n">
        <v>0</v>
      </c>
      <c r="H365" s="696">
        <f>F365-G365</f>
        <v/>
      </c>
      <c r="I365" s="151" t="n"/>
      <c r="J365" s="152" t="n">
        <v>44692</v>
      </c>
      <c r="K365" s="692" t="inlineStr">
        <is>
          <t>ACABADOS</t>
        </is>
      </c>
    </row>
    <row r="366" ht="20.1" customHeight="1">
      <c r="A366" s="430">
        <f>_xlfn.XLOOKUP(B366,'INSUMOS MAT '!B:B,'INSUMOS MAT '!C:C,"ERROR",0)</f>
        <v/>
      </c>
      <c r="B366" s="142" t="inlineStr">
        <is>
          <t>MAT16-0004</t>
        </is>
      </c>
      <c r="C366" s="691" t="inlineStr">
        <is>
          <t>PINTURA DRY COAT MATE DEEP GRIS CLARO</t>
        </is>
      </c>
      <c r="D366" s="692" t="inlineStr">
        <is>
          <t>GALON</t>
        </is>
      </c>
      <c r="E366" s="693" t="n">
        <v>26215.955</v>
      </c>
      <c r="F366" s="694">
        <f>E366*$N$2</f>
        <v/>
      </c>
      <c r="G366" s="695" t="n">
        <v>0</v>
      </c>
      <c r="H366" s="696">
        <f>F366-G366</f>
        <v/>
      </c>
      <c r="I366" s="151" t="n"/>
      <c r="J366" s="152" t="n">
        <v>44692</v>
      </c>
      <c r="K366" s="692" t="inlineStr">
        <is>
          <t>PINTURAS Y REVESTIMIENTOS</t>
        </is>
      </c>
    </row>
    <row r="367" ht="20.1" customHeight="1">
      <c r="A367" s="430">
        <f>_xlfn.XLOOKUP(B367,'INSUMOS MAT '!B:B,'INSUMOS MAT '!C:C,"ERROR",0)</f>
        <v/>
      </c>
      <c r="B367" s="142" t="inlineStr">
        <is>
          <t>MAT16-0095</t>
        </is>
      </c>
      <c r="C367" s="691" t="inlineStr">
        <is>
          <t>PINTURA DRY PASTEL</t>
        </is>
      </c>
      <c r="D367" s="692" t="inlineStr">
        <is>
          <t>1/4 DE GALON</t>
        </is>
      </c>
      <c r="E367" s="693" t="n">
        <v>6976.62</v>
      </c>
      <c r="F367" s="694">
        <f>E367*$N$2</f>
        <v/>
      </c>
      <c r="G367" s="695" t="n">
        <v>0</v>
      </c>
      <c r="H367" s="696">
        <f>F367-G367</f>
        <v/>
      </c>
      <c r="I367" s="151" t="n"/>
      <c r="J367" s="152" t="n">
        <v>44652</v>
      </c>
      <c r="K367" s="692" t="inlineStr">
        <is>
          <t>PINTURAS Y REVESTIMIENTOS</t>
        </is>
      </c>
    </row>
    <row r="368" ht="20.1" customHeight="1">
      <c r="A368" s="430">
        <f>_xlfn.XLOOKUP(B368,'INSUMOS MAT '!B:B,'INSUMOS MAT '!C:C,"ERROR",0)</f>
        <v/>
      </c>
      <c r="B368" s="142" t="inlineStr">
        <is>
          <t>MAT16-0005</t>
        </is>
      </c>
      <c r="C368" s="691" t="inlineStr">
        <is>
          <t>PINTURA EN SPRAY ANARANJADO FLURECENTE</t>
        </is>
      </c>
      <c r="D368" s="692" t="inlineStr">
        <is>
          <t>UND</t>
        </is>
      </c>
      <c r="E368" s="693" t="n">
        <v>3561.9891</v>
      </c>
      <c r="F368" s="694">
        <f>E368*$N$2</f>
        <v/>
      </c>
      <c r="G368" s="695" t="n">
        <v>0</v>
      </c>
      <c r="H368" s="696">
        <f>F368-G368</f>
        <v/>
      </c>
      <c r="I368" s="151" t="n"/>
      <c r="J368" s="152" t="n">
        <v>44692</v>
      </c>
      <c r="K368" s="692" t="inlineStr">
        <is>
          <t>PINTURAS Y REVESTIMIENTOS</t>
        </is>
      </c>
    </row>
    <row r="369" ht="20.1" customHeight="1">
      <c r="A369" s="430">
        <f>_xlfn.XLOOKUP(B369,'INSUMOS MAT '!B:B,'INSUMOS MAT '!C:C,"ERROR",0)</f>
        <v/>
      </c>
      <c r="B369" s="142" t="inlineStr">
        <is>
          <t>MAT16-0087</t>
        </is>
      </c>
      <c r="C369" s="691" t="inlineStr">
        <is>
          <t>PINTURA EN SPRAY AZUL</t>
        </is>
      </c>
      <c r="D369" s="692" t="inlineStr">
        <is>
          <t>UND</t>
        </is>
      </c>
      <c r="E369" s="693" t="n">
        <v>2284.86</v>
      </c>
      <c r="F369" s="694">
        <f>E369*$N$2</f>
        <v/>
      </c>
      <c r="G369" s="695" t="n">
        <v>0</v>
      </c>
      <c r="H369" s="696">
        <f>F369-G369</f>
        <v/>
      </c>
      <c r="I369" s="151" t="n"/>
      <c r="J369" s="152" t="n">
        <v>44552</v>
      </c>
      <c r="K369" s="692" t="inlineStr">
        <is>
          <t>PINTURAS Y REVESTIMIENTOS</t>
        </is>
      </c>
    </row>
    <row r="370" ht="20.1" customHeight="1">
      <c r="A370" s="430">
        <f>_xlfn.XLOOKUP(B370,'INSUMOS MAT '!B:B,'INSUMOS MAT '!C:C,"ERROR",0)</f>
        <v/>
      </c>
      <c r="B370" s="142" t="inlineStr">
        <is>
          <t>MAT16-0034</t>
        </is>
      </c>
      <c r="C370" s="691" t="inlineStr">
        <is>
          <t>PINTURA FAST DRY BLANCO</t>
        </is>
      </c>
      <c r="D370" s="692" t="inlineStr">
        <is>
          <t>GALON</t>
        </is>
      </c>
      <c r="E370" s="693" t="n">
        <v>25578.09</v>
      </c>
      <c r="F370" s="694">
        <f>E370*$N$2</f>
        <v/>
      </c>
      <c r="G370" s="695" t="n">
        <v>0</v>
      </c>
      <c r="H370" s="696">
        <f>F370-G370</f>
        <v/>
      </c>
      <c r="I370" s="151" t="n"/>
      <c r="J370" s="152" t="n">
        <v>44681</v>
      </c>
      <c r="K370" s="692" t="inlineStr">
        <is>
          <t>PINTURAS Y REVESTIMIENTOS</t>
        </is>
      </c>
    </row>
    <row r="371" ht="20.1" customHeight="1">
      <c r="A371" s="430">
        <f>_xlfn.XLOOKUP(B371,'INSUMOS MAT '!B:B,'INSUMOS MAT '!C:C,"ERROR",0)</f>
        <v/>
      </c>
      <c r="B371" s="142" t="inlineStr">
        <is>
          <t>MAT16-0033</t>
        </is>
      </c>
      <c r="C371" s="691" t="inlineStr">
        <is>
          <t>PINTURA FAST DRY PASTEL</t>
        </is>
      </c>
      <c r="D371" s="692" t="inlineStr">
        <is>
          <t>GALON</t>
        </is>
      </c>
      <c r="E371" s="693" t="n">
        <v>25578.08</v>
      </c>
      <c r="F371" s="694">
        <f>E371*$N$2</f>
        <v/>
      </c>
      <c r="G371" s="695" t="n">
        <v>0</v>
      </c>
      <c r="H371" s="696">
        <f>F371-G371</f>
        <v/>
      </c>
      <c r="I371" s="151" t="n"/>
      <c r="J371" s="152" t="n">
        <v>44679</v>
      </c>
      <c r="K371" s="692" t="inlineStr">
        <is>
          <t>PINTURAS Y REVESTIMIENTOS</t>
        </is>
      </c>
    </row>
    <row r="372" ht="20.1" customHeight="1">
      <c r="A372" s="430">
        <f>_xlfn.XLOOKUP(B372,'INSUMOS MAT '!B:B,'INSUMOS MAT '!C:C,"ERROR",0)</f>
        <v/>
      </c>
      <c r="B372" s="142" t="inlineStr">
        <is>
          <t>MAT16-0031</t>
        </is>
      </c>
      <c r="C372" s="691" t="inlineStr">
        <is>
          <t>PINTURA GOLTEX SUR</t>
        </is>
      </c>
      <c r="D372" s="692" t="inlineStr">
        <is>
          <t>CUBETA</t>
        </is>
      </c>
      <c r="E372" s="693" t="n">
        <v>85500</v>
      </c>
      <c r="F372" s="694">
        <f>E372*$N$2</f>
        <v/>
      </c>
      <c r="G372" s="695" t="n">
        <v>0</v>
      </c>
      <c r="H372" s="696">
        <f>F372-G372</f>
        <v/>
      </c>
      <c r="I372" s="151" t="n"/>
      <c r="J372" s="152" t="n">
        <v>44680</v>
      </c>
      <c r="K372" s="692" t="inlineStr">
        <is>
          <t>PINTURAS Y REVESTIMIENTOS</t>
        </is>
      </c>
    </row>
    <row r="373" ht="20.1" customHeight="1">
      <c r="A373" s="430">
        <f>_xlfn.XLOOKUP(B373,'INSUMOS MAT '!B:B,'INSUMOS MAT '!C:C,"ERROR",0)</f>
        <v/>
      </c>
      <c r="B373" s="142" t="inlineStr">
        <is>
          <t>MAT16-0055</t>
        </is>
      </c>
      <c r="C373" s="691" t="inlineStr">
        <is>
          <t>PINTURA GOLTEX SUR</t>
        </is>
      </c>
      <c r="D373" s="692" t="inlineStr">
        <is>
          <t>GALON</t>
        </is>
      </c>
      <c r="E373" s="693" t="n">
        <v>17949.99</v>
      </c>
      <c r="F373" s="694">
        <f>E373*$N$2</f>
        <v/>
      </c>
      <c r="G373" s="695" t="n">
        <v>0</v>
      </c>
      <c r="H373" s="696">
        <f>F373-G373</f>
        <v/>
      </c>
      <c r="I373" s="151" t="n"/>
      <c r="J373" s="152" t="n">
        <v>44680</v>
      </c>
      <c r="K373" s="692" t="inlineStr">
        <is>
          <t>PINTURAS Y REVESTIMIENTOS</t>
        </is>
      </c>
    </row>
    <row r="374" ht="20.1" customHeight="1">
      <c r="A374" s="430">
        <f>_xlfn.XLOOKUP(B374,'INSUMOS MAT '!B:B,'INSUMOS MAT '!C:C,"ERROR",0)</f>
        <v/>
      </c>
      <c r="B374" s="142" t="inlineStr">
        <is>
          <t>MAT16-0089</t>
        </is>
      </c>
      <c r="C374" s="691" t="inlineStr">
        <is>
          <t>PINTURA LANCO POLIURETANO ANTICORROSIVO BLANCO MATE</t>
        </is>
      </c>
      <c r="D374" s="692" t="inlineStr">
        <is>
          <t>GALON</t>
        </is>
      </c>
      <c r="E374" s="693" t="n">
        <v>16841.66</v>
      </c>
      <c r="F374" s="694">
        <f>E374*$N$2</f>
        <v/>
      </c>
      <c r="G374" s="695" t="n">
        <v>0</v>
      </c>
      <c r="H374" s="696">
        <f>F374-G374</f>
        <v/>
      </c>
      <c r="I374" s="151" t="n"/>
      <c r="J374" s="152" t="n">
        <v>44692</v>
      </c>
      <c r="K374" s="692" t="inlineStr">
        <is>
          <t>PINTURAS Y REVESTIMIENTOS</t>
        </is>
      </c>
    </row>
    <row r="375" ht="20.1" customHeight="1">
      <c r="A375" s="430">
        <f>_xlfn.XLOOKUP(B375,'INSUMOS MAT '!B:B,'INSUMOS MAT '!C:C,"ERROR",0)</f>
        <v/>
      </c>
      <c r="B375" s="142" t="inlineStr">
        <is>
          <t>MAT16-0059</t>
        </is>
      </c>
      <c r="C375" s="691" t="inlineStr">
        <is>
          <t>PINTURA SEAL COAT LANCO BLANCO</t>
        </is>
      </c>
      <c r="D375" s="692" t="inlineStr">
        <is>
          <t>CUBETA</t>
        </is>
      </c>
      <c r="E375" s="693" t="n">
        <v>78174.21000000001</v>
      </c>
      <c r="F375" s="694">
        <f>E375*$N$2</f>
        <v/>
      </c>
      <c r="G375" s="695" t="n">
        <v>0</v>
      </c>
      <c r="H375" s="696">
        <f>F375-G375</f>
        <v/>
      </c>
      <c r="I375" s="151" t="n"/>
      <c r="J375" s="152" t="n">
        <v>44692</v>
      </c>
      <c r="K375" s="692" t="inlineStr">
        <is>
          <t>PINTURAS Y REVESTIMIENTOS</t>
        </is>
      </c>
    </row>
    <row r="376" ht="20.1" customHeight="1">
      <c r="A376" s="430">
        <f>_xlfn.XLOOKUP(B376,'INSUMOS MAT '!B:B,'INSUMOS MAT '!C:C,"ERROR",0)</f>
        <v/>
      </c>
      <c r="B376" s="142" t="inlineStr">
        <is>
          <t>MAT16-0060</t>
        </is>
      </c>
      <c r="C376" s="691" t="inlineStr">
        <is>
          <t>PINTURA SEAL COAT LANCO CAFE CLARO</t>
        </is>
      </c>
      <c r="D376" s="692" t="inlineStr">
        <is>
          <t>CUBETA</t>
        </is>
      </c>
      <c r="E376" s="693" t="n">
        <v>77770.75999999999</v>
      </c>
      <c r="F376" s="694">
        <f>E376*$N$2</f>
        <v/>
      </c>
      <c r="G376" s="695" t="n">
        <v>0</v>
      </c>
      <c r="H376" s="696">
        <f>F376-G376</f>
        <v/>
      </c>
      <c r="I376" s="151" t="n"/>
      <c r="J376" s="152" t="n">
        <v>44692</v>
      </c>
      <c r="K376" s="692" t="inlineStr">
        <is>
          <t>PINTURAS Y REVESTIMIENTOS</t>
        </is>
      </c>
    </row>
    <row r="377" ht="20.1" customHeight="1">
      <c r="A377" s="430">
        <f>_xlfn.XLOOKUP(B377,'INSUMOS MAT '!B:B,'INSUMOS MAT '!C:C,"ERROR",0)</f>
        <v/>
      </c>
      <c r="B377" s="142" t="inlineStr">
        <is>
          <t>MAT16-0061</t>
        </is>
      </c>
      <c r="C377" s="691" t="inlineStr">
        <is>
          <t>PINTURA SEAL COAT LANCO EXPRESO</t>
        </is>
      </c>
      <c r="D377" s="692" t="inlineStr">
        <is>
          <t>CUBETA</t>
        </is>
      </c>
      <c r="E377" s="693" t="n">
        <v>77960.17170000001</v>
      </c>
      <c r="F377" s="694">
        <f>E377*$N$2</f>
        <v/>
      </c>
      <c r="G377" s="695" t="n">
        <v>0</v>
      </c>
      <c r="H377" s="696">
        <f>F377-G377</f>
        <v/>
      </c>
      <c r="I377" s="151" t="n"/>
      <c r="J377" s="152" t="n">
        <v>44692</v>
      </c>
      <c r="K377" s="692" t="inlineStr">
        <is>
          <t>PINTURAS Y REVESTIMIENTOS</t>
        </is>
      </c>
    </row>
    <row r="378" ht="20.1" customHeight="1">
      <c r="A378" s="430">
        <f>_xlfn.XLOOKUP(B378,'INSUMOS MAT '!B:B,'INSUMOS MAT '!C:C,"ERROR",0)</f>
        <v/>
      </c>
      <c r="B378" s="142" t="inlineStr">
        <is>
          <t>MAT16-0062</t>
        </is>
      </c>
      <c r="C378" s="691" t="inlineStr">
        <is>
          <t>PINTURA SEAL COAT LANCO TABACO</t>
        </is>
      </c>
      <c r="D378" s="692" t="inlineStr">
        <is>
          <t>CUBETA</t>
        </is>
      </c>
      <c r="E378" s="693" t="n">
        <v>78174.45</v>
      </c>
      <c r="F378" s="694">
        <f>E378*$N$2</f>
        <v/>
      </c>
      <c r="G378" s="695" t="n">
        <v>0</v>
      </c>
      <c r="H378" s="696">
        <f>F378-G378</f>
        <v/>
      </c>
      <c r="I378" s="151" t="n"/>
      <c r="J378" s="152" t="n">
        <v>44692</v>
      </c>
      <c r="K378" s="692" t="inlineStr">
        <is>
          <t>PINTURAS Y REVESTIMIENTOS</t>
        </is>
      </c>
    </row>
    <row r="379" ht="20.1" customHeight="1">
      <c r="A379" s="430">
        <f>_xlfn.XLOOKUP(B379,'INSUMOS MAT '!B:B,'INSUMOS MAT '!C:C,"ERROR",0)</f>
        <v/>
      </c>
      <c r="B379" s="142" t="inlineStr">
        <is>
          <t>MAT16-0006</t>
        </is>
      </c>
      <c r="C379" s="691" t="inlineStr">
        <is>
          <t>PINTURA SEAL BLOCK ELASTOMERICA</t>
        </is>
      </c>
      <c r="D379" s="692" t="inlineStr">
        <is>
          <t>CUBETA</t>
        </is>
      </c>
      <c r="E379" s="693" t="n">
        <v>89000.005</v>
      </c>
      <c r="F379" s="694">
        <f>E379*$N$2</f>
        <v/>
      </c>
      <c r="G379" s="695" t="n">
        <v>0</v>
      </c>
      <c r="H379" s="696">
        <f>F379-G379</f>
        <v/>
      </c>
      <c r="I379" s="151" t="n"/>
      <c r="J379" s="152" t="n">
        <v>44692</v>
      </c>
      <c r="K379" s="692" t="inlineStr">
        <is>
          <t>PINTURAS Y REVESTIMIENTOS</t>
        </is>
      </c>
    </row>
    <row r="380" ht="20.1" customHeight="1">
      <c r="A380" s="430">
        <f>_xlfn.XLOOKUP(B380,'INSUMOS MAT '!B:B,'INSUMOS MAT '!C:C,"ERROR",0)</f>
        <v/>
      </c>
      <c r="B380" s="142" t="inlineStr">
        <is>
          <t>MAT16-0056</t>
        </is>
      </c>
      <c r="C380" s="691" t="inlineStr">
        <is>
          <t>PINTURA SUPER DRY DEEP CAFE</t>
        </is>
      </c>
      <c r="D380" s="692" t="inlineStr">
        <is>
          <t>GALON</t>
        </is>
      </c>
      <c r="E380" s="693" t="n">
        <v>22078.3969</v>
      </c>
      <c r="F380" s="694">
        <f>E380*$N$2</f>
        <v/>
      </c>
      <c r="G380" s="695" t="n">
        <v>0</v>
      </c>
      <c r="H380" s="696">
        <f>F380-G380</f>
        <v/>
      </c>
      <c r="I380" s="151" t="n"/>
      <c r="J380" s="152" t="n">
        <v>44692</v>
      </c>
      <c r="K380" s="692" t="inlineStr">
        <is>
          <t>PINTURAS Y REVESTIMIENTOS</t>
        </is>
      </c>
    </row>
    <row r="381" ht="20.1" customHeight="1">
      <c r="A381" s="430">
        <f>_xlfn.XLOOKUP(B381,'INSUMOS MAT '!B:B,'INSUMOS MAT '!C:C,"ERROR",0)</f>
        <v/>
      </c>
      <c r="B381" s="142" t="inlineStr">
        <is>
          <t>MAT16-0090</t>
        </is>
      </c>
      <c r="C381" s="691" t="inlineStr">
        <is>
          <t>PINTURA SUPRA MATE BLANCO</t>
        </is>
      </c>
      <c r="D381" s="692" t="inlineStr">
        <is>
          <t>CUB</t>
        </is>
      </c>
      <c r="E381" s="693" t="n">
        <v>51158.6007</v>
      </c>
      <c r="F381" s="694">
        <f>E381*$N$2</f>
        <v/>
      </c>
      <c r="G381" s="695" t="n">
        <v>0</v>
      </c>
      <c r="H381" s="696">
        <f>F381-G381</f>
        <v/>
      </c>
      <c r="I381" s="151" t="n"/>
      <c r="J381" s="152" t="n">
        <v>44692</v>
      </c>
      <c r="K381" s="692" t="inlineStr">
        <is>
          <t>PINTURAS Y REVESTIMIENTOS</t>
        </is>
      </c>
    </row>
    <row r="382" ht="20.1" customHeight="1">
      <c r="A382" s="430">
        <f>_xlfn.XLOOKUP(B382,'INSUMOS MAT '!B:B,'INSUMOS MAT '!C:C,"ERROR",0)</f>
        <v/>
      </c>
      <c r="B382" s="142" t="inlineStr">
        <is>
          <t>MAT16-0042</t>
        </is>
      </c>
      <c r="C382" s="691" t="inlineStr">
        <is>
          <t>PINTURA ULTRADRY TABACO COD 496 SUR</t>
        </is>
      </c>
      <c r="D382" s="692" t="inlineStr">
        <is>
          <t>CUBETA</t>
        </is>
      </c>
      <c r="E382" s="693" t="n">
        <v>94326.75</v>
      </c>
      <c r="F382" s="694">
        <f>E382*$N$2</f>
        <v/>
      </c>
      <c r="G382" s="695" t="n">
        <v>0</v>
      </c>
      <c r="H382" s="696">
        <f>F382-G382</f>
        <v/>
      </c>
      <c r="I382" s="151" t="n"/>
      <c r="J382" s="152" t="n">
        <v>44692</v>
      </c>
      <c r="K382" s="692" t="inlineStr">
        <is>
          <t>PINTURAS Y REVESTIMIENTOS</t>
        </is>
      </c>
    </row>
    <row r="383" ht="20.1" customHeight="1">
      <c r="A383" s="430">
        <f>_xlfn.XLOOKUP(B383,'INSUMOS MAT '!B:B,'INSUMOS MAT '!C:C,"ERROR",0)</f>
        <v/>
      </c>
      <c r="B383" s="142" t="inlineStr">
        <is>
          <t>MAT17-0088</t>
        </is>
      </c>
      <c r="C383" s="691" t="inlineStr">
        <is>
          <t>PISO AVANA GRIS 60X60</t>
        </is>
      </c>
      <c r="D383" s="692" t="inlineStr">
        <is>
          <t>M2</t>
        </is>
      </c>
      <c r="E383" s="693" t="n">
        <v>6463.6001</v>
      </c>
      <c r="F383" s="694">
        <f>E383*$N$2</f>
        <v/>
      </c>
      <c r="G383" s="695" t="n">
        <v>0</v>
      </c>
      <c r="H383" s="696">
        <f>F383-G383</f>
        <v/>
      </c>
      <c r="I383" s="151" t="n"/>
      <c r="J383" s="152" t="n">
        <v>44692</v>
      </c>
      <c r="K383" s="692" t="inlineStr">
        <is>
          <t>PISOS Y ENCHAPES</t>
        </is>
      </c>
    </row>
    <row r="384" ht="20.1" customHeight="1">
      <c r="A384" s="430">
        <f>_xlfn.XLOOKUP(B384,'INSUMOS MAT '!B:B,'INSUMOS MAT '!C:C,"ERROR",0)</f>
        <v/>
      </c>
      <c r="B384" s="142" t="inlineStr">
        <is>
          <t>MAT17-0084</t>
        </is>
      </c>
      <c r="C384" s="691" t="inlineStr">
        <is>
          <t>PISO BRAZIL 52.5X52.5 1.93</t>
        </is>
      </c>
      <c r="D384" s="692" t="inlineStr">
        <is>
          <t>M2</t>
        </is>
      </c>
      <c r="E384" s="693" t="n">
        <v>6798.08</v>
      </c>
      <c r="F384" s="694">
        <f>E384*$N$2</f>
        <v/>
      </c>
      <c r="G384" s="695" t="n">
        <v>0</v>
      </c>
      <c r="H384" s="696">
        <f>F384-G384</f>
        <v/>
      </c>
      <c r="I384" s="151" t="n"/>
      <c r="J384" s="152" t="n">
        <v>44692</v>
      </c>
      <c r="K384" s="692" t="inlineStr">
        <is>
          <t>PISOS Y ENCHAPES</t>
        </is>
      </c>
    </row>
    <row r="385" ht="20.1" customHeight="1">
      <c r="A385" s="430">
        <f>_xlfn.XLOOKUP(B385,'INSUMOS MAT '!B:B,'INSUMOS MAT '!C:C,"ERROR",0)</f>
        <v/>
      </c>
      <c r="B385" s="142" t="inlineStr">
        <is>
          <t>MAT17-0102</t>
        </is>
      </c>
      <c r="C385" s="691" t="inlineStr">
        <is>
          <t>PISO CERÁMICO HARÁ BEIGE</t>
        </is>
      </c>
      <c r="D385" s="692" t="inlineStr">
        <is>
          <t>M2</t>
        </is>
      </c>
      <c r="E385" s="693" t="n">
        <v>5163.1699</v>
      </c>
      <c r="F385" s="694">
        <f>E385*$N$2</f>
        <v/>
      </c>
      <c r="G385" s="695" t="n">
        <v>0</v>
      </c>
      <c r="H385" s="696">
        <f>F385-G385</f>
        <v/>
      </c>
      <c r="I385" s="151" t="n"/>
      <c r="J385" s="152" t="n">
        <v>44692</v>
      </c>
      <c r="K385" s="692" t="inlineStr">
        <is>
          <t>PISOS Y ENCHAPES</t>
        </is>
      </c>
    </row>
    <row r="386" ht="20.1" customHeight="1">
      <c r="A386" s="430">
        <f>_xlfn.XLOOKUP(B386,'INSUMOS MAT '!B:B,'INSUMOS MAT '!C:C,"ERROR",0)</f>
        <v/>
      </c>
      <c r="B386" s="142" t="inlineStr">
        <is>
          <t>MAT17-0083</t>
        </is>
      </c>
      <c r="C386" s="691" t="inlineStr">
        <is>
          <t>PISO DALTILE T MADERA CASTAÑO 18X50</t>
        </is>
      </c>
      <c r="D386" s="692" t="inlineStr">
        <is>
          <t>M2</t>
        </is>
      </c>
      <c r="E386" s="693" t="n">
        <v>5989</v>
      </c>
      <c r="F386" s="694">
        <f>E386*$N$2</f>
        <v/>
      </c>
      <c r="G386" s="695" t="n">
        <v>0</v>
      </c>
      <c r="H386" s="696">
        <f>F386-G386</f>
        <v/>
      </c>
      <c r="I386" s="151" t="n"/>
      <c r="J386" s="152" t="n">
        <v>44692</v>
      </c>
      <c r="K386" s="692" t="inlineStr">
        <is>
          <t>PISOS Y ENCHAPES</t>
        </is>
      </c>
    </row>
    <row r="387" ht="20.1" customHeight="1">
      <c r="A387" s="430">
        <f>_xlfn.XLOOKUP(B387,'INSUMOS MAT '!B:B,'INSUMOS MAT '!C:C,"ERROR",0)</f>
        <v/>
      </c>
      <c r="B387" s="142" t="inlineStr">
        <is>
          <t>MAT17-0089</t>
        </is>
      </c>
      <c r="C387" s="691" t="inlineStr">
        <is>
          <t>PISO DIAMANTE MILAZO</t>
        </is>
      </c>
      <c r="D387" s="692" t="inlineStr">
        <is>
          <t>M2</t>
        </is>
      </c>
      <c r="E387" s="693" t="n">
        <v>8094.4286</v>
      </c>
      <c r="F387" s="694">
        <f>E387*$N$2</f>
        <v/>
      </c>
      <c r="G387" s="695" t="n">
        <v>0</v>
      </c>
      <c r="H387" s="696">
        <f>F387-G387</f>
        <v/>
      </c>
      <c r="I387" s="151" t="n"/>
      <c r="J387" s="152" t="n">
        <v>44692</v>
      </c>
      <c r="K387" s="692" t="inlineStr">
        <is>
          <t>PISOS Y ENCHAPES</t>
        </is>
      </c>
    </row>
    <row r="388" ht="20.1" customHeight="1">
      <c r="A388" s="430">
        <f>_xlfn.XLOOKUP(B388,'INSUMOS MAT '!B:B,'INSUMOS MAT '!C:C,"ERROR",0)</f>
        <v/>
      </c>
      <c r="B388" s="142" t="inlineStr">
        <is>
          <t>MAT17-0090</t>
        </is>
      </c>
      <c r="C388" s="691" t="inlineStr">
        <is>
          <t>PISO DIAMANTE VEZZIO</t>
        </is>
      </c>
      <c r="D388" s="692" t="inlineStr">
        <is>
          <t>M2</t>
        </is>
      </c>
      <c r="E388" s="693" t="n">
        <v>7955.8813</v>
      </c>
      <c r="F388" s="694">
        <f>E388*$N$2</f>
        <v/>
      </c>
      <c r="G388" s="695" t="n">
        <v>0</v>
      </c>
      <c r="H388" s="696">
        <f>F388-G388</f>
        <v/>
      </c>
      <c r="I388" s="151" t="n"/>
      <c r="J388" s="152" t="n">
        <v>44692</v>
      </c>
      <c r="K388" s="692" t="inlineStr">
        <is>
          <t>PISOS Y ENCHAPES</t>
        </is>
      </c>
    </row>
    <row r="389" ht="20.1" customHeight="1">
      <c r="A389" s="135" t="n"/>
      <c r="B389" s="142" t="inlineStr">
        <is>
          <t>HER13-0252</t>
        </is>
      </c>
      <c r="C389" s="691" t="inlineStr">
        <is>
          <t>PISTOLA DE LATÓN PARA MANGUERA MANGO DE GOMA</t>
        </is>
      </c>
      <c r="D389" s="692" t="inlineStr">
        <is>
          <t>UND</t>
        </is>
      </c>
      <c r="E389" s="693" t="n">
        <v>3360</v>
      </c>
      <c r="F389" s="694">
        <f>E389*$N$2</f>
        <v/>
      </c>
      <c r="G389" s="695" t="n">
        <v>0</v>
      </c>
      <c r="H389" s="696">
        <f>F389-G389</f>
        <v/>
      </c>
      <c r="I389" s="151" t="n"/>
      <c r="J389" s="152" t="n">
        <v>44678</v>
      </c>
      <c r="K389" s="692" t="inlineStr">
        <is>
          <t>MENOR</t>
        </is>
      </c>
    </row>
    <row r="390" ht="20.1" customHeight="1">
      <c r="A390" s="430">
        <f>_xlfn.XLOOKUP(B390,'INSUMOS MAT '!B:B,'INSUMOS MAT '!C:C,"ERROR",0)</f>
        <v/>
      </c>
      <c r="B390" s="142" t="inlineStr">
        <is>
          <t>MAT06-0257</t>
        </is>
      </c>
      <c r="C390" s="691" t="inlineStr">
        <is>
          <t>PLACA HBL NPS262W DEC 2 GANG SIN TORNILLOS BLANCO</t>
        </is>
      </c>
      <c r="D390" s="692" t="inlineStr">
        <is>
          <t>UND</t>
        </is>
      </c>
      <c r="E390" s="693" t="n">
        <v>3616</v>
      </c>
      <c r="F390" s="694">
        <f>E390*$N$2</f>
        <v/>
      </c>
      <c r="G390" s="695" t="n">
        <v>0</v>
      </c>
      <c r="H390" s="696">
        <f>F390-G390</f>
        <v/>
      </c>
      <c r="I390" s="151" t="n"/>
      <c r="J390" s="152" t="n">
        <v>44626</v>
      </c>
      <c r="K390" s="692" t="inlineStr">
        <is>
          <t>ELECTRICO</t>
        </is>
      </c>
    </row>
    <row r="391" ht="20.1" customHeight="1">
      <c r="A391" s="430">
        <f>_xlfn.XLOOKUP(B391,'INSUMOS MAT '!B:B,'INSUMOS MAT '!C:C,"ERROR",0)</f>
        <v/>
      </c>
      <c r="B391" s="142" t="inlineStr">
        <is>
          <t>MAT06-0083</t>
        </is>
      </c>
      <c r="C391" s="691" t="inlineStr">
        <is>
          <t>PLACA INTEMP. P/TOMA 3726-SC SIERRA</t>
        </is>
      </c>
      <c r="D391" s="692" t="inlineStr">
        <is>
          <t>UND</t>
        </is>
      </c>
      <c r="E391" s="693" t="n">
        <v>3454.8818</v>
      </c>
      <c r="F391" s="694">
        <f>E391*$N$2</f>
        <v/>
      </c>
      <c r="G391" s="695" t="n">
        <v>0</v>
      </c>
      <c r="H391" s="696">
        <f>F391-G391</f>
        <v/>
      </c>
      <c r="I391" s="151" t="n"/>
      <c r="J391" s="152" t="n">
        <v>44692</v>
      </c>
      <c r="K391" s="692" t="inlineStr">
        <is>
          <t>ELECTRICO</t>
        </is>
      </c>
    </row>
    <row r="392" ht="20.1" customHeight="1">
      <c r="A392" s="430">
        <f>_xlfn.XLOOKUP(B392,'INSUMOS MAT '!B:B,'INSUMOS MAT '!C:C,"ERROR",0)</f>
        <v/>
      </c>
      <c r="B392" s="142" t="inlineStr">
        <is>
          <t>MAT06-0084</t>
        </is>
      </c>
      <c r="C392" s="691" t="inlineStr">
        <is>
          <t>PLACA ACERO INOXIDABLE P/TOMA 50A 2 GANG CUADRADA</t>
        </is>
      </c>
      <c r="D392" s="692" t="inlineStr">
        <is>
          <t>UND</t>
        </is>
      </c>
      <c r="E392" s="693" t="n">
        <v>940.1332</v>
      </c>
      <c r="F392" s="694">
        <f>E392*$N$2</f>
        <v/>
      </c>
      <c r="G392" s="695" t="n">
        <v>0</v>
      </c>
      <c r="H392" s="696">
        <f>F392-G392</f>
        <v/>
      </c>
      <c r="I392" s="151" t="n"/>
      <c r="J392" s="152" t="n">
        <v>44692</v>
      </c>
      <c r="K392" s="692" t="inlineStr">
        <is>
          <t>ELECTRICO</t>
        </is>
      </c>
    </row>
    <row r="393" ht="20.1" customHeight="1">
      <c r="A393" s="430">
        <f>_xlfn.XLOOKUP(B393,'INSUMOS MAT '!B:B,'INSUMOS MAT '!C:C,"ERROR",0)</f>
        <v/>
      </c>
      <c r="B393" s="142" t="inlineStr">
        <is>
          <t>MAT06-0086</t>
        </is>
      </c>
      <c r="C393" s="691" t="inlineStr">
        <is>
          <t>PLACA DECORATOR BLANCA 1 GANG ROYER</t>
        </is>
      </c>
      <c r="D393" s="692" t="inlineStr">
        <is>
          <t>UND</t>
        </is>
      </c>
      <c r="E393" s="693" t="n">
        <v>586.6621</v>
      </c>
      <c r="F393" s="694">
        <f>E393*$N$2</f>
        <v/>
      </c>
      <c r="G393" s="695" t="n">
        <v>0</v>
      </c>
      <c r="H393" s="696">
        <f>F393-G393</f>
        <v/>
      </c>
      <c r="I393" s="151" t="n"/>
      <c r="J393" s="152" t="n">
        <v>44692</v>
      </c>
      <c r="K393" s="692" t="inlineStr">
        <is>
          <t>ELECTRICO</t>
        </is>
      </c>
    </row>
    <row r="394" ht="20.1" customHeight="1">
      <c r="A394" s="430">
        <f>_xlfn.XLOOKUP(B394,'INSUMOS MAT '!B:B,'INSUMOS MAT '!C:C,"ERROR",0)</f>
        <v/>
      </c>
      <c r="B394" s="142" t="inlineStr">
        <is>
          <t>MAT06-0087</t>
        </is>
      </c>
      <c r="C394" s="691" t="inlineStr">
        <is>
          <t>PLAFON BLANCO</t>
        </is>
      </c>
      <c r="D394" s="692" t="inlineStr">
        <is>
          <t>UND</t>
        </is>
      </c>
      <c r="E394" s="693" t="n">
        <v>713.2107999999999</v>
      </c>
      <c r="F394" s="694">
        <f>E394*$N$2</f>
        <v/>
      </c>
      <c r="G394" s="695" t="n">
        <v>0</v>
      </c>
      <c r="H394" s="696">
        <f>F394-G394</f>
        <v/>
      </c>
      <c r="I394" s="151" t="n"/>
      <c r="J394" s="152" t="n">
        <v>44692</v>
      </c>
      <c r="K394" s="692" t="inlineStr">
        <is>
          <t>ELECTRICO</t>
        </is>
      </c>
    </row>
    <row r="395" ht="20.1" customHeight="1">
      <c r="A395" s="430">
        <f>_xlfn.XLOOKUP(B395,'INSUMOS MAT '!B:B,'INSUMOS MAT '!C:C,"ERROR",0)</f>
        <v/>
      </c>
      <c r="B395" s="142" t="inlineStr">
        <is>
          <t>MAT08-0101</t>
        </is>
      </c>
      <c r="C395" s="691" t="inlineStr">
        <is>
          <t>PLASTICO PARA PALETIZAR 80-120 CM</t>
        </is>
      </c>
      <c r="D395" s="692" t="inlineStr">
        <is>
          <t>UND</t>
        </is>
      </c>
      <c r="E395" s="693" t="n">
        <v>4120.957</v>
      </c>
      <c r="F395" s="694">
        <f>E395*$N$2</f>
        <v/>
      </c>
      <c r="G395" s="695" t="n">
        <v>0</v>
      </c>
      <c r="H395" s="696">
        <f>F395-G395</f>
        <v/>
      </c>
      <c r="I395" s="151" t="n"/>
      <c r="J395" s="152" t="n">
        <v>44692</v>
      </c>
      <c r="K395" s="692" t="inlineStr">
        <is>
          <t>FERRETERIA GENERAL</t>
        </is>
      </c>
    </row>
    <row r="396" ht="20.1" customHeight="1">
      <c r="A396" s="430">
        <f>_xlfn.XLOOKUP(B396,'INSUMOS MAT '!B:B,'INSUMOS MAT '!C:C,"ERROR",0)</f>
        <v/>
      </c>
      <c r="B396" s="142" t="inlineStr">
        <is>
          <t>MAT02-0012</t>
        </is>
      </c>
      <c r="C396" s="691" t="inlineStr">
        <is>
          <t>PLATINA 3X1/4</t>
        </is>
      </c>
      <c r="D396" s="692" t="inlineStr">
        <is>
          <t>UND</t>
        </is>
      </c>
      <c r="E396" s="693" t="n">
        <v>16532.352</v>
      </c>
      <c r="F396" s="694">
        <f>E396*$N$2</f>
        <v/>
      </c>
      <c r="G396" s="695" t="n">
        <v>0</v>
      </c>
      <c r="H396" s="696">
        <f>F396-G396</f>
        <v/>
      </c>
      <c r="I396" s="151" t="n"/>
      <c r="J396" s="152" t="n">
        <v>44692</v>
      </c>
      <c r="K396" s="692" t="inlineStr">
        <is>
          <t>ACEROS Y METALES</t>
        </is>
      </c>
    </row>
    <row r="397" ht="20.1" customHeight="1">
      <c r="A397" s="430">
        <f>_xlfn.XLOOKUP(B397,'INSUMOS MAT '!B:B,'INSUMOS MAT '!C:C,"ERROR",0)</f>
        <v/>
      </c>
      <c r="B397" s="142" t="inlineStr">
        <is>
          <t>MAT02-0119</t>
        </is>
      </c>
      <c r="C397" s="691" t="inlineStr">
        <is>
          <t>PLATINA H.N. DE 1/4X3</t>
        </is>
      </c>
      <c r="D397" s="692" t="inlineStr">
        <is>
          <t>UND</t>
        </is>
      </c>
      <c r="E397" s="693" t="n">
        <v>24238.5</v>
      </c>
      <c r="F397" s="694">
        <f>E397*$N$2</f>
        <v/>
      </c>
      <c r="G397" s="695" t="n">
        <v>0</v>
      </c>
      <c r="H397" s="696">
        <f>F397-G397</f>
        <v/>
      </c>
      <c r="I397" s="151" t="n"/>
      <c r="J397" s="152" t="n">
        <v>44676</v>
      </c>
      <c r="K397" s="692" t="inlineStr">
        <is>
          <t>ACEROS Y METALES</t>
        </is>
      </c>
    </row>
    <row r="398" ht="20.1" customHeight="1">
      <c r="A398" s="430">
        <f>_xlfn.XLOOKUP(B398,'INSUMOS MAT '!B:B,'INSUMOS MAT '!C:C,"ERROR",0)</f>
        <v/>
      </c>
      <c r="B398" s="142" t="inlineStr">
        <is>
          <t>MAT02-0013</t>
        </is>
      </c>
      <c r="C398" s="691" t="inlineStr">
        <is>
          <t>PLATINA HN 3/4X1/8</t>
        </is>
      </c>
      <c r="D398" s="692" t="inlineStr">
        <is>
          <t>UND</t>
        </is>
      </c>
      <c r="E398" s="693" t="n">
        <v>2531.695</v>
      </c>
      <c r="F398" s="694">
        <f>E398*$N$2</f>
        <v/>
      </c>
      <c r="G398" s="695" t="n">
        <v>0</v>
      </c>
      <c r="H398" s="696">
        <f>F398-G398</f>
        <v/>
      </c>
      <c r="I398" s="151" t="n"/>
      <c r="J398" s="152" t="n">
        <v>44680</v>
      </c>
      <c r="K398" s="692" t="inlineStr">
        <is>
          <t>ACEROS Y METALES</t>
        </is>
      </c>
    </row>
    <row r="399" ht="20.1" customHeight="1">
      <c r="A399" s="430">
        <f>_xlfn.XLOOKUP(B399,'INSUMOS MAT '!B:B,'INSUMOS MAT '!C:C,"ERROR",0)</f>
        <v/>
      </c>
      <c r="B399" s="142" t="inlineStr">
        <is>
          <t>MAT02-0014</t>
        </is>
      </c>
      <c r="C399" s="691" t="inlineStr">
        <is>
          <t>PLATINA DE 1/4X4</t>
        </is>
      </c>
      <c r="D399" s="692" t="inlineStr">
        <is>
          <t>UND</t>
        </is>
      </c>
      <c r="E399" s="693" t="n">
        <v>27072.91</v>
      </c>
      <c r="F399" s="694">
        <f>E399*$N$2</f>
        <v/>
      </c>
      <c r="G399" s="695" t="n">
        <v>0</v>
      </c>
      <c r="H399" s="696">
        <f>F399-G399</f>
        <v/>
      </c>
      <c r="I399" s="151" t="n"/>
      <c r="J399" s="152" t="n">
        <v>44692</v>
      </c>
      <c r="K399" s="692" t="inlineStr">
        <is>
          <t>ACEROS Y METALES</t>
        </is>
      </c>
    </row>
    <row r="400" ht="20.1" customHeight="1">
      <c r="A400" s="430">
        <f>_xlfn.XLOOKUP(B400,'INSUMOS MAT '!B:B,'INSUMOS MAT '!C:C,"ERROR",0)</f>
        <v/>
      </c>
      <c r="B400" s="142" t="inlineStr">
        <is>
          <t>MAT17-0096</t>
        </is>
      </c>
      <c r="C400" s="691" t="inlineStr">
        <is>
          <t>PORCELANATO AURA</t>
        </is>
      </c>
      <c r="D400" s="692" t="inlineStr">
        <is>
          <t>M3</t>
        </is>
      </c>
      <c r="E400" s="693" t="n">
        <v>6794.803</v>
      </c>
      <c r="F400" s="694">
        <f>E400*$N$2</f>
        <v/>
      </c>
      <c r="G400" s="695" t="n">
        <v>0</v>
      </c>
      <c r="H400" s="696">
        <f>F400-G400</f>
        <v/>
      </c>
      <c r="I400" s="151" t="n"/>
      <c r="J400" s="152" t="n">
        <v>44692</v>
      </c>
      <c r="K400" s="692" t="inlineStr">
        <is>
          <t>PISOS Y ENCHAPES</t>
        </is>
      </c>
    </row>
    <row r="401" ht="20.1" customHeight="1">
      <c r="A401" s="430">
        <f>_xlfn.XLOOKUP(B401,'INSUMOS MAT '!B:B,'INSUMOS MAT '!C:C,"ERROR",0)</f>
        <v/>
      </c>
      <c r="B401" s="142" t="inlineStr">
        <is>
          <t>MAT17-0095</t>
        </is>
      </c>
      <c r="C401" s="691" t="inlineStr">
        <is>
          <t>PORCELANATO ITALIA</t>
        </is>
      </c>
      <c r="D401" s="692" t="inlineStr">
        <is>
          <t>M2</t>
        </is>
      </c>
      <c r="E401" s="693" t="n">
        <v>8094.4444</v>
      </c>
      <c r="F401" s="694">
        <f>E401*$N$2</f>
        <v/>
      </c>
      <c r="G401" s="695" t="n">
        <v>0</v>
      </c>
      <c r="H401" s="696">
        <f>F401-G401</f>
        <v/>
      </c>
      <c r="I401" s="151" t="n"/>
      <c r="J401" s="152" t="n">
        <v>44692</v>
      </c>
      <c r="K401" s="692" t="inlineStr">
        <is>
          <t>PISOS Y ENCHAPES</t>
        </is>
      </c>
    </row>
    <row r="402" ht="20.1" customHeight="1">
      <c r="A402" s="430">
        <f>_xlfn.XLOOKUP(B402,'INSUMOS MAT '!B:B,'INSUMOS MAT '!C:C,"ERROR",0)</f>
        <v/>
      </c>
      <c r="B402" s="142" t="inlineStr">
        <is>
          <t>MAT17-0101</t>
        </is>
      </c>
      <c r="C402" s="691" t="inlineStr">
        <is>
          <t>PORCELANATO MIRAMAR</t>
        </is>
      </c>
      <c r="D402" s="692" t="inlineStr">
        <is>
          <t>M2</t>
        </is>
      </c>
      <c r="E402" s="693" t="n">
        <v>6794.803</v>
      </c>
      <c r="F402" s="694">
        <f>E402*$N$2</f>
        <v/>
      </c>
      <c r="G402" s="695" t="n">
        <v>0</v>
      </c>
      <c r="H402" s="696">
        <f>F402-G402</f>
        <v/>
      </c>
      <c r="I402" s="151" t="n"/>
      <c r="J402" s="152" t="n">
        <v>44692</v>
      </c>
      <c r="K402" s="692" t="inlineStr">
        <is>
          <t>PISOS Y ENCHAPES</t>
        </is>
      </c>
    </row>
    <row r="403" ht="20.1" customHeight="1">
      <c r="A403" s="430">
        <f>_xlfn.XLOOKUP(B403,'INSUMOS MAT '!B:B,'INSUMOS MAT '!C:C,"ERROR",0)</f>
        <v/>
      </c>
      <c r="B403" s="142" t="inlineStr">
        <is>
          <t>MAT17-0099</t>
        </is>
      </c>
      <c r="C403" s="691" t="inlineStr">
        <is>
          <t>PORCELANATO NEBRASKA BLANCO</t>
        </is>
      </c>
      <c r="D403" s="692" t="inlineStr">
        <is>
          <t>M2</t>
        </is>
      </c>
      <c r="E403" s="693" t="n">
        <v>7547.6443</v>
      </c>
      <c r="F403" s="694">
        <f>E403*$N$2</f>
        <v/>
      </c>
      <c r="G403" s="695" t="n">
        <v>0</v>
      </c>
      <c r="H403" s="696">
        <f>F403-G403</f>
        <v/>
      </c>
      <c r="I403" s="151" t="n"/>
      <c r="J403" s="152" t="n">
        <v>44692</v>
      </c>
      <c r="K403" s="692" t="inlineStr">
        <is>
          <t>PISOS Y ENCHAPES</t>
        </is>
      </c>
    </row>
    <row r="404" ht="20.1" customHeight="1">
      <c r="A404" s="430">
        <f>_xlfn.XLOOKUP(B404,'INSUMOS MAT '!B:B,'INSUMOS MAT '!C:C,"ERROR",0)</f>
        <v/>
      </c>
      <c r="B404" s="142" t="inlineStr">
        <is>
          <t>MAT16-0092</t>
        </is>
      </c>
      <c r="C404" s="691" t="inlineStr">
        <is>
          <t>PORCELANATO NEBRASKA GRIS</t>
        </is>
      </c>
      <c r="D404" s="692" t="inlineStr">
        <is>
          <t>M2</t>
        </is>
      </c>
      <c r="E404" s="693" t="n">
        <v>7821.9151</v>
      </c>
      <c r="F404" s="694">
        <f>E404*$N$2</f>
        <v/>
      </c>
      <c r="G404" s="695" t="n">
        <v>0</v>
      </c>
      <c r="H404" s="696">
        <f>F404-G404</f>
        <v/>
      </c>
      <c r="I404" s="151" t="n"/>
      <c r="J404" s="152" t="n">
        <v>44692</v>
      </c>
      <c r="K404" s="692" t="inlineStr">
        <is>
          <t>PINTURAS Y REVESTIMIENTOS</t>
        </is>
      </c>
    </row>
    <row r="405" ht="20.1" customHeight="1">
      <c r="A405" s="430">
        <f>_xlfn.XLOOKUP(B405,'INSUMOS MAT '!B:B,'INSUMOS MAT '!C:C,"ERROR",0)</f>
        <v/>
      </c>
      <c r="B405" s="142" t="inlineStr">
        <is>
          <t>MAT17-0098</t>
        </is>
      </c>
      <c r="C405" s="691" t="inlineStr">
        <is>
          <t>PORCELANATO SOHO</t>
        </is>
      </c>
      <c r="D405" s="692" t="inlineStr">
        <is>
          <t>M2</t>
        </is>
      </c>
      <c r="E405" s="693" t="n">
        <v>7547.6442</v>
      </c>
      <c r="F405" s="694">
        <f>E405*$N$2</f>
        <v/>
      </c>
      <c r="G405" s="695" t="n">
        <v>0</v>
      </c>
      <c r="H405" s="696">
        <f>F405-G405</f>
        <v/>
      </c>
      <c r="I405" s="151" t="n"/>
      <c r="J405" s="152" t="n">
        <v>44692</v>
      </c>
      <c r="K405" s="692" t="inlineStr">
        <is>
          <t>PISOS Y ENCHAPES</t>
        </is>
      </c>
    </row>
    <row r="406" ht="20.1" customHeight="1">
      <c r="A406" s="430">
        <f>_xlfn.XLOOKUP(B406,'INSUMOS MAT '!B:B,'INSUMOS MAT '!C:C,"ERROR",0)</f>
        <v/>
      </c>
      <c r="B406" s="142" t="inlineStr">
        <is>
          <t>MAT08-0331</t>
        </is>
      </c>
      <c r="C406" s="691" t="inlineStr">
        <is>
          <t>PUNTA PHILLIPS PH#2</t>
        </is>
      </c>
      <c r="D406" s="692" t="inlineStr">
        <is>
          <t>UND</t>
        </is>
      </c>
      <c r="E406" s="693" t="n">
        <v>561.1468</v>
      </c>
      <c r="F406" s="694">
        <f>E406*$N$2</f>
        <v/>
      </c>
      <c r="G406" s="695" t="n">
        <v>0</v>
      </c>
      <c r="H406" s="696">
        <f>F406-G406</f>
        <v/>
      </c>
      <c r="I406" s="151" t="n"/>
      <c r="J406" s="152" t="n">
        <v>44692</v>
      </c>
      <c r="K406" s="692" t="inlineStr">
        <is>
          <t>FERRETERIA GENERAL</t>
        </is>
      </c>
    </row>
    <row r="407" ht="20.1" customHeight="1">
      <c r="A407" s="135" t="n"/>
      <c r="B407" s="142" t="inlineStr">
        <is>
          <t>MAT08-0211</t>
        </is>
      </c>
      <c r="C407" s="691" t="inlineStr">
        <is>
          <t>RACHET 1/2X10 362331</t>
        </is>
      </c>
      <c r="D407" s="692" t="inlineStr">
        <is>
          <t>UND</t>
        </is>
      </c>
      <c r="E407" s="693" t="n">
        <v>6481.9965</v>
      </c>
      <c r="F407" s="694">
        <f>E407*$N$2</f>
        <v/>
      </c>
      <c r="G407" s="695" t="n">
        <v>0</v>
      </c>
      <c r="H407" s="696">
        <f>F407-G407</f>
        <v/>
      </c>
      <c r="I407" s="151" t="n"/>
      <c r="J407" s="152" t="n">
        <v>44495</v>
      </c>
      <c r="K407" s="692" t="inlineStr">
        <is>
          <t>FERRETERIA GENERAL</t>
        </is>
      </c>
    </row>
    <row r="408" ht="20.1" customHeight="1">
      <c r="A408" s="430">
        <f>_xlfn.XLOOKUP(B408,'INSUMOS MAT '!B:B,'INSUMOS MAT '!C:C,"ERROR",0)</f>
        <v/>
      </c>
      <c r="B408" s="142" t="inlineStr">
        <is>
          <t>MAT19-0121</t>
        </is>
      </c>
      <c r="C408" s="691" t="inlineStr">
        <is>
          <t>REDUCCIÓN SANITARIA 2 A 1 1/2</t>
        </is>
      </c>
      <c r="D408" s="692" t="inlineStr">
        <is>
          <t>UND</t>
        </is>
      </c>
      <c r="E408" s="693" t="n">
        <v>1324.5666</v>
      </c>
      <c r="F408" s="694">
        <f>E408*$N$2</f>
        <v/>
      </c>
      <c r="G408" s="695" t="n">
        <v>0</v>
      </c>
      <c r="H408" s="696">
        <f>F408-G408</f>
        <v/>
      </c>
      <c r="I408" s="151" t="n"/>
      <c r="J408" s="152" t="n">
        <v>44692</v>
      </c>
      <c r="K408" s="692" t="inlineStr">
        <is>
          <t>PVC</t>
        </is>
      </c>
    </row>
    <row r="409" ht="20.1" customHeight="1">
      <c r="A409" s="430">
        <f>_xlfn.XLOOKUP(B409,'INSUMOS MAT '!B:B,'INSUMOS MAT '!C:C,"ERROR",0)</f>
        <v/>
      </c>
      <c r="B409" s="142" t="inlineStr">
        <is>
          <t>MAT19-0038</t>
        </is>
      </c>
      <c r="C409" s="691" t="inlineStr">
        <is>
          <t>REDUCCION 2" A 1 1/4" SANITARIO</t>
        </is>
      </c>
      <c r="D409" s="692" t="inlineStr">
        <is>
          <t>UND</t>
        </is>
      </c>
      <c r="E409" s="693" t="n">
        <v>1232.0665</v>
      </c>
      <c r="F409" s="694">
        <f>E409*$N$2</f>
        <v/>
      </c>
      <c r="G409" s="695" t="n">
        <v>0</v>
      </c>
      <c r="H409" s="696">
        <f>F409-G409</f>
        <v/>
      </c>
      <c r="I409" s="151" t="n"/>
      <c r="J409" s="152" t="n">
        <v>44692</v>
      </c>
      <c r="K409" s="692" t="inlineStr">
        <is>
          <t>PVC</t>
        </is>
      </c>
    </row>
    <row r="410" ht="20.1" customHeight="1">
      <c r="A410" s="430">
        <f>_xlfn.XLOOKUP(B410,'INSUMOS MAT '!B:B,'INSUMOS MAT '!C:C,"ERROR",0)</f>
        <v/>
      </c>
      <c r="B410" s="142" t="inlineStr">
        <is>
          <t>MAT19-0041</t>
        </is>
      </c>
      <c r="C410" s="691" t="inlineStr">
        <is>
          <t>REDUCCION LISA P.D.  3" A 4"</t>
        </is>
      </c>
      <c r="D410" s="692" t="inlineStr">
        <is>
          <t>UND</t>
        </is>
      </c>
      <c r="E410" s="693" t="n">
        <v>2673.996</v>
      </c>
      <c r="F410" s="694">
        <f>E410*$N$2</f>
        <v/>
      </c>
      <c r="G410" s="695" t="n">
        <v>0</v>
      </c>
      <c r="H410" s="696">
        <f>F410-G410</f>
        <v/>
      </c>
      <c r="I410" s="151" t="n"/>
      <c r="J410" s="152" t="n">
        <v>44692</v>
      </c>
      <c r="K410" s="692" t="inlineStr">
        <is>
          <t>PVC</t>
        </is>
      </c>
    </row>
    <row r="411" ht="20.1" customHeight="1">
      <c r="A411" s="430">
        <f>_xlfn.XLOOKUP(B411,'INSUMOS MAT '!B:B,'INSUMOS MAT '!C:C,"ERROR",0)</f>
        <v/>
      </c>
      <c r="B411" s="142" t="inlineStr">
        <is>
          <t>MAT19-0043</t>
        </is>
      </c>
      <c r="C411" s="691" t="inlineStr">
        <is>
          <t>REDUCCION LISA P.D. 2" A 3"</t>
        </is>
      </c>
      <c r="D411" s="692" t="inlineStr">
        <is>
          <t>UND</t>
        </is>
      </c>
      <c r="E411" s="693" t="n">
        <v>1376.16</v>
      </c>
      <c r="F411" s="694">
        <f>E411*$N$2</f>
        <v/>
      </c>
      <c r="G411" s="695" t="n">
        <v>0</v>
      </c>
      <c r="H411" s="696">
        <f>F411-G411</f>
        <v/>
      </c>
      <c r="I411" s="151" t="n"/>
      <c r="J411" s="152" t="n">
        <v>44692</v>
      </c>
      <c r="K411" s="692" t="inlineStr">
        <is>
          <t>PVC</t>
        </is>
      </c>
    </row>
    <row r="412" ht="20.1" customHeight="1">
      <c r="A412" s="430">
        <f>_xlfn.XLOOKUP(B412,'INSUMOS MAT '!B:B,'INSUMOS MAT '!C:C,"ERROR",0)</f>
        <v/>
      </c>
      <c r="B412" s="142" t="inlineStr">
        <is>
          <t>MAT19-0044</t>
        </is>
      </c>
      <c r="C412" s="691" t="inlineStr">
        <is>
          <t>REDUCCION LISA P.D. 2" A 4"</t>
        </is>
      </c>
      <c r="D412" s="692" t="inlineStr">
        <is>
          <t>UND</t>
        </is>
      </c>
      <c r="E412" s="693" t="n">
        <v>2659.722</v>
      </c>
      <c r="F412" s="694">
        <f>E412*$N$2</f>
        <v/>
      </c>
      <c r="G412" s="695" t="n">
        <v>0</v>
      </c>
      <c r="H412" s="696">
        <f>F412-G412</f>
        <v/>
      </c>
      <c r="I412" s="151" t="n"/>
      <c r="J412" s="152" t="n">
        <v>44692</v>
      </c>
      <c r="K412" s="692" t="inlineStr">
        <is>
          <t>PVC</t>
        </is>
      </c>
    </row>
    <row r="413" ht="20.1" customHeight="1">
      <c r="A413" s="430">
        <f>_xlfn.XLOOKUP(B413,'INSUMOS MAT '!B:B,'INSUMOS MAT '!C:C,"ERROR",0)</f>
        <v/>
      </c>
      <c r="B413" s="142" t="inlineStr">
        <is>
          <t>MAT19-0046</t>
        </is>
      </c>
      <c r="C413" s="691" t="inlineStr">
        <is>
          <t>REDUCCION LISA PVC 3/4" X 1/2"</t>
        </is>
      </c>
      <c r="D413" s="692" t="inlineStr">
        <is>
          <t>UND</t>
        </is>
      </c>
      <c r="E413" s="693" t="n">
        <v>148.23</v>
      </c>
      <c r="F413" s="694">
        <f>E413*$N$2</f>
        <v/>
      </c>
      <c r="G413" s="695" t="n">
        <v>0</v>
      </c>
      <c r="H413" s="696">
        <f>F413-G413</f>
        <v/>
      </c>
      <c r="I413" s="151" t="n"/>
      <c r="J413" s="152" t="n">
        <v>44692</v>
      </c>
      <c r="K413" s="692" t="inlineStr">
        <is>
          <t>PVC</t>
        </is>
      </c>
    </row>
    <row r="414" ht="20.1" customHeight="1">
      <c r="A414" s="430">
        <f>_xlfn.XLOOKUP(B414,'INSUMOS MAT '!B:B,'INSUMOS MAT '!C:C,"ERROR",0)</f>
        <v/>
      </c>
      <c r="B414" s="142" t="inlineStr">
        <is>
          <t>MAT19-0047</t>
        </is>
      </c>
      <c r="C414" s="691" t="inlineStr">
        <is>
          <t>REDUCCION PARED GRUESA 1 1/2" A 1 1/4"</t>
        </is>
      </c>
      <c r="D414" s="692" t="inlineStr">
        <is>
          <t>UND</t>
        </is>
      </c>
      <c r="E414" s="693" t="n">
        <v>1123.254</v>
      </c>
      <c r="F414" s="694">
        <f>E414*$N$2</f>
        <v/>
      </c>
      <c r="G414" s="695" t="n">
        <v>0</v>
      </c>
      <c r="H414" s="696">
        <f>F414-G414</f>
        <v/>
      </c>
      <c r="I414" s="151" t="n"/>
      <c r="J414" s="152" t="n">
        <v>44692</v>
      </c>
      <c r="K414" s="692" t="inlineStr">
        <is>
          <t>PVC</t>
        </is>
      </c>
    </row>
    <row r="415" ht="20.1" customHeight="1">
      <c r="A415" s="430">
        <f>_xlfn.XLOOKUP(B415,'INSUMOS MAT '!B:B,'INSUMOS MAT '!C:C,"ERROR",0)</f>
        <v/>
      </c>
      <c r="B415" s="142" t="inlineStr">
        <is>
          <t>MAT19-0048</t>
        </is>
      </c>
      <c r="C415" s="691" t="inlineStr">
        <is>
          <t>REDUCCION PARED GRUESA 1 1/2" A  2"</t>
        </is>
      </c>
      <c r="D415" s="692" t="inlineStr">
        <is>
          <t>UND</t>
        </is>
      </c>
      <c r="E415" s="693" t="n">
        <v>1327.116</v>
      </c>
      <c r="F415" s="694">
        <f>E415*$N$2</f>
        <v/>
      </c>
      <c r="G415" s="695" t="n">
        <v>0</v>
      </c>
      <c r="H415" s="696">
        <f>F415-G415</f>
        <v/>
      </c>
      <c r="I415" s="151" t="n"/>
      <c r="J415" s="152" t="n">
        <v>44692</v>
      </c>
      <c r="K415" s="692" t="inlineStr">
        <is>
          <t>PVC</t>
        </is>
      </c>
    </row>
    <row r="416" ht="20.1" customHeight="1">
      <c r="A416" s="430">
        <f>_xlfn.XLOOKUP(B416,'INSUMOS MAT '!B:B,'INSUMOS MAT '!C:C,"ERROR",0)</f>
        <v/>
      </c>
      <c r="B416" s="142" t="inlineStr">
        <is>
          <t>MAT19-0049</t>
        </is>
      </c>
      <c r="C416" s="691" t="inlineStr">
        <is>
          <t>REDUCCION PARED GRUESA 2 " A 1 1/4"</t>
        </is>
      </c>
      <c r="D416" s="692" t="inlineStr">
        <is>
          <t>UND</t>
        </is>
      </c>
      <c r="E416" s="693" t="n">
        <v>1245.864</v>
      </c>
      <c r="F416" s="694">
        <f>E416*$N$2</f>
        <v/>
      </c>
      <c r="G416" s="695" t="n">
        <v>0</v>
      </c>
      <c r="H416" s="696">
        <f>F416-G416</f>
        <v/>
      </c>
      <c r="I416" s="151" t="n"/>
      <c r="J416" s="152" t="n">
        <v>44692</v>
      </c>
      <c r="K416" s="692" t="inlineStr">
        <is>
          <t>PVC</t>
        </is>
      </c>
    </row>
    <row r="417" ht="20.1" customHeight="1">
      <c r="A417" s="430">
        <f>_xlfn.XLOOKUP(B417,'INSUMOS MAT '!B:B,'INSUMOS MAT '!C:C,"ERROR",0)</f>
        <v/>
      </c>
      <c r="B417" s="142" t="inlineStr">
        <is>
          <t>MAT19-0039</t>
        </is>
      </c>
      <c r="C417" s="691" t="inlineStr">
        <is>
          <t>REDUCCION PVC 1/2" A 3/4"</t>
        </is>
      </c>
      <c r="D417" s="692" t="inlineStr">
        <is>
          <t>UND</t>
        </is>
      </c>
      <c r="E417" s="693" t="n">
        <v>156.2555</v>
      </c>
      <c r="F417" s="694">
        <f>E417*$N$2</f>
        <v/>
      </c>
      <c r="G417" s="695" t="n">
        <v>0</v>
      </c>
      <c r="H417" s="696">
        <f>F417-G417</f>
        <v/>
      </c>
      <c r="I417" s="151" t="n"/>
      <c r="J417" s="152" t="n">
        <v>44692</v>
      </c>
      <c r="K417" s="692" t="inlineStr">
        <is>
          <t>PVC</t>
        </is>
      </c>
    </row>
    <row r="418" ht="20.1" customHeight="1">
      <c r="A418" s="430">
        <f>_xlfn.XLOOKUP(B418,'INSUMOS MAT '!B:B,'INSUMOS MAT '!C:C,"ERROR",0)</f>
        <v/>
      </c>
      <c r="B418" s="142" t="inlineStr">
        <is>
          <t>MAT08-0287</t>
        </is>
      </c>
      <c r="C418" s="697" t="inlineStr">
        <is>
          <t>REGLA 1X4X4 VARAS</t>
        </is>
      </c>
      <c r="D418" s="692" t="inlineStr">
        <is>
          <t>UND</t>
        </is>
      </c>
      <c r="E418" s="698" t="n">
        <v>2291.6991</v>
      </c>
      <c r="F418" s="699">
        <f>E418*$N$3</f>
        <v/>
      </c>
      <c r="G418" s="695" t="n">
        <v>0</v>
      </c>
      <c r="H418" s="696">
        <f>F418-G418</f>
        <v/>
      </c>
      <c r="I418" s="151" t="n"/>
      <c r="J418" s="152" t="n">
        <v>44692</v>
      </c>
      <c r="K418" s="692" t="inlineStr">
        <is>
          <t>FERRETERIA GENERAL</t>
        </is>
      </c>
    </row>
    <row r="419" ht="20.1" customHeight="1">
      <c r="A419" s="430">
        <f>_xlfn.XLOOKUP(B419,'INSUMOS MAT '!B:B,'INSUMOS MAT '!C:C,"ERROR",0)</f>
        <v/>
      </c>
      <c r="B419" s="142" t="inlineStr">
        <is>
          <t>MAT08-0449</t>
        </is>
      </c>
      <c r="C419" s="697" t="inlineStr">
        <is>
          <t>REGLA SEMIDURO 1X3X4 SIN CEPILLAR</t>
        </is>
      </c>
      <c r="D419" s="692" t="inlineStr">
        <is>
          <t>UND</t>
        </is>
      </c>
      <c r="E419" s="698" t="n">
        <v>1480.2379</v>
      </c>
      <c r="F419" s="699">
        <f>E419*$N$3</f>
        <v/>
      </c>
      <c r="G419" s="695" t="n">
        <v>0</v>
      </c>
      <c r="H419" s="696">
        <f>F419-G419</f>
        <v/>
      </c>
      <c r="I419" s="151" t="n"/>
      <c r="J419" s="152" t="n">
        <v>44692</v>
      </c>
      <c r="K419" s="692" t="inlineStr">
        <is>
          <t>FERRETERIA GENERAL</t>
        </is>
      </c>
    </row>
    <row r="420" ht="20.1" customHeight="1">
      <c r="A420" s="430">
        <f>_xlfn.XLOOKUP(B420,'INSUMOS MAT '!B:B,'INSUMOS MAT '!C:C,"ERROR",0)</f>
        <v/>
      </c>
      <c r="B420" s="142" t="inlineStr">
        <is>
          <t>MAT01-0041</t>
        </is>
      </c>
      <c r="C420" s="691" t="inlineStr">
        <is>
          <t>REJILLA P/FREGADERO PLATZ 8523</t>
        </is>
      </c>
      <c r="D420" s="692" t="inlineStr">
        <is>
          <t>UND</t>
        </is>
      </c>
      <c r="E420" s="693" t="n">
        <v>8915.700000000001</v>
      </c>
      <c r="F420" s="694">
        <f>E420*$N$2</f>
        <v/>
      </c>
      <c r="G420" s="695" t="n">
        <v>0</v>
      </c>
      <c r="H420" s="696">
        <f>F420-G420</f>
        <v/>
      </c>
      <c r="I420" s="151" t="n"/>
      <c r="J420" s="152" t="n">
        <v>44692</v>
      </c>
      <c r="K420" s="692" t="inlineStr">
        <is>
          <t>ACABADOS</t>
        </is>
      </c>
    </row>
    <row r="421" ht="20.1" customHeight="1">
      <c r="A421" s="430">
        <f>_xlfn.XLOOKUP(B421,'INSUMOS MAT '!B:B,'INSUMOS MAT '!C:C,"ERROR",0)</f>
        <v/>
      </c>
      <c r="B421" s="142" t="inlineStr">
        <is>
          <t>MAT01-0014</t>
        </is>
      </c>
      <c r="C421" s="691" t="inlineStr">
        <is>
          <t>REJILLA P/BAÑO 2" CUADRADA // REJ-10'</t>
        </is>
      </c>
      <c r="D421" s="692" t="inlineStr">
        <is>
          <t>UND</t>
        </is>
      </c>
      <c r="E421" s="693" t="n">
        <v>5593.5</v>
      </c>
      <c r="F421" s="694">
        <f>E421*$N$2</f>
        <v/>
      </c>
      <c r="G421" s="695" t="n">
        <v>0</v>
      </c>
      <c r="H421" s="696">
        <f>F421-G421</f>
        <v/>
      </c>
      <c r="I421" s="151" t="n"/>
      <c r="J421" s="152" t="n">
        <v>44692</v>
      </c>
      <c r="K421" s="692" t="inlineStr">
        <is>
          <t>ACABADOS</t>
        </is>
      </c>
    </row>
    <row r="422" ht="20.1" customHeight="1">
      <c r="A422" s="430">
        <f>_xlfn.XLOOKUP(B422,'INSUMOS MAT '!B:B,'INSUMOS MAT '!C:C,"ERROR",0)</f>
        <v/>
      </c>
      <c r="B422" s="142" t="inlineStr">
        <is>
          <t>MAT04-0067</t>
        </is>
      </c>
      <c r="C422" s="691" t="inlineStr">
        <is>
          <t>REPELLO GRUESO REPEMAX INTACO 40K</t>
        </is>
      </c>
      <c r="D422" s="692" t="inlineStr">
        <is>
          <t>SACO</t>
        </is>
      </c>
      <c r="E422" s="693" t="n">
        <v>3495.8923</v>
      </c>
      <c r="F422" s="694">
        <f>E422*$N$2</f>
        <v/>
      </c>
      <c r="G422" s="695" t="n">
        <v>0</v>
      </c>
      <c r="H422" s="696">
        <f>F422-G422</f>
        <v/>
      </c>
      <c r="I422" s="151" t="n"/>
      <c r="J422" s="152" t="n">
        <v>44692</v>
      </c>
      <c r="K422" s="692" t="inlineStr">
        <is>
          <t>CONCRETOS CEMENTOS Y MORTEROS</t>
        </is>
      </c>
    </row>
    <row r="423" ht="20.1" customHeight="1">
      <c r="A423" s="135" t="n"/>
      <c r="B423" s="142" t="inlineStr">
        <is>
          <t>EQU20-0087</t>
        </is>
      </c>
      <c r="C423" s="691" t="inlineStr">
        <is>
          <t>REPUESTOS P/ EQUIPOS</t>
        </is>
      </c>
      <c r="D423" s="692" t="inlineStr">
        <is>
          <t>UND</t>
        </is>
      </c>
      <c r="E423" s="693" t="n">
        <v>2972.5771</v>
      </c>
      <c r="F423" s="694">
        <f>E423*$N$2</f>
        <v/>
      </c>
      <c r="G423" s="695" t="n">
        <v>0</v>
      </c>
      <c r="H423" s="696">
        <f>F423-G423</f>
        <v/>
      </c>
      <c r="I423" s="151" t="n"/>
      <c r="J423" s="152" t="n">
        <v>44692</v>
      </c>
      <c r="K423" s="692" t="inlineStr">
        <is>
          <t>REPUESTOS-COMBUSTIBLES</t>
        </is>
      </c>
    </row>
    <row r="424" ht="20.1" customHeight="1">
      <c r="A424" s="430">
        <f>_xlfn.XLOOKUP(B424,'INSUMOS MAT '!B:B,'INSUMOS MAT '!C:C,"ERROR",0)</f>
        <v/>
      </c>
      <c r="B424" s="142" t="inlineStr">
        <is>
          <t>MAT14-0089</t>
        </is>
      </c>
      <c r="C424" s="691" t="inlineStr">
        <is>
          <t>RIEL DE 12" CIERRE LENTO</t>
        </is>
      </c>
      <c r="D424" s="692" t="inlineStr">
        <is>
          <t>UND</t>
        </is>
      </c>
      <c r="E424" s="693" t="n">
        <v>1800</v>
      </c>
      <c r="F424" s="694">
        <f>E424*$N$2</f>
        <v/>
      </c>
      <c r="G424" s="695" t="n">
        <v>0</v>
      </c>
      <c r="H424" s="696">
        <f>F424-G424</f>
        <v/>
      </c>
      <c r="I424" s="151" t="n"/>
      <c r="J424" s="152" t="n">
        <v>44680</v>
      </c>
      <c r="K424" s="692" t="inlineStr">
        <is>
          <t>MUEBLES</t>
        </is>
      </c>
    </row>
    <row r="425" ht="20.1" customHeight="1">
      <c r="A425" s="430">
        <f>_xlfn.XLOOKUP(B425,'INSUMOS MAT '!B:B,'INSUMOS MAT '!C:C,"ERROR",0)</f>
        <v/>
      </c>
      <c r="B425" s="142" t="inlineStr">
        <is>
          <t>MAT14-0016</t>
        </is>
      </c>
      <c r="C425" s="691" t="inlineStr">
        <is>
          <t>RIEL SUPERI ACL-RSU09 3MTRS</t>
        </is>
      </c>
      <c r="D425" s="692" t="inlineStr">
        <is>
          <t>UND</t>
        </is>
      </c>
      <c r="E425" s="693" t="n">
        <v>8745.335300000001</v>
      </c>
      <c r="F425" s="694">
        <f>E425*$N$2</f>
        <v/>
      </c>
      <c r="G425" s="695" t="n">
        <v>0</v>
      </c>
      <c r="H425" s="696">
        <f>F425-G425</f>
        <v/>
      </c>
      <c r="I425" s="151" t="n"/>
      <c r="J425" s="152" t="n">
        <v>44692</v>
      </c>
      <c r="K425" s="692" t="inlineStr">
        <is>
          <t>MUEBLES</t>
        </is>
      </c>
    </row>
    <row r="426" ht="20.1" customHeight="1">
      <c r="A426" s="430">
        <f>_xlfn.XLOOKUP(B426,'INSUMOS MAT '!B:B,'INSUMOS MAT '!C:C,"ERROR",0)</f>
        <v/>
      </c>
      <c r="B426" s="142" t="inlineStr">
        <is>
          <t>MAT14-0018</t>
        </is>
      </c>
      <c r="C426" s="691" t="inlineStr">
        <is>
          <t>RIEL TELESC SLOW MOTION LA 350M RS-C45GA-350</t>
        </is>
      </c>
      <c r="D426" s="692" t="inlineStr">
        <is>
          <t>UND</t>
        </is>
      </c>
      <c r="E426" s="693" t="n">
        <v>4334.8495</v>
      </c>
      <c r="F426" s="694">
        <f>E426*$N$2</f>
        <v/>
      </c>
      <c r="G426" s="695" t="n">
        <v>0</v>
      </c>
      <c r="H426" s="696">
        <f>F426-G426</f>
        <v/>
      </c>
      <c r="I426" s="151" t="n"/>
      <c r="J426" s="152" t="n">
        <v>44692</v>
      </c>
      <c r="K426" s="692" t="inlineStr">
        <is>
          <t>MUEBLES</t>
        </is>
      </c>
    </row>
    <row r="427" ht="20.1" customHeight="1">
      <c r="A427" s="430">
        <f>_xlfn.XLOOKUP(B427,'INSUMOS MAT '!B:B,'INSUMOS MAT '!C:C,"ERROR",0)</f>
        <v/>
      </c>
      <c r="B427" s="142" t="inlineStr">
        <is>
          <t>MAT14-0020</t>
        </is>
      </c>
      <c r="C427" s="691" t="inlineStr">
        <is>
          <t>RIEL TELESCOPICO SLOW MOTION LA 450M RS-A45DT</t>
        </is>
      </c>
      <c r="D427" s="692" t="inlineStr">
        <is>
          <t>UND</t>
        </is>
      </c>
      <c r="E427" s="693" t="n">
        <v>5399.8069</v>
      </c>
      <c r="F427" s="694">
        <f>E427*$N$2</f>
        <v/>
      </c>
      <c r="G427" s="695" t="n">
        <v>0</v>
      </c>
      <c r="H427" s="696">
        <f>F427-G427</f>
        <v/>
      </c>
      <c r="I427" s="151" t="n"/>
      <c r="J427" s="152" t="n">
        <v>44692</v>
      </c>
      <c r="K427" s="692" t="inlineStr">
        <is>
          <t>MUEBLES</t>
        </is>
      </c>
    </row>
    <row r="428" ht="20.1" customHeight="1">
      <c r="A428" s="430">
        <f>_xlfn.XLOOKUP(B428,'INSUMOS MAT '!B:B,'INSUMOS MAT '!C:C,"ERROR",0)</f>
        <v/>
      </c>
      <c r="B428" s="142" t="inlineStr">
        <is>
          <t>MAT14-0021</t>
        </is>
      </c>
      <c r="C428" s="691" t="inlineStr">
        <is>
          <t>RODAPIE ALUMI INOX 150-300-ROD2 AL</t>
        </is>
      </c>
      <c r="D428" s="692" t="inlineStr">
        <is>
          <t>UND</t>
        </is>
      </c>
      <c r="E428" s="693" t="n">
        <v>12000</v>
      </c>
      <c r="F428" s="694">
        <f>E428*$N$2</f>
        <v/>
      </c>
      <c r="G428" s="695" t="n">
        <v>0</v>
      </c>
      <c r="H428" s="696">
        <f>F428-G428</f>
        <v/>
      </c>
      <c r="I428" s="151" t="n"/>
      <c r="J428" s="152" t="n">
        <v>44680</v>
      </c>
      <c r="K428" s="692" t="inlineStr">
        <is>
          <t>MUEBLES</t>
        </is>
      </c>
    </row>
    <row r="429" ht="20.1" customHeight="1">
      <c r="A429" s="430">
        <f>_xlfn.XLOOKUP(B429,'INSUMOS MAT '!B:B,'INSUMOS MAT '!C:C,"ERROR",0)</f>
        <v/>
      </c>
      <c r="B429" s="142" t="inlineStr">
        <is>
          <t>MAT18-0083</t>
        </is>
      </c>
      <c r="C429" s="691" t="inlineStr">
        <is>
          <t>RODAPIE TIPO COLOMBIA</t>
        </is>
      </c>
      <c r="D429" s="692" t="inlineStr">
        <is>
          <t>UND</t>
        </is>
      </c>
      <c r="E429" s="693" t="n">
        <v>3729</v>
      </c>
      <c r="F429" s="694">
        <f>E429*$N$2</f>
        <v/>
      </c>
      <c r="G429" s="695" t="n">
        <v>0</v>
      </c>
      <c r="H429" s="696">
        <f>F429-G429</f>
        <v/>
      </c>
      <c r="I429" s="151" t="n"/>
      <c r="J429" s="152" t="n">
        <v>44673</v>
      </c>
      <c r="K429" s="692" t="inlineStr">
        <is>
          <t>PUERTAS Y RODAPIE</t>
        </is>
      </c>
    </row>
    <row r="430" ht="20.1" customHeight="1">
      <c r="A430" s="430">
        <f>_xlfn.XLOOKUP(B430,'INSUMOS MAT '!B:B,'INSUMOS MAT '!C:C,"ERROR",0)</f>
        <v/>
      </c>
      <c r="B430" s="142" t="inlineStr">
        <is>
          <t>MAT18-0084</t>
        </is>
      </c>
      <c r="C430" s="691" t="inlineStr">
        <is>
          <t>RODAPIE TIPO PANAMA</t>
        </is>
      </c>
      <c r="D430" s="692" t="inlineStr">
        <is>
          <t>UND</t>
        </is>
      </c>
      <c r="E430" s="693" t="n">
        <v>3729</v>
      </c>
      <c r="F430" s="694">
        <f>E430*$N$2</f>
        <v/>
      </c>
      <c r="G430" s="695" t="n">
        <v>0</v>
      </c>
      <c r="H430" s="696">
        <f>F430-G430</f>
        <v/>
      </c>
      <c r="I430" s="151" t="n"/>
      <c r="J430" s="152" t="n">
        <v>44673</v>
      </c>
      <c r="K430" s="692" t="inlineStr">
        <is>
          <t>PUERTAS Y RODAPIE</t>
        </is>
      </c>
    </row>
    <row r="431" ht="20.1" customHeight="1">
      <c r="A431" s="430">
        <f>_xlfn.XLOOKUP(B431,'INSUMOS MAT '!B:B,'INSUMOS MAT '!C:C,"ERROR",0)</f>
        <v/>
      </c>
      <c r="B431" s="142" t="inlineStr">
        <is>
          <t>MAT08-0105</t>
        </is>
      </c>
      <c r="C431" s="691" t="inlineStr">
        <is>
          <t>RODILLO PARA FELPA</t>
        </is>
      </c>
      <c r="D431" s="692" t="inlineStr">
        <is>
          <t>UND</t>
        </is>
      </c>
      <c r="E431" s="693" t="n">
        <v>1808</v>
      </c>
      <c r="F431" s="694">
        <f>E431*$N$2</f>
        <v/>
      </c>
      <c r="G431" s="695" t="n">
        <v>0</v>
      </c>
      <c r="H431" s="696">
        <f>F431-G431</f>
        <v/>
      </c>
      <c r="I431" s="151" t="n"/>
      <c r="J431" s="152" t="n">
        <v>44692</v>
      </c>
      <c r="K431" s="692" t="inlineStr">
        <is>
          <t>FERRETERIA GENERAL</t>
        </is>
      </c>
    </row>
    <row r="432" ht="20.1" customHeight="1">
      <c r="A432" s="430">
        <f>_xlfn.XLOOKUP(B432,'INSUMOS MAT '!B:B,'INSUMOS MAT '!C:C,"ERROR",0)</f>
        <v/>
      </c>
      <c r="B432" s="142" t="inlineStr">
        <is>
          <t>MAT08-0476</t>
        </is>
      </c>
      <c r="C432" s="691" t="inlineStr">
        <is>
          <t>RODIN PARA PERLING</t>
        </is>
      </c>
      <c r="D432" s="692" t="inlineStr">
        <is>
          <t>UND</t>
        </is>
      </c>
      <c r="E432" s="693" t="n">
        <v>3574.2975</v>
      </c>
      <c r="F432" s="694">
        <f>E432*$N$2</f>
        <v/>
      </c>
      <c r="G432" s="695" t="n">
        <v>0</v>
      </c>
      <c r="H432" s="696">
        <f>F432-G432</f>
        <v/>
      </c>
      <c r="I432" s="151" t="n"/>
      <c r="J432" s="152" t="n">
        <v>44692</v>
      </c>
      <c r="K432" s="692" t="inlineStr">
        <is>
          <t>FERRETERIA GENERAL</t>
        </is>
      </c>
    </row>
    <row r="433" ht="20.1" customHeight="1">
      <c r="A433" s="430">
        <f>_xlfn.XLOOKUP(B433,'INSUMOS MAT '!B:B,'INSUMOS MAT '!C:C,"ERROR",0)</f>
        <v/>
      </c>
      <c r="B433" s="142" t="inlineStr">
        <is>
          <t>MAT08-0138</t>
        </is>
      </c>
      <c r="C433" s="691" t="inlineStr">
        <is>
          <t>ROLLO AISLANTE DE SONIDO</t>
        </is>
      </c>
      <c r="D433" s="692" t="inlineStr">
        <is>
          <t>ROLLO</t>
        </is>
      </c>
      <c r="E433" s="693" t="n">
        <v>21583</v>
      </c>
      <c r="F433" s="694">
        <f>E433*$N$2</f>
        <v/>
      </c>
      <c r="G433" s="695" t="n">
        <v>0</v>
      </c>
      <c r="H433" s="696">
        <f>F433-G433</f>
        <v/>
      </c>
      <c r="I433" s="151" t="n"/>
      <c r="J433" s="152" t="n">
        <v>44692</v>
      </c>
      <c r="K433" s="692" t="inlineStr">
        <is>
          <t>FERRETERIA GENERAL</t>
        </is>
      </c>
    </row>
    <row r="434" ht="20.1" customHeight="1">
      <c r="A434" s="135" t="n"/>
      <c r="B434" s="142" t="inlineStr">
        <is>
          <t>MAT08-0150</t>
        </is>
      </c>
      <c r="C434" s="691" t="inlineStr">
        <is>
          <t>ROLLO PLASTICO C/CINTA 80°C - 90 CM. X 20M</t>
        </is>
      </c>
      <c r="D434" s="692" t="inlineStr">
        <is>
          <t>UND</t>
        </is>
      </c>
      <c r="E434" s="693" t="n">
        <v>2842.4583</v>
      </c>
      <c r="F434" s="694">
        <f>E434*$N$2</f>
        <v/>
      </c>
      <c r="G434" s="695" t="n">
        <v>0</v>
      </c>
      <c r="H434" s="696">
        <f>F434-G434</f>
        <v/>
      </c>
      <c r="I434" s="151" t="n"/>
      <c r="J434" s="152" t="n">
        <v>44692</v>
      </c>
      <c r="K434" s="692" t="inlineStr">
        <is>
          <t>FERRETERIA GENERAL</t>
        </is>
      </c>
    </row>
    <row r="435" ht="20.1" customHeight="1">
      <c r="A435" s="430">
        <f>_xlfn.XLOOKUP(B435,'INSUMOS MAT '!B:B,'INSUMOS MAT '!C:C,"ERROR",0)</f>
        <v/>
      </c>
      <c r="B435" s="142" t="inlineStr">
        <is>
          <t>MAT08-0151</t>
        </is>
      </c>
      <c r="C435" s="691" t="inlineStr">
        <is>
          <t>ROLLO PLASTICO C/CINTA 80°C-120 CM. X 20 M</t>
        </is>
      </c>
      <c r="D435" s="692" t="inlineStr">
        <is>
          <t>UND</t>
        </is>
      </c>
      <c r="E435" s="693" t="n">
        <v>3213.21</v>
      </c>
      <c r="F435" s="694">
        <f>E435*$N$2</f>
        <v/>
      </c>
      <c r="G435" s="695" t="n">
        <v>0</v>
      </c>
      <c r="H435" s="696">
        <f>F435-G435</f>
        <v/>
      </c>
      <c r="I435" s="151" t="n"/>
      <c r="J435" s="152" t="n">
        <v>44692</v>
      </c>
      <c r="K435" s="692" t="inlineStr">
        <is>
          <t>FERRETERIA GENERAL</t>
        </is>
      </c>
    </row>
    <row r="436" ht="20.1" customHeight="1">
      <c r="A436" s="430">
        <f>_xlfn.XLOOKUP(B436,'INSUMOS MAT '!B:B,'INSUMOS MAT '!C:C,"ERROR",0)</f>
        <v/>
      </c>
      <c r="B436" s="142" t="inlineStr">
        <is>
          <t>MAT08-0152</t>
        </is>
      </c>
      <c r="C436" s="691" t="inlineStr">
        <is>
          <t>ROLLO PLASTICO C/CINTA 80°C-180 CM. X 20M</t>
        </is>
      </c>
      <c r="D436" s="692" t="inlineStr">
        <is>
          <t>UND</t>
        </is>
      </c>
      <c r="E436" s="693" t="n">
        <v>4617.5867</v>
      </c>
      <c r="F436" s="694">
        <f>E436*$N$2</f>
        <v/>
      </c>
      <c r="G436" s="695" t="n">
        <v>0</v>
      </c>
      <c r="H436" s="696">
        <f>F436-G436</f>
        <v/>
      </c>
      <c r="I436" s="151" t="n"/>
      <c r="J436" s="152" t="n">
        <v>44692</v>
      </c>
      <c r="K436" s="692" t="inlineStr">
        <is>
          <t>FERRETERIA GENERAL</t>
        </is>
      </c>
    </row>
    <row r="437" ht="20.1" customHeight="1">
      <c r="A437" s="135" t="n"/>
      <c r="B437" s="142" t="inlineStr">
        <is>
          <t>MAT08-0149</t>
        </is>
      </c>
      <c r="C437" s="691" t="inlineStr">
        <is>
          <t>ROLLO PLASTICO C/CINTA 80°C-60 CM. X 20 M</t>
        </is>
      </c>
      <c r="D437" s="692" t="inlineStr">
        <is>
          <t>UND</t>
        </is>
      </c>
      <c r="E437" s="693" t="n">
        <v>2449.2185</v>
      </c>
      <c r="F437" s="694">
        <f>E437*$N$2</f>
        <v/>
      </c>
      <c r="G437" s="695" t="n">
        <v>0</v>
      </c>
      <c r="H437" s="696">
        <f>F437-G437</f>
        <v/>
      </c>
      <c r="I437" s="151" t="n"/>
      <c r="J437" s="152" t="n">
        <v>44692</v>
      </c>
      <c r="K437" s="692" t="inlineStr">
        <is>
          <t>FERRETERIA GENERAL</t>
        </is>
      </c>
    </row>
    <row r="438" ht="20.1" customHeight="1">
      <c r="A438" s="430">
        <f>_xlfn.XLOOKUP(B438,'INSUMOS MAT '!B:B,'INSUMOS MAT '!C:C,"ERROR",0)</f>
        <v/>
      </c>
      <c r="B438" s="142" t="inlineStr">
        <is>
          <t>MAT08-0524</t>
        </is>
      </c>
      <c r="C438" s="691" t="inlineStr">
        <is>
          <t>RUEDA GIRATORIA DE 4 PULG</t>
        </is>
      </c>
      <c r="D438" s="692" t="inlineStr">
        <is>
          <t>UND</t>
        </is>
      </c>
      <c r="E438" s="693" t="n">
        <v>3528</v>
      </c>
      <c r="F438" s="694">
        <f>E438*$N$2</f>
        <v/>
      </c>
      <c r="G438" s="695" t="n">
        <v>0</v>
      </c>
      <c r="H438" s="696">
        <f>F438-G438</f>
        <v/>
      </c>
      <c r="I438" s="151" t="n"/>
      <c r="J438" s="152" t="n">
        <v>44679</v>
      </c>
      <c r="K438" s="692" t="inlineStr">
        <is>
          <t>FERRETERIA GENERAL</t>
        </is>
      </c>
    </row>
    <row r="439" ht="20.1" customHeight="1">
      <c r="A439" s="430">
        <f>_xlfn.XLOOKUP(B439,'INSUMOS MAT '!B:B,'INSUMOS MAT '!C:C,"ERROR",0)</f>
        <v/>
      </c>
      <c r="B439" s="142" t="inlineStr">
        <is>
          <t>MAT08-0106</t>
        </is>
      </c>
      <c r="C439" s="691" t="inlineStr">
        <is>
          <t>SARAN 80% 2M DE ALTO</t>
        </is>
      </c>
      <c r="D439" s="692" t="inlineStr">
        <is>
          <t>ROLLO</t>
        </is>
      </c>
      <c r="E439" s="693" t="n">
        <v>92660</v>
      </c>
      <c r="F439" s="694">
        <f>E439*$N$2</f>
        <v/>
      </c>
      <c r="G439" s="695" t="n">
        <v>0</v>
      </c>
      <c r="H439" s="696">
        <f>F439-G439</f>
        <v/>
      </c>
      <c r="I439" s="151" t="n"/>
      <c r="J439" s="152" t="n">
        <v>44692</v>
      </c>
      <c r="K439" s="692" t="inlineStr">
        <is>
          <t>FERRETERIA GENERAL</t>
        </is>
      </c>
    </row>
    <row r="440" ht="20.1" customHeight="1">
      <c r="A440" s="430">
        <f>_xlfn.XLOOKUP(B440,'INSUMOS MAT '!B:B,'INSUMOS MAT '!C:C,"ERROR",0)</f>
        <v/>
      </c>
      <c r="B440" s="142" t="inlineStr">
        <is>
          <t>MAT21-0011</t>
        </is>
      </c>
      <c r="C440" s="691" t="inlineStr">
        <is>
          <t>SELLADOR HI-BOND</t>
        </is>
      </c>
      <c r="D440" s="692" t="inlineStr">
        <is>
          <t>UND</t>
        </is>
      </c>
      <c r="E440" s="693" t="n">
        <v>6898.1779</v>
      </c>
      <c r="F440" s="694">
        <f>E440*$N$2</f>
        <v/>
      </c>
      <c r="G440" s="695" t="n">
        <v>0</v>
      </c>
      <c r="H440" s="696">
        <f>F440-G440</f>
        <v/>
      </c>
      <c r="I440" s="151" t="n"/>
      <c r="J440" s="152" t="n">
        <v>44692</v>
      </c>
      <c r="K440" s="692" t="inlineStr">
        <is>
          <t>SILICONES-SELLADORES-ADITIVOS</t>
        </is>
      </c>
    </row>
    <row r="441" ht="20.1" customHeight="1">
      <c r="A441" s="430">
        <f>_xlfn.XLOOKUP(B441,'INSUMOS MAT '!B:B,'INSUMOS MAT '!C:C,"ERROR",0)</f>
        <v/>
      </c>
      <c r="B441" s="142" t="inlineStr">
        <is>
          <t>MAT21-0023</t>
        </is>
      </c>
      <c r="C441" s="691" t="inlineStr">
        <is>
          <t>SELLADOR SILICONIZER</t>
        </is>
      </c>
      <c r="D441" s="692" t="inlineStr">
        <is>
          <t>GALON</t>
        </is>
      </c>
      <c r="E441" s="693" t="n">
        <v>16779.0067</v>
      </c>
      <c r="F441" s="694">
        <f>E441*$N$2</f>
        <v/>
      </c>
      <c r="G441" s="695" t="n">
        <v>0</v>
      </c>
      <c r="H441" s="696">
        <f>F441-G441</f>
        <v/>
      </c>
      <c r="I441" s="151" t="n"/>
      <c r="J441" s="152" t="n">
        <v>44692</v>
      </c>
      <c r="K441" s="692" t="inlineStr">
        <is>
          <t>SILICONES-SELLADORES-ADITIVOS</t>
        </is>
      </c>
    </row>
    <row r="442" ht="20.1" customHeight="1">
      <c r="A442" s="430">
        <f>_xlfn.XLOOKUP(B442,'INSUMOS MAT '!B:B,'INSUMOS MAT '!C:C,"ERROR",0)</f>
        <v/>
      </c>
      <c r="B442" s="142" t="inlineStr">
        <is>
          <t>MAT08-0107</t>
        </is>
      </c>
      <c r="C442" s="691" t="inlineStr">
        <is>
          <t>SEPARADOR DE 10CM DS150</t>
        </is>
      </c>
      <c r="D442" s="692" t="inlineStr">
        <is>
          <t>UND</t>
        </is>
      </c>
      <c r="E442" s="693" t="n">
        <v>129.95</v>
      </c>
      <c r="F442" s="694">
        <f>E442*$N$2</f>
        <v/>
      </c>
      <c r="G442" s="695" t="n">
        <v>0</v>
      </c>
      <c r="H442" s="696">
        <f>F442-G442</f>
        <v/>
      </c>
      <c r="I442" s="151" t="n"/>
      <c r="J442" s="152" t="n">
        <v>44692</v>
      </c>
      <c r="K442" s="692" t="inlineStr">
        <is>
          <t>FERRETERIA GENERAL</t>
        </is>
      </c>
    </row>
    <row r="443" ht="20.1" customHeight="1">
      <c r="A443" s="430">
        <f>_xlfn.XLOOKUP(B443,'INSUMOS MAT '!B:B,'INSUMOS MAT '!C:C,"ERROR",0)</f>
        <v/>
      </c>
      <c r="B443" s="142" t="inlineStr">
        <is>
          <t>MAT08-0216</t>
        </is>
      </c>
      <c r="C443" s="691" t="inlineStr">
        <is>
          <t>SEPARADOR P/CERAMICA 2MM</t>
        </is>
      </c>
      <c r="D443" s="692" t="inlineStr">
        <is>
          <t>BOLSA</t>
        </is>
      </c>
      <c r="E443" s="693" t="n">
        <v>585.1138999999999</v>
      </c>
      <c r="F443" s="694">
        <f>E443*$N$2</f>
        <v/>
      </c>
      <c r="G443" s="695" t="n">
        <v>0</v>
      </c>
      <c r="H443" s="696">
        <f>F443-G443</f>
        <v/>
      </c>
      <c r="I443" s="151" t="n"/>
      <c r="J443" s="152" t="n">
        <v>44692</v>
      </c>
      <c r="K443" s="692" t="inlineStr">
        <is>
          <t>FERRETERIA GENERAL</t>
        </is>
      </c>
    </row>
    <row r="444" ht="20.1" customHeight="1">
      <c r="A444" s="430">
        <f>_xlfn.XLOOKUP(B444,'INSUMOS MAT '!B:B,'INSUMOS MAT '!C:C,"ERROR",0)</f>
        <v/>
      </c>
      <c r="B444" s="142" t="inlineStr">
        <is>
          <t>MAT08-0108</t>
        </is>
      </c>
      <c r="C444" s="691" t="inlineStr">
        <is>
          <t>SEPARADOR TIPO CONO 2.5CM (1") SP125</t>
        </is>
      </c>
      <c r="D444" s="692" t="inlineStr">
        <is>
          <t>UND</t>
        </is>
      </c>
      <c r="E444" s="693" t="n">
        <v>74.58</v>
      </c>
      <c r="F444" s="694">
        <f>E444*$N$2</f>
        <v/>
      </c>
      <c r="G444" s="695" t="n">
        <v>0</v>
      </c>
      <c r="H444" s="696">
        <f>F444-G444</f>
        <v/>
      </c>
      <c r="I444" s="151" t="n"/>
      <c r="J444" s="152" t="n">
        <v>44692</v>
      </c>
      <c r="K444" s="692" t="inlineStr">
        <is>
          <t>FERRETERIA GENERAL</t>
        </is>
      </c>
    </row>
    <row r="445" ht="20.1" customHeight="1">
      <c r="A445" s="430">
        <f>_xlfn.XLOOKUP(B445,'INSUMOS MAT '!B:B,'INSUMOS MAT '!C:C,"ERROR",0)</f>
        <v/>
      </c>
      <c r="B445" s="142" t="inlineStr">
        <is>
          <t>MAT08-0109</t>
        </is>
      </c>
      <c r="C445" s="691" t="inlineStr">
        <is>
          <t>SEPARADOR TIPO CONO DE  9CM SP350</t>
        </is>
      </c>
      <c r="D445" s="692" t="inlineStr">
        <is>
          <t>UND</t>
        </is>
      </c>
      <c r="E445" s="693" t="n">
        <v>124.3</v>
      </c>
      <c r="F445" s="694">
        <f>E445*$N$2</f>
        <v/>
      </c>
      <c r="G445" s="695" t="n">
        <v>0</v>
      </c>
      <c r="H445" s="696">
        <f>F445-G445</f>
        <v/>
      </c>
      <c r="I445" s="151" t="n"/>
      <c r="J445" s="152" t="n">
        <v>44692</v>
      </c>
      <c r="K445" s="692" t="inlineStr">
        <is>
          <t>FERRETERIA GENERAL</t>
        </is>
      </c>
    </row>
    <row r="446" ht="20.1" customHeight="1">
      <c r="A446" s="430">
        <f>_xlfn.XLOOKUP(B446,'INSUMOS MAT '!B:B,'INSUMOS MAT '!C:C,"ERROR",0)</f>
        <v/>
      </c>
      <c r="B446" s="142" t="inlineStr">
        <is>
          <t>MAT08-0141</t>
        </is>
      </c>
      <c r="C446" s="691" t="inlineStr">
        <is>
          <t>SEPARADORES TIPO CONO 12CM SP450</t>
        </is>
      </c>
      <c r="D446" s="692" t="inlineStr">
        <is>
          <t>UND</t>
        </is>
      </c>
      <c r="E446" s="693" t="n">
        <v>239.56</v>
      </c>
      <c r="F446" s="694">
        <f>E446*$N$2</f>
        <v/>
      </c>
      <c r="G446" s="695" t="n">
        <v>0</v>
      </c>
      <c r="H446" s="696">
        <f>F446-G446</f>
        <v/>
      </c>
      <c r="I446" s="151" t="n"/>
      <c r="J446" s="152" t="n">
        <v>44692</v>
      </c>
      <c r="K446" s="692" t="inlineStr">
        <is>
          <t>FERRETERIA GENERAL</t>
        </is>
      </c>
    </row>
    <row r="447" ht="20.1" customHeight="1">
      <c r="A447" s="135" t="n"/>
      <c r="B447" s="142" t="inlineStr">
        <is>
          <t>EQU15-0024</t>
        </is>
      </c>
      <c r="C447" s="691" t="inlineStr">
        <is>
          <t>SERVICIO TRANSPORTE</t>
        </is>
      </c>
      <c r="D447" s="692" t="inlineStr">
        <is>
          <t>UND</t>
        </is>
      </c>
      <c r="E447" s="693" t="n">
        <v>46160.6833</v>
      </c>
      <c r="F447" s="694">
        <f>E447*$N$2</f>
        <v/>
      </c>
      <c r="G447" s="695" t="n">
        <v>0</v>
      </c>
      <c r="H447" s="696">
        <f>F447-G447</f>
        <v/>
      </c>
      <c r="I447" s="151" t="n"/>
      <c r="J447" s="152" t="n">
        <v>44671</v>
      </c>
      <c r="K447" s="692" t="inlineStr">
        <is>
          <t>PESADO</t>
        </is>
      </c>
    </row>
    <row r="448" ht="20.1" customHeight="1">
      <c r="A448" s="430">
        <f>_xlfn.XLOOKUP(B448,'INSUMOS MAT '!B:B,'INSUMOS MAT '!C:C,"ERROR",0)</f>
        <v/>
      </c>
      <c r="B448" s="142" t="inlineStr">
        <is>
          <t>MAT14-0022</t>
        </is>
      </c>
      <c r="C448" s="691" t="inlineStr">
        <is>
          <t>SET D/ROLER P/PUERTA CORREDIZA</t>
        </is>
      </c>
      <c r="D448" s="692" t="inlineStr">
        <is>
          <t>UND</t>
        </is>
      </c>
      <c r="E448" s="693" t="n">
        <v>5143.4956</v>
      </c>
      <c r="F448" s="694">
        <f>E448*$N$2</f>
        <v/>
      </c>
      <c r="G448" s="695" t="n">
        <v>0</v>
      </c>
      <c r="H448" s="696">
        <f>F448-G448</f>
        <v/>
      </c>
      <c r="I448" s="151" t="n"/>
      <c r="J448" s="152" t="n">
        <v>44692</v>
      </c>
      <c r="K448" s="692" t="inlineStr">
        <is>
          <t>MUEBLES</t>
        </is>
      </c>
    </row>
    <row r="449" ht="20.1" customHeight="1">
      <c r="A449" s="430">
        <f>_xlfn.XLOOKUP(B449,'INSUMOS MAT '!B:B,'INSUMOS MAT '!C:C,"ERROR",0)</f>
        <v/>
      </c>
      <c r="B449" s="142" t="inlineStr">
        <is>
          <t>MAT08-0113</t>
        </is>
      </c>
      <c r="C449" s="691" t="inlineStr">
        <is>
          <t>SIFON CROMADO A PARED 1 1/4</t>
        </is>
      </c>
      <c r="D449" s="692" t="inlineStr">
        <is>
          <t>UND</t>
        </is>
      </c>
      <c r="E449" s="693" t="n">
        <v>5593.5</v>
      </c>
      <c r="F449" s="694">
        <f>E449*$N$2</f>
        <v/>
      </c>
      <c r="G449" s="695" t="n">
        <v>0</v>
      </c>
      <c r="H449" s="696">
        <f>F449-G449</f>
        <v/>
      </c>
      <c r="I449" s="151" t="n"/>
      <c r="J449" s="152" t="n">
        <v>44692</v>
      </c>
      <c r="K449" s="692" t="inlineStr">
        <is>
          <t>FERRETERIA GENERAL</t>
        </is>
      </c>
    </row>
    <row r="450" ht="20.1" customHeight="1">
      <c r="A450" s="430">
        <f>_xlfn.XLOOKUP(B450,'INSUMOS MAT '!B:B,'INSUMOS MAT '!C:C,"ERROR",0)</f>
        <v/>
      </c>
      <c r="B450" s="142" t="inlineStr">
        <is>
          <t>MAT04-0019</t>
        </is>
      </c>
      <c r="C450" s="691" t="inlineStr">
        <is>
          <t>SIFON P/CONCRETO 4"</t>
        </is>
      </c>
      <c r="D450" s="692" t="inlineStr">
        <is>
          <t>UND</t>
        </is>
      </c>
      <c r="E450" s="693" t="n">
        <v>4011.5</v>
      </c>
      <c r="F450" s="694">
        <f>E450*$N$2</f>
        <v/>
      </c>
      <c r="G450" s="695" t="n">
        <v>0</v>
      </c>
      <c r="H450" s="696">
        <f>F450-G450</f>
        <v/>
      </c>
      <c r="I450" s="151" t="n"/>
      <c r="J450" s="152" t="n">
        <v>44692</v>
      </c>
      <c r="K450" s="692" t="inlineStr">
        <is>
          <t>CONCRETOS CEMENTOS Y MORTEROS</t>
        </is>
      </c>
    </row>
    <row r="451" ht="20.1" customHeight="1">
      <c r="A451" s="430">
        <f>_xlfn.XLOOKUP(B451,'INSUMOS MAT '!B:B,'INSUMOS MAT '!C:C,"ERROR",0)</f>
        <v/>
      </c>
      <c r="B451" s="142" t="inlineStr">
        <is>
          <t>MAT19-0055</t>
        </is>
      </c>
      <c r="C451" s="691" t="inlineStr">
        <is>
          <t>SIFON SIN REGISTRO P.D. 2</t>
        </is>
      </c>
      <c r="D451" s="692" t="inlineStr">
        <is>
          <t>UND</t>
        </is>
      </c>
      <c r="E451" s="693" t="n">
        <v>5312.49</v>
      </c>
      <c r="F451" s="694">
        <f>E451*$N$2</f>
        <v/>
      </c>
      <c r="G451" s="695" t="n">
        <v>0</v>
      </c>
      <c r="H451" s="696">
        <f>F451-G451</f>
        <v/>
      </c>
      <c r="I451" s="151" t="n"/>
      <c r="J451" s="152" t="n">
        <v>44692</v>
      </c>
      <c r="K451" s="692" t="inlineStr">
        <is>
          <t>PVC</t>
        </is>
      </c>
    </row>
    <row r="452" ht="20.1" customHeight="1">
      <c r="A452" s="430">
        <f>_xlfn.XLOOKUP(B452,'INSUMOS MAT '!B:B,'INSUMOS MAT '!C:C,"ERROR",0)</f>
        <v/>
      </c>
      <c r="B452" s="142" t="inlineStr">
        <is>
          <t>MAT08-0526</t>
        </is>
      </c>
      <c r="C452" s="691" t="inlineStr">
        <is>
          <t>SIKADUR 32 GRL (MORTERO EPOXICO)</t>
        </is>
      </c>
      <c r="D452" s="692" t="inlineStr">
        <is>
          <t>UND</t>
        </is>
      </c>
      <c r="E452" s="693" t="n">
        <v>24093.408</v>
      </c>
      <c r="F452" s="694">
        <f>E452*$N$2</f>
        <v/>
      </c>
      <c r="G452" s="695" t="n">
        <v>0</v>
      </c>
      <c r="H452" s="696">
        <f>F452-G452</f>
        <v/>
      </c>
      <c r="I452" s="151" t="n"/>
      <c r="J452" s="152" t="n">
        <v>44692</v>
      </c>
      <c r="K452" s="692" t="inlineStr">
        <is>
          <t>FERRETERIA GENERAL</t>
        </is>
      </c>
    </row>
    <row r="453" ht="20.1" customHeight="1">
      <c r="A453" s="430">
        <f>_xlfn.XLOOKUP(B453,'INSUMOS MAT '!B:B,'INSUMOS MAT '!C:C,"ERROR",0)</f>
        <v/>
      </c>
      <c r="B453" s="142" t="inlineStr">
        <is>
          <t>MAT21-0017</t>
        </is>
      </c>
      <c r="C453" s="691" t="inlineStr">
        <is>
          <t>SILICON PINTABLE</t>
        </is>
      </c>
      <c r="D453" s="692" t="inlineStr">
        <is>
          <t>UND</t>
        </is>
      </c>
      <c r="E453" s="693" t="n">
        <v>2213.9096</v>
      </c>
      <c r="F453" s="694">
        <f>E453*$N$2</f>
        <v/>
      </c>
      <c r="G453" s="695" t="n">
        <v>0</v>
      </c>
      <c r="H453" s="696">
        <f>F453-G453</f>
        <v/>
      </c>
      <c r="I453" s="151" t="n"/>
      <c r="J453" s="152" t="n">
        <v>44692</v>
      </c>
      <c r="K453" s="692" t="inlineStr">
        <is>
          <t>SILICONES-SELLADORES-ADITIVOS</t>
        </is>
      </c>
    </row>
    <row r="454" ht="20.1" customHeight="1">
      <c r="A454" s="430">
        <f>_xlfn.XLOOKUP(B454,'INSUMOS MAT '!B:B,'INSUMOS MAT '!C:C,"ERROR",0)</f>
        <v/>
      </c>
      <c r="B454" s="142" t="inlineStr">
        <is>
          <t>MAT21-0018</t>
        </is>
      </c>
      <c r="C454" s="691" t="inlineStr">
        <is>
          <t>SILICON TRANSPARENTE</t>
        </is>
      </c>
      <c r="D454" s="692" t="inlineStr">
        <is>
          <t>UND</t>
        </is>
      </c>
      <c r="E454" s="693" t="n">
        <v>3426.9763</v>
      </c>
      <c r="F454" s="694">
        <f>E454*$N$2</f>
        <v/>
      </c>
      <c r="G454" s="695" t="n">
        <v>0</v>
      </c>
      <c r="H454" s="696">
        <f>F454-G454</f>
        <v/>
      </c>
      <c r="I454" s="151" t="n"/>
      <c r="J454" s="152" t="n">
        <v>44692</v>
      </c>
      <c r="K454" s="692" t="inlineStr">
        <is>
          <t>SILICONES-SELLADORES-ADITIVOS</t>
        </is>
      </c>
    </row>
    <row r="455" ht="20.1" customHeight="1">
      <c r="A455" s="430">
        <f>_xlfn.XLOOKUP(B455,'INSUMOS MAT '!B:B,'INSUMOS MAT '!C:C,"ERROR",0)</f>
        <v/>
      </c>
      <c r="B455" s="142" t="inlineStr">
        <is>
          <t>MAT16-0096</t>
        </is>
      </c>
      <c r="C455" s="691" t="inlineStr">
        <is>
          <t>SILICONIZER BLANCO</t>
        </is>
      </c>
      <c r="D455" s="692" t="inlineStr">
        <is>
          <t>CUBETA</t>
        </is>
      </c>
      <c r="E455" s="693" t="n">
        <v>79642.625</v>
      </c>
      <c r="F455" s="694">
        <f>E455*$N$2</f>
        <v/>
      </c>
      <c r="G455" s="695" t="n">
        <v>0</v>
      </c>
      <c r="H455" s="696">
        <f>F455-G455</f>
        <v/>
      </c>
      <c r="I455" s="151" t="n"/>
      <c r="J455" s="152" t="n">
        <v>44692</v>
      </c>
      <c r="K455" s="692" t="inlineStr">
        <is>
          <t>PINTURAS Y REVESTIMIENTOS</t>
        </is>
      </c>
    </row>
    <row r="456" ht="20.1" customHeight="1">
      <c r="A456" s="430">
        <f>_xlfn.XLOOKUP(B456,'INSUMOS MAT '!B:B,'INSUMOS MAT '!C:C,"ERROR",0)</f>
        <v/>
      </c>
      <c r="B456" s="142" t="inlineStr">
        <is>
          <t>MAT16-0065</t>
        </is>
      </c>
      <c r="C456" s="691" t="inlineStr">
        <is>
          <t>SILICONIZER GRIS</t>
        </is>
      </c>
      <c r="D456" s="692" t="inlineStr">
        <is>
          <t>GALON</t>
        </is>
      </c>
      <c r="E456" s="693" t="n">
        <v>16779.0075</v>
      </c>
      <c r="F456" s="694">
        <f>E456*$N$2</f>
        <v/>
      </c>
      <c r="G456" s="695" t="n">
        <v>0</v>
      </c>
      <c r="H456" s="696">
        <f>F456-G456</f>
        <v/>
      </c>
      <c r="I456" s="151" t="n"/>
      <c r="J456" s="152" t="n">
        <v>44692</v>
      </c>
      <c r="K456" s="692" t="inlineStr">
        <is>
          <t>PINTURAS Y REVESTIMIENTOS</t>
        </is>
      </c>
    </row>
    <row r="457" ht="20.1" customHeight="1">
      <c r="A457" s="430">
        <f>_xlfn.XLOOKUP(B457,'INSUMOS MAT '!B:B,'INSUMOS MAT '!C:C,"ERROR",0)</f>
        <v/>
      </c>
      <c r="B457" s="142" t="inlineStr">
        <is>
          <t>MAT16-0064</t>
        </is>
      </c>
      <c r="C457" s="691" t="inlineStr">
        <is>
          <t>SILICONIZER GRIS</t>
        </is>
      </c>
      <c r="D457" s="692" t="inlineStr">
        <is>
          <t>CUBETA</t>
        </is>
      </c>
      <c r="E457" s="693" t="n">
        <v>79643.5733</v>
      </c>
      <c r="F457" s="694">
        <f>E457*$N$2</f>
        <v/>
      </c>
      <c r="G457" s="695" t="n">
        <v>0</v>
      </c>
      <c r="H457" s="696">
        <f>F457-G457</f>
        <v/>
      </c>
      <c r="I457" s="151" t="n"/>
      <c r="J457" s="152" t="n">
        <v>44692</v>
      </c>
      <c r="K457" s="692" t="inlineStr">
        <is>
          <t>PINTURAS Y REVESTIMIENTOS</t>
        </is>
      </c>
    </row>
    <row r="458" ht="20.1" customHeight="1">
      <c r="A458" s="430">
        <f>_xlfn.XLOOKUP(B458,'INSUMOS MAT '!B:B,'INSUMOS MAT '!C:C,"ERROR",0)</f>
        <v/>
      </c>
      <c r="B458" s="142" t="inlineStr">
        <is>
          <t>MAT08-0115</t>
        </is>
      </c>
      <c r="C458" s="691" t="inlineStr">
        <is>
          <t>SILLETA P/MALLA SM475</t>
        </is>
      </c>
      <c r="D458" s="692" t="inlineStr">
        <is>
          <t>UND</t>
        </is>
      </c>
      <c r="E458" s="693" t="n">
        <v>174.9483</v>
      </c>
      <c r="F458" s="694">
        <f>E458*$N$2</f>
        <v/>
      </c>
      <c r="G458" s="695" t="n">
        <v>0</v>
      </c>
      <c r="H458" s="696">
        <f>F458-G458</f>
        <v/>
      </c>
      <c r="I458" s="151" t="n"/>
      <c r="J458" s="152" t="n">
        <v>44692</v>
      </c>
      <c r="K458" s="692" t="inlineStr">
        <is>
          <t>FERRETERIA GENERAL</t>
        </is>
      </c>
    </row>
    <row r="459" ht="20.1" customHeight="1">
      <c r="A459" s="430">
        <f>_xlfn.XLOOKUP(B459,'INSUMOS MAT '!B:B,'INSUMOS MAT '!C:C,"ERROR",0)</f>
        <v/>
      </c>
      <c r="B459" s="142" t="inlineStr">
        <is>
          <t>MAT08-0314</t>
        </is>
      </c>
      <c r="C459" s="691" t="inlineStr">
        <is>
          <t>SOLDADURA  ALAMBRE MIG ECA 08 EN 5 KG</t>
        </is>
      </c>
      <c r="D459" s="692" t="inlineStr">
        <is>
          <t>UND</t>
        </is>
      </c>
      <c r="E459" s="693" t="n">
        <v>22430.5</v>
      </c>
      <c r="F459" s="694">
        <f>E459*$N$2</f>
        <v/>
      </c>
      <c r="G459" s="695" t="n">
        <v>0</v>
      </c>
      <c r="H459" s="696">
        <f>F459-G459</f>
        <v/>
      </c>
      <c r="I459" s="151" t="n"/>
      <c r="J459" s="152" t="n">
        <v>44692</v>
      </c>
      <c r="K459" s="692" t="inlineStr">
        <is>
          <t>FERRETERIA GENERAL</t>
        </is>
      </c>
    </row>
    <row r="460" ht="20.1" customHeight="1">
      <c r="A460" s="430">
        <f>_xlfn.XLOOKUP(B460,'INSUMOS MAT '!B:B,'INSUMOS MAT '!C:C,"ERROR",0)</f>
        <v/>
      </c>
      <c r="B460" s="142" t="inlineStr">
        <is>
          <t>MAT08-0116</t>
        </is>
      </c>
      <c r="C460" s="691" t="inlineStr">
        <is>
          <t>SOLDADURA 3/32 (6013)</t>
        </is>
      </c>
      <c r="D460" s="692" t="inlineStr">
        <is>
          <t>KG</t>
        </is>
      </c>
      <c r="E460" s="693" t="n">
        <v>3462.32</v>
      </c>
      <c r="F460" s="694">
        <f>E460*$N$2</f>
        <v/>
      </c>
      <c r="G460" s="695" t="n">
        <v>0</v>
      </c>
      <c r="H460" s="696">
        <f>F460-G460</f>
        <v/>
      </c>
      <c r="I460" s="151" t="n"/>
      <c r="J460" s="152" t="n">
        <v>44692</v>
      </c>
      <c r="K460" s="692" t="inlineStr">
        <is>
          <t>FERRETERIA GENERAL</t>
        </is>
      </c>
    </row>
    <row r="461" ht="20.1" customHeight="1">
      <c r="A461" s="430">
        <f>_xlfn.XLOOKUP(B461,'INSUMOS MAT '!B:B,'INSUMOS MAT '!C:C,"ERROR",0)</f>
        <v/>
      </c>
      <c r="B461" s="142" t="inlineStr">
        <is>
          <t>MAT14-0023</t>
        </is>
      </c>
      <c r="C461" s="691" t="inlineStr">
        <is>
          <t>SOPORTE LATERAL NIQUEL 3H+3TR</t>
        </is>
      </c>
      <c r="D461" s="692" t="inlineStr">
        <is>
          <t>UND</t>
        </is>
      </c>
      <c r="E461" s="693" t="n">
        <v>168.7356</v>
      </c>
      <c r="F461" s="694">
        <f>E461*$N$2</f>
        <v/>
      </c>
      <c r="G461" s="695" t="n">
        <v>0</v>
      </c>
      <c r="H461" s="696">
        <f>F461-G461</f>
        <v/>
      </c>
      <c r="I461" s="151" t="n"/>
      <c r="J461" s="152" t="n">
        <v>44692</v>
      </c>
      <c r="K461" s="692" t="inlineStr">
        <is>
          <t>MUEBLES</t>
        </is>
      </c>
    </row>
    <row r="462" ht="20.1" customHeight="1">
      <c r="A462" s="430">
        <f>_xlfn.XLOOKUP(B462,'INSUMOS MAT '!B:B,'INSUMOS MAT '!C:C,"ERROR",0)</f>
        <v/>
      </c>
      <c r="B462" s="142" t="inlineStr">
        <is>
          <t>MAT14-0024</t>
        </is>
      </c>
      <c r="C462" s="691" t="inlineStr">
        <is>
          <t>SOPORTE P/ESTANTE TRANS 5MM SP-1-PL-HU</t>
        </is>
      </c>
      <c r="D462" s="692" t="inlineStr">
        <is>
          <t>UND</t>
        </is>
      </c>
      <c r="E462" s="693" t="n">
        <v>16.4076</v>
      </c>
      <c r="F462" s="694">
        <f>E462*$N$2</f>
        <v/>
      </c>
      <c r="G462" s="695" t="n">
        <v>0</v>
      </c>
      <c r="H462" s="696">
        <f>F462-G462</f>
        <v/>
      </c>
      <c r="I462" s="151" t="n"/>
      <c r="J462" s="152" t="n">
        <v>44692</v>
      </c>
      <c r="K462" s="692" t="inlineStr">
        <is>
          <t>MUEBLES</t>
        </is>
      </c>
    </row>
    <row r="463" ht="20.1" customHeight="1">
      <c r="A463" s="430">
        <f>_xlfn.XLOOKUP(B463,'INSUMOS MAT '!B:B,'INSUMOS MAT '!C:C,"ERROR",0)</f>
        <v/>
      </c>
      <c r="B463" s="142" t="inlineStr">
        <is>
          <t>MAT16-0011</t>
        </is>
      </c>
      <c r="C463" s="691" t="inlineStr">
        <is>
          <t>STUCCO BLANCO COD 010 SUR</t>
        </is>
      </c>
      <c r="D463" s="692" t="inlineStr">
        <is>
          <t>CUBETA</t>
        </is>
      </c>
      <c r="E463" s="693" t="n">
        <v>38499.99</v>
      </c>
      <c r="F463" s="694">
        <f>E463*$N$2</f>
        <v/>
      </c>
      <c r="G463" s="695" t="n">
        <v>0</v>
      </c>
      <c r="H463" s="696">
        <f>F463-G463</f>
        <v/>
      </c>
      <c r="I463" s="151" t="n"/>
      <c r="J463" s="152" t="n">
        <v>44680</v>
      </c>
      <c r="K463" s="692" t="inlineStr">
        <is>
          <t>PINTURAS Y REVESTIMIENTOS</t>
        </is>
      </c>
    </row>
    <row r="464" ht="20.1" customHeight="1">
      <c r="A464" s="430">
        <f>_xlfn.XLOOKUP(B464,'INSUMOS MAT '!B:B,'INSUMOS MAT '!C:C,"ERROR",0)</f>
        <v/>
      </c>
      <c r="B464" s="142" t="inlineStr">
        <is>
          <t>MAT16-0013</t>
        </is>
      </c>
      <c r="C464" s="691" t="inlineStr">
        <is>
          <t>STUCCO ESPIGA COD 022 SUR</t>
        </is>
      </c>
      <c r="D464" s="692" t="inlineStr">
        <is>
          <t>CUBETA</t>
        </is>
      </c>
      <c r="E464" s="693" t="n">
        <v>48795.66</v>
      </c>
      <c r="F464" s="694">
        <f>E464*$N$2</f>
        <v/>
      </c>
      <c r="G464" s="695" t="n">
        <v>0</v>
      </c>
      <c r="H464" s="696">
        <f>F464-G464</f>
        <v/>
      </c>
      <c r="I464" s="151" t="n"/>
      <c r="J464" s="152" t="n">
        <v>44495</v>
      </c>
      <c r="K464" s="692" t="inlineStr">
        <is>
          <t>PINTURAS Y REVESTIMIENTOS</t>
        </is>
      </c>
    </row>
    <row r="465" ht="20.1" customHeight="1">
      <c r="A465" s="430">
        <f>_xlfn.XLOOKUP(B465,'INSUMOS MAT '!B:B,'INSUMOS MAT '!C:C,"ERROR",0)</f>
        <v/>
      </c>
      <c r="B465" s="142" t="inlineStr">
        <is>
          <t>MAT16-0017</t>
        </is>
      </c>
      <c r="C465" s="691" t="inlineStr">
        <is>
          <t>STUCCO TABACO SUR</t>
        </is>
      </c>
      <c r="D465" s="692" t="inlineStr">
        <is>
          <t>CUBETA</t>
        </is>
      </c>
      <c r="E465" s="693" t="n">
        <v>35892.745</v>
      </c>
      <c r="F465" s="694">
        <f>E465*$N$2</f>
        <v/>
      </c>
      <c r="G465" s="695" t="n">
        <v>0</v>
      </c>
      <c r="H465" s="696">
        <f>F465-G465</f>
        <v/>
      </c>
      <c r="I465" s="151" t="n"/>
      <c r="J465" s="152" t="n">
        <v>44692</v>
      </c>
      <c r="K465" s="692" t="inlineStr">
        <is>
          <t>PINTURAS Y REVESTIMIENTOS</t>
        </is>
      </c>
    </row>
    <row r="466" ht="20.1" customHeight="1">
      <c r="A466" s="430">
        <f>_xlfn.XLOOKUP(B466,'INSUMOS MAT '!B:B,'INSUMOS MAT '!C:C,"ERROR",0)</f>
        <v/>
      </c>
      <c r="B466" s="142" t="inlineStr">
        <is>
          <t>MAT07-0018</t>
        </is>
      </c>
      <c r="C466" s="691" t="inlineStr">
        <is>
          <t>STUD 3X10 CAL#25</t>
        </is>
      </c>
      <c r="D466" s="692" t="inlineStr">
        <is>
          <t>UND</t>
        </is>
      </c>
      <c r="E466" s="693" t="n">
        <v>1545.658</v>
      </c>
      <c r="F466" s="694">
        <f>E466*$N$2</f>
        <v/>
      </c>
      <c r="G466" s="695" t="n">
        <v>0</v>
      </c>
      <c r="H466" s="696">
        <f>F466-G466</f>
        <v/>
      </c>
      <c r="I466" s="151" t="n"/>
      <c r="J466" s="152" t="n">
        <v>44692</v>
      </c>
      <c r="K466" s="692" t="inlineStr">
        <is>
          <t>ESTRUCTURA LIVIANA</t>
        </is>
      </c>
    </row>
    <row r="467" ht="20.1" customHeight="1">
      <c r="A467" s="430">
        <f>_xlfn.XLOOKUP(B467,'INSUMOS MAT '!B:B,'INSUMOS MAT '!C:C,"ERROR",0)</f>
        <v/>
      </c>
      <c r="B467" s="142" t="inlineStr">
        <is>
          <t>MAT07-0019</t>
        </is>
      </c>
      <c r="C467" s="691" t="inlineStr">
        <is>
          <t>STUD 4X10 CAL#25</t>
        </is>
      </c>
      <c r="D467" s="692" t="inlineStr">
        <is>
          <t>UND</t>
        </is>
      </c>
      <c r="E467" s="693" t="n">
        <v>1899.7455</v>
      </c>
      <c r="F467" s="694">
        <f>E467*$N$2</f>
        <v/>
      </c>
      <c r="G467" s="695" t="n">
        <v>0</v>
      </c>
      <c r="H467" s="696">
        <f>F467-G467</f>
        <v/>
      </c>
      <c r="I467" s="151" t="n"/>
      <c r="J467" s="152" t="n">
        <v>44692</v>
      </c>
      <c r="K467" s="692" t="inlineStr">
        <is>
          <t>ESTRUCTURA LIVIANA</t>
        </is>
      </c>
    </row>
    <row r="468" ht="20.1" customHeight="1">
      <c r="A468" s="430">
        <f>_xlfn.XLOOKUP(B468,'INSUMOS MAT '!B:B,'INSUMOS MAT '!C:C,"ERROR",0)</f>
        <v/>
      </c>
      <c r="B468" s="142" t="inlineStr">
        <is>
          <t>MAT16-0094</t>
        </is>
      </c>
      <c r="C468" s="691" t="inlineStr">
        <is>
          <t>SUPER COAT MATE PASTEL</t>
        </is>
      </c>
      <c r="D468" s="692" t="inlineStr">
        <is>
          <t>1/4 DE GALON</t>
        </is>
      </c>
      <c r="E468" s="693" t="n">
        <v>6976.62</v>
      </c>
      <c r="F468" s="694">
        <f>E468*$N$2</f>
        <v/>
      </c>
      <c r="G468" s="695" t="n">
        <v>0</v>
      </c>
      <c r="H468" s="696">
        <f>F468-G468</f>
        <v/>
      </c>
      <c r="I468" s="151" t="n"/>
      <c r="J468" s="152" t="n">
        <v>44692</v>
      </c>
      <c r="K468" s="692" t="inlineStr">
        <is>
          <t>PINTURAS Y REVESTIMIENTOS</t>
        </is>
      </c>
    </row>
    <row r="469" ht="20.1" customHeight="1">
      <c r="A469" s="430">
        <f>_xlfn.XLOOKUP(B469,'INSUMOS MAT '!B:B,'INSUMOS MAT '!C:C,"ERROR",0)</f>
        <v/>
      </c>
      <c r="B469" s="142" t="inlineStr">
        <is>
          <t>MAT07-0034</t>
        </is>
      </c>
      <c r="C469" s="691" t="inlineStr">
        <is>
          <t>TABLILLA BLANCA MATE CON DIVISION</t>
        </is>
      </c>
      <c r="D469" s="692" t="inlineStr">
        <is>
          <t>UND</t>
        </is>
      </c>
      <c r="E469" s="693" t="n">
        <v>6371.505</v>
      </c>
      <c r="F469" s="694">
        <f>E469*$N$2</f>
        <v/>
      </c>
      <c r="G469" s="695" t="n">
        <v>0</v>
      </c>
      <c r="H469" s="696">
        <f>F469-G469</f>
        <v/>
      </c>
      <c r="I469" s="151" t="n"/>
      <c r="J469" s="152" t="n">
        <v>44692</v>
      </c>
      <c r="K469" s="692" t="inlineStr">
        <is>
          <t>ESTRUCTURA LIVIANA</t>
        </is>
      </c>
    </row>
    <row r="470" ht="20.1" customHeight="1">
      <c r="A470" s="135" t="n"/>
      <c r="B470" s="142" t="inlineStr">
        <is>
          <t>MAT08-0519</t>
        </is>
      </c>
      <c r="C470" s="691" t="inlineStr">
        <is>
          <t>TABLON 2 1/2X12X4</t>
        </is>
      </c>
      <c r="D470" s="692" t="inlineStr">
        <is>
          <t>UND</t>
        </is>
      </c>
      <c r="E470" s="693" t="n">
        <v>16656.2</v>
      </c>
      <c r="F470" s="694">
        <f>E470*$N$2</f>
        <v/>
      </c>
      <c r="G470" s="695" t="n">
        <v>0</v>
      </c>
      <c r="H470" s="696">
        <f>F470-G470</f>
        <v/>
      </c>
      <c r="I470" s="151" t="n"/>
      <c r="J470" s="152" t="n">
        <v>44656</v>
      </c>
      <c r="K470" s="692" t="inlineStr">
        <is>
          <t>FERRETERIA GENERAL</t>
        </is>
      </c>
    </row>
    <row r="471" ht="20.1" customHeight="1">
      <c r="A471" s="430">
        <f>_xlfn.XLOOKUP(B471,'INSUMOS MAT '!B:B,'INSUMOS MAT '!C:C,"ERROR",0)</f>
        <v/>
      </c>
      <c r="B471" s="142" t="inlineStr">
        <is>
          <t>MAT19-0141</t>
        </is>
      </c>
      <c r="C471" s="691" t="inlineStr">
        <is>
          <t>TANQUE TRICAPA 750L</t>
        </is>
      </c>
      <c r="D471" s="692" t="inlineStr">
        <is>
          <t>UND</t>
        </is>
      </c>
      <c r="E471" s="693" t="n">
        <v>119033.07</v>
      </c>
      <c r="F471" s="694">
        <f>E471*$N$2</f>
        <v/>
      </c>
      <c r="G471" s="695" t="n">
        <v>0</v>
      </c>
      <c r="H471" s="696">
        <f>F471-G471</f>
        <v/>
      </c>
      <c r="I471" s="151" t="n"/>
      <c r="J471" s="152" t="n">
        <v>44446</v>
      </c>
      <c r="K471" s="692" t="inlineStr">
        <is>
          <t>PVC</t>
        </is>
      </c>
    </row>
    <row r="472" ht="20.1" customHeight="1">
      <c r="A472" s="430">
        <f>_xlfn.XLOOKUP(B472,'INSUMOS MAT '!B:B,'INSUMOS MAT '!C:C,"ERROR",0)</f>
        <v/>
      </c>
      <c r="B472" s="142" t="inlineStr">
        <is>
          <t>MAT06-0114</t>
        </is>
      </c>
      <c r="C472" s="691" t="inlineStr">
        <is>
          <t>TAPA CIEGA CUADRADA 4X4 EMT</t>
        </is>
      </c>
      <c r="D472" s="692" t="inlineStr">
        <is>
          <t>UND</t>
        </is>
      </c>
      <c r="E472" s="693" t="n">
        <v>406.9211</v>
      </c>
      <c r="F472" s="694">
        <f>E472*$N$2</f>
        <v/>
      </c>
      <c r="G472" s="695" t="n">
        <v>0</v>
      </c>
      <c r="H472" s="696">
        <f>F472-G472</f>
        <v/>
      </c>
      <c r="I472" s="151" t="n"/>
      <c r="J472" s="152" t="n">
        <v>44692</v>
      </c>
      <c r="K472" s="692" t="inlineStr">
        <is>
          <t>ELECTRICO</t>
        </is>
      </c>
    </row>
    <row r="473" ht="20.1" customHeight="1">
      <c r="A473" s="430">
        <f>_xlfn.XLOOKUP(B473,'INSUMOS MAT '!B:B,'INSUMOS MAT '!C:C,"ERROR",0)</f>
        <v/>
      </c>
      <c r="B473" s="142" t="inlineStr">
        <is>
          <t>MAT06-0088</t>
        </is>
      </c>
      <c r="C473" s="691" t="inlineStr">
        <is>
          <t>TAPA CIEGA PARA CAJA OCTAGONAL</t>
        </is>
      </c>
      <c r="D473" s="692" t="inlineStr">
        <is>
          <t>UND</t>
        </is>
      </c>
      <c r="E473" s="693" t="n">
        <v>461.04</v>
      </c>
      <c r="F473" s="694">
        <f>E473*$N$2</f>
        <v/>
      </c>
      <c r="G473" s="695" t="n">
        <v>0</v>
      </c>
      <c r="H473" s="696">
        <f>F473-G473</f>
        <v/>
      </c>
      <c r="I473" s="151" t="n"/>
      <c r="J473" s="152" t="n">
        <v>44692</v>
      </c>
      <c r="K473" s="692" t="inlineStr">
        <is>
          <t>ELECTRICO</t>
        </is>
      </c>
    </row>
    <row r="474" ht="20.1" customHeight="1">
      <c r="A474" s="430">
        <f>_xlfn.XLOOKUP(B474,'INSUMOS MAT '!B:B,'INSUMOS MAT '!C:C,"ERROR",0)</f>
        <v/>
      </c>
      <c r="B474" s="142" t="inlineStr">
        <is>
          <t>MAT06-0089</t>
        </is>
      </c>
      <c r="C474" s="691" t="inlineStr">
        <is>
          <t>TAPA CIEGA BLANCA 2X4</t>
        </is>
      </c>
      <c r="D474" s="692" t="inlineStr">
        <is>
          <t>UND</t>
        </is>
      </c>
      <c r="E474" s="693" t="n">
        <v>420.5444</v>
      </c>
      <c r="F474" s="694">
        <f>E474*$N$2</f>
        <v/>
      </c>
      <c r="G474" s="695" t="n">
        <v>0</v>
      </c>
      <c r="H474" s="696">
        <f>F474-G474</f>
        <v/>
      </c>
      <c r="I474" s="151" t="n"/>
      <c r="J474" s="152" t="n">
        <v>44692</v>
      </c>
      <c r="K474" s="692" t="inlineStr">
        <is>
          <t>ELECTRICO</t>
        </is>
      </c>
    </row>
    <row r="475" ht="20.1" customHeight="1">
      <c r="A475" s="430">
        <f>_xlfn.XLOOKUP(B475,'INSUMOS MAT '!B:B,'INSUMOS MAT '!C:C,"ERROR",0)</f>
        <v/>
      </c>
      <c r="B475" s="142" t="inlineStr">
        <is>
          <t>MAT14-0033</t>
        </is>
      </c>
      <c r="C475" s="691" t="inlineStr">
        <is>
          <t>TAPA TORNILLO ADHESIVO</t>
        </is>
      </c>
      <c r="D475" s="692" t="inlineStr">
        <is>
          <t>UND</t>
        </is>
      </c>
      <c r="E475" s="693" t="n">
        <v>2273.0853</v>
      </c>
      <c r="F475" s="694">
        <f>E475*$N$2</f>
        <v/>
      </c>
      <c r="G475" s="695" t="n">
        <v>0</v>
      </c>
      <c r="H475" s="696">
        <f>F475-G475</f>
        <v/>
      </c>
      <c r="I475" s="151" t="n"/>
      <c r="J475" s="152" t="n">
        <v>44692</v>
      </c>
      <c r="K475" s="692" t="inlineStr">
        <is>
          <t>MUEBLES</t>
        </is>
      </c>
    </row>
    <row r="476" ht="20.1" customHeight="1">
      <c r="A476" s="430">
        <f>_xlfn.XLOOKUP(B476,'INSUMOS MAT '!B:B,'INSUMOS MAT '!C:C,"ERROR",0)</f>
        <v/>
      </c>
      <c r="B476" s="142" t="inlineStr">
        <is>
          <t>MAT08-0118</t>
        </is>
      </c>
      <c r="C476" s="691" t="inlineStr">
        <is>
          <t>TAPE SCOTCH 35 ROJO</t>
        </is>
      </c>
      <c r="D476" s="692" t="inlineStr">
        <is>
          <t>UND</t>
        </is>
      </c>
      <c r="E476" s="693" t="n">
        <v>3177.2563</v>
      </c>
      <c r="F476" s="694">
        <f>E476*$N$2</f>
        <v/>
      </c>
      <c r="G476" s="695" t="n">
        <v>0</v>
      </c>
      <c r="H476" s="696">
        <f>F476-G476</f>
        <v/>
      </c>
      <c r="I476" s="151" t="n"/>
      <c r="J476" s="152" t="n">
        <v>44692</v>
      </c>
      <c r="K476" s="692" t="inlineStr">
        <is>
          <t>FERRETERIA GENERAL</t>
        </is>
      </c>
    </row>
    <row r="477" ht="20.1" customHeight="1">
      <c r="A477" s="430">
        <f>_xlfn.XLOOKUP(B477,'INSUMOS MAT '!B:B,'INSUMOS MAT '!C:C,"ERROR",0)</f>
        <v/>
      </c>
      <c r="B477" s="142" t="inlineStr">
        <is>
          <t>MAT06-0090</t>
        </is>
      </c>
      <c r="C477" s="691" t="inlineStr">
        <is>
          <t>TAPE ELECTRICO BLANCO EATON</t>
        </is>
      </c>
      <c r="D477" s="692" t="inlineStr">
        <is>
          <t>UND</t>
        </is>
      </c>
      <c r="E477" s="693" t="n">
        <v>1050.32</v>
      </c>
      <c r="F477" s="694">
        <f>E477*$N$2</f>
        <v/>
      </c>
      <c r="G477" s="695" t="n">
        <v>0</v>
      </c>
      <c r="H477" s="696">
        <f>F477-G477</f>
        <v/>
      </c>
      <c r="I477" s="151" t="n"/>
      <c r="J477" s="152" t="n">
        <v>44692</v>
      </c>
      <c r="K477" s="692" t="inlineStr">
        <is>
          <t>ELECTRICO</t>
        </is>
      </c>
    </row>
    <row r="478" ht="20.1" customHeight="1">
      <c r="A478" s="430">
        <f>_xlfn.XLOOKUP(B478,'INSUMOS MAT '!B:B,'INSUMOS MAT '!C:C,"ERROR",0)</f>
        <v/>
      </c>
      <c r="B478" s="142" t="inlineStr">
        <is>
          <t>MAT06-0091</t>
        </is>
      </c>
      <c r="C478" s="691" t="inlineStr">
        <is>
          <t>TAPE ELECTRICO VERDE EATON</t>
        </is>
      </c>
      <c r="D478" s="692" t="inlineStr">
        <is>
          <t>UND</t>
        </is>
      </c>
      <c r="E478" s="693" t="n">
        <v>679.9295</v>
      </c>
      <c r="F478" s="694">
        <f>E478*$N$2</f>
        <v/>
      </c>
      <c r="G478" s="695" t="n">
        <v>0</v>
      </c>
      <c r="H478" s="696">
        <f>F478-G478</f>
        <v/>
      </c>
      <c r="I478" s="151" t="n"/>
      <c r="J478" s="152" t="n">
        <v>44692</v>
      </c>
      <c r="K478" s="692" t="inlineStr">
        <is>
          <t>ELECTRICO</t>
        </is>
      </c>
    </row>
    <row r="479" ht="20.1" customHeight="1">
      <c r="A479" s="430">
        <f>_xlfn.XLOOKUP(B479,'INSUMOS MAT '!B:B,'INSUMOS MAT '!C:C,"ERROR",0)</f>
        <v/>
      </c>
      <c r="B479" s="142" t="inlineStr">
        <is>
          <t>MAT06-0092</t>
        </is>
      </c>
      <c r="C479" s="691" t="inlineStr">
        <is>
          <t>TAPE SUPER 33+3M 19MM</t>
        </is>
      </c>
      <c r="D479" s="692" t="inlineStr">
        <is>
          <t>UND</t>
        </is>
      </c>
      <c r="E479" s="693" t="n">
        <v>3625.1</v>
      </c>
      <c r="F479" s="694">
        <f>E479*$N$2</f>
        <v/>
      </c>
      <c r="G479" s="695" t="n">
        <v>0</v>
      </c>
      <c r="H479" s="696">
        <f>F479-G479</f>
        <v/>
      </c>
      <c r="I479" s="151" t="n"/>
      <c r="J479" s="152" t="n">
        <v>44692</v>
      </c>
      <c r="K479" s="692" t="inlineStr">
        <is>
          <t>ELECTRICO</t>
        </is>
      </c>
    </row>
    <row r="480" ht="20.1" customHeight="1">
      <c r="A480" s="430">
        <f>_xlfn.XLOOKUP(B480,'INSUMOS MAT '!B:B,'INSUMOS MAT '!C:C,"ERROR",0)</f>
        <v/>
      </c>
      <c r="B480" s="142" t="inlineStr">
        <is>
          <t>MAT14-0068</t>
        </is>
      </c>
      <c r="C480" s="691" t="inlineStr">
        <is>
          <t>TAPETA</t>
        </is>
      </c>
      <c r="D480" s="692" t="inlineStr">
        <is>
          <t>M</t>
        </is>
      </c>
      <c r="E480" s="693" t="n">
        <v>89.8629</v>
      </c>
      <c r="F480" s="694">
        <f>E480*$N$2</f>
        <v/>
      </c>
      <c r="G480" s="695" t="n">
        <v>0</v>
      </c>
      <c r="H480" s="696">
        <f>F480-G480</f>
        <v/>
      </c>
      <c r="I480" s="151" t="n"/>
      <c r="J480" s="152" t="n">
        <v>44692</v>
      </c>
      <c r="K480" s="692" t="inlineStr">
        <is>
          <t>MUEBLES</t>
        </is>
      </c>
    </row>
    <row r="481" ht="20.1" customHeight="1">
      <c r="A481" s="430">
        <f>_xlfn.XLOOKUP(B481,'INSUMOS MAT '!B:B,'INSUMOS MAT '!C:C,"ERROR",0)</f>
        <v/>
      </c>
      <c r="B481" s="142" t="inlineStr">
        <is>
          <t>MAT19-0124</t>
        </is>
      </c>
      <c r="C481" s="691" t="inlineStr">
        <is>
          <t>TAPON LISO PVC SANITARIO 11/4</t>
        </is>
      </c>
      <c r="D481" s="692" t="inlineStr">
        <is>
          <t>UND</t>
        </is>
      </c>
      <c r="E481" s="693" t="n">
        <v>518.622</v>
      </c>
      <c r="F481" s="694">
        <f>E481*$N$2</f>
        <v/>
      </c>
      <c r="G481" s="695" t="n">
        <v>0</v>
      </c>
      <c r="H481" s="696">
        <f>F481-G481</f>
        <v/>
      </c>
      <c r="I481" s="151" t="n"/>
      <c r="J481" s="152" t="n">
        <v>44692</v>
      </c>
      <c r="K481" s="692" t="inlineStr">
        <is>
          <t>PVC</t>
        </is>
      </c>
    </row>
    <row r="482" ht="20.1" customHeight="1">
      <c r="A482" s="430">
        <f>_xlfn.XLOOKUP(B482,'INSUMOS MAT '!B:B,'INSUMOS MAT '!C:C,"ERROR",0)</f>
        <v/>
      </c>
      <c r="B482" s="142" t="inlineStr">
        <is>
          <t>MAT19-0126</t>
        </is>
      </c>
      <c r="C482" s="691" t="inlineStr">
        <is>
          <t>TAPON LISO PVC SANITARIO 2</t>
        </is>
      </c>
      <c r="D482" s="692" t="inlineStr">
        <is>
          <t>UND</t>
        </is>
      </c>
      <c r="E482" s="693" t="n">
        <v>453.6386</v>
      </c>
      <c r="F482" s="694">
        <f>E482*$N$2</f>
        <v/>
      </c>
      <c r="G482" s="695" t="n">
        <v>0</v>
      </c>
      <c r="H482" s="696">
        <f>F482-G482</f>
        <v/>
      </c>
      <c r="I482" s="151" t="n"/>
      <c r="J482" s="152" t="n">
        <v>44692</v>
      </c>
      <c r="K482" s="692" t="inlineStr">
        <is>
          <t>PVC</t>
        </is>
      </c>
    </row>
    <row r="483" ht="20.1" customHeight="1">
      <c r="A483" s="430">
        <f>_xlfn.XLOOKUP(B483,'INSUMOS MAT '!B:B,'INSUMOS MAT '!C:C,"ERROR",0)</f>
        <v/>
      </c>
      <c r="B483" s="142" t="inlineStr">
        <is>
          <t>MAT19-0061</t>
        </is>
      </c>
      <c r="C483" s="691" t="inlineStr">
        <is>
          <t>TAPON HEMBRA LISO PVC 1/2</t>
        </is>
      </c>
      <c r="D483" s="692" t="inlineStr">
        <is>
          <t>UND</t>
        </is>
      </c>
      <c r="E483" s="693" t="n">
        <v>91.13399999999999</v>
      </c>
      <c r="F483" s="694">
        <f>E483*$N$2</f>
        <v/>
      </c>
      <c r="G483" s="695" t="n">
        <v>0</v>
      </c>
      <c r="H483" s="696">
        <f>F483-G483</f>
        <v/>
      </c>
      <c r="I483" s="151" t="n"/>
      <c r="J483" s="152" t="n">
        <v>44692</v>
      </c>
      <c r="K483" s="692" t="inlineStr">
        <is>
          <t>PVC</t>
        </is>
      </c>
    </row>
    <row r="484" ht="20.1" customHeight="1">
      <c r="A484" s="430">
        <f>_xlfn.XLOOKUP(B484,'INSUMOS MAT '!B:B,'INSUMOS MAT '!C:C,"ERROR",0)</f>
        <v/>
      </c>
      <c r="B484" s="142" t="inlineStr">
        <is>
          <t>MAT19-0071</t>
        </is>
      </c>
      <c r="C484" s="691" t="inlineStr">
        <is>
          <t>TAPON HEMBRA PVC LISO 1 1/2</t>
        </is>
      </c>
      <c r="D484" s="692" t="inlineStr">
        <is>
          <t>UND</t>
        </is>
      </c>
      <c r="E484" s="693" t="n">
        <v>506.24</v>
      </c>
      <c r="F484" s="694">
        <f>E484*$N$2</f>
        <v/>
      </c>
      <c r="G484" s="695" t="n">
        <v>0</v>
      </c>
      <c r="H484" s="696">
        <f>F484-G484</f>
        <v/>
      </c>
      <c r="I484" s="151" t="n"/>
      <c r="J484" s="152" t="n">
        <v>44692</v>
      </c>
      <c r="K484" s="692" t="inlineStr">
        <is>
          <t>PVC</t>
        </is>
      </c>
    </row>
    <row r="485" ht="20.1" customHeight="1">
      <c r="A485" s="430">
        <f>_xlfn.XLOOKUP(B485,'INSUMOS MAT '!B:B,'INSUMOS MAT '!C:C,"ERROR",0)</f>
        <v/>
      </c>
      <c r="B485" s="142" t="inlineStr">
        <is>
          <t>MAT19-0063</t>
        </is>
      </c>
      <c r="C485" s="691" t="inlineStr">
        <is>
          <t>TAPON HEMBRA PVC SANITARIO 4</t>
        </is>
      </c>
      <c r="D485" s="692" t="inlineStr">
        <is>
          <t>UND</t>
        </is>
      </c>
      <c r="E485" s="693" t="n">
        <v>529.968</v>
      </c>
      <c r="F485" s="694">
        <f>E485*$N$2</f>
        <v/>
      </c>
      <c r="G485" s="695" t="n">
        <v>0</v>
      </c>
      <c r="H485" s="696">
        <f>F485-G485</f>
        <v/>
      </c>
      <c r="I485" s="151" t="n"/>
      <c r="J485" s="152" t="n">
        <v>44692</v>
      </c>
      <c r="K485" s="692" t="inlineStr">
        <is>
          <t>PVC</t>
        </is>
      </c>
    </row>
    <row r="486" ht="20.1" customHeight="1">
      <c r="A486" s="430">
        <f>_xlfn.XLOOKUP(B486,'INSUMOS MAT '!B:B,'INSUMOS MAT '!C:C,"ERROR",0)</f>
        <v/>
      </c>
      <c r="B486" s="142" t="inlineStr">
        <is>
          <t>MAT19-0064</t>
        </is>
      </c>
      <c r="C486" s="691" t="inlineStr">
        <is>
          <t>TAPON HEMBRA ROSCADO PVC 1/2</t>
        </is>
      </c>
      <c r="D486" s="692" t="inlineStr">
        <is>
          <t>UND</t>
        </is>
      </c>
      <c r="E486" s="693" t="n">
        <v>136.884</v>
      </c>
      <c r="F486" s="694">
        <f>E486*$N$2</f>
        <v/>
      </c>
      <c r="G486" s="695" t="n">
        <v>0</v>
      </c>
      <c r="H486" s="696">
        <f>F486-G486</f>
        <v/>
      </c>
      <c r="I486" s="151" t="n"/>
      <c r="J486" s="152" t="n">
        <v>44692</v>
      </c>
      <c r="K486" s="692" t="inlineStr">
        <is>
          <t>PVC</t>
        </is>
      </c>
    </row>
    <row r="487" ht="20.1" customHeight="1">
      <c r="A487" s="430">
        <f>_xlfn.XLOOKUP(B487,'INSUMOS MAT '!B:B,'INSUMOS MAT '!C:C,"ERROR",0)</f>
        <v/>
      </c>
      <c r="B487" s="142" t="inlineStr">
        <is>
          <t>MAT19-0066</t>
        </is>
      </c>
      <c r="C487" s="691" t="inlineStr">
        <is>
          <t>TAPON LISO CPVC 1/2</t>
        </is>
      </c>
      <c r="D487" s="692" t="inlineStr">
        <is>
          <t>UND</t>
        </is>
      </c>
      <c r="E487" s="693" t="n">
        <v>329.4</v>
      </c>
      <c r="F487" s="694">
        <f>E487*$N$2</f>
        <v/>
      </c>
      <c r="G487" s="695" t="n">
        <v>0</v>
      </c>
      <c r="H487" s="696">
        <f>F487-G487</f>
        <v/>
      </c>
      <c r="I487" s="151" t="n"/>
      <c r="J487" s="152" t="n">
        <v>44692</v>
      </c>
      <c r="K487" s="692" t="inlineStr">
        <is>
          <t>PVC</t>
        </is>
      </c>
    </row>
    <row r="488" ht="20.1" customHeight="1">
      <c r="A488" s="430">
        <f>_xlfn.XLOOKUP(B488,'INSUMOS MAT '!B:B,'INSUMOS MAT '!C:C,"ERROR",0)</f>
        <v/>
      </c>
      <c r="B488" s="142" t="inlineStr">
        <is>
          <t>MAT19-0067</t>
        </is>
      </c>
      <c r="C488" s="691" t="inlineStr">
        <is>
          <t>TAPON LISO PVC 1/2</t>
        </is>
      </c>
      <c r="D488" s="692" t="inlineStr">
        <is>
          <t>UND</t>
        </is>
      </c>
      <c r="E488" s="693" t="n">
        <v>92.9425</v>
      </c>
      <c r="F488" s="694">
        <f>E488*$N$2</f>
        <v/>
      </c>
      <c r="G488" s="695" t="n">
        <v>0</v>
      </c>
      <c r="H488" s="696">
        <f>F488-G488</f>
        <v/>
      </c>
      <c r="I488" s="151" t="n"/>
      <c r="J488" s="152" t="n">
        <v>44692</v>
      </c>
      <c r="K488" s="692" t="inlineStr">
        <is>
          <t>PVC</t>
        </is>
      </c>
    </row>
    <row r="489" ht="20.1" customHeight="1">
      <c r="A489" s="430">
        <f>_xlfn.XLOOKUP(B489,'INSUMOS MAT '!B:B,'INSUMOS MAT '!C:C,"ERROR",0)</f>
        <v/>
      </c>
      <c r="B489" s="142" t="inlineStr">
        <is>
          <t>MAT19-0122</t>
        </is>
      </c>
      <c r="C489" s="691" t="inlineStr">
        <is>
          <t>TAPON LISO PVC SANITARIO 1/12</t>
        </is>
      </c>
      <c r="D489" s="692" t="inlineStr">
        <is>
          <t>UND</t>
        </is>
      </c>
      <c r="E489" s="693" t="n">
        <v>433.71</v>
      </c>
      <c r="F489" s="694">
        <f>E489*$N$2</f>
        <v/>
      </c>
      <c r="G489" s="695" t="n">
        <v>0</v>
      </c>
      <c r="H489" s="696">
        <f>F489-G489</f>
        <v/>
      </c>
      <c r="I489" s="151" t="n"/>
      <c r="J489" s="152" t="n">
        <v>44692</v>
      </c>
      <c r="K489" s="692" t="inlineStr">
        <is>
          <t>PVC</t>
        </is>
      </c>
    </row>
    <row r="490" ht="20.1" customHeight="1">
      <c r="A490" s="430">
        <f>_xlfn.XLOOKUP(B490,'INSUMOS MAT '!B:B,'INSUMOS MAT '!C:C,"ERROR",0)</f>
        <v/>
      </c>
      <c r="B490" s="142" t="inlineStr">
        <is>
          <t>MAT19-0125</t>
        </is>
      </c>
      <c r="C490" s="691" t="inlineStr">
        <is>
          <t>TAPON LISO PVC SANITARIO 3"</t>
        </is>
      </c>
      <c r="D490" s="692" t="inlineStr">
        <is>
          <t>UND</t>
        </is>
      </c>
      <c r="E490" s="693" t="n">
        <v>448.35</v>
      </c>
      <c r="F490" s="694">
        <f>E490*$N$2</f>
        <v/>
      </c>
      <c r="G490" s="695" t="n">
        <v>0</v>
      </c>
      <c r="H490" s="696">
        <f>F490-G490</f>
        <v/>
      </c>
      <c r="I490" s="151" t="n"/>
      <c r="J490" s="152" t="n">
        <v>44692</v>
      </c>
      <c r="K490" s="692" t="inlineStr">
        <is>
          <t>PVC</t>
        </is>
      </c>
    </row>
    <row r="491" ht="20.1" customHeight="1">
      <c r="A491" s="430">
        <f>_xlfn.XLOOKUP(B491,'INSUMOS MAT '!B:B,'INSUMOS MAT '!C:C,"ERROR",0)</f>
        <v/>
      </c>
      <c r="B491" s="142" t="inlineStr">
        <is>
          <t>MAT19-0069</t>
        </is>
      </c>
      <c r="C491" s="691" t="inlineStr">
        <is>
          <t>TAPON MACHO PVC 1/2</t>
        </is>
      </c>
      <c r="D491" s="692" t="inlineStr">
        <is>
          <t>UND</t>
        </is>
      </c>
      <c r="E491" s="693" t="n">
        <v>437.5349</v>
      </c>
      <c r="F491" s="694">
        <f>E491*$N$2</f>
        <v/>
      </c>
      <c r="G491" s="695" t="n">
        <v>0</v>
      </c>
      <c r="H491" s="696">
        <f>F491-G491</f>
        <v/>
      </c>
      <c r="I491" s="151" t="n"/>
      <c r="J491" s="152" t="n">
        <v>44692</v>
      </c>
      <c r="K491" s="692" t="inlineStr">
        <is>
          <t>PVC</t>
        </is>
      </c>
    </row>
    <row r="492" ht="20.1" customHeight="1">
      <c r="A492" s="430">
        <f>_xlfn.XLOOKUP(B492,'INSUMOS MAT '!B:B,'INSUMOS MAT '!C:C,"ERROR",0)</f>
        <v/>
      </c>
      <c r="B492" s="142" t="inlineStr">
        <is>
          <t>MAT19-0083</t>
        </is>
      </c>
      <c r="C492" s="691" t="inlineStr">
        <is>
          <t>TEE PVC PARED DELGADA 3"</t>
        </is>
      </c>
      <c r="D492" s="692" t="inlineStr">
        <is>
          <t>UND</t>
        </is>
      </c>
      <c r="E492" s="693" t="n">
        <v>5863.1742</v>
      </c>
      <c r="F492" s="694">
        <f>E492*$N$2</f>
        <v/>
      </c>
      <c r="G492" s="695" t="n">
        <v>0</v>
      </c>
      <c r="H492" s="696">
        <f>F492-G492</f>
        <v/>
      </c>
      <c r="I492" s="151" t="n"/>
      <c r="J492" s="152" t="n">
        <v>44692</v>
      </c>
      <c r="K492" s="692" t="inlineStr">
        <is>
          <t>PVC</t>
        </is>
      </c>
    </row>
    <row r="493" ht="20.1" customHeight="1">
      <c r="A493" s="430">
        <f>_xlfn.XLOOKUP(B493,'INSUMOS MAT '!B:B,'INSUMOS MAT '!C:C,"ERROR",0)</f>
        <v/>
      </c>
      <c r="B493" s="142" t="inlineStr">
        <is>
          <t>MAT19-0074</t>
        </is>
      </c>
      <c r="C493" s="691" t="inlineStr">
        <is>
          <t>TEE CIELO SUSPENDIDO</t>
        </is>
      </c>
      <c r="D493" s="692" t="inlineStr">
        <is>
          <t>UND</t>
        </is>
      </c>
      <c r="E493" s="693" t="n">
        <v>2463.1739</v>
      </c>
      <c r="F493" s="694">
        <f>E493*$N$2</f>
        <v/>
      </c>
      <c r="G493" s="695" t="n">
        <v>0</v>
      </c>
      <c r="H493" s="696">
        <f>F493-G493</f>
        <v/>
      </c>
      <c r="I493" s="151" t="n"/>
      <c r="J493" s="152" t="n">
        <v>44692</v>
      </c>
      <c r="K493" s="692" t="inlineStr">
        <is>
          <t>PVC</t>
        </is>
      </c>
    </row>
    <row r="494" ht="20.1" customHeight="1">
      <c r="A494" s="135" t="n"/>
      <c r="B494" s="142" t="inlineStr">
        <is>
          <t>MAT1676</t>
        </is>
      </c>
      <c r="C494" s="691" t="inlineStr">
        <is>
          <t>TEE CPVC 1/2"</t>
        </is>
      </c>
      <c r="D494" s="692" t="inlineStr">
        <is>
          <t>UND</t>
        </is>
      </c>
      <c r="E494" s="693" t="n">
        <v>444.324</v>
      </c>
      <c r="F494" s="694">
        <f>E494*$N$2</f>
        <v/>
      </c>
      <c r="G494" s="695" t="n">
        <v>0</v>
      </c>
      <c r="H494" s="696">
        <f>F494-G494</f>
        <v/>
      </c>
      <c r="I494" s="151" t="n"/>
      <c r="J494" s="152" t="n">
        <v>44692</v>
      </c>
      <c r="K494" s="692" t="n">
        <v>0</v>
      </c>
    </row>
    <row r="495" ht="20.1" customHeight="1">
      <c r="A495" s="430">
        <f>_xlfn.XLOOKUP(B495,'INSUMOS MAT '!B:B,'INSUMOS MAT '!C:C,"ERROR",0)</f>
        <v/>
      </c>
      <c r="B495" s="142" t="inlineStr">
        <is>
          <t>MAT19-0075</t>
        </is>
      </c>
      <c r="C495" s="691" t="inlineStr">
        <is>
          <t>TEE CPVC 1/2"</t>
        </is>
      </c>
      <c r="D495" s="692" t="inlineStr">
        <is>
          <t>UND</t>
        </is>
      </c>
      <c r="E495" s="693" t="n">
        <v>444.324</v>
      </c>
      <c r="F495" s="694">
        <f>E495*$N$2</f>
        <v/>
      </c>
      <c r="G495" s="695" t="n">
        <v>0</v>
      </c>
      <c r="H495" s="696">
        <f>F495-G495</f>
        <v/>
      </c>
      <c r="I495" s="151" t="n"/>
      <c r="J495" s="152" t="n">
        <v>44692</v>
      </c>
      <c r="K495" s="692" t="inlineStr">
        <is>
          <t>PVC</t>
        </is>
      </c>
    </row>
    <row r="496" ht="20.1" customHeight="1">
      <c r="A496" s="430">
        <f>_xlfn.XLOOKUP(B496,'INSUMOS MAT '!B:B,'INSUMOS MAT '!C:C,"ERROR",0)</f>
        <v/>
      </c>
      <c r="B496" s="142" t="inlineStr">
        <is>
          <t>MAT19-0073</t>
        </is>
      </c>
      <c r="C496" s="691" t="inlineStr">
        <is>
          <t>TEE HG 1/2"</t>
        </is>
      </c>
      <c r="D496" s="692" t="inlineStr">
        <is>
          <t>UND</t>
        </is>
      </c>
      <c r="E496" s="693" t="n">
        <v>602.2959</v>
      </c>
      <c r="F496" s="694">
        <f>E496*$N$2</f>
        <v/>
      </c>
      <c r="G496" s="695" t="n">
        <v>0</v>
      </c>
      <c r="H496" s="696">
        <f>F496-G496</f>
        <v/>
      </c>
      <c r="I496" s="151" t="n"/>
      <c r="J496" s="152" t="n">
        <v>44692</v>
      </c>
      <c r="K496" s="692" t="inlineStr">
        <is>
          <t>PVC</t>
        </is>
      </c>
    </row>
    <row r="497" ht="20.1" customHeight="1">
      <c r="A497" s="430">
        <f>_xlfn.XLOOKUP(B497,'INSUMOS MAT '!B:B,'INSUMOS MAT '!C:C,"ERROR",0)</f>
        <v/>
      </c>
      <c r="B497" s="142" t="inlineStr">
        <is>
          <t>MAT19-0072</t>
        </is>
      </c>
      <c r="C497" s="691" t="inlineStr">
        <is>
          <t>TEE PVC 1 1/4" SANITARIO</t>
        </is>
      </c>
      <c r="D497" s="692" t="inlineStr">
        <is>
          <t>UND</t>
        </is>
      </c>
      <c r="E497" s="693" t="n">
        <v>2115.114</v>
      </c>
      <c r="F497" s="694">
        <f>E497*$N$2</f>
        <v/>
      </c>
      <c r="G497" s="695" t="n">
        <v>0</v>
      </c>
      <c r="H497" s="696">
        <f>F497-G497</f>
        <v/>
      </c>
      <c r="I497" s="151" t="n"/>
      <c r="J497" s="152" t="n">
        <v>44692</v>
      </c>
      <c r="K497" s="692" t="inlineStr">
        <is>
          <t>PVC</t>
        </is>
      </c>
    </row>
    <row r="498" ht="20.1" customHeight="1">
      <c r="A498" s="430">
        <f>_xlfn.XLOOKUP(B498,'INSUMOS MAT '!B:B,'INSUMOS MAT '!C:C,"ERROR",0)</f>
        <v/>
      </c>
      <c r="B498" s="142" t="inlineStr">
        <is>
          <t>MAT19-0077</t>
        </is>
      </c>
      <c r="C498" s="691" t="inlineStr">
        <is>
          <t>TEE PVC LISA 1/2"</t>
        </is>
      </c>
      <c r="D498" s="692" t="inlineStr">
        <is>
          <t>UND</t>
        </is>
      </c>
      <c r="E498" s="693" t="n">
        <v>126.636</v>
      </c>
      <c r="F498" s="694">
        <f>E498*$N$2</f>
        <v/>
      </c>
      <c r="G498" s="695" t="n">
        <v>0</v>
      </c>
      <c r="H498" s="696">
        <f>F498-G498</f>
        <v/>
      </c>
      <c r="I498" s="151" t="n"/>
      <c r="J498" s="152" t="n">
        <v>44692</v>
      </c>
      <c r="K498" s="692" t="inlineStr">
        <is>
          <t>PVC</t>
        </is>
      </c>
    </row>
    <row r="499" ht="20.1" customHeight="1">
      <c r="A499" s="430">
        <f>_xlfn.XLOOKUP(B499,'INSUMOS MAT '!B:B,'INSUMOS MAT '!C:C,"ERROR",0)</f>
        <v/>
      </c>
      <c r="B499" s="142" t="inlineStr">
        <is>
          <t>MAT19-0078</t>
        </is>
      </c>
      <c r="C499" s="691" t="inlineStr">
        <is>
          <t>TEE PVC PARED DELGADA 1 1/2"</t>
        </is>
      </c>
      <c r="D499" s="692" t="inlineStr">
        <is>
          <t>UND</t>
        </is>
      </c>
      <c r="E499" s="693" t="n">
        <v>2117.2665</v>
      </c>
      <c r="F499" s="694">
        <f>E499*$N$2</f>
        <v/>
      </c>
      <c r="G499" s="695" t="n">
        <v>0</v>
      </c>
      <c r="H499" s="696">
        <f>F499-G499</f>
        <v/>
      </c>
      <c r="I499" s="151" t="n"/>
      <c r="J499" s="152" t="n">
        <v>44692</v>
      </c>
      <c r="K499" s="692" t="inlineStr">
        <is>
          <t>PVC</t>
        </is>
      </c>
    </row>
    <row r="500" ht="20.1" customHeight="1">
      <c r="A500" s="430">
        <f>_xlfn.XLOOKUP(B500,'INSUMOS MAT '!B:B,'INSUMOS MAT '!C:C,"ERROR",0)</f>
        <v/>
      </c>
      <c r="B500" s="142" t="inlineStr">
        <is>
          <t>MAT19-0079</t>
        </is>
      </c>
      <c r="C500" s="691" t="inlineStr">
        <is>
          <t>TEE PVC PARED DELGADA 2"</t>
        </is>
      </c>
      <c r="D500" s="692" t="inlineStr">
        <is>
          <t>UND</t>
        </is>
      </c>
      <c r="E500" s="693" t="n">
        <v>1069.086</v>
      </c>
      <c r="F500" s="694">
        <f>E500*$N$2</f>
        <v/>
      </c>
      <c r="G500" s="695" t="n">
        <v>0</v>
      </c>
      <c r="H500" s="696">
        <f>F500-G500</f>
        <v/>
      </c>
      <c r="I500" s="151" t="n"/>
      <c r="J500" s="152" t="n">
        <v>44692</v>
      </c>
      <c r="K500" s="692" t="inlineStr">
        <is>
          <t>PVC</t>
        </is>
      </c>
    </row>
    <row r="501" ht="20.1" customHeight="1">
      <c r="A501" s="430">
        <f>_xlfn.XLOOKUP(B501,'INSUMOS MAT '!B:B,'INSUMOS MAT '!C:C,"ERROR",0)</f>
        <v/>
      </c>
      <c r="B501" s="142" t="inlineStr">
        <is>
          <t>MAT19-0081</t>
        </is>
      </c>
      <c r="C501" s="691" t="inlineStr">
        <is>
          <t>TEE PVC SANITARIA PARED DELGADA 4"</t>
        </is>
      </c>
      <c r="D501" s="692" t="inlineStr">
        <is>
          <t>UND</t>
        </is>
      </c>
      <c r="E501" s="693" t="n">
        <v>5032.2224</v>
      </c>
      <c r="F501" s="694">
        <f>E501*$N$2</f>
        <v/>
      </c>
      <c r="G501" s="695" t="n">
        <v>0</v>
      </c>
      <c r="H501" s="696">
        <f>F501-G501</f>
        <v/>
      </c>
      <c r="I501" s="151" t="n"/>
      <c r="J501" s="152" t="n">
        <v>44692</v>
      </c>
      <c r="K501" s="692" t="inlineStr">
        <is>
          <t>PVC</t>
        </is>
      </c>
    </row>
    <row r="502" ht="20.1" customHeight="1">
      <c r="A502" s="430">
        <f>_xlfn.XLOOKUP(B502,'INSUMOS MAT '!B:B,'INSUMOS MAT '!C:C,"ERROR",0)</f>
        <v/>
      </c>
      <c r="B502" s="142" t="inlineStr">
        <is>
          <t>MAT08-0231</t>
        </is>
      </c>
      <c r="C502" s="691" t="inlineStr">
        <is>
          <t>TEFLON LIQUIDO</t>
        </is>
      </c>
      <c r="D502" s="692" t="inlineStr">
        <is>
          <t>UND</t>
        </is>
      </c>
      <c r="E502" s="693" t="n">
        <v>3901.4714</v>
      </c>
      <c r="F502" s="694">
        <f>E502*$N$2</f>
        <v/>
      </c>
      <c r="G502" s="695" t="n">
        <v>0</v>
      </c>
      <c r="H502" s="696">
        <f>F502-G502</f>
        <v/>
      </c>
      <c r="I502" s="151" t="n"/>
      <c r="J502" s="152" t="n">
        <v>44692</v>
      </c>
      <c r="K502" s="692" t="inlineStr">
        <is>
          <t>FERRETERIA GENERAL</t>
        </is>
      </c>
    </row>
    <row r="503" ht="20.1" customHeight="1">
      <c r="A503" s="430">
        <f>_xlfn.XLOOKUP(B503,'INSUMOS MAT '!B:B,'INSUMOS MAT '!C:C,"ERROR",0)</f>
        <v/>
      </c>
      <c r="B503" s="142" t="inlineStr">
        <is>
          <t>MAT08-0119</t>
        </is>
      </c>
      <c r="C503" s="691" t="inlineStr">
        <is>
          <t>TEFLON CINTA 1/2  (10M)</t>
        </is>
      </c>
      <c r="D503" s="692" t="inlineStr">
        <is>
          <t>UND</t>
        </is>
      </c>
      <c r="E503" s="693" t="n">
        <v>462.28</v>
      </c>
      <c r="F503" s="694">
        <f>E503*$N$2</f>
        <v/>
      </c>
      <c r="G503" s="695" t="n">
        <v>0</v>
      </c>
      <c r="H503" s="696">
        <f>F503-G503</f>
        <v/>
      </c>
      <c r="I503" s="151" t="n"/>
      <c r="J503" s="152" t="n">
        <v>44692</v>
      </c>
      <c r="K503" s="692" t="inlineStr">
        <is>
          <t>FERRETERIA GENERAL</t>
        </is>
      </c>
    </row>
    <row r="504" ht="20.1" customHeight="1">
      <c r="A504" s="430">
        <f>_xlfn.XLOOKUP(B504,'INSUMOS MAT '!B:B,'INSUMOS MAT '!C:C,"ERROR",0)</f>
        <v/>
      </c>
      <c r="B504" s="142" t="inlineStr">
        <is>
          <t>MAT16-0018</t>
        </is>
      </c>
      <c r="C504" s="691" t="inlineStr">
        <is>
          <t>THINNER</t>
        </is>
      </c>
      <c r="D504" s="692" t="inlineStr">
        <is>
          <t>GALON</t>
        </is>
      </c>
      <c r="E504" s="693" t="n">
        <v>5158.9748</v>
      </c>
      <c r="F504" s="694">
        <f>E504*$N$2</f>
        <v/>
      </c>
      <c r="G504" s="695" t="n">
        <v>0</v>
      </c>
      <c r="H504" s="696">
        <f>F504-G504</f>
        <v/>
      </c>
      <c r="I504" s="151" t="n"/>
      <c r="J504" s="152" t="n">
        <v>44692</v>
      </c>
      <c r="K504" s="692" t="inlineStr">
        <is>
          <t>PINTURAS Y REVESTIMIENTOS</t>
        </is>
      </c>
    </row>
    <row r="505" ht="20.1" customHeight="1">
      <c r="A505" s="430">
        <f>_xlfn.XLOOKUP(B505,'INSUMOS MAT '!B:B,'INSUMOS MAT '!C:C,"ERROR",0)</f>
        <v/>
      </c>
      <c r="B505" s="142" t="inlineStr">
        <is>
          <t>MAT18-0064</t>
        </is>
      </c>
      <c r="C505" s="691" t="inlineStr">
        <is>
          <t>TINTE NOGAL OSCURO DURATIN</t>
        </is>
      </c>
      <c r="D505" s="692" t="inlineStr">
        <is>
          <t>GAL</t>
        </is>
      </c>
      <c r="E505" s="693" t="n">
        <v>30909.77</v>
      </c>
      <c r="F505" s="694">
        <f>E505*$N$2</f>
        <v/>
      </c>
      <c r="G505" s="695" t="n">
        <v>0</v>
      </c>
      <c r="H505" s="696">
        <f>F505-G505</f>
        <v/>
      </c>
      <c r="I505" s="151" t="n"/>
      <c r="J505" s="152" t="n">
        <v>44692</v>
      </c>
      <c r="K505" s="692" t="inlineStr">
        <is>
          <t>PUERTAS Y RODAPIE</t>
        </is>
      </c>
    </row>
    <row r="506" ht="20.1" customHeight="1">
      <c r="A506" s="430">
        <f>_xlfn.XLOOKUP(B506,'INSUMOS MAT '!B:B,'INSUMOS MAT '!C:C,"ERROR",0)</f>
        <v/>
      </c>
      <c r="B506" s="142" t="inlineStr">
        <is>
          <t>MAT14-0034</t>
        </is>
      </c>
      <c r="C506" s="691" t="inlineStr">
        <is>
          <t>TIRADERA CILINDRICA CC:12.8CM</t>
        </is>
      </c>
      <c r="D506" s="692" t="inlineStr">
        <is>
          <t>UND</t>
        </is>
      </c>
      <c r="E506" s="693" t="n">
        <v>823.2897</v>
      </c>
      <c r="F506" s="694">
        <f>E506*$N$2</f>
        <v/>
      </c>
      <c r="G506" s="695" t="n">
        <v>0</v>
      </c>
      <c r="H506" s="696">
        <f>F506-G506</f>
        <v/>
      </c>
      <c r="I506" s="151" t="n"/>
      <c r="J506" s="152" t="n">
        <v>44692</v>
      </c>
      <c r="K506" s="692" t="inlineStr">
        <is>
          <t>MUEBLES</t>
        </is>
      </c>
    </row>
    <row r="507" ht="20.1" customHeight="1">
      <c r="A507" s="430">
        <f>_xlfn.XLOOKUP(B507,'INSUMOS MAT '!B:B,'INSUMOS MAT '!C:C,"ERROR",0)</f>
        <v/>
      </c>
      <c r="B507" s="142" t="inlineStr">
        <is>
          <t>MAT08-0120</t>
        </is>
      </c>
      <c r="C507" s="691" t="inlineStr">
        <is>
          <t>TIRO FULMINANTE P/PISTOLA 25MM</t>
        </is>
      </c>
      <c r="D507" s="692" t="inlineStr">
        <is>
          <t>CAJA</t>
        </is>
      </c>
      <c r="E507" s="693" t="n">
        <v>4606.4223</v>
      </c>
      <c r="F507" s="694">
        <f>E507*$N$2</f>
        <v/>
      </c>
      <c r="G507" s="695" t="n">
        <v>0</v>
      </c>
      <c r="H507" s="696">
        <f>F507-G507</f>
        <v/>
      </c>
      <c r="I507" s="151" t="n"/>
      <c r="J507" s="152" t="n">
        <v>44692</v>
      </c>
      <c r="K507" s="692" t="inlineStr">
        <is>
          <t>FERRETERIA GENERAL</t>
        </is>
      </c>
    </row>
    <row r="508" ht="20.1" customHeight="1">
      <c r="A508" s="430">
        <f>_xlfn.XLOOKUP(B508,'INSUMOS MAT '!B:B,'INSUMOS MAT '!C:C,"ERROR",0)</f>
        <v/>
      </c>
      <c r="B508" s="142" t="inlineStr">
        <is>
          <t>MAT06-0267</t>
        </is>
      </c>
      <c r="C508" s="691" t="inlineStr">
        <is>
          <t>TOMA PARCHE 20 AMP</t>
        </is>
      </c>
      <c r="D508" s="692" t="inlineStr">
        <is>
          <t>UND</t>
        </is>
      </c>
      <c r="E508" s="693" t="n">
        <v>1184.24</v>
      </c>
      <c r="F508" s="694">
        <f>E508*$N$2</f>
        <v/>
      </c>
      <c r="G508" s="695" t="n">
        <v>0</v>
      </c>
      <c r="H508" s="696">
        <f>F508-G508</f>
        <v/>
      </c>
      <c r="I508" s="151" t="n"/>
      <c r="J508" s="152" t="n">
        <v>44692</v>
      </c>
      <c r="K508" s="692" t="inlineStr">
        <is>
          <t>ELECTRICO</t>
        </is>
      </c>
    </row>
    <row r="509" ht="20.1" customHeight="1">
      <c r="A509" s="430">
        <f>_xlfn.XLOOKUP(B509,'INSUMOS MAT '!B:B,'INSUMOS MAT '!C:C,"ERROR",0)</f>
        <v/>
      </c>
      <c r="B509" s="142" t="inlineStr">
        <is>
          <t>MAT06-0272</t>
        </is>
      </c>
      <c r="C509" s="691" t="inlineStr">
        <is>
          <t>TOMA PARCHE MACHO WD112 50A 250V 3P-3H NEMA 10-50 COOPER</t>
        </is>
      </c>
      <c r="D509" s="692" t="inlineStr">
        <is>
          <t>UND</t>
        </is>
      </c>
      <c r="E509" s="693" t="n">
        <v>2535.72</v>
      </c>
      <c r="F509" s="694">
        <f>E509*$N$2</f>
        <v/>
      </c>
      <c r="G509" s="695" t="n">
        <v>0</v>
      </c>
      <c r="H509" s="696">
        <f>F509-G509</f>
        <v/>
      </c>
      <c r="I509" s="151" t="n"/>
      <c r="J509" s="152" t="n">
        <v>44692</v>
      </c>
      <c r="K509" s="692" t="inlineStr">
        <is>
          <t>ELECTRICO</t>
        </is>
      </c>
    </row>
    <row r="510" ht="20.1" customHeight="1">
      <c r="A510" s="430">
        <f>_xlfn.XLOOKUP(B510,'INSUMOS MAT '!B:B,'INSUMOS MAT '!C:C,"ERROR",0)</f>
        <v/>
      </c>
      <c r="B510" s="142" t="inlineStr">
        <is>
          <t>MAT06-0183</t>
        </is>
      </c>
      <c r="C510" s="691" t="inlineStr">
        <is>
          <t>TOMA DOBLE GFCI 15A/125V ULGF15W</t>
        </is>
      </c>
      <c r="D510" s="692" t="inlineStr">
        <is>
          <t>UND</t>
        </is>
      </c>
      <c r="E510" s="693" t="n">
        <v>4080</v>
      </c>
      <c r="F510" s="694">
        <f>E510*$N$2</f>
        <v/>
      </c>
      <c r="G510" s="695" t="n">
        <v>0</v>
      </c>
      <c r="H510" s="696">
        <f>F510-G510</f>
        <v/>
      </c>
      <c r="I510" s="151" t="n"/>
      <c r="J510" s="152" t="n">
        <v>44692</v>
      </c>
      <c r="K510" s="692" t="inlineStr">
        <is>
          <t>ELECTRICO</t>
        </is>
      </c>
    </row>
    <row r="511" ht="20.1" customHeight="1">
      <c r="A511" s="430">
        <f>_xlfn.XLOOKUP(B511,'INSUMOS MAT '!B:B,'INSUMOS MAT '!C:C,"ERROR",0)</f>
        <v/>
      </c>
      <c r="B511" s="142" t="inlineStr">
        <is>
          <t>MAT06-0096</t>
        </is>
      </c>
      <c r="C511" s="691" t="inlineStr">
        <is>
          <t>TOMA DOBLE POLARIZADO 15A 120 TR DECO</t>
        </is>
      </c>
      <c r="D511" s="692" t="inlineStr">
        <is>
          <t>UND</t>
        </is>
      </c>
      <c r="E511" s="693" t="n">
        <v>1103.4212</v>
      </c>
      <c r="F511" s="694">
        <f>E511*$N$2</f>
        <v/>
      </c>
      <c r="G511" s="695" t="n">
        <v>0</v>
      </c>
      <c r="H511" s="696">
        <f>F511-G511</f>
        <v/>
      </c>
      <c r="I511" s="151" t="n"/>
      <c r="J511" s="152" t="n">
        <v>44692</v>
      </c>
      <c r="K511" s="692" t="inlineStr">
        <is>
          <t>ELECTRICO</t>
        </is>
      </c>
    </row>
    <row r="512" ht="20.1" customHeight="1">
      <c r="A512" s="430">
        <f>_xlfn.XLOOKUP(B512,'INSUMOS MAT '!B:B,'INSUMOS MAT '!C:C,"ERROR",0)</f>
        <v/>
      </c>
      <c r="B512" s="142" t="inlineStr">
        <is>
          <t>MAT06-0097</t>
        </is>
      </c>
      <c r="C512" s="691" t="inlineStr">
        <is>
          <t>TOMA EMPOTRAR 50A 250V NEMA 10-50 COOPER</t>
        </is>
      </c>
      <c r="D512" s="692" t="inlineStr">
        <is>
          <t>UND</t>
        </is>
      </c>
      <c r="E512" s="693" t="n">
        <v>2050.3137</v>
      </c>
      <c r="F512" s="694">
        <f>E512*$N$2</f>
        <v/>
      </c>
      <c r="G512" s="695" t="n">
        <v>0</v>
      </c>
      <c r="H512" s="696">
        <f>F512-G512</f>
        <v/>
      </c>
      <c r="I512" s="151" t="n"/>
      <c r="J512" s="152" t="n">
        <v>44692</v>
      </c>
      <c r="K512" s="692" t="inlineStr">
        <is>
          <t>ELECTRICO</t>
        </is>
      </c>
    </row>
    <row r="513" ht="20.1" customHeight="1">
      <c r="A513" s="430">
        <f>_xlfn.XLOOKUP(B513,'INSUMOS MAT '!B:B,'INSUMOS MAT '!C:C,"ERROR",0)</f>
        <v/>
      </c>
      <c r="B513" s="142" t="inlineStr">
        <is>
          <t>MAT08-0122</t>
        </is>
      </c>
      <c r="C513" s="691" t="inlineStr">
        <is>
          <t>TORNILLO 6X11/4 P/MADERA PFINA</t>
        </is>
      </c>
      <c r="D513" s="692" t="inlineStr">
        <is>
          <t>UND</t>
        </is>
      </c>
      <c r="E513" s="693" t="n">
        <v>6.9947</v>
      </c>
      <c r="F513" s="694">
        <f>E513*$N$2</f>
        <v/>
      </c>
      <c r="G513" s="695" t="n">
        <v>0</v>
      </c>
      <c r="H513" s="696">
        <f>F513-G513</f>
        <v/>
      </c>
      <c r="I513" s="151" t="n"/>
      <c r="J513" s="152" t="n">
        <v>44692</v>
      </c>
      <c r="K513" s="692" t="inlineStr">
        <is>
          <t>FERRETERIA GENERAL</t>
        </is>
      </c>
    </row>
    <row r="514" ht="20.1" customHeight="1">
      <c r="A514" s="430">
        <f>_xlfn.XLOOKUP(B514,'INSUMOS MAT '!B:B,'INSUMOS MAT '!C:C,"ERROR",0)</f>
        <v/>
      </c>
      <c r="B514" s="142" t="inlineStr">
        <is>
          <t>MAT08-0335</t>
        </is>
      </c>
      <c r="C514" s="691" t="inlineStr">
        <is>
          <t>TORNILLO DE 3" C/EMPAQUE,TUERCA ARANDELA  Y TAPON (PARA UPVC)</t>
        </is>
      </c>
      <c r="D514" s="692" t="inlineStr">
        <is>
          <t>UND</t>
        </is>
      </c>
      <c r="E514" s="693" t="n">
        <v>180.222</v>
      </c>
      <c r="F514" s="694">
        <f>E514*$N$2</f>
        <v/>
      </c>
      <c r="G514" s="695" t="n">
        <v>0</v>
      </c>
      <c r="H514" s="696">
        <f>F514-G514</f>
        <v/>
      </c>
      <c r="I514" s="151" t="n"/>
      <c r="J514" s="152" t="n">
        <v>44692</v>
      </c>
      <c r="K514" s="692" t="inlineStr">
        <is>
          <t>FERRETERIA GENERAL</t>
        </is>
      </c>
    </row>
    <row r="515" ht="20.1" customHeight="1">
      <c r="A515" s="430">
        <f>_xlfn.XLOOKUP(B515,'INSUMOS MAT '!B:B,'INSUMOS MAT '!C:C,"ERROR",0)</f>
        <v/>
      </c>
      <c r="B515" s="142" t="inlineStr">
        <is>
          <t>MAT05-0074</t>
        </is>
      </c>
      <c r="C515" s="691" t="inlineStr">
        <is>
          <t>TORNILLO FIJADOR PTA BROCA 8X3/4 TDRKB812 (POLYCARBONATO)</t>
        </is>
      </c>
      <c r="D515" s="692" t="inlineStr">
        <is>
          <t>UND</t>
        </is>
      </c>
      <c r="E515" s="693" t="n">
        <v>14.9535</v>
      </c>
      <c r="F515" s="694">
        <f>E515*$N$2</f>
        <v/>
      </c>
      <c r="G515" s="695" t="n">
        <v>0</v>
      </c>
      <c r="H515" s="696">
        <f>F515-G515</f>
        <v/>
      </c>
      <c r="I515" s="151" t="n"/>
      <c r="J515" s="152" t="n">
        <v>44692</v>
      </c>
      <c r="K515" s="692" t="inlineStr">
        <is>
          <t>CUBIERTAS E IMPERMEBILIZANTES</t>
        </is>
      </c>
    </row>
    <row r="516" ht="20.1" customHeight="1">
      <c r="A516" s="135" t="n"/>
      <c r="B516" s="142" t="inlineStr">
        <is>
          <t>MAT08-0296</t>
        </is>
      </c>
      <c r="C516" s="691" t="inlineStr">
        <is>
          <t>TORNILLO GYPSUM 2 1/2" X 8" P/CORRIENTE</t>
        </is>
      </c>
      <c r="D516" s="692" t="inlineStr">
        <is>
          <t>UND</t>
        </is>
      </c>
      <c r="E516" s="693" t="n">
        <v>12.8707</v>
      </c>
      <c r="F516" s="694">
        <f>E516*$N$2</f>
        <v/>
      </c>
      <c r="G516" s="695" t="n">
        <v>0</v>
      </c>
      <c r="H516" s="696">
        <f>F516-G516</f>
        <v/>
      </c>
      <c r="I516" s="151" t="n"/>
      <c r="J516" s="152" t="n">
        <v>44692</v>
      </c>
      <c r="K516" s="692" t="inlineStr">
        <is>
          <t>FERRETERIA GENERAL</t>
        </is>
      </c>
    </row>
    <row r="517" ht="20.1" customHeight="1">
      <c r="A517" s="430">
        <f>_xlfn.XLOOKUP(B517,'INSUMOS MAT '!B:B,'INSUMOS MAT '!C:C,"ERROR",0)</f>
        <v/>
      </c>
      <c r="B517" s="142" t="inlineStr">
        <is>
          <t>MAT07-0031</t>
        </is>
      </c>
      <c r="C517" s="691" t="inlineStr">
        <is>
          <t>TORNILLO GYPSUM 6X2" P/FINA</t>
        </is>
      </c>
      <c r="D517" s="692" t="inlineStr">
        <is>
          <t>UND</t>
        </is>
      </c>
      <c r="E517" s="693" t="n">
        <v>7.5</v>
      </c>
      <c r="F517" s="694">
        <f>E517*$N$2</f>
        <v/>
      </c>
      <c r="G517" s="695" t="n">
        <v>0</v>
      </c>
      <c r="H517" s="696">
        <f>F517-G517</f>
        <v/>
      </c>
      <c r="I517" s="151" t="n"/>
      <c r="J517" s="152" t="n">
        <v>44680</v>
      </c>
      <c r="K517" s="692" t="inlineStr">
        <is>
          <t>ESTRUCTURA LIVIANA</t>
        </is>
      </c>
    </row>
    <row r="518" ht="20.1" customHeight="1">
      <c r="A518" s="135" t="n"/>
      <c r="B518" s="142" t="inlineStr">
        <is>
          <t>MAT08-0510</t>
        </is>
      </c>
      <c r="C518" s="691" t="inlineStr">
        <is>
          <t>TORNILLO P/ ESPANDER 8X2 1/2 PULG</t>
        </is>
      </c>
      <c r="D518" s="692" t="inlineStr">
        <is>
          <t>UND</t>
        </is>
      </c>
      <c r="E518" s="693" t="n">
        <v>50.6976</v>
      </c>
      <c r="F518" s="694">
        <f>E518*$N$2</f>
        <v/>
      </c>
      <c r="G518" s="695" t="n">
        <v>0</v>
      </c>
      <c r="H518" s="696">
        <f>F518-G518</f>
        <v/>
      </c>
      <c r="I518" s="151" t="n"/>
      <c r="J518" s="152" t="n">
        <v>44692</v>
      </c>
      <c r="K518" s="692" t="inlineStr">
        <is>
          <t>FERRETERIA GENERAL</t>
        </is>
      </c>
    </row>
    <row r="519" ht="20.1" customHeight="1">
      <c r="A519" s="430">
        <f>_xlfn.XLOOKUP(B519,'INSUMOS MAT '!B:B,'INSUMOS MAT '!C:C,"ERROR",0)</f>
        <v/>
      </c>
      <c r="B519" s="142" t="inlineStr">
        <is>
          <t>MAT08-0307</t>
        </is>
      </c>
      <c r="C519" s="691" t="inlineStr">
        <is>
          <t>TORNILLO P/BISAGRA 6X5/8</t>
        </is>
      </c>
      <c r="D519" s="692" t="inlineStr">
        <is>
          <t>UND</t>
        </is>
      </c>
      <c r="E519" s="693" t="n">
        <v>34.2666</v>
      </c>
      <c r="F519" s="694">
        <f>E519*$N$2</f>
        <v/>
      </c>
      <c r="G519" s="695" t="n">
        <v>0</v>
      </c>
      <c r="H519" s="696">
        <f>F519-G519</f>
        <v/>
      </c>
      <c r="I519" s="151" t="n"/>
      <c r="J519" s="152" t="n">
        <v>44692</v>
      </c>
      <c r="K519" s="692" t="inlineStr">
        <is>
          <t>FERRETERIA GENERAL</t>
        </is>
      </c>
    </row>
    <row r="520" ht="20.1" customHeight="1">
      <c r="A520" s="135" t="n"/>
      <c r="B520" s="142" t="inlineStr">
        <is>
          <t>MAT08-0509</t>
        </is>
      </c>
      <c r="C520" s="691" t="inlineStr">
        <is>
          <t>TORNILLO P/GYPSUM 3PULG PUNTA FINA</t>
        </is>
      </c>
      <c r="D520" s="692" t="inlineStr">
        <is>
          <t>UND</t>
        </is>
      </c>
      <c r="E520" s="693" t="n">
        <v>30.51</v>
      </c>
      <c r="F520" s="694">
        <f>E520*$N$2</f>
        <v/>
      </c>
      <c r="G520" s="695" t="n">
        <v>0</v>
      </c>
      <c r="H520" s="696">
        <f>F520-G520</f>
        <v/>
      </c>
      <c r="I520" s="151" t="n"/>
      <c r="J520" s="152" t="n">
        <v>44692</v>
      </c>
      <c r="K520" s="692" t="inlineStr">
        <is>
          <t>FERRETERIA GENERAL</t>
        </is>
      </c>
    </row>
    <row r="521" ht="20.1" customHeight="1">
      <c r="A521" s="430">
        <f>_xlfn.XLOOKUP(B521,'INSUMOS MAT '!B:B,'INSUMOS MAT '!C:C,"ERROR",0)</f>
        <v/>
      </c>
      <c r="B521" s="142" t="inlineStr">
        <is>
          <t>MAT08-0458</t>
        </is>
      </c>
      <c r="C521" s="691" t="inlineStr">
        <is>
          <t>TORNILLO P/MADERA 1 1/4X0.6MM NEGRO ROSCA ORDINARIA</t>
        </is>
      </c>
      <c r="D521" s="692" t="inlineStr">
        <is>
          <t>UND</t>
        </is>
      </c>
      <c r="E521" s="693" t="n">
        <v>6.3054</v>
      </c>
      <c r="F521" s="694">
        <f>E521*$N$2</f>
        <v/>
      </c>
      <c r="G521" s="695" t="n">
        <v>0</v>
      </c>
      <c r="H521" s="696">
        <f>F521-G521</f>
        <v/>
      </c>
      <c r="I521" s="151" t="n"/>
      <c r="J521" s="152" t="n">
        <v>44692</v>
      </c>
      <c r="K521" s="692" t="inlineStr">
        <is>
          <t>FERRETERIA GENERAL</t>
        </is>
      </c>
    </row>
    <row r="522" ht="20.1" customHeight="1">
      <c r="A522" s="430">
        <f>_xlfn.XLOOKUP(B522,'INSUMOS MAT '!B:B,'INSUMOS MAT '!C:C,"ERROR",0)</f>
        <v/>
      </c>
      <c r="B522" s="142" t="inlineStr">
        <is>
          <t>MAT08-0457</t>
        </is>
      </c>
      <c r="C522" s="691" t="inlineStr">
        <is>
          <t>TORNILLO P/MADERA 2X0.6MM NEGRO ROSCA ORDINARIA</t>
        </is>
      </c>
      <c r="D522" s="692" t="inlineStr">
        <is>
          <t>UND</t>
        </is>
      </c>
      <c r="E522" s="693" t="n">
        <v>9.3451</v>
      </c>
      <c r="F522" s="694">
        <f>E522*$N$2</f>
        <v/>
      </c>
      <c r="G522" s="695" t="n">
        <v>0</v>
      </c>
      <c r="H522" s="696">
        <f>F522-G522</f>
        <v/>
      </c>
      <c r="I522" s="151" t="n"/>
      <c r="J522" s="152" t="n">
        <v>44692</v>
      </c>
      <c r="K522" s="692" t="inlineStr">
        <is>
          <t>FERRETERIA GENERAL</t>
        </is>
      </c>
    </row>
    <row r="523" ht="20.1" customHeight="1">
      <c r="A523" s="135" t="n"/>
      <c r="B523" s="142" t="inlineStr">
        <is>
          <t>MAT08-0500</t>
        </is>
      </c>
      <c r="C523" s="691" t="inlineStr">
        <is>
          <t>TORNILLO P/MADERA 3/4X0.6MM NEGRO ROSCA ORDINARIA</t>
        </is>
      </c>
      <c r="D523" s="692" t="inlineStr">
        <is>
          <t>UND</t>
        </is>
      </c>
      <c r="E523" s="693" t="n">
        <v>4.0002</v>
      </c>
      <c r="F523" s="694">
        <f>E523*$N$2</f>
        <v/>
      </c>
      <c r="G523" s="695" t="n">
        <v>0</v>
      </c>
      <c r="H523" s="696">
        <f>F523-G523</f>
        <v/>
      </c>
      <c r="I523" s="151" t="n"/>
      <c r="J523" s="152" t="n">
        <v>44692</v>
      </c>
      <c r="K523" s="692" t="inlineStr">
        <is>
          <t>FERRETERIA GENERAL</t>
        </is>
      </c>
    </row>
    <row r="524" ht="20.1" customHeight="1">
      <c r="A524" s="430">
        <f>_xlfn.XLOOKUP(B524,'INSUMOS MAT '!B:B,'INSUMOS MAT '!C:C,"ERROR",0)</f>
        <v/>
      </c>
      <c r="B524" s="142" t="inlineStr">
        <is>
          <t>MAT08-0227</t>
        </is>
      </c>
      <c r="C524" s="691" t="inlineStr">
        <is>
          <t>TORNILLO PARA ESPANDER #6</t>
        </is>
      </c>
      <c r="D524" s="692" t="inlineStr">
        <is>
          <t>UND</t>
        </is>
      </c>
      <c r="E524" s="693" t="n">
        <v>8.7941</v>
      </c>
      <c r="F524" s="694">
        <f>E524*$N$2</f>
        <v/>
      </c>
      <c r="G524" s="695" t="n">
        <v>0</v>
      </c>
      <c r="H524" s="696">
        <f>F524-G524</f>
        <v/>
      </c>
      <c r="I524" s="151" t="n"/>
      <c r="J524" s="152" t="n">
        <v>44692</v>
      </c>
      <c r="K524" s="692" t="inlineStr">
        <is>
          <t>FERRETERIA GENERAL</t>
        </is>
      </c>
    </row>
    <row r="525" ht="20.1" customHeight="1">
      <c r="A525" s="135" t="n"/>
      <c r="B525" s="142" t="inlineStr">
        <is>
          <t>MAT08-0124</t>
        </is>
      </c>
      <c r="C525" s="691" t="inlineStr">
        <is>
          <t>TORNILLO TORCON #10X2 3/4 C/PANA</t>
        </is>
      </c>
      <c r="D525" s="692" t="inlineStr">
        <is>
          <t>UND</t>
        </is>
      </c>
      <c r="E525" s="693" t="n">
        <v>64.21639999999999</v>
      </c>
      <c r="F525" s="694">
        <f>E525*$N$2</f>
        <v/>
      </c>
      <c r="G525" s="695" t="n">
        <v>0</v>
      </c>
      <c r="H525" s="696">
        <f>F525-G525</f>
        <v/>
      </c>
      <c r="I525" s="151" t="n"/>
      <c r="J525" s="152" t="n">
        <v>44692</v>
      </c>
      <c r="K525" s="692" t="inlineStr">
        <is>
          <t>FERRETERIA GENERAL</t>
        </is>
      </c>
    </row>
    <row r="526" ht="20.1" customHeight="1">
      <c r="A526" s="430">
        <f>_xlfn.XLOOKUP(B526,'INSUMOS MAT '!B:B,'INSUMOS MAT '!C:C,"ERROR",0)</f>
        <v/>
      </c>
      <c r="B526" s="142" t="inlineStr">
        <is>
          <t>MAT05-0079</t>
        </is>
      </c>
      <c r="C526" s="691" t="inlineStr">
        <is>
          <t>TORNILLO TORLAK 1" PTA BROCA</t>
        </is>
      </c>
      <c r="D526" s="692" t="inlineStr">
        <is>
          <t>UND</t>
        </is>
      </c>
      <c r="E526" s="693" t="n">
        <v>12.7744</v>
      </c>
      <c r="F526" s="694">
        <f>E526*$N$2</f>
        <v/>
      </c>
      <c r="G526" s="695" t="n">
        <v>0</v>
      </c>
      <c r="H526" s="696">
        <f>F526-G526</f>
        <v/>
      </c>
      <c r="I526" s="151" t="n"/>
      <c r="J526" s="152" t="n">
        <v>44692</v>
      </c>
      <c r="K526" s="692" t="inlineStr">
        <is>
          <t>CUBIERTAS E IMPERMEBILIZANTES</t>
        </is>
      </c>
    </row>
    <row r="527" ht="20.1" customHeight="1">
      <c r="A527" s="430">
        <f>_xlfn.XLOOKUP(B527,'INSUMOS MAT '!B:B,'INSUMOS MAT '!C:C,"ERROR",0)</f>
        <v/>
      </c>
      <c r="B527" s="142" t="inlineStr">
        <is>
          <t>MAT08-0125</t>
        </is>
      </c>
      <c r="C527" s="691" t="inlineStr">
        <is>
          <t>TORNILLO 3/16X1/2 PTA FINA CABEZA PLANA</t>
        </is>
      </c>
      <c r="D527" s="692" t="inlineStr">
        <is>
          <t>UND</t>
        </is>
      </c>
      <c r="E527" s="693" t="n">
        <v>4.6782</v>
      </c>
      <c r="F527" s="694">
        <f>E527*$N$2</f>
        <v/>
      </c>
      <c r="G527" s="695" t="n">
        <v>0</v>
      </c>
      <c r="H527" s="696">
        <f>F527-G527</f>
        <v/>
      </c>
      <c r="I527" s="151" t="n"/>
      <c r="J527" s="152" t="n">
        <v>44692</v>
      </c>
      <c r="K527" s="692" t="inlineStr">
        <is>
          <t>FERRETERIA GENERAL</t>
        </is>
      </c>
    </row>
    <row r="528" ht="20.1" customHeight="1">
      <c r="A528" s="430">
        <f>_xlfn.XLOOKUP(B528,'INSUMOS MAT '!B:B,'INSUMOS MAT '!C:C,"ERROR",0)</f>
        <v/>
      </c>
      <c r="B528" s="142" t="inlineStr">
        <is>
          <t>MAT07-0022</t>
        </is>
      </c>
      <c r="C528" s="691" t="inlineStr">
        <is>
          <t>TORNILLO CABEZA PLANA 7/16 PTA BROCA</t>
        </is>
      </c>
      <c r="D528" s="692" t="inlineStr">
        <is>
          <t>UND</t>
        </is>
      </c>
      <c r="E528" s="693" t="n">
        <v>6.5943</v>
      </c>
      <c r="F528" s="694">
        <f>E528*$N$2</f>
        <v/>
      </c>
      <c r="G528" s="695" t="n">
        <v>0</v>
      </c>
      <c r="H528" s="696">
        <f>F528-G528</f>
        <v/>
      </c>
      <c r="I528" s="151" t="n"/>
      <c r="J528" s="152" t="n">
        <v>44692</v>
      </c>
      <c r="K528" s="692" t="inlineStr">
        <is>
          <t>ESTRUCTURA LIVIANA</t>
        </is>
      </c>
    </row>
    <row r="529" ht="20.1" customHeight="1">
      <c r="A529" s="430">
        <f>_xlfn.XLOOKUP(B529,'INSUMOS MAT '!B:B,'INSUMOS MAT '!C:C,"ERROR",0)</f>
        <v/>
      </c>
      <c r="B529" s="142" t="inlineStr">
        <is>
          <t>MAT07-0024</t>
        </is>
      </c>
      <c r="C529" s="691" t="inlineStr">
        <is>
          <t>TORNILLO GYPSUM 7/16 PUNTA FINA CON ARANDELA</t>
        </is>
      </c>
      <c r="D529" s="692" t="inlineStr">
        <is>
          <t>UND</t>
        </is>
      </c>
      <c r="E529" s="693" t="n">
        <v>6.0032</v>
      </c>
      <c r="F529" s="694">
        <f>E529*$N$2</f>
        <v/>
      </c>
      <c r="G529" s="695" t="n">
        <v>0</v>
      </c>
      <c r="H529" s="696">
        <f>F529-G529</f>
        <v/>
      </c>
      <c r="I529" s="151" t="n"/>
      <c r="J529" s="152" t="n">
        <v>44692</v>
      </c>
      <c r="K529" s="692" t="inlineStr">
        <is>
          <t>ESTRUCTURA LIVIANA</t>
        </is>
      </c>
    </row>
    <row r="530" ht="20.1" customHeight="1">
      <c r="A530" s="430">
        <f>_xlfn.XLOOKUP(B530,'INSUMOS MAT '!B:B,'INSUMOS MAT '!C:C,"ERROR",0)</f>
        <v/>
      </c>
      <c r="B530" s="142" t="inlineStr">
        <is>
          <t>MAT08-0129</t>
        </is>
      </c>
      <c r="C530" s="691" t="inlineStr">
        <is>
          <t>TORNILLO METAL #10 PARA S8</t>
        </is>
      </c>
      <c r="D530" s="692" t="inlineStr">
        <is>
          <t>UND</t>
        </is>
      </c>
      <c r="E530" s="693" t="n">
        <v>15.3892</v>
      </c>
      <c r="F530" s="694">
        <f>E530*$N$2</f>
        <v/>
      </c>
      <c r="G530" s="695" t="n">
        <v>0</v>
      </c>
      <c r="H530" s="696">
        <f>F530-G530</f>
        <v/>
      </c>
      <c r="I530" s="151" t="n"/>
      <c r="J530" s="152" t="n">
        <v>44692</v>
      </c>
      <c r="K530" s="692" t="inlineStr">
        <is>
          <t>FERRETERIA GENERAL</t>
        </is>
      </c>
    </row>
    <row r="531" ht="20.1" customHeight="1">
      <c r="A531" s="430">
        <f>_xlfn.XLOOKUP(B531,'INSUMOS MAT '!B:B,'INSUMOS MAT '!C:C,"ERROR",0)</f>
        <v/>
      </c>
      <c r="B531" s="142" t="inlineStr">
        <is>
          <t>MAT07-0025</t>
        </is>
      </c>
      <c r="C531" s="691" t="inlineStr">
        <is>
          <t>TORNILLO P/GYP 1 1/4 P FINA</t>
        </is>
      </c>
      <c r="D531" s="692" t="inlineStr">
        <is>
          <t>UND</t>
        </is>
      </c>
      <c r="E531" s="693" t="n">
        <v>4.31</v>
      </c>
      <c r="F531" s="694">
        <f>E531*$N$2</f>
        <v/>
      </c>
      <c r="G531" s="695" t="n">
        <v>0</v>
      </c>
      <c r="H531" s="696">
        <f>F531-G531</f>
        <v/>
      </c>
      <c r="I531" s="151" t="n"/>
      <c r="J531" s="152" t="n">
        <v>44692</v>
      </c>
      <c r="K531" s="692" t="inlineStr">
        <is>
          <t>ESTRUCTURA LIVIANA</t>
        </is>
      </c>
    </row>
    <row r="532" ht="20.1" customHeight="1">
      <c r="A532" s="430">
        <f>_xlfn.XLOOKUP(B532,'INSUMOS MAT '!B:B,'INSUMOS MAT '!C:C,"ERROR",0)</f>
        <v/>
      </c>
      <c r="B532" s="142" t="inlineStr">
        <is>
          <t>MAT07-0026</t>
        </is>
      </c>
      <c r="C532" s="691" t="inlineStr">
        <is>
          <t>TORNILLO P/GYP 1 1/4 P/BROCA</t>
        </is>
      </c>
      <c r="D532" s="692" t="inlineStr">
        <is>
          <t>UND</t>
        </is>
      </c>
      <c r="E532" s="693" t="n">
        <v>8.1586</v>
      </c>
      <c r="F532" s="694">
        <f>E532*$N$2</f>
        <v/>
      </c>
      <c r="G532" s="695" t="n">
        <v>0</v>
      </c>
      <c r="H532" s="696">
        <f>F532-G532</f>
        <v/>
      </c>
      <c r="I532" s="151" t="n"/>
      <c r="J532" s="152" t="n">
        <v>44692</v>
      </c>
      <c r="K532" s="692" t="inlineStr">
        <is>
          <t>ESTRUCTURA LIVIANA</t>
        </is>
      </c>
    </row>
    <row r="533" ht="20.1" customHeight="1">
      <c r="A533" s="430">
        <f>_xlfn.XLOOKUP(B533,'INSUMOS MAT '!B:B,'INSUMOS MAT '!C:C,"ERROR",0)</f>
        <v/>
      </c>
      <c r="B533" s="142" t="inlineStr">
        <is>
          <t>MAT08-0132</t>
        </is>
      </c>
      <c r="C533" s="691" t="inlineStr">
        <is>
          <t>TORNILLOS P/MADERA 6X2 PFINA</t>
        </is>
      </c>
      <c r="D533" s="692" t="inlineStr">
        <is>
          <t>UND</t>
        </is>
      </c>
      <c r="E533" s="693" t="n">
        <v>12.0006</v>
      </c>
      <c r="F533" s="694">
        <f>E533*$N$2</f>
        <v/>
      </c>
      <c r="G533" s="695" t="n">
        <v>0</v>
      </c>
      <c r="H533" s="696">
        <f>F533-G533</f>
        <v/>
      </c>
      <c r="I533" s="151" t="n"/>
      <c r="J533" s="152" t="n">
        <v>44692</v>
      </c>
      <c r="K533" s="692" t="inlineStr">
        <is>
          <t>FERRETERIA GENERAL</t>
        </is>
      </c>
    </row>
    <row r="534" ht="20.1" customHeight="1">
      <c r="A534" s="430">
        <f>_xlfn.XLOOKUP(B534,'INSUMOS MAT '!B:B,'INSUMOS MAT '!C:C,"ERROR",0)</f>
        <v/>
      </c>
      <c r="B534" s="142" t="inlineStr">
        <is>
          <t>MAT07-0029</t>
        </is>
      </c>
      <c r="C534" s="691" t="inlineStr">
        <is>
          <t>TRACK 3X10 CAL#25</t>
        </is>
      </c>
      <c r="D534" s="692" t="inlineStr">
        <is>
          <t>UND</t>
        </is>
      </c>
      <c r="E534" s="693" t="n">
        <v>1329.8066</v>
      </c>
      <c r="F534" s="694">
        <f>E534*$N$2</f>
        <v/>
      </c>
      <c r="G534" s="695" t="n">
        <v>0</v>
      </c>
      <c r="H534" s="696">
        <f>F534-G534</f>
        <v/>
      </c>
      <c r="I534" s="151" t="n"/>
      <c r="J534" s="152" t="n">
        <v>44692</v>
      </c>
      <c r="K534" s="692" t="inlineStr">
        <is>
          <t>ESTRUCTURA LIVIANA</t>
        </is>
      </c>
    </row>
    <row r="535" ht="20.1" customHeight="1">
      <c r="A535" s="430">
        <f>_xlfn.XLOOKUP(B535,'INSUMOS MAT '!B:B,'INSUMOS MAT '!C:C,"ERROR",0)</f>
        <v/>
      </c>
      <c r="B535" s="142" t="inlineStr">
        <is>
          <t>MAT07-0030</t>
        </is>
      </c>
      <c r="C535" s="691" t="inlineStr">
        <is>
          <t>TRACK 4X10 CAL#25</t>
        </is>
      </c>
      <c r="D535" s="692" t="inlineStr">
        <is>
          <t>UND</t>
        </is>
      </c>
      <c r="E535" s="693" t="n">
        <v>1614.9056</v>
      </c>
      <c r="F535" s="694">
        <f>E535*$N$2</f>
        <v/>
      </c>
      <c r="G535" s="695" t="n">
        <v>0</v>
      </c>
      <c r="H535" s="696">
        <f>F535-G535</f>
        <v/>
      </c>
      <c r="I535" s="151" t="n"/>
      <c r="J535" s="152" t="n">
        <v>44692</v>
      </c>
      <c r="K535" s="692" t="inlineStr">
        <is>
          <t>ESTRUCTURA LIVIANA</t>
        </is>
      </c>
    </row>
    <row r="536" ht="20.1" customHeight="1">
      <c r="A536" s="430">
        <f>_xlfn.XLOOKUP(B536,'INSUMOS MAT '!B:B,'INSUMOS MAT '!C:C,"ERROR",0)</f>
        <v/>
      </c>
      <c r="B536" s="142" t="inlineStr">
        <is>
          <t>MAT04-0021</t>
        </is>
      </c>
      <c r="C536" s="691" t="inlineStr">
        <is>
          <t>TRAMPA PARA GRASA 4"</t>
        </is>
      </c>
      <c r="D536" s="692" t="inlineStr">
        <is>
          <t>UND</t>
        </is>
      </c>
      <c r="E536" s="693" t="n">
        <v>7085.1</v>
      </c>
      <c r="F536" s="694">
        <f>E536*$N$2</f>
        <v/>
      </c>
      <c r="G536" s="695" t="n">
        <v>0</v>
      </c>
      <c r="H536" s="696">
        <f>F536-G536</f>
        <v/>
      </c>
      <c r="I536" s="151" t="n"/>
      <c r="J536" s="152" t="n">
        <v>44692</v>
      </c>
      <c r="K536" s="692" t="inlineStr">
        <is>
          <t>CONCRETOS CEMENTOS Y MORTEROS</t>
        </is>
      </c>
    </row>
    <row r="537" ht="20.1" customHeight="1">
      <c r="A537" s="430">
        <f>_xlfn.XLOOKUP(B537,'INSUMOS MAT '!B:B,'INSUMOS MAT '!C:C,"ERROR",0)</f>
        <v/>
      </c>
      <c r="B537" s="142" t="inlineStr">
        <is>
          <t>MAT02-0159</t>
        </is>
      </c>
      <c r="C537" s="691" t="inlineStr">
        <is>
          <t>TUBO 1 1/2"X1 1/2"X1.5MM HN</t>
        </is>
      </c>
      <c r="D537" s="692" t="inlineStr">
        <is>
          <t>UND</t>
        </is>
      </c>
      <c r="E537" s="693" t="n">
        <v>10436.68</v>
      </c>
      <c r="F537" s="694">
        <f>E537*$N$2</f>
        <v/>
      </c>
      <c r="G537" s="695" t="n">
        <v>0</v>
      </c>
      <c r="H537" s="696">
        <f>F537-G537</f>
        <v/>
      </c>
      <c r="I537" s="151" t="n"/>
      <c r="J537" s="152" t="n">
        <v>44692</v>
      </c>
      <c r="K537" s="692" t="inlineStr">
        <is>
          <t>ACEROS Y METALES</t>
        </is>
      </c>
    </row>
    <row r="538" ht="20.1" customHeight="1">
      <c r="A538" s="430">
        <f>_xlfn.XLOOKUP(B538,'INSUMOS MAT '!B:B,'INSUMOS MAT '!C:C,"ERROR",0)</f>
        <v/>
      </c>
      <c r="B538" s="142" t="inlineStr">
        <is>
          <t>MAT02-0063</t>
        </is>
      </c>
      <c r="C538" s="691" t="inlineStr">
        <is>
          <t>TUBO 2X3X6MM HN</t>
        </is>
      </c>
      <c r="D538" s="692" t="inlineStr">
        <is>
          <t>UND</t>
        </is>
      </c>
      <c r="E538" s="693" t="n">
        <v>19427.6945</v>
      </c>
      <c r="F538" s="694">
        <f>E538*$N$2</f>
        <v/>
      </c>
      <c r="G538" s="695" t="n">
        <v>0</v>
      </c>
      <c r="H538" s="696">
        <f>F538-G538</f>
        <v/>
      </c>
      <c r="I538" s="151" t="n"/>
      <c r="J538" s="152" t="n">
        <v>44692</v>
      </c>
      <c r="K538" s="692" t="inlineStr">
        <is>
          <t>ACEROS Y METALES</t>
        </is>
      </c>
    </row>
    <row r="539" ht="20.1" customHeight="1">
      <c r="A539" s="430">
        <f>_xlfn.XLOOKUP(B539,'INSUMOS MAT '!B:B,'INSUMOS MAT '!C:C,"ERROR",0)</f>
        <v/>
      </c>
      <c r="B539" s="142" t="inlineStr">
        <is>
          <t>MAT06-0120</t>
        </is>
      </c>
      <c r="C539" s="691" t="inlineStr">
        <is>
          <t>TUBO EMT 11/4</t>
        </is>
      </c>
      <c r="D539" s="692" t="inlineStr">
        <is>
          <t>UND</t>
        </is>
      </c>
      <c r="E539" s="693" t="n">
        <v>11622.05</v>
      </c>
      <c r="F539" s="694">
        <f>E539*$N$2</f>
        <v/>
      </c>
      <c r="G539" s="695" t="n">
        <v>0</v>
      </c>
      <c r="H539" s="696">
        <f>F539-G539</f>
        <v/>
      </c>
      <c r="I539" s="151" t="n"/>
      <c r="J539" s="152" t="n">
        <v>44692</v>
      </c>
      <c r="K539" s="692" t="inlineStr">
        <is>
          <t>ELECTRICO</t>
        </is>
      </c>
    </row>
    <row r="540" ht="20.1" customHeight="1">
      <c r="A540" s="430">
        <f>_xlfn.XLOOKUP(B540,'INSUMOS MAT '!B:B,'INSUMOS MAT '!C:C,"ERROR",0)</f>
        <v/>
      </c>
      <c r="B540" s="142" t="inlineStr">
        <is>
          <t>MAT06-0106</t>
        </is>
      </c>
      <c r="C540" s="691" t="inlineStr">
        <is>
          <t>TUBO EMT DE ½</t>
        </is>
      </c>
      <c r="D540" s="692" t="inlineStr">
        <is>
          <t>UND</t>
        </is>
      </c>
      <c r="E540" s="693" t="n">
        <v>3684.4552</v>
      </c>
      <c r="F540" s="694">
        <f>E540*$N$2</f>
        <v/>
      </c>
      <c r="G540" s="695" t="n">
        <v>0</v>
      </c>
      <c r="H540" s="696">
        <f>F540-G540</f>
        <v/>
      </c>
      <c r="I540" s="151" t="n"/>
      <c r="J540" s="152" t="n">
        <v>44692</v>
      </c>
      <c r="K540" s="692" t="inlineStr">
        <is>
          <t>ELECTRICO</t>
        </is>
      </c>
    </row>
    <row r="541" ht="20.1" customHeight="1">
      <c r="A541" s="430">
        <f>_xlfn.XLOOKUP(B541,'INSUMOS MAT '!B:B,'INSUMOS MAT '!C:C,"ERROR",0)</f>
        <v/>
      </c>
      <c r="B541" s="142" t="inlineStr">
        <is>
          <t>MAT14-0035</t>
        </is>
      </c>
      <c r="C541" s="691" t="inlineStr">
        <is>
          <t>TUBO OVAL P/CLOSET 3 MT</t>
        </is>
      </c>
      <c r="D541" s="692" t="inlineStr">
        <is>
          <t>UND</t>
        </is>
      </c>
      <c r="E541" s="693" t="n">
        <v>2794.8275</v>
      </c>
      <c r="F541" s="694">
        <f>E541*$N$2</f>
        <v/>
      </c>
      <c r="G541" s="695" t="n">
        <v>0</v>
      </c>
      <c r="H541" s="696">
        <f>F541-G541</f>
        <v/>
      </c>
      <c r="I541" s="151" t="n"/>
      <c r="J541" s="152" t="n">
        <v>44692</v>
      </c>
      <c r="K541" s="692" t="inlineStr">
        <is>
          <t>MUEBLES</t>
        </is>
      </c>
    </row>
    <row r="542" ht="20.1" customHeight="1">
      <c r="A542" s="430">
        <f>_xlfn.XLOOKUP(B542,'INSUMOS MAT '!B:B,'INSUMOS MAT '!C:C,"ERROR",0)</f>
        <v/>
      </c>
      <c r="B542" s="142" t="inlineStr">
        <is>
          <t>MAT02-0037</t>
        </is>
      </c>
      <c r="C542" s="691" t="inlineStr">
        <is>
          <t>TUBO RED 1 1/2"X1.50 HN</t>
        </is>
      </c>
      <c r="D542" s="692" t="inlineStr">
        <is>
          <t>UND</t>
        </is>
      </c>
      <c r="E542" s="693" t="n">
        <v>9079.7767</v>
      </c>
      <c r="F542" s="694">
        <f>E542*$N$2</f>
        <v/>
      </c>
      <c r="G542" s="695" t="n">
        <v>0</v>
      </c>
      <c r="H542" s="696">
        <f>F542-G542</f>
        <v/>
      </c>
      <c r="I542" s="151" t="n"/>
      <c r="J542" s="152" t="n">
        <v>44692</v>
      </c>
      <c r="K542" s="692" t="inlineStr">
        <is>
          <t>ACEROS Y METALES</t>
        </is>
      </c>
    </row>
    <row r="543" ht="20.1" customHeight="1">
      <c r="A543" s="430">
        <f>_xlfn.XLOOKUP(B543,'INSUMOS MAT '!B:B,'INSUMOS MAT '!C:C,"ERROR",0)</f>
        <v/>
      </c>
      <c r="B543" s="142" t="inlineStr">
        <is>
          <t>MAT02-0015</t>
        </is>
      </c>
      <c r="C543" s="691" t="inlineStr">
        <is>
          <t>TUBO RED 11/4X1.8 HN</t>
        </is>
      </c>
      <c r="D543" s="692" t="inlineStr">
        <is>
          <t>UND</t>
        </is>
      </c>
      <c r="E543" s="693" t="n">
        <v>17513.3223</v>
      </c>
      <c r="F543" s="694">
        <f>E543*$N$2</f>
        <v/>
      </c>
      <c r="G543" s="695" t="n">
        <v>0</v>
      </c>
      <c r="H543" s="696">
        <f>F543-G543</f>
        <v/>
      </c>
      <c r="I543" s="151" t="n"/>
      <c r="J543" s="152" t="n">
        <v>44692</v>
      </c>
      <c r="K543" s="692" t="inlineStr">
        <is>
          <t>ACEROS Y METALES</t>
        </is>
      </c>
    </row>
    <row r="544" ht="20.1" customHeight="1">
      <c r="A544" s="430">
        <f>_xlfn.XLOOKUP(B544,'INSUMOS MAT '!B:B,'INSUMOS MAT '!C:C,"ERROR",0)</f>
        <v/>
      </c>
      <c r="B544" s="142" t="inlineStr">
        <is>
          <t>MAT02-0034</t>
        </is>
      </c>
      <c r="C544" s="691" t="inlineStr">
        <is>
          <t>TUBO 1 1/2X1 1/2X1.8MM H.N.</t>
        </is>
      </c>
      <c r="D544" s="692" t="inlineStr">
        <is>
          <t>UND</t>
        </is>
      </c>
      <c r="E544" s="693" t="n">
        <v>13306.7667</v>
      </c>
      <c r="F544" s="694">
        <f>E544*$N$2</f>
        <v/>
      </c>
      <c r="G544" s="695" t="n">
        <v>0</v>
      </c>
      <c r="H544" s="696">
        <f>F544-G544</f>
        <v/>
      </c>
      <c r="I544" s="151" t="n"/>
      <c r="J544" s="152" t="n">
        <v>44692</v>
      </c>
      <c r="K544" s="692" t="inlineStr">
        <is>
          <t>ACEROS Y METALES</t>
        </is>
      </c>
    </row>
    <row r="545" ht="20.1" customHeight="1">
      <c r="A545" s="430">
        <f>_xlfn.XLOOKUP(B545,'INSUMOS MAT '!B:B,'INSUMOS MAT '!C:C,"ERROR",0)</f>
        <v/>
      </c>
      <c r="B545" s="142" t="inlineStr">
        <is>
          <t>MAT02-0054</t>
        </is>
      </c>
      <c r="C545" s="691" t="inlineStr">
        <is>
          <t>TUBO 1X1X1.5MM H.N</t>
        </is>
      </c>
      <c r="D545" s="692" t="inlineStr">
        <is>
          <t>UND</t>
        </is>
      </c>
      <c r="E545" s="693" t="n">
        <v>8177.4711</v>
      </c>
      <c r="F545" s="694">
        <f>E545*$N$2</f>
        <v/>
      </c>
      <c r="G545" s="695" t="n">
        <v>0</v>
      </c>
      <c r="H545" s="696">
        <f>F545-G545</f>
        <v/>
      </c>
      <c r="I545" s="151" t="n"/>
      <c r="J545" s="152" t="n">
        <v>44692</v>
      </c>
      <c r="K545" s="692" t="inlineStr">
        <is>
          <t>ACEROS Y METALES</t>
        </is>
      </c>
    </row>
    <row r="546" ht="20.1" customHeight="1">
      <c r="A546" s="430">
        <f>_xlfn.XLOOKUP(B546,'INSUMOS MAT '!B:B,'INSUMOS MAT '!C:C,"ERROR",0)</f>
        <v/>
      </c>
      <c r="B546" s="142" t="inlineStr">
        <is>
          <t>MAT02-0017</t>
        </is>
      </c>
      <c r="C546" s="691" t="inlineStr">
        <is>
          <t>TUBO 1X2X1.5MM HN</t>
        </is>
      </c>
      <c r="D546" s="692" t="inlineStr">
        <is>
          <t>UND</t>
        </is>
      </c>
      <c r="E546" s="693" t="n">
        <v>11981.782</v>
      </c>
      <c r="F546" s="694">
        <f>E546*$N$2</f>
        <v/>
      </c>
      <c r="G546" s="695" t="n">
        <v>0</v>
      </c>
      <c r="H546" s="696">
        <f>F546-G546</f>
        <v/>
      </c>
      <c r="I546" s="151" t="n"/>
      <c r="J546" s="152" t="n">
        <v>44692</v>
      </c>
      <c r="K546" s="692" t="inlineStr">
        <is>
          <t>ACEROS Y METALES</t>
        </is>
      </c>
    </row>
    <row r="547" ht="20.1" customHeight="1">
      <c r="A547" s="430">
        <f>_xlfn.XLOOKUP(B547,'INSUMOS MAT '!B:B,'INSUMOS MAT '!C:C,"ERROR",0)</f>
        <v/>
      </c>
      <c r="B547" s="142" t="inlineStr">
        <is>
          <t>MAT02-0124</t>
        </is>
      </c>
      <c r="C547" s="691" t="inlineStr">
        <is>
          <t>TUBO 2X2X1.8MM H.G</t>
        </is>
      </c>
      <c r="D547" s="692" t="inlineStr">
        <is>
          <t>UND</t>
        </is>
      </c>
      <c r="E547" s="693" t="n">
        <v>17436.1431</v>
      </c>
      <c r="F547" s="694">
        <f>E547*$N$2</f>
        <v/>
      </c>
      <c r="G547" s="695" t="n">
        <v>0</v>
      </c>
      <c r="H547" s="696">
        <f>F547-G547</f>
        <v/>
      </c>
      <c r="I547" s="151" t="n"/>
      <c r="J547" s="152" t="n">
        <v>44692</v>
      </c>
      <c r="K547" s="692" t="inlineStr">
        <is>
          <t>ACEROS Y METALES</t>
        </is>
      </c>
    </row>
    <row r="548" ht="20.1" customHeight="1">
      <c r="A548" s="430">
        <f>_xlfn.XLOOKUP(B548,'INSUMOS MAT '!B:B,'INSUMOS MAT '!C:C,"ERROR",0)</f>
        <v/>
      </c>
      <c r="B548" s="142" t="inlineStr">
        <is>
          <t>MAT02-0019</t>
        </is>
      </c>
      <c r="C548" s="691" t="inlineStr">
        <is>
          <t>TUBO 2X2X1.8MM H.N</t>
        </is>
      </c>
      <c r="D548" s="692" t="inlineStr">
        <is>
          <t>UND</t>
        </is>
      </c>
      <c r="E548" s="693" t="n">
        <v>17187.0553</v>
      </c>
      <c r="F548" s="694">
        <f>E548*$N$2</f>
        <v/>
      </c>
      <c r="G548" s="695" t="n">
        <v>0</v>
      </c>
      <c r="H548" s="696">
        <f>F548-G548</f>
        <v/>
      </c>
      <c r="I548" s="151" t="n"/>
      <c r="J548" s="152" t="n">
        <v>44692</v>
      </c>
      <c r="K548" s="692" t="inlineStr">
        <is>
          <t>ACEROS Y METALES</t>
        </is>
      </c>
    </row>
    <row r="549" ht="20.1" customHeight="1">
      <c r="A549" s="430">
        <f>_xlfn.XLOOKUP(B549,'INSUMOS MAT '!B:B,'INSUMOS MAT '!C:C,"ERROR",0)</f>
        <v/>
      </c>
      <c r="B549" s="142" t="inlineStr">
        <is>
          <t>MAT02-0125</t>
        </is>
      </c>
      <c r="C549" s="691" t="inlineStr">
        <is>
          <t>TUBO 2X4X1.8MM H.G</t>
        </is>
      </c>
      <c r="D549" s="692" t="inlineStr">
        <is>
          <t>UND</t>
        </is>
      </c>
      <c r="E549" s="693" t="n">
        <v>29799.23</v>
      </c>
      <c r="F549" s="694">
        <f>E549*$N$2</f>
        <v/>
      </c>
      <c r="G549" s="695" t="n">
        <v>0</v>
      </c>
      <c r="H549" s="696">
        <f>F549-G549</f>
        <v/>
      </c>
      <c r="I549" s="151" t="n"/>
      <c r="J549" s="152" t="n">
        <v>44698</v>
      </c>
      <c r="K549" s="692" t="inlineStr">
        <is>
          <t>ACEROS Y METALES</t>
        </is>
      </c>
    </row>
    <row r="550" ht="20.1" customHeight="1">
      <c r="A550" s="430">
        <f>_xlfn.XLOOKUP(B550,'INSUMOS MAT '!B:B,'INSUMOS MAT '!C:C,"ERROR",0)</f>
        <v/>
      </c>
      <c r="B550" s="142" t="inlineStr">
        <is>
          <t>MAT02-0020</t>
        </is>
      </c>
      <c r="C550" s="691" t="inlineStr">
        <is>
          <t>TUBO 2X4X1.8MM HN</t>
        </is>
      </c>
      <c r="D550" s="692" t="inlineStr">
        <is>
          <t>UND</t>
        </is>
      </c>
      <c r="E550" s="693" t="n">
        <v>25509.0685</v>
      </c>
      <c r="F550" s="694">
        <f>E550*$N$2</f>
        <v/>
      </c>
      <c r="G550" s="695" t="n">
        <v>0</v>
      </c>
      <c r="H550" s="696">
        <f>F550-G550</f>
        <v/>
      </c>
      <c r="I550" s="151" t="n"/>
      <c r="J550" s="152" t="n">
        <v>44692</v>
      </c>
      <c r="K550" s="692" t="inlineStr">
        <is>
          <t>ACEROS Y METALES</t>
        </is>
      </c>
    </row>
    <row r="551" ht="20.1" customHeight="1">
      <c r="A551" s="430">
        <f>_xlfn.XLOOKUP(B551,'INSUMOS MAT '!B:B,'INSUMOS MAT '!C:C,"ERROR",0)</f>
        <v/>
      </c>
      <c r="B551" s="142" t="inlineStr">
        <is>
          <t>MAT02-0126</t>
        </is>
      </c>
      <c r="C551" s="691" t="inlineStr">
        <is>
          <t>TUBO 2X6X1.8MM H.G</t>
        </is>
      </c>
      <c r="D551" s="692" t="inlineStr">
        <is>
          <t>UND</t>
        </is>
      </c>
      <c r="E551" s="693" t="n">
        <v>35065.076</v>
      </c>
      <c r="F551" s="694">
        <f>E551*$N$2</f>
        <v/>
      </c>
      <c r="G551" s="695" t="n">
        <v>0</v>
      </c>
      <c r="H551" s="696">
        <f>F551-G551</f>
        <v/>
      </c>
      <c r="I551" s="151" t="n"/>
      <c r="J551" s="152" t="n">
        <v>44692</v>
      </c>
      <c r="K551" s="692" t="inlineStr">
        <is>
          <t>ACEROS Y METALES</t>
        </is>
      </c>
    </row>
    <row r="552" ht="20.1" customHeight="1">
      <c r="A552" s="430">
        <f>_xlfn.XLOOKUP(B552,'INSUMOS MAT '!B:B,'INSUMOS MAT '!C:C,"ERROR",0)</f>
        <v/>
      </c>
      <c r="B552" s="142" t="inlineStr">
        <is>
          <t>MAT02-0021</t>
        </is>
      </c>
      <c r="C552" s="691" t="inlineStr">
        <is>
          <t>TUBO 2X6X1.8MM H.N.</t>
        </is>
      </c>
      <c r="D552" s="692" t="inlineStr">
        <is>
          <t>UND</t>
        </is>
      </c>
      <c r="E552" s="693" t="n">
        <v>35216.1674</v>
      </c>
      <c r="F552" s="694">
        <f>E552*$N$2</f>
        <v/>
      </c>
      <c r="G552" s="695" t="n">
        <v>0</v>
      </c>
      <c r="H552" s="696">
        <f>F552-G552</f>
        <v/>
      </c>
      <c r="I552" s="151" t="n"/>
      <c r="J552" s="152" t="n">
        <v>44692</v>
      </c>
      <c r="K552" s="692" t="inlineStr">
        <is>
          <t>ACEROS Y METALES</t>
        </is>
      </c>
    </row>
    <row r="553" ht="20.1" customHeight="1">
      <c r="A553" s="430">
        <f>_xlfn.XLOOKUP(B553,'INSUMOS MAT '!B:B,'INSUMOS MAT '!C:C,"ERROR",0)</f>
        <v/>
      </c>
      <c r="B553" s="142" t="inlineStr">
        <is>
          <t>MAT02-0123</t>
        </is>
      </c>
      <c r="C553" s="691" t="inlineStr">
        <is>
          <t>TUBO 3X3X1.8MM H.G.</t>
        </is>
      </c>
      <c r="D553" s="692" t="inlineStr">
        <is>
          <t>UND</t>
        </is>
      </c>
      <c r="E553" s="693" t="n">
        <v>25703.4241</v>
      </c>
      <c r="F553" s="694">
        <f>E553*$N$2</f>
        <v/>
      </c>
      <c r="G553" s="695" t="n">
        <v>0</v>
      </c>
      <c r="H553" s="696">
        <f>F553-G553</f>
        <v/>
      </c>
      <c r="I553" s="151" t="n"/>
      <c r="J553" s="152" t="n">
        <v>44692</v>
      </c>
      <c r="K553" s="692" t="inlineStr">
        <is>
          <t>ACEROS Y METALES</t>
        </is>
      </c>
    </row>
    <row r="554" ht="20.1" customHeight="1">
      <c r="A554" s="430">
        <f>_xlfn.XLOOKUP(B554,'INSUMOS MAT '!B:B,'INSUMOS MAT '!C:C,"ERROR",0)</f>
        <v/>
      </c>
      <c r="B554" s="142" t="inlineStr">
        <is>
          <t>MAT02-0023</t>
        </is>
      </c>
      <c r="C554" s="691" t="inlineStr">
        <is>
          <t>TUBO 3X3X1.8MM H.N.</t>
        </is>
      </c>
      <c r="D554" s="692" t="inlineStr">
        <is>
          <t>UND</t>
        </is>
      </c>
      <c r="E554" s="693" t="n">
        <v>25215.5564</v>
      </c>
      <c r="F554" s="694">
        <f>E554*$N$2</f>
        <v/>
      </c>
      <c r="G554" s="695" t="n">
        <v>0</v>
      </c>
      <c r="H554" s="696">
        <f>F554-G554</f>
        <v/>
      </c>
      <c r="I554" s="151" t="n"/>
      <c r="J554" s="152" t="n">
        <v>44692</v>
      </c>
      <c r="K554" s="692" t="inlineStr">
        <is>
          <t>ACEROS Y METALES</t>
        </is>
      </c>
    </row>
    <row r="555" ht="20.1" customHeight="1">
      <c r="A555" s="430">
        <f>_xlfn.XLOOKUP(B555,'INSUMOS MAT '!B:B,'INSUMOS MAT '!C:C,"ERROR",0)</f>
        <v/>
      </c>
      <c r="B555" s="142" t="inlineStr">
        <is>
          <t>MAT02-0024</t>
        </is>
      </c>
      <c r="C555" s="691" t="inlineStr">
        <is>
          <t>TUBO 4X6X1.80MM HN</t>
        </is>
      </c>
      <c r="D555" s="692" t="inlineStr">
        <is>
          <t>UND</t>
        </is>
      </c>
      <c r="E555" s="693" t="n">
        <v>42108.7279</v>
      </c>
      <c r="F555" s="694">
        <f>E555*$N$2</f>
        <v/>
      </c>
      <c r="G555" s="695" t="n">
        <v>0</v>
      </c>
      <c r="H555" s="696">
        <f>F555-G555</f>
        <v/>
      </c>
      <c r="I555" s="151" t="n"/>
      <c r="J555" s="152" t="n">
        <v>44692</v>
      </c>
      <c r="K555" s="692" t="inlineStr">
        <is>
          <t>ACEROS Y METALES</t>
        </is>
      </c>
    </row>
    <row r="556" ht="20.1" customHeight="1">
      <c r="A556" s="430">
        <f>_xlfn.XLOOKUP(B556,'INSUMOS MAT '!B:B,'INSUMOS MAT '!C:C,"ERROR",0)</f>
        <v/>
      </c>
      <c r="B556" s="142" t="inlineStr">
        <is>
          <t>MAT19-0084</t>
        </is>
      </c>
      <c r="C556" s="691" t="inlineStr">
        <is>
          <t>TUBO CONDUIT 1 1/2 UL</t>
        </is>
      </c>
      <c r="D556" s="692" t="inlineStr">
        <is>
          <t>UND</t>
        </is>
      </c>
      <c r="E556" s="693" t="n">
        <v>5067.060000000001</v>
      </c>
      <c r="F556" s="694">
        <f>E556*$N$2</f>
        <v/>
      </c>
      <c r="G556" s="695" t="n">
        <v>0</v>
      </c>
      <c r="H556" s="696">
        <f>F556-G556</f>
        <v/>
      </c>
      <c r="I556" s="151" t="n"/>
      <c r="J556" s="152" t="n">
        <v>44692</v>
      </c>
      <c r="K556" s="692" t="inlineStr">
        <is>
          <t>PVC</t>
        </is>
      </c>
    </row>
    <row r="557" ht="20.1" customHeight="1">
      <c r="A557" s="430">
        <f>_xlfn.XLOOKUP(B557,'INSUMOS MAT '!B:B,'INSUMOS MAT '!C:C,"ERROR",0)</f>
        <v/>
      </c>
      <c r="B557" s="142" t="inlineStr">
        <is>
          <t>MAT19-0085</t>
        </is>
      </c>
      <c r="C557" s="691" t="inlineStr">
        <is>
          <t>TUBO CONDUIT 1 UL</t>
        </is>
      </c>
      <c r="D557" s="692" t="inlineStr">
        <is>
          <t>UND</t>
        </is>
      </c>
      <c r="E557" s="693" t="n">
        <v>3409.64</v>
      </c>
      <c r="F557" s="694">
        <f>E557*$N$2</f>
        <v/>
      </c>
      <c r="G557" s="695" t="n">
        <v>0</v>
      </c>
      <c r="H557" s="696">
        <f>F557-G557</f>
        <v/>
      </c>
      <c r="I557" s="151" t="n"/>
      <c r="J557" s="152" t="n">
        <v>44692</v>
      </c>
      <c r="K557" s="692" t="inlineStr">
        <is>
          <t>PVC</t>
        </is>
      </c>
    </row>
    <row r="558" ht="20.1" customHeight="1">
      <c r="A558" s="430">
        <f>_xlfn.XLOOKUP(B558,'INSUMOS MAT '!B:B,'INSUMOS MAT '!C:C,"ERROR",0)</f>
        <v/>
      </c>
      <c r="B558" s="142" t="inlineStr">
        <is>
          <t>MAT19-0086</t>
        </is>
      </c>
      <c r="C558" s="691" t="inlineStr">
        <is>
          <t>TUBO CONDUIT 1/2 UL</t>
        </is>
      </c>
      <c r="D558" s="692" t="inlineStr">
        <is>
          <t>UND</t>
        </is>
      </c>
      <c r="E558" s="693" t="n">
        <v>1061.128</v>
      </c>
      <c r="F558" s="694">
        <f>E558*$N$2</f>
        <v/>
      </c>
      <c r="G558" s="695" t="n">
        <v>0</v>
      </c>
      <c r="H558" s="696">
        <f>F558-G558</f>
        <v/>
      </c>
      <c r="I558" s="151" t="n"/>
      <c r="J558" s="152" t="n">
        <v>44692</v>
      </c>
      <c r="K558" s="692" t="inlineStr">
        <is>
          <t>PVC</t>
        </is>
      </c>
    </row>
    <row r="559" ht="20.1" customHeight="1">
      <c r="A559" s="430">
        <f>_xlfn.XLOOKUP(B559,'INSUMOS MAT '!B:B,'INSUMOS MAT '!C:C,"ERROR",0)</f>
        <v/>
      </c>
      <c r="B559" s="142" t="inlineStr">
        <is>
          <t>MAT19-0087</t>
        </is>
      </c>
      <c r="C559" s="691" t="inlineStr">
        <is>
          <t>TUBO CONDUIT 3/4 UL</t>
        </is>
      </c>
      <c r="D559" s="692" t="inlineStr">
        <is>
          <t>UND</t>
        </is>
      </c>
      <c r="E559" s="693" t="n">
        <v>1580</v>
      </c>
      <c r="F559" s="694">
        <f>E559*$N$2</f>
        <v/>
      </c>
      <c r="G559" s="695" t="n">
        <v>0</v>
      </c>
      <c r="H559" s="696">
        <f>F559-G559</f>
        <v/>
      </c>
      <c r="I559" s="151" t="n"/>
      <c r="J559" s="152" t="n">
        <v>44692</v>
      </c>
      <c r="K559" s="692" t="inlineStr">
        <is>
          <t>PVC</t>
        </is>
      </c>
    </row>
    <row r="560" ht="20.1" customHeight="1">
      <c r="A560" s="430">
        <f>_xlfn.XLOOKUP(B560,'INSUMOS MAT '!B:B,'INSUMOS MAT '!C:C,"ERROR",0)</f>
        <v/>
      </c>
      <c r="B560" s="142" t="inlineStr">
        <is>
          <t>MAT19-0088</t>
        </is>
      </c>
      <c r="C560" s="691" t="inlineStr">
        <is>
          <t>TUBO CPVC 1/2</t>
        </is>
      </c>
      <c r="D560" s="692" t="inlineStr">
        <is>
          <t>UND</t>
        </is>
      </c>
      <c r="E560" s="693" t="n">
        <v>7057.860000000001</v>
      </c>
      <c r="F560" s="694">
        <f>E560*$N$2</f>
        <v/>
      </c>
      <c r="G560" s="695" t="n">
        <v>0</v>
      </c>
      <c r="H560" s="696">
        <f>F560-G560</f>
        <v/>
      </c>
      <c r="I560" s="151" t="n"/>
      <c r="J560" s="152" t="n">
        <v>44692</v>
      </c>
      <c r="K560" s="692" t="inlineStr">
        <is>
          <t>PVC</t>
        </is>
      </c>
    </row>
    <row r="561" ht="20.1" customHeight="1">
      <c r="A561" s="430">
        <f>_xlfn.XLOOKUP(B561,'INSUMOS MAT '!B:B,'INSUMOS MAT '!C:C,"ERROR",0)</f>
        <v/>
      </c>
      <c r="B561" s="142" t="inlineStr">
        <is>
          <t>MAT06-0098</t>
        </is>
      </c>
      <c r="C561" s="691" t="inlineStr">
        <is>
          <t>TUBO EMT 1 (3M)</t>
        </is>
      </c>
      <c r="D561" s="692" t="inlineStr">
        <is>
          <t>UND</t>
        </is>
      </c>
      <c r="E561" s="693" t="n">
        <v>7972.15</v>
      </c>
      <c r="F561" s="694">
        <f>E561*$N$2</f>
        <v/>
      </c>
      <c r="G561" s="695" t="n">
        <v>0</v>
      </c>
      <c r="H561" s="696">
        <f>F561-G561</f>
        <v/>
      </c>
      <c r="I561" s="151" t="n"/>
      <c r="J561" s="152" t="n">
        <v>44692</v>
      </c>
      <c r="K561" s="692" t="inlineStr">
        <is>
          <t>ELECTRICO</t>
        </is>
      </c>
    </row>
    <row r="562" ht="20.1" customHeight="1">
      <c r="A562" s="430">
        <f>_xlfn.XLOOKUP(B562,'INSUMOS MAT '!B:B,'INSUMOS MAT '!C:C,"ERROR",0)</f>
        <v/>
      </c>
      <c r="B562" s="142" t="inlineStr">
        <is>
          <t>MAT19-0092</t>
        </is>
      </c>
      <c r="C562" s="691" t="inlineStr">
        <is>
          <t>TUBO PVC 1/2 P/GRUESA</t>
        </is>
      </c>
      <c r="D562" s="692" t="inlineStr">
        <is>
          <t>UND</t>
        </is>
      </c>
      <c r="E562" s="693" t="n">
        <v>3737.964000000001</v>
      </c>
      <c r="F562" s="694">
        <f>E562*$N$2</f>
        <v/>
      </c>
      <c r="G562" s="695" t="n">
        <v>0</v>
      </c>
      <c r="H562" s="696">
        <f>F562-G562</f>
        <v/>
      </c>
      <c r="I562" s="151" t="n"/>
      <c r="J562" s="152" t="n">
        <v>44692</v>
      </c>
      <c r="K562" s="692" t="inlineStr">
        <is>
          <t>PVC</t>
        </is>
      </c>
    </row>
    <row r="563" ht="20.1" customHeight="1">
      <c r="A563" s="430">
        <f>_xlfn.XLOOKUP(B563,'INSUMOS MAT '!B:B,'INSUMOS MAT '!C:C,"ERROR",0)</f>
        <v/>
      </c>
      <c r="B563" s="142" t="inlineStr">
        <is>
          <t>MAT19-0093</t>
        </is>
      </c>
      <c r="C563" s="691" t="inlineStr">
        <is>
          <t>TUBO SANITARIO PVC 1 1/2</t>
        </is>
      </c>
      <c r="D563" s="692" t="inlineStr">
        <is>
          <t>UND</t>
        </is>
      </c>
      <c r="E563" s="693" t="n">
        <v>7470.2929</v>
      </c>
      <c r="F563" s="694">
        <f>E563*$N$2</f>
        <v/>
      </c>
      <c r="G563" s="695" t="n">
        <v>0</v>
      </c>
      <c r="H563" s="696">
        <f>F563-G563</f>
        <v/>
      </c>
      <c r="I563" s="151" t="n"/>
      <c r="J563" s="152" t="n">
        <v>44692</v>
      </c>
      <c r="K563" s="692" t="inlineStr">
        <is>
          <t>PVC</t>
        </is>
      </c>
    </row>
    <row r="564" ht="20.1" customHeight="1">
      <c r="A564" s="430">
        <f>_xlfn.XLOOKUP(B564,'INSUMOS MAT '!B:B,'INSUMOS MAT '!C:C,"ERROR",0)</f>
        <v/>
      </c>
      <c r="B564" s="142" t="inlineStr">
        <is>
          <t>MAT19-0096</t>
        </is>
      </c>
      <c r="C564" s="691" t="inlineStr">
        <is>
          <t>TUBO SANITARIO PVC 3</t>
        </is>
      </c>
      <c r="D564" s="692" t="inlineStr">
        <is>
          <t>UND</t>
        </is>
      </c>
      <c r="E564" s="693" t="n">
        <v>15624.3</v>
      </c>
      <c r="F564" s="694">
        <f>E564*$N$2</f>
        <v/>
      </c>
      <c r="G564" s="695" t="n">
        <v>0</v>
      </c>
      <c r="H564" s="696">
        <f>F564-G564</f>
        <v/>
      </c>
      <c r="I564" s="151" t="n"/>
      <c r="J564" s="152" t="n">
        <v>44692</v>
      </c>
      <c r="K564" s="692" t="inlineStr">
        <is>
          <t>PVC</t>
        </is>
      </c>
    </row>
    <row r="565" ht="20.1" customHeight="1">
      <c r="A565" s="430">
        <f>_xlfn.XLOOKUP(B565,'INSUMOS MAT '!B:B,'INSUMOS MAT '!C:C,"ERROR",0)</f>
        <v/>
      </c>
      <c r="B565" s="142" t="inlineStr">
        <is>
          <t>MAT19-0094</t>
        </is>
      </c>
      <c r="C565" s="691" t="inlineStr">
        <is>
          <t>TUBO SDR41 PVC 1 1/4</t>
        </is>
      </c>
      <c r="D565" s="692" t="inlineStr">
        <is>
          <t>UND</t>
        </is>
      </c>
      <c r="E565" s="693" t="n">
        <v>5148.904</v>
      </c>
      <c r="F565" s="694">
        <f>E565*$N$2</f>
        <v/>
      </c>
      <c r="G565" s="695" t="n">
        <v>0</v>
      </c>
      <c r="H565" s="696">
        <f>F565-G565</f>
        <v/>
      </c>
      <c r="I565" s="151" t="n"/>
      <c r="J565" s="152" t="n">
        <v>44692</v>
      </c>
      <c r="K565" s="692" t="inlineStr">
        <is>
          <t>PVC</t>
        </is>
      </c>
    </row>
    <row r="566" ht="20.1" customHeight="1">
      <c r="A566" s="430">
        <f>_xlfn.XLOOKUP(B566,'INSUMOS MAT '!B:B,'INSUMOS MAT '!C:C,"ERROR",0)</f>
        <v/>
      </c>
      <c r="B566" s="142" t="inlineStr">
        <is>
          <t>MAT19-0099</t>
        </is>
      </c>
      <c r="C566" s="691" t="inlineStr">
        <is>
          <t>TUBO SDR41 JC PVC 3</t>
        </is>
      </c>
      <c r="D566" s="692" t="inlineStr">
        <is>
          <t>UND</t>
        </is>
      </c>
      <c r="E566" s="693" t="n">
        <v>17445.096</v>
      </c>
      <c r="F566" s="694">
        <f>E566*$N$2</f>
        <v/>
      </c>
      <c r="G566" s="695" t="n">
        <v>0</v>
      </c>
      <c r="H566" s="696">
        <f>F566-G566</f>
        <v/>
      </c>
      <c r="I566" s="151" t="n"/>
      <c r="J566" s="152" t="n">
        <v>44692</v>
      </c>
      <c r="K566" s="692" t="inlineStr">
        <is>
          <t>PVC</t>
        </is>
      </c>
    </row>
    <row r="567" ht="20.1" customHeight="1">
      <c r="A567" s="430">
        <f>_xlfn.XLOOKUP(B567,'INSUMOS MAT '!B:B,'INSUMOS MAT '!C:C,"ERROR",0)</f>
        <v/>
      </c>
      <c r="B567" s="142" t="inlineStr">
        <is>
          <t>MAT19-0100</t>
        </is>
      </c>
      <c r="C567" s="691" t="inlineStr">
        <is>
          <t>TUBO SDR41 JC PVC 4</t>
        </is>
      </c>
      <c r="D567" s="692" t="inlineStr">
        <is>
          <t>UND</t>
        </is>
      </c>
      <c r="E567" s="693" t="n">
        <v>26624.58</v>
      </c>
      <c r="F567" s="694">
        <f>E567*$N$2</f>
        <v/>
      </c>
      <c r="G567" s="695" t="n">
        <v>0</v>
      </c>
      <c r="H567" s="696">
        <f>F567-G567</f>
        <v/>
      </c>
      <c r="I567" s="151" t="n"/>
      <c r="J567" s="152" t="n">
        <v>44692</v>
      </c>
      <c r="K567" s="692" t="inlineStr">
        <is>
          <t>PVC</t>
        </is>
      </c>
    </row>
    <row r="568" ht="20.1" customHeight="1">
      <c r="A568" s="430">
        <f>_xlfn.XLOOKUP(B568,'INSUMOS MAT '!B:B,'INSUMOS MAT '!C:C,"ERROR",0)</f>
        <v/>
      </c>
      <c r="B568" s="142" t="inlineStr">
        <is>
          <t>MAT19-0095</t>
        </is>
      </c>
      <c r="C568" s="691" t="inlineStr">
        <is>
          <t>TUBO SDR41 PVC 2</t>
        </is>
      </c>
      <c r="D568" s="692" t="inlineStr">
        <is>
          <t>UND</t>
        </is>
      </c>
      <c r="E568" s="693" t="n">
        <v>8194.828000000001</v>
      </c>
      <c r="F568" s="694">
        <f>E568*$N$2</f>
        <v/>
      </c>
      <c r="G568" s="695" t="n">
        <v>0</v>
      </c>
      <c r="H568" s="696">
        <f>F568-G568</f>
        <v/>
      </c>
      <c r="I568" s="151" t="n"/>
      <c r="J568" s="152" t="n">
        <v>44692</v>
      </c>
      <c r="K568" s="692" t="inlineStr">
        <is>
          <t>PVC</t>
        </is>
      </c>
    </row>
    <row r="569" ht="20.1" customHeight="1">
      <c r="A569" s="430">
        <f>_xlfn.XLOOKUP(B569,'INSUMOS MAT '!B:B,'INSUMOS MAT '!C:C,"ERROR",0)</f>
        <v/>
      </c>
      <c r="B569" s="142" t="inlineStr">
        <is>
          <t>MAT19-0104</t>
        </is>
      </c>
      <c r="C569" s="691" t="inlineStr">
        <is>
          <t>UNION CONDUIT 1 1/2 UL</t>
        </is>
      </c>
      <c r="D569" s="692" t="inlineStr">
        <is>
          <t>UND</t>
        </is>
      </c>
      <c r="E569" s="693" t="n">
        <v>457.134</v>
      </c>
      <c r="F569" s="694">
        <f>E569*$N$2</f>
        <v/>
      </c>
      <c r="G569" s="695" t="n">
        <v>0</v>
      </c>
      <c r="H569" s="696">
        <f>F569-G569</f>
        <v/>
      </c>
      <c r="I569" s="151" t="n"/>
      <c r="J569" s="152" t="n">
        <v>44692</v>
      </c>
      <c r="K569" s="692" t="inlineStr">
        <is>
          <t>PVC</t>
        </is>
      </c>
    </row>
    <row r="570" ht="20.1" customHeight="1">
      <c r="A570" s="430">
        <f>_xlfn.XLOOKUP(B570,'INSUMOS MAT '!B:B,'INSUMOS MAT '!C:C,"ERROR",0)</f>
        <v/>
      </c>
      <c r="B570" s="142" t="inlineStr">
        <is>
          <t>MAT19-0105</t>
        </is>
      </c>
      <c r="C570" s="691" t="inlineStr">
        <is>
          <t>UNION CONDUIT 1 UL</t>
        </is>
      </c>
      <c r="D570" s="692" t="inlineStr">
        <is>
          <t>UND</t>
        </is>
      </c>
      <c r="E570" s="693" t="n">
        <v>330.4429</v>
      </c>
      <c r="F570" s="694">
        <f>E570*$N$2</f>
        <v/>
      </c>
      <c r="G570" s="695" t="n">
        <v>0</v>
      </c>
      <c r="H570" s="696">
        <f>F570-G570</f>
        <v/>
      </c>
      <c r="I570" s="151" t="n"/>
      <c r="J570" s="152" t="n">
        <v>44692</v>
      </c>
      <c r="K570" s="692" t="inlineStr">
        <is>
          <t>PVC</t>
        </is>
      </c>
    </row>
    <row r="571" ht="20.1" customHeight="1">
      <c r="A571" s="430">
        <f>_xlfn.XLOOKUP(B571,'INSUMOS MAT '!B:B,'INSUMOS MAT '!C:C,"ERROR",0)</f>
        <v/>
      </c>
      <c r="B571" s="142" t="inlineStr">
        <is>
          <t>MAT19-0106</t>
        </is>
      </c>
      <c r="C571" s="691" t="inlineStr">
        <is>
          <t>UNION CONDUIT 1/2 UL</t>
        </is>
      </c>
      <c r="D571" s="692" t="inlineStr">
        <is>
          <t>UND</t>
        </is>
      </c>
      <c r="E571" s="693" t="n">
        <v>110.166</v>
      </c>
      <c r="F571" s="694">
        <f>E571*$N$2</f>
        <v/>
      </c>
      <c r="G571" s="695" t="n">
        <v>0</v>
      </c>
      <c r="H571" s="696">
        <f>F571-G571</f>
        <v/>
      </c>
      <c r="I571" s="151" t="n"/>
      <c r="J571" s="152" t="n">
        <v>44701</v>
      </c>
      <c r="K571" s="692" t="inlineStr">
        <is>
          <t>PVC</t>
        </is>
      </c>
    </row>
    <row r="572" ht="20.1" customHeight="1">
      <c r="A572" s="430">
        <f>_xlfn.XLOOKUP(B572,'INSUMOS MAT '!B:B,'INSUMOS MAT '!C:C,"ERROR",0)</f>
        <v/>
      </c>
      <c r="B572" s="142" t="inlineStr">
        <is>
          <t>MAT19-0139</t>
        </is>
      </c>
      <c r="C572" s="691" t="inlineStr">
        <is>
          <t>UNION CONDUIT 2 UL</t>
        </is>
      </c>
      <c r="D572" s="692" t="inlineStr">
        <is>
          <t>UND</t>
        </is>
      </c>
      <c r="E572" s="693" t="n">
        <v>623.3542</v>
      </c>
      <c r="F572" s="694">
        <f>E572*$N$2</f>
        <v/>
      </c>
      <c r="G572" s="695" t="n">
        <v>0</v>
      </c>
      <c r="H572" s="696">
        <f>F572-G572</f>
        <v/>
      </c>
      <c r="I572" s="151" t="n"/>
      <c r="J572" s="152" t="n">
        <v>44692</v>
      </c>
      <c r="K572" s="692" t="inlineStr">
        <is>
          <t>PVC</t>
        </is>
      </c>
    </row>
    <row r="573" ht="20.1" customHeight="1">
      <c r="A573" s="430">
        <f>_xlfn.XLOOKUP(B573,'INSUMOS MAT '!B:B,'INSUMOS MAT '!C:C,"ERROR",0)</f>
        <v/>
      </c>
      <c r="B573" s="142" t="inlineStr">
        <is>
          <t>MAT19-0107</t>
        </is>
      </c>
      <c r="C573" s="691" t="inlineStr">
        <is>
          <t>UNION CONDUIT 3/4 UL</t>
        </is>
      </c>
      <c r="D573" s="692" t="inlineStr">
        <is>
          <t>UND</t>
        </is>
      </c>
      <c r="E573" s="693" t="n">
        <v>157.014</v>
      </c>
      <c r="F573" s="694">
        <f>E573*$N$2</f>
        <v/>
      </c>
      <c r="G573" s="695" t="n">
        <v>0</v>
      </c>
      <c r="H573" s="696">
        <f>F573-G573</f>
        <v/>
      </c>
      <c r="I573" s="151" t="n"/>
      <c r="J573" s="152" t="n">
        <v>44701</v>
      </c>
      <c r="K573" s="692" t="inlineStr">
        <is>
          <t>PVC</t>
        </is>
      </c>
    </row>
    <row r="574" ht="20.1" customHeight="1">
      <c r="A574" s="430">
        <f>_xlfn.XLOOKUP(B574,'INSUMOS MAT '!B:B,'INSUMOS MAT '!C:C,"ERROR",0)</f>
        <v/>
      </c>
      <c r="B574" s="142" t="inlineStr">
        <is>
          <t>MAT08-0134</t>
        </is>
      </c>
      <c r="C574" s="691" t="inlineStr">
        <is>
          <t>UNION HG 1/2</t>
        </is>
      </c>
      <c r="D574" s="692" t="inlineStr">
        <is>
          <t>UND</t>
        </is>
      </c>
      <c r="E574" s="693" t="n">
        <v>314.41</v>
      </c>
      <c r="F574" s="694">
        <f>E574*$N$2</f>
        <v/>
      </c>
      <c r="G574" s="695" t="n">
        <v>0</v>
      </c>
      <c r="H574" s="696">
        <f>F574-G574</f>
        <v/>
      </c>
      <c r="I574" s="151" t="n"/>
      <c r="J574" s="152" t="n">
        <v>44692</v>
      </c>
      <c r="K574" s="692" t="inlineStr">
        <is>
          <t>FERRETERIA GENERAL</t>
        </is>
      </c>
    </row>
    <row r="575" ht="20.1" customHeight="1">
      <c r="A575" s="430">
        <f>_xlfn.XLOOKUP(B575,'INSUMOS MAT '!B:B,'INSUMOS MAT '!C:C,"ERROR",0)</f>
        <v/>
      </c>
      <c r="B575" s="142" t="inlineStr">
        <is>
          <t>MAT19-0108</t>
        </is>
      </c>
      <c r="C575" s="691" t="inlineStr">
        <is>
          <t>UNION LISA  CPVC 1/2</t>
        </is>
      </c>
      <c r="D575" s="692" t="inlineStr">
        <is>
          <t>UND</t>
        </is>
      </c>
      <c r="E575" s="693" t="n">
        <v>457.8209</v>
      </c>
      <c r="F575" s="694">
        <f>E575*$N$2</f>
        <v/>
      </c>
      <c r="G575" s="695" t="n">
        <v>0</v>
      </c>
      <c r="H575" s="696">
        <f>F575-G575</f>
        <v/>
      </c>
      <c r="I575" s="151" t="n"/>
      <c r="J575" s="152" t="n">
        <v>44692</v>
      </c>
      <c r="K575" s="692" t="inlineStr">
        <is>
          <t>PVC</t>
        </is>
      </c>
    </row>
    <row r="576" ht="20.1" customHeight="1">
      <c r="A576" s="430">
        <f>_xlfn.XLOOKUP(B576,'INSUMOS MAT '!B:B,'INSUMOS MAT '!C:C,"ERROR",0)</f>
        <v/>
      </c>
      <c r="B576" s="142" t="inlineStr">
        <is>
          <t>MAT19-0109</t>
        </is>
      </c>
      <c r="C576" s="691" t="inlineStr">
        <is>
          <t>UNION LISA PVC  1 1/2</t>
        </is>
      </c>
      <c r="D576" s="692" t="inlineStr">
        <is>
          <t>UND</t>
        </is>
      </c>
      <c r="E576" s="693" t="n">
        <v>751.7572</v>
      </c>
      <c r="F576" s="694">
        <f>E576*$N$2</f>
        <v/>
      </c>
      <c r="G576" s="695" t="n">
        <v>0</v>
      </c>
      <c r="H576" s="696">
        <f>F576-G576</f>
        <v/>
      </c>
      <c r="I576" s="151" t="n"/>
      <c r="J576" s="152" t="n">
        <v>44692</v>
      </c>
      <c r="K576" s="692" t="inlineStr">
        <is>
          <t>PVC</t>
        </is>
      </c>
    </row>
    <row r="577" ht="20.1" customHeight="1">
      <c r="A577" s="430">
        <f>_xlfn.XLOOKUP(B577,'INSUMOS MAT '!B:B,'INSUMOS MAT '!C:C,"ERROR",0)</f>
        <v/>
      </c>
      <c r="B577" s="142" t="inlineStr">
        <is>
          <t>MAT19-0110</t>
        </is>
      </c>
      <c r="C577" s="691" t="inlineStr">
        <is>
          <t>UNION LISA PVC  1 1/4</t>
        </is>
      </c>
      <c r="D577" s="692" t="inlineStr">
        <is>
          <t>UND</t>
        </is>
      </c>
      <c r="E577" s="693" t="n">
        <v>564.7379999999999</v>
      </c>
      <c r="F577" s="694">
        <f>E577*$N$2</f>
        <v/>
      </c>
      <c r="G577" s="695" t="n">
        <v>0</v>
      </c>
      <c r="H577" s="696">
        <f>F577-G577</f>
        <v/>
      </c>
      <c r="I577" s="151" t="n"/>
      <c r="J577" s="152" t="n">
        <v>44692</v>
      </c>
      <c r="K577" s="692" t="inlineStr">
        <is>
          <t>PVC</t>
        </is>
      </c>
    </row>
    <row r="578" ht="20.1" customHeight="1">
      <c r="A578" s="430">
        <f>_xlfn.XLOOKUP(B578,'INSUMOS MAT '!B:B,'INSUMOS MAT '!C:C,"ERROR",0)</f>
        <v/>
      </c>
      <c r="B578" s="142" t="inlineStr">
        <is>
          <t>MAT19-0111</t>
        </is>
      </c>
      <c r="C578" s="691" t="inlineStr">
        <is>
          <t>UNION LISA PVC  1/2</t>
        </is>
      </c>
      <c r="D578" s="692" t="inlineStr">
        <is>
          <t>UND</t>
        </is>
      </c>
      <c r="E578" s="693" t="n">
        <v>96.98999999999999</v>
      </c>
      <c r="F578" s="694">
        <f>E578*$N$2</f>
        <v/>
      </c>
      <c r="G578" s="695" t="n">
        <v>0</v>
      </c>
      <c r="H578" s="696">
        <f>F578-G578</f>
        <v/>
      </c>
      <c r="I578" s="151" t="n"/>
      <c r="J578" s="152" t="n">
        <v>44692</v>
      </c>
      <c r="K578" s="692" t="inlineStr">
        <is>
          <t>PVC</t>
        </is>
      </c>
    </row>
    <row r="579" ht="20.1" customHeight="1">
      <c r="A579" s="430">
        <f>_xlfn.XLOOKUP(B579,'INSUMOS MAT '!B:B,'INSUMOS MAT '!C:C,"ERROR",0)</f>
        <v/>
      </c>
      <c r="B579" s="142" t="inlineStr">
        <is>
          <t>MAT19-0112</t>
        </is>
      </c>
      <c r="C579" s="691" t="inlineStr">
        <is>
          <t>UNION LISA PVC  2</t>
        </is>
      </c>
      <c r="D579" s="692" t="inlineStr">
        <is>
          <t>UND</t>
        </is>
      </c>
      <c r="E579" s="693" t="n">
        <v>953.946</v>
      </c>
      <c r="F579" s="694">
        <f>E579*$N$2</f>
        <v/>
      </c>
      <c r="G579" s="695" t="n">
        <v>0</v>
      </c>
      <c r="H579" s="696">
        <f>F579-G579</f>
        <v/>
      </c>
      <c r="I579" s="151" t="n"/>
      <c r="J579" s="152" t="n">
        <v>44692</v>
      </c>
      <c r="K579" s="692" t="inlineStr">
        <is>
          <t>PVC</t>
        </is>
      </c>
    </row>
    <row r="580" ht="20.1" customHeight="1">
      <c r="A580" s="430">
        <f>_xlfn.XLOOKUP(B580,'INSUMOS MAT '!B:B,'INSUMOS MAT '!C:C,"ERROR",0)</f>
        <v/>
      </c>
      <c r="B580" s="142" t="inlineStr">
        <is>
          <t>MAT19-0113</t>
        </is>
      </c>
      <c r="C580" s="691" t="inlineStr">
        <is>
          <t>UNION LISA PVC  3</t>
        </is>
      </c>
      <c r="D580" s="692" t="inlineStr">
        <is>
          <t>UND</t>
        </is>
      </c>
      <c r="E580" s="693" t="n">
        <v>1962.126</v>
      </c>
      <c r="F580" s="694">
        <f>E580*$N$2</f>
        <v/>
      </c>
      <c r="G580" s="695" t="n">
        <v>0</v>
      </c>
      <c r="H580" s="696">
        <f>F580-G580</f>
        <v/>
      </c>
      <c r="I580" s="151" t="n"/>
      <c r="J580" s="152" t="n">
        <v>44692</v>
      </c>
      <c r="K580" s="692" t="inlineStr">
        <is>
          <t>PVC</t>
        </is>
      </c>
    </row>
    <row r="581" ht="20.1" customHeight="1">
      <c r="A581" s="430">
        <f>_xlfn.XLOOKUP(B581,'INSUMOS MAT '!B:B,'INSUMOS MAT '!C:C,"ERROR",0)</f>
        <v/>
      </c>
      <c r="B581" s="142" t="inlineStr">
        <is>
          <t>MAT19-0114</t>
        </is>
      </c>
      <c r="C581" s="691" t="inlineStr">
        <is>
          <t>UNION LISA PVC 4</t>
        </is>
      </c>
      <c r="D581" s="692" t="inlineStr">
        <is>
          <t>UND</t>
        </is>
      </c>
      <c r="E581" s="693" t="n">
        <v>3924</v>
      </c>
      <c r="F581" s="694">
        <f>E581*$N$2</f>
        <v/>
      </c>
      <c r="G581" s="695" t="n">
        <v>0</v>
      </c>
      <c r="H581" s="696">
        <f>F581-G581</f>
        <v/>
      </c>
      <c r="I581" s="151" t="n"/>
      <c r="J581" s="152" t="n">
        <v>44692</v>
      </c>
      <c r="K581" s="692" t="inlineStr">
        <is>
          <t>PVC</t>
        </is>
      </c>
    </row>
    <row r="582" ht="20.1" customHeight="1">
      <c r="A582" s="430">
        <f>_xlfn.XLOOKUP(B582,'INSUMOS MAT '!B:B,'INSUMOS MAT '!C:C,"ERROR",0)</f>
        <v/>
      </c>
      <c r="B582" s="142" t="inlineStr">
        <is>
          <t>MAT02-0025</t>
        </is>
      </c>
      <c r="C582" s="700" t="inlineStr">
        <is>
          <t>VARILLA #2 DEFORME G40</t>
        </is>
      </c>
      <c r="D582" s="692" t="inlineStr">
        <is>
          <t>UND</t>
        </is>
      </c>
      <c r="E582" s="701" t="n">
        <v>1002.0719</v>
      </c>
      <c r="F582" s="702">
        <f>E582*$N$4</f>
        <v/>
      </c>
      <c r="G582" s="695" t="n">
        <v>0</v>
      </c>
      <c r="H582" s="696">
        <f>F582-G582</f>
        <v/>
      </c>
      <c r="I582" s="151" t="n"/>
      <c r="J582" s="152" t="n">
        <v>44692</v>
      </c>
      <c r="K582" s="692" t="inlineStr">
        <is>
          <t>ACEROS Y METALES</t>
        </is>
      </c>
    </row>
    <row r="583" ht="20.1" customHeight="1">
      <c r="A583" s="430">
        <f>_xlfn.XLOOKUP(B583,'INSUMOS MAT '!B:B,'INSUMOS MAT '!C:C,"ERROR",0)</f>
        <v/>
      </c>
      <c r="B583" s="142" t="inlineStr">
        <is>
          <t>MAT02-0026</t>
        </is>
      </c>
      <c r="C583" s="700" t="inlineStr">
        <is>
          <t>VARILLA #3 DEFORME G40</t>
        </is>
      </c>
      <c r="D583" s="692" t="inlineStr">
        <is>
          <t>UND</t>
        </is>
      </c>
      <c r="E583" s="701" t="n">
        <v>2415.1145</v>
      </c>
      <c r="F583" s="702">
        <f>E583*$N$4</f>
        <v/>
      </c>
      <c r="G583" s="695" t="n">
        <v>0</v>
      </c>
      <c r="H583" s="696">
        <f>F583-G583</f>
        <v/>
      </c>
      <c r="I583" s="151" t="n"/>
      <c r="J583" s="152" t="n">
        <v>44692</v>
      </c>
      <c r="K583" s="692" t="inlineStr">
        <is>
          <t>ACEROS Y METALES</t>
        </is>
      </c>
    </row>
    <row r="584" ht="20.1" customHeight="1">
      <c r="A584" s="430">
        <f>_xlfn.XLOOKUP(B584,'INSUMOS MAT '!B:B,'INSUMOS MAT '!C:C,"ERROR",0)</f>
        <v/>
      </c>
      <c r="B584" s="142" t="inlineStr">
        <is>
          <t>MAT02-0027</t>
        </is>
      </c>
      <c r="C584" s="700" t="inlineStr">
        <is>
          <t>VARILLA #3 DEFORME G60</t>
        </is>
      </c>
      <c r="D584" s="692" t="inlineStr">
        <is>
          <t>UND</t>
        </is>
      </c>
      <c r="E584" s="701" t="n">
        <v>6076.78</v>
      </c>
      <c r="F584" s="702">
        <f>E584*$N$4</f>
        <v/>
      </c>
      <c r="G584" s="695" t="n">
        <v>0</v>
      </c>
      <c r="H584" s="696">
        <f>F584-G584</f>
        <v/>
      </c>
      <c r="I584" s="151" t="n"/>
      <c r="J584" s="152" t="n">
        <v>44702</v>
      </c>
      <c r="K584" s="692" t="inlineStr">
        <is>
          <t>ACEROS Y METALES</t>
        </is>
      </c>
    </row>
    <row r="585" ht="20.1" customHeight="1">
      <c r="A585" s="430">
        <f>_xlfn.XLOOKUP(B585,'INSUMOS MAT '!B:B,'INSUMOS MAT '!C:C,"ERROR",0)</f>
        <v/>
      </c>
      <c r="B585" s="142" t="inlineStr">
        <is>
          <t>MAT02-0029</t>
        </is>
      </c>
      <c r="C585" s="700" t="inlineStr">
        <is>
          <t>VARILLA #4 DEFORME G60</t>
        </is>
      </c>
      <c r="D585" s="692" t="inlineStr">
        <is>
          <t>UND</t>
        </is>
      </c>
      <c r="E585" s="701" t="n">
        <v>4386.0528</v>
      </c>
      <c r="F585" s="702">
        <f>E585*$N$4</f>
        <v/>
      </c>
      <c r="G585" s="695" t="n">
        <v>0</v>
      </c>
      <c r="H585" s="696">
        <f>F585-G585</f>
        <v/>
      </c>
      <c r="I585" s="151" t="n"/>
      <c r="J585" s="152" t="n">
        <v>44702</v>
      </c>
      <c r="K585" s="692" t="inlineStr">
        <is>
          <t>ACEROS Y METALES</t>
        </is>
      </c>
    </row>
    <row r="586" ht="20.1" customHeight="1">
      <c r="A586" s="430">
        <f>_xlfn.XLOOKUP(B586,'INSUMOS MAT '!B:B,'INSUMOS MAT '!C:C,"ERROR",0)</f>
        <v/>
      </c>
      <c r="B586" s="142" t="inlineStr">
        <is>
          <t>MAT02-0031</t>
        </is>
      </c>
      <c r="C586" s="700" t="inlineStr">
        <is>
          <t>VARILLA #5 DEFORME G60</t>
        </is>
      </c>
      <c r="D586" s="692" t="inlineStr">
        <is>
          <t>UND</t>
        </is>
      </c>
      <c r="E586" s="701" t="n">
        <v>8416.73</v>
      </c>
      <c r="F586" s="702">
        <f>E586*$N$4</f>
        <v/>
      </c>
      <c r="G586" s="695" t="n">
        <v>0</v>
      </c>
      <c r="H586" s="696">
        <f>F586-G586</f>
        <v/>
      </c>
      <c r="I586" s="151" t="n"/>
      <c r="J586" s="152" t="n">
        <v>44692</v>
      </c>
      <c r="K586" s="692" t="inlineStr">
        <is>
          <t>ACEROS Y METALES</t>
        </is>
      </c>
    </row>
    <row r="587" ht="20.1" customHeight="1">
      <c r="A587" s="430">
        <f>_xlfn.XLOOKUP(B587,'INSUMOS MAT '!B:B,'INSUMOS MAT '!C:C,"ERROR",0)</f>
        <v/>
      </c>
      <c r="B587" s="142" t="inlineStr">
        <is>
          <t>MAT06-0104</t>
        </is>
      </c>
      <c r="C587" s="691" t="inlineStr">
        <is>
          <t>VARILLA COOPERWELL 5/8 3M</t>
        </is>
      </c>
      <c r="D587" s="692" t="inlineStr">
        <is>
          <t>UND</t>
        </is>
      </c>
      <c r="E587" s="693" t="n">
        <v>15635.1243</v>
      </c>
      <c r="F587" s="694">
        <f>E587*$N$2</f>
        <v/>
      </c>
      <c r="G587" s="695" t="n">
        <v>0</v>
      </c>
      <c r="H587" s="696">
        <f>F587-G587</f>
        <v/>
      </c>
      <c r="I587" s="151" t="n"/>
      <c r="J587" s="152" t="n">
        <v>44692</v>
      </c>
      <c r="K587" s="692" t="inlineStr">
        <is>
          <t>ELECTRICO</t>
        </is>
      </c>
    </row>
    <row r="588" ht="20.1" customHeight="1">
      <c r="A588" s="430">
        <f>_xlfn.XLOOKUP(B588,'INSUMOS MAT '!B:B,'INSUMOS MAT '!C:C,"ERROR",0)</f>
        <v/>
      </c>
      <c r="B588" s="142" t="inlineStr">
        <is>
          <t>MAT02-0033</t>
        </is>
      </c>
      <c r="C588" s="700" t="inlineStr">
        <is>
          <t>VARILLA LISA #5</t>
        </is>
      </c>
      <c r="D588" s="692" t="inlineStr">
        <is>
          <t>UND</t>
        </is>
      </c>
      <c r="E588" s="701" t="n">
        <v>7453.3442</v>
      </c>
      <c r="F588" s="702">
        <f>E588*$N$4</f>
        <v/>
      </c>
      <c r="G588" s="695" t="n">
        <v>0</v>
      </c>
      <c r="H588" s="696">
        <f>F588-G588</f>
        <v/>
      </c>
      <c r="I588" s="151" t="n"/>
      <c r="J588" s="152" t="n">
        <v>44698</v>
      </c>
      <c r="K588" s="692" t="inlineStr">
        <is>
          <t>ACEROS Y METALES</t>
        </is>
      </c>
    </row>
    <row r="589" ht="20.1" customHeight="1">
      <c r="A589" s="430">
        <f>_xlfn.XLOOKUP(B589,'INSUMOS MAT '!B:B,'INSUMOS MAT '!C:C,"ERROR",0)</f>
        <v/>
      </c>
      <c r="B589" s="142" t="inlineStr">
        <is>
          <t>MAT19-0116</t>
        </is>
      </c>
      <c r="C589" s="691" t="inlineStr">
        <is>
          <t>YEE PARED DELGADA 2"</t>
        </is>
      </c>
      <c r="D589" s="692" t="inlineStr">
        <is>
          <t>UND</t>
        </is>
      </c>
      <c r="E589" s="693" t="n">
        <v>2508.564</v>
      </c>
      <c r="F589" s="694">
        <f>E589*$N$2</f>
        <v/>
      </c>
      <c r="G589" s="695" t="n">
        <v>0</v>
      </c>
      <c r="H589" s="696">
        <f>F589-G589</f>
        <v/>
      </c>
      <c r="I589" s="151" t="n"/>
      <c r="J589" s="152" t="n">
        <v>44692</v>
      </c>
      <c r="K589" s="692" t="inlineStr">
        <is>
          <t>PVC</t>
        </is>
      </c>
    </row>
    <row r="590" ht="20.1" customHeight="1">
      <c r="A590" s="430">
        <f>_xlfn.XLOOKUP(B590,'INSUMOS MAT '!B:B,'INSUMOS MAT '!C:C,"ERROR",0)</f>
        <v/>
      </c>
      <c r="B590" s="142" t="inlineStr">
        <is>
          <t>MAT19-0117</t>
        </is>
      </c>
      <c r="C590" s="691" t="inlineStr">
        <is>
          <t>YEE PARED DELGADA 3"</t>
        </is>
      </c>
      <c r="D590" s="692" t="inlineStr">
        <is>
          <t>UND</t>
        </is>
      </c>
      <c r="E590" s="693" t="n">
        <v>4066.992</v>
      </c>
      <c r="F590" s="694">
        <f>E590*$N$2</f>
        <v/>
      </c>
      <c r="G590" s="695" t="n">
        <v>0</v>
      </c>
      <c r="H590" s="696">
        <f>F590-G590</f>
        <v/>
      </c>
      <c r="I590" s="151" t="n"/>
      <c r="J590" s="152" t="n">
        <v>44692</v>
      </c>
      <c r="K590" s="692" t="inlineStr">
        <is>
          <t>PVC</t>
        </is>
      </c>
    </row>
    <row r="591" ht="20.1" customHeight="1">
      <c r="A591" s="430">
        <f>_xlfn.XLOOKUP(B591,'INSUMOS MAT '!B:B,'INSUMOS MAT '!C:C,"ERROR",0)</f>
        <v/>
      </c>
      <c r="B591" s="142" t="inlineStr">
        <is>
          <t>MAT19-0118</t>
        </is>
      </c>
      <c r="C591" s="691" t="inlineStr">
        <is>
          <t>YEE PARED DELGADA 4"</t>
        </is>
      </c>
      <c r="D591" s="692" t="inlineStr">
        <is>
          <t>UND</t>
        </is>
      </c>
      <c r="E591" s="693" t="n">
        <v>6242.495999999999</v>
      </c>
      <c r="F591" s="694">
        <f>E591*$N$2</f>
        <v/>
      </c>
      <c r="G591" s="695" t="n">
        <v>0</v>
      </c>
      <c r="H591" s="696">
        <f>F591-G591</f>
        <v/>
      </c>
      <c r="I591" s="151" t="n"/>
      <c r="J591" s="152" t="n">
        <v>44692</v>
      </c>
      <c r="K591" s="692" t="inlineStr">
        <is>
          <t>PVC</t>
        </is>
      </c>
    </row>
    <row r="592" ht="20.1" customHeight="1">
      <c r="A592" s="430">
        <f>_xlfn.XLOOKUP(B592,'INSUMOS MAT '!B:B,'INSUMOS MAT '!C:C,"ERROR",0)</f>
        <v/>
      </c>
      <c r="B592" s="142" t="inlineStr">
        <is>
          <t>MAT19-0119</t>
        </is>
      </c>
      <c r="C592" s="691" t="inlineStr">
        <is>
          <t>YEE PARED GRUESA DE 1 1/2"</t>
        </is>
      </c>
      <c r="D592" s="692" t="inlineStr">
        <is>
          <t>UND</t>
        </is>
      </c>
      <c r="E592" s="693" t="n">
        <v>2346.426</v>
      </c>
      <c r="F592" s="694">
        <f>E592*$N$2</f>
        <v/>
      </c>
      <c r="G592" s="695" t="n">
        <v>0</v>
      </c>
      <c r="H592" s="696">
        <f>F592-G592</f>
        <v/>
      </c>
      <c r="I592" s="151" t="n"/>
      <c r="J592" s="152" t="n">
        <v>44692</v>
      </c>
      <c r="K592" s="692" t="inlineStr">
        <is>
          <t>PVC</t>
        </is>
      </c>
    </row>
    <row r="593" ht="20.1" customHeight="1">
      <c r="A593" s="430">
        <f>_xlfn.XLOOKUP(B593,'INSUMOS MAT '!B:B,'INSUMOS MAT '!C:C,"ERROR",0)</f>
        <v/>
      </c>
      <c r="B593" s="142" t="inlineStr">
        <is>
          <t>MAT19-0132</t>
        </is>
      </c>
      <c r="C593" s="691" t="inlineStr">
        <is>
          <t>ADAPTADOR HEMBRA 2" SCH80 (50MM)</t>
        </is>
      </c>
      <c r="D593" s="692" t="inlineStr">
        <is>
          <t>UND</t>
        </is>
      </c>
      <c r="E593" s="693" t="n">
        <v>17867.985</v>
      </c>
      <c r="F593" s="694">
        <f>E593*$N$2</f>
        <v/>
      </c>
      <c r="G593" s="695" t="n">
        <v>0</v>
      </c>
      <c r="H593" s="696">
        <f>F593-G593</f>
        <v/>
      </c>
      <c r="I593" s="151" t="n"/>
      <c r="J593" s="152" t="n">
        <v>44635</v>
      </c>
      <c r="K593" s="692" t="inlineStr">
        <is>
          <t>PVC</t>
        </is>
      </c>
    </row>
    <row r="594" ht="20.1" customHeight="1">
      <c r="A594" s="430">
        <f>_xlfn.XLOOKUP(B594,'INSUMOS MAT '!B:B,'INSUMOS MAT '!C:C,"ERROR",0)</f>
        <v/>
      </c>
      <c r="B594" s="142" t="inlineStr">
        <is>
          <t>MAT19-0131</t>
        </is>
      </c>
      <c r="C594" s="691" t="inlineStr">
        <is>
          <t>ADAPTADOR MACHO 2" SCH80 (50MM)</t>
        </is>
      </c>
      <c r="D594" s="692" t="inlineStr">
        <is>
          <t>UND</t>
        </is>
      </c>
      <c r="E594" s="693" t="n">
        <v>16779.408</v>
      </c>
      <c r="F594" s="694">
        <f>E594*$N$2</f>
        <v/>
      </c>
      <c r="G594" s="695" t="n">
        <v>0</v>
      </c>
      <c r="H594" s="696">
        <f>F594-G594</f>
        <v/>
      </c>
      <c r="I594" s="151" t="n"/>
      <c r="J594" s="152" t="n">
        <v>44635</v>
      </c>
      <c r="K594" s="692" t="inlineStr">
        <is>
          <t>PVC</t>
        </is>
      </c>
    </row>
    <row r="595" ht="20.1" customHeight="1">
      <c r="A595" s="430">
        <f>_xlfn.XLOOKUP(B595,'INSUMOS MAT '!B:B,'INSUMOS MAT '!C:C,"ERROR",0)</f>
        <v/>
      </c>
      <c r="B595" s="142" t="inlineStr">
        <is>
          <t>MAT19-0007</t>
        </is>
      </c>
      <c r="C595" s="691" t="inlineStr">
        <is>
          <t>ADAPTADOR HEMBRA PVC 2"</t>
        </is>
      </c>
      <c r="D595" s="692" t="inlineStr">
        <is>
          <t>UND</t>
        </is>
      </c>
      <c r="E595" s="693" t="n">
        <v>1888.9775</v>
      </c>
      <c r="F595" s="694">
        <f>E595*$N$2</f>
        <v/>
      </c>
      <c r="G595" s="695" t="n">
        <v>0</v>
      </c>
      <c r="H595" s="696">
        <f>F595-G595</f>
        <v/>
      </c>
      <c r="I595" s="151" t="n"/>
      <c r="J595" s="152" t="n">
        <v>44635</v>
      </c>
      <c r="K595" s="692" t="inlineStr">
        <is>
          <t>PVC</t>
        </is>
      </c>
    </row>
    <row r="596" ht="20.1" customHeight="1">
      <c r="A596" s="430">
        <f>_xlfn.XLOOKUP(B596,'INSUMOS MAT '!B:B,'INSUMOS MAT '!C:C,"ERROR",0)</f>
        <v/>
      </c>
      <c r="B596" s="142" t="inlineStr">
        <is>
          <t>MAT16-0093</t>
        </is>
      </c>
      <c r="C596" s="691" t="inlineStr">
        <is>
          <t>ANTI-SPATTER BEST WELD 16OZ</t>
        </is>
      </c>
      <c r="D596" s="692" t="inlineStr">
        <is>
          <t>UND</t>
        </is>
      </c>
      <c r="E596" s="693" t="n">
        <v>7700.95</v>
      </c>
      <c r="F596" s="694">
        <f>E596*$N$2</f>
        <v/>
      </c>
      <c r="G596" s="695" t="n">
        <v>0</v>
      </c>
      <c r="H596" s="696">
        <f>F596-G596</f>
        <v/>
      </c>
      <c r="I596" s="151" t="n"/>
      <c r="J596" s="152" t="n">
        <v>44616</v>
      </c>
      <c r="K596" s="692" t="inlineStr">
        <is>
          <t>PINTURAS Y REVESTIMIENTOS</t>
        </is>
      </c>
    </row>
    <row r="597" ht="20.1" customHeight="1">
      <c r="A597" s="430">
        <f>_xlfn.XLOOKUP(B597,'INSUMOS MAT '!B:B,'INSUMOS MAT '!C:C,"ERROR",0)</f>
        <v/>
      </c>
      <c r="B597" s="142" t="inlineStr">
        <is>
          <t>MAT06-0324</t>
        </is>
      </c>
      <c r="C597" s="691" t="inlineStr">
        <is>
          <t>BREAKER QUO220 1P/20AMP</t>
        </is>
      </c>
      <c r="D597" s="692" t="inlineStr">
        <is>
          <t>UND</t>
        </is>
      </c>
      <c r="E597" s="693" t="n">
        <v>12995</v>
      </c>
      <c r="F597" s="694">
        <f>E597*$N$2</f>
        <v/>
      </c>
      <c r="G597" s="695" t="n">
        <v>0</v>
      </c>
      <c r="H597" s="696">
        <f>F597-G597</f>
        <v/>
      </c>
      <c r="I597" s="151" t="n"/>
      <c r="J597" s="152" t="n">
        <v>44692</v>
      </c>
      <c r="K597" s="692" t="inlineStr">
        <is>
          <t>ELECTRICO</t>
        </is>
      </c>
    </row>
    <row r="598" ht="20.1" customHeight="1">
      <c r="A598" s="430">
        <f>_xlfn.XLOOKUP(B598,'INSUMOS MAT '!B:B,'INSUMOS MAT '!C:C,"ERROR",0)</f>
        <v/>
      </c>
      <c r="B598" s="142" t="inlineStr">
        <is>
          <t>MAT06-0168</t>
        </is>
      </c>
      <c r="C598" s="691" t="inlineStr">
        <is>
          <t>BREAKER SD QO 120 1P 20A CAFI</t>
        </is>
      </c>
      <c r="D598" s="692" t="inlineStr">
        <is>
          <t>UND</t>
        </is>
      </c>
      <c r="E598" s="693" t="n">
        <v>6137.03</v>
      </c>
      <c r="F598" s="694">
        <f>E598*$N$2</f>
        <v/>
      </c>
      <c r="G598" s="695" t="n">
        <v>0</v>
      </c>
      <c r="H598" s="696">
        <f>F598-G598</f>
        <v/>
      </c>
      <c r="I598" s="151" t="n"/>
      <c r="J598" s="152" t="n">
        <v>44650</v>
      </c>
      <c r="K598" s="692" t="inlineStr">
        <is>
          <t>ELECTRICO</t>
        </is>
      </c>
    </row>
    <row r="599" ht="20.1" customHeight="1">
      <c r="A599" s="430">
        <f>_xlfn.XLOOKUP(B599,'INSUMOS MAT '!B:B,'INSUMOS MAT '!C:C,"ERROR",0)</f>
        <v/>
      </c>
      <c r="B599" s="142" t="inlineStr">
        <is>
          <t>MAT08-0518</t>
        </is>
      </c>
      <c r="C599" s="691" t="inlineStr">
        <is>
          <t>BROCHA DE 1 PULG</t>
        </is>
      </c>
      <c r="D599" s="692" t="inlineStr">
        <is>
          <t>UND</t>
        </is>
      </c>
      <c r="E599" s="693" t="n">
        <v>729.1900000000001</v>
      </c>
      <c r="F599" s="694">
        <f>E599*$N$2</f>
        <v/>
      </c>
      <c r="G599" s="695" t="n">
        <v>0</v>
      </c>
      <c r="H599" s="696">
        <f>F599-G599</f>
        <v/>
      </c>
      <c r="I599" s="151" t="n"/>
      <c r="J599" s="152" t="n">
        <v>44650</v>
      </c>
      <c r="K599" s="692" t="inlineStr">
        <is>
          <t>FERRETERIA GENERAL</t>
        </is>
      </c>
    </row>
    <row r="600" ht="20.1" customHeight="1">
      <c r="A600" s="430">
        <f>_xlfn.XLOOKUP(B600,'INSUMOS MAT '!B:B,'INSUMOS MAT '!C:C,"ERROR",0)</f>
        <v/>
      </c>
      <c r="B600" s="142" t="inlineStr">
        <is>
          <t>MAT06-0122</t>
        </is>
      </c>
      <c r="C600" s="691" t="inlineStr">
        <is>
          <t>CABLE TSJ 3X12</t>
        </is>
      </c>
      <c r="D600" s="692" t="inlineStr">
        <is>
          <t>M</t>
        </is>
      </c>
      <c r="E600" s="693" t="n">
        <v>1499.5807</v>
      </c>
      <c r="F600" s="694">
        <f>E600*$N$2</f>
        <v/>
      </c>
      <c r="G600" s="695" t="n">
        <v>0</v>
      </c>
      <c r="H600" s="696">
        <f>F600-G600</f>
        <v/>
      </c>
      <c r="I600" s="151" t="n"/>
      <c r="J600" s="152" t="n">
        <v>44692</v>
      </c>
      <c r="K600" s="692" t="inlineStr">
        <is>
          <t>ELECTRICO</t>
        </is>
      </c>
    </row>
    <row r="601" ht="20.1" customHeight="1">
      <c r="A601" s="430">
        <f>_xlfn.XLOOKUP(B601,'INSUMOS MAT '!B:B,'INSUMOS MAT '!C:C,"ERROR",0)</f>
        <v/>
      </c>
      <c r="B601" s="142" t="inlineStr">
        <is>
          <t>MAT06-0263</t>
        </is>
      </c>
      <c r="C601" s="691" t="inlineStr">
        <is>
          <t>CAJA INTEMPERIE 4X4</t>
        </is>
      </c>
      <c r="D601" s="692" t="inlineStr">
        <is>
          <t>UND</t>
        </is>
      </c>
      <c r="E601" s="693" t="n">
        <v>2467.92</v>
      </c>
      <c r="F601" s="694">
        <f>E601*$N$2</f>
        <v/>
      </c>
      <c r="G601" s="695" t="n">
        <v>0</v>
      </c>
      <c r="H601" s="696">
        <f>F601-G601</f>
        <v/>
      </c>
      <c r="I601" s="151" t="n"/>
      <c r="J601" s="152" t="n">
        <v>44651</v>
      </c>
      <c r="K601" s="692" t="inlineStr">
        <is>
          <t>ELECTRICO</t>
        </is>
      </c>
    </row>
    <row r="602" ht="20.1" customHeight="1">
      <c r="A602" s="430">
        <f>_xlfn.XLOOKUP(B602,'INSUMOS MAT '!B:B,'INSUMOS MAT '!C:C,"ERROR",0)</f>
        <v/>
      </c>
      <c r="B602" s="142" t="inlineStr">
        <is>
          <t>MAT08-0473</t>
        </is>
      </c>
      <c r="C602" s="691" t="inlineStr">
        <is>
          <t>CHECK DE COMPUERTA 2 PULG</t>
        </is>
      </c>
      <c r="D602" s="692" t="inlineStr">
        <is>
          <t>UND</t>
        </is>
      </c>
      <c r="E602" s="693" t="n">
        <v>29955.38</v>
      </c>
      <c r="F602" s="694">
        <f>E602*$N$2</f>
        <v/>
      </c>
      <c r="G602" s="695" t="n">
        <v>0</v>
      </c>
      <c r="H602" s="696">
        <f>F602-G602</f>
        <v/>
      </c>
      <c r="I602" s="151" t="n"/>
      <c r="J602" s="152" t="n">
        <v>44650</v>
      </c>
      <c r="K602" s="692" t="inlineStr">
        <is>
          <t>FERRETERIA GENERAL</t>
        </is>
      </c>
    </row>
    <row r="603" ht="20.1" customHeight="1">
      <c r="A603" s="430">
        <f>_xlfn.XLOOKUP(B603,'INSUMOS MAT '!B:B,'INSUMOS MAT '!C:C,"ERROR",0)</f>
        <v/>
      </c>
      <c r="B603" s="142" t="inlineStr">
        <is>
          <t>MAT08-0179</t>
        </is>
      </c>
      <c r="C603" s="691" t="inlineStr">
        <is>
          <t>CHISPA P/CORTAR CERAMICA</t>
        </is>
      </c>
      <c r="D603" s="692" t="inlineStr">
        <is>
          <t>UND</t>
        </is>
      </c>
      <c r="E603" s="693" t="n">
        <v>9401.9954</v>
      </c>
      <c r="F603" s="694">
        <f>E603*$N$2</f>
        <v/>
      </c>
      <c r="G603" s="695" t="n">
        <v>0</v>
      </c>
      <c r="H603" s="696">
        <f>F603-G603</f>
        <v/>
      </c>
      <c r="I603" s="151" t="n"/>
      <c r="J603" s="152" t="n">
        <v>44692</v>
      </c>
      <c r="K603" s="692" t="inlineStr">
        <is>
          <t>FERRETERIA GENERAL</t>
        </is>
      </c>
    </row>
    <row r="604" ht="20.1" customHeight="1">
      <c r="A604" s="135" t="n"/>
      <c r="B604" s="142" t="inlineStr">
        <is>
          <t>MAT0487</t>
        </is>
      </c>
      <c r="C604" s="691" t="inlineStr">
        <is>
          <t>CLAVO ACERO 2 X 3.8MM</t>
        </is>
      </c>
      <c r="D604" s="692" t="inlineStr">
        <is>
          <t>CJ</t>
        </is>
      </c>
      <c r="E604" s="693" t="n">
        <v>9184.08</v>
      </c>
      <c r="F604" s="694">
        <f>E604*$N$2</f>
        <v/>
      </c>
      <c r="G604" s="695" t="n">
        <v>0</v>
      </c>
      <c r="H604" s="696">
        <f>F604-G604</f>
        <v/>
      </c>
      <c r="I604" s="151" t="n"/>
      <c r="J604" s="152" t="n">
        <v>44692</v>
      </c>
      <c r="K604" s="692" t="n">
        <v>0</v>
      </c>
    </row>
    <row r="605" ht="20.1" customHeight="1">
      <c r="A605" s="430">
        <f>_xlfn.XLOOKUP(B605,'INSUMOS MAT '!B:B,'INSUMOS MAT '!C:C,"ERROR",0)</f>
        <v/>
      </c>
      <c r="B605" s="142" t="inlineStr">
        <is>
          <t>MAT19-0143</t>
        </is>
      </c>
      <c r="C605" s="691" t="inlineStr">
        <is>
          <t>CODO 90 PVC POTABLE CEDULA DE PRESIÓN DE 2"</t>
        </is>
      </c>
      <c r="D605" s="692" t="inlineStr">
        <is>
          <t>UND</t>
        </is>
      </c>
      <c r="E605" s="693" t="n">
        <v>3141.268</v>
      </c>
      <c r="F605" s="694">
        <f>E605*$N$2</f>
        <v/>
      </c>
      <c r="G605" s="695" t="n">
        <v>0</v>
      </c>
      <c r="H605" s="696">
        <f>F605-G605</f>
        <v/>
      </c>
      <c r="I605" s="151" t="n"/>
      <c r="J605" s="152" t="n">
        <v>44635</v>
      </c>
      <c r="K605" s="692" t="inlineStr">
        <is>
          <t>PVC</t>
        </is>
      </c>
    </row>
    <row r="606" ht="20.1" customHeight="1">
      <c r="A606" s="135" t="n"/>
      <c r="B606" s="142" t="inlineStr">
        <is>
          <t>MAT0546</t>
        </is>
      </c>
      <c r="C606" s="691" t="inlineStr">
        <is>
          <t>CODO 45 SANITARIO 2  PD</t>
        </is>
      </c>
      <c r="D606" s="692" t="inlineStr">
        <is>
          <t>UND</t>
        </is>
      </c>
      <c r="E606" s="693" t="n">
        <v>858.4045</v>
      </c>
      <c r="F606" s="694">
        <f>E606*$N$2</f>
        <v/>
      </c>
      <c r="G606" s="695" t="n">
        <v>0</v>
      </c>
      <c r="H606" s="696">
        <f>F606-G606</f>
        <v/>
      </c>
      <c r="I606" s="151" t="n"/>
      <c r="J606" s="152" t="n">
        <v>44692</v>
      </c>
      <c r="K606" s="692" t="n">
        <v>0</v>
      </c>
    </row>
    <row r="607" ht="20.1" customHeight="1">
      <c r="A607" s="135" t="n"/>
      <c r="B607" s="142" t="inlineStr">
        <is>
          <t>MAT0558</t>
        </is>
      </c>
      <c r="C607" s="691" t="inlineStr">
        <is>
          <t>CODO 90 CPVC 1/2</t>
        </is>
      </c>
      <c r="D607" s="692" t="inlineStr">
        <is>
          <t>UND</t>
        </is>
      </c>
      <c r="E607" s="693" t="n">
        <v>335.622</v>
      </c>
      <c r="F607" s="694">
        <f>E607*$N$2</f>
        <v/>
      </c>
      <c r="G607" s="695" t="n">
        <v>0</v>
      </c>
      <c r="H607" s="696">
        <f>F607-G607</f>
        <v/>
      </c>
      <c r="I607" s="151" t="n"/>
      <c r="J607" s="152" t="n">
        <v>44602</v>
      </c>
      <c r="K607" s="692" t="n">
        <v>0</v>
      </c>
    </row>
    <row r="608" ht="20.1" customHeight="1">
      <c r="A608" s="430">
        <f>_xlfn.XLOOKUP(B608,'INSUMOS MAT '!B:B,'INSUMOS MAT '!C:C,"ERROR",0)</f>
        <v/>
      </c>
      <c r="B608" s="142" t="inlineStr">
        <is>
          <t>MAT04-0005</t>
        </is>
      </c>
      <c r="C608" s="691" t="inlineStr">
        <is>
          <t>CONCRETO FC 210 KG/CM2 AUTOCOMPACTABLE</t>
        </is>
      </c>
      <c r="D608" s="692" t="inlineStr">
        <is>
          <t>M3</t>
        </is>
      </c>
      <c r="E608" s="693" t="n">
        <v>80340.0211</v>
      </c>
      <c r="F608" s="694">
        <f>E608*$N$2</f>
        <v/>
      </c>
      <c r="G608" s="695" t="n">
        <v>0</v>
      </c>
      <c r="H608" s="696">
        <f>F608-G608</f>
        <v/>
      </c>
      <c r="I608" s="151" t="n"/>
      <c r="J608" s="152" t="n">
        <v>44692</v>
      </c>
      <c r="K608" s="692" t="inlineStr">
        <is>
          <t>CONCRETOS CEMENTOS Y MORTEROS</t>
        </is>
      </c>
    </row>
    <row r="609" ht="20.1" customHeight="1">
      <c r="A609" s="430">
        <f>_xlfn.XLOOKUP(B609,'INSUMOS MAT '!B:B,'INSUMOS MAT '!C:C,"ERROR",0)</f>
        <v/>
      </c>
      <c r="B609" s="142" t="inlineStr">
        <is>
          <t>MAT06-0326</t>
        </is>
      </c>
      <c r="C609" s="691" t="inlineStr">
        <is>
          <t>CONECTOR MANGUITO</t>
        </is>
      </c>
      <c r="D609" s="692" t="inlineStr">
        <is>
          <t>UND</t>
        </is>
      </c>
      <c r="E609" s="693" t="n">
        <v>1065.68</v>
      </c>
      <c r="F609" s="694">
        <f>E609*$N$2</f>
        <v/>
      </c>
      <c r="G609" s="695" t="n">
        <v>0</v>
      </c>
      <c r="H609" s="696">
        <f>F609-G609</f>
        <v/>
      </c>
      <c r="I609" s="151" t="n"/>
      <c r="J609" s="152" t="n">
        <v>44644</v>
      </c>
      <c r="K609" s="692" t="inlineStr">
        <is>
          <t>ELECTRICO</t>
        </is>
      </c>
    </row>
    <row r="610" ht="20.1" customHeight="1">
      <c r="A610" s="430">
        <f>_xlfn.XLOOKUP(B610,'INSUMOS MAT '!B:B,'INSUMOS MAT '!C:C,"ERROR",0)</f>
        <v/>
      </c>
      <c r="B610" s="142" t="inlineStr">
        <is>
          <t>MAT08-0080</t>
        </is>
      </c>
      <c r="C610" s="691" t="inlineStr">
        <is>
          <t>CUTTER</t>
        </is>
      </c>
      <c r="D610" s="692" t="inlineStr">
        <is>
          <t>UND</t>
        </is>
      </c>
      <c r="E610" s="693" t="n">
        <v>1659.428</v>
      </c>
      <c r="F610" s="694">
        <f>E610*$N$2</f>
        <v/>
      </c>
      <c r="G610" s="695" t="n">
        <v>0</v>
      </c>
      <c r="H610" s="696">
        <f>F610-G610</f>
        <v/>
      </c>
      <c r="I610" s="151" t="n"/>
      <c r="J610" s="152" t="n">
        <v>44692</v>
      </c>
      <c r="K610" s="692" t="inlineStr">
        <is>
          <t>FERRETERIA GENERAL</t>
        </is>
      </c>
    </row>
    <row r="611" ht="20.1" customHeight="1">
      <c r="A611" s="430">
        <f>_xlfn.XLOOKUP(B611,'INSUMOS MAT '!B:B,'INSUMOS MAT '!C:C,"ERROR",0)</f>
        <v/>
      </c>
      <c r="B611" s="142" t="inlineStr">
        <is>
          <t>MAT08-0196</t>
        </is>
      </c>
      <c r="C611" s="691" t="inlineStr">
        <is>
          <t>ESCALERAS DE 7 PELDAÑOS EN A</t>
        </is>
      </c>
      <c r="D611" s="692" t="inlineStr">
        <is>
          <t>UND</t>
        </is>
      </c>
      <c r="E611" s="693" t="n">
        <v>52926.975</v>
      </c>
      <c r="F611" s="694">
        <f>E611*$N$2</f>
        <v/>
      </c>
      <c r="G611" s="695" t="n">
        <v>0</v>
      </c>
      <c r="H611" s="696">
        <f>F611-G611</f>
        <v/>
      </c>
      <c r="I611" s="151" t="n"/>
      <c r="J611" s="152" t="n">
        <v>44504</v>
      </c>
      <c r="K611" s="692" t="inlineStr">
        <is>
          <t>FERRETERIA GENERAL</t>
        </is>
      </c>
    </row>
    <row r="612" ht="20.1" customHeight="1">
      <c r="A612" s="430">
        <f>_xlfn.XLOOKUP(B612,'INSUMOS MAT '!B:B,'INSUMOS MAT '!C:C,"ERROR",0)</f>
        <v/>
      </c>
      <c r="B612" s="142" t="inlineStr">
        <is>
          <t>MAT04-0023</t>
        </is>
      </c>
      <c r="C612" s="691" t="inlineStr">
        <is>
          <t>FRAGUA INTACO CARAMELO #22 CON ARENA</t>
        </is>
      </c>
      <c r="D612" s="692" t="inlineStr">
        <is>
          <t>UND</t>
        </is>
      </c>
      <c r="E612" s="693" t="n">
        <v>1483.7</v>
      </c>
      <c r="F612" s="694">
        <f>E612*$N$2</f>
        <v/>
      </c>
      <c r="G612" s="695" t="n">
        <v>0</v>
      </c>
      <c r="H612" s="696">
        <f>F612-G612</f>
        <v/>
      </c>
      <c r="I612" s="151" t="n"/>
      <c r="J612" s="152" t="n">
        <v>44652</v>
      </c>
      <c r="K612" s="692" t="inlineStr">
        <is>
          <t>CONCRETOS CEMENTOS Y MORTEROS</t>
        </is>
      </c>
    </row>
    <row r="613" ht="20.1" customHeight="1">
      <c r="A613" s="135" t="n"/>
      <c r="B613" s="142" t="inlineStr">
        <is>
          <t>MAT0851</t>
        </is>
      </c>
      <c r="C613" s="691" t="inlineStr">
        <is>
          <t>GAS JUMBO PARA SOPLETE TRUPPER</t>
        </is>
      </c>
      <c r="D613" s="692" t="inlineStr">
        <is>
          <t>UND</t>
        </is>
      </c>
      <c r="E613" s="693" t="n">
        <v>1398.4</v>
      </c>
      <c r="F613" s="694">
        <f>E613*$N$2</f>
        <v/>
      </c>
      <c r="G613" s="695" t="n">
        <v>0</v>
      </c>
      <c r="H613" s="696">
        <f>F613-G613</f>
        <v/>
      </c>
      <c r="I613" s="151" t="n"/>
      <c r="J613" s="152" t="n">
        <v>44606</v>
      </c>
      <c r="K613" s="692" t="n">
        <v>0</v>
      </c>
    </row>
    <row r="614" ht="20.1" customHeight="1">
      <c r="A614" s="430">
        <f>_xlfn.XLOOKUP(B614,'INSUMOS MAT '!B:B,'INSUMOS MAT '!C:C,"ERROR",0)</f>
        <v/>
      </c>
      <c r="B614" s="142" t="inlineStr">
        <is>
          <t>MAT08-0177</t>
        </is>
      </c>
      <c r="C614" s="691" t="inlineStr">
        <is>
          <t>LAPIZ ROJO/VERDE/NARANJA</t>
        </is>
      </c>
      <c r="D614" s="692" t="inlineStr">
        <is>
          <t>UND</t>
        </is>
      </c>
      <c r="E614" s="693" t="n">
        <v>407.772</v>
      </c>
      <c r="F614" s="694">
        <f>E614*$N$2</f>
        <v/>
      </c>
      <c r="G614" s="695" t="n">
        <v>0</v>
      </c>
      <c r="H614" s="696">
        <f>F614-G614</f>
        <v/>
      </c>
      <c r="I614" s="151" t="n"/>
      <c r="J614" s="152" t="n">
        <v>44692</v>
      </c>
      <c r="K614" s="692" t="inlineStr">
        <is>
          <t>FERRETERIA GENERAL</t>
        </is>
      </c>
    </row>
    <row r="615" ht="20.1" customHeight="1">
      <c r="A615" s="430">
        <f>_xlfn.XLOOKUP(B615,'INSUMOS MAT '!B:B,'INSUMOS MAT '!C:C,"ERROR",0)</f>
        <v/>
      </c>
      <c r="B615" s="142" t="inlineStr">
        <is>
          <t>MAT08-0073</t>
        </is>
      </c>
      <c r="C615" s="691" t="inlineStr">
        <is>
          <t>LLAVE DE CHORRO PREMIUM 1/2</t>
        </is>
      </c>
      <c r="D615" s="692" t="inlineStr">
        <is>
          <t>UND</t>
        </is>
      </c>
      <c r="E615" s="693" t="n">
        <v>3568.78</v>
      </c>
      <c r="F615" s="694">
        <f>E615*$N$2</f>
        <v/>
      </c>
      <c r="G615" s="695" t="n">
        <v>0</v>
      </c>
      <c r="H615" s="696">
        <f>F615-G615</f>
        <v/>
      </c>
      <c r="I615" s="151" t="n"/>
      <c r="J615" s="152" t="n">
        <v>44692</v>
      </c>
      <c r="K615" s="692" t="inlineStr">
        <is>
          <t>FERRETERIA GENERAL</t>
        </is>
      </c>
    </row>
    <row r="616" ht="20.1" customHeight="1">
      <c r="A616" s="430">
        <f>_xlfn.XLOOKUP(B616,'INSUMOS MAT '!B:B,'INSUMOS MAT '!C:C,"ERROR",0)</f>
        <v/>
      </c>
      <c r="B616" s="142" t="inlineStr">
        <is>
          <t>MAT04-0047</t>
        </is>
      </c>
      <c r="C616" s="691" t="inlineStr">
        <is>
          <t>MAXIEMPASTE LISO 25KG</t>
        </is>
      </c>
      <c r="D616" s="692" t="inlineStr">
        <is>
          <t>SACO</t>
        </is>
      </c>
      <c r="E616" s="693" t="n">
        <v>6559.4467</v>
      </c>
      <c r="F616" s="694">
        <f>E616*$N$2</f>
        <v/>
      </c>
      <c r="G616" s="695" t="n">
        <v>0</v>
      </c>
      <c r="H616" s="696">
        <f>F616-G616</f>
        <v/>
      </c>
      <c r="I616" s="151" t="n"/>
      <c r="J616" s="152" t="n">
        <v>44692</v>
      </c>
      <c r="K616" s="692" t="inlineStr">
        <is>
          <t>CONCRETOS CEMENTOS Y MORTEROS</t>
        </is>
      </c>
    </row>
    <row r="617" ht="20.1" customHeight="1">
      <c r="A617" s="135" t="n"/>
      <c r="B617" s="142" t="inlineStr">
        <is>
          <t>EQU09-0004</t>
        </is>
      </c>
      <c r="C617" s="691" t="inlineStr">
        <is>
          <t>PASADOR CONICO</t>
        </is>
      </c>
      <c r="D617" s="692" t="inlineStr">
        <is>
          <t>UND</t>
        </is>
      </c>
      <c r="E617" s="693" t="n">
        <v>2294.3536</v>
      </c>
      <c r="F617" s="694">
        <f>E617*$N$2</f>
        <v/>
      </c>
      <c r="G617" s="695" t="n">
        <v>0</v>
      </c>
      <c r="H617" s="696">
        <f>F617-G617</f>
        <v/>
      </c>
      <c r="I617" s="151" t="n"/>
      <c r="J617" s="152" t="n">
        <v>44697</v>
      </c>
      <c r="K617" s="692" t="inlineStr">
        <is>
          <t>FORMALETA</t>
        </is>
      </c>
    </row>
    <row r="618" ht="20.1" customHeight="1">
      <c r="A618" s="430">
        <f>_xlfn.XLOOKUP(B618,'INSUMOS MAT '!B:B,'INSUMOS MAT '!C:C,"ERROR",0)</f>
        <v/>
      </c>
      <c r="B618" s="142" t="inlineStr">
        <is>
          <t>MAT16-0076</t>
        </is>
      </c>
      <c r="C618" s="691" t="inlineStr">
        <is>
          <t>PINTURA LATEX TRADICIONAL BLANCO SUR</t>
        </is>
      </c>
      <c r="D618" s="692" t="inlineStr">
        <is>
          <t>CUBETA</t>
        </is>
      </c>
      <c r="E618" s="693" t="n">
        <v>51443.8367</v>
      </c>
      <c r="F618" s="694">
        <f>E618*$N$2</f>
        <v/>
      </c>
      <c r="G618" s="695" t="n">
        <v>0</v>
      </c>
      <c r="H618" s="696">
        <f>F618-G618</f>
        <v/>
      </c>
      <c r="I618" s="151" t="n"/>
      <c r="J618" s="152" t="n">
        <v>44692</v>
      </c>
      <c r="K618" s="692" t="inlineStr">
        <is>
          <t>PINTURAS Y REVESTIMIENTOS</t>
        </is>
      </c>
    </row>
    <row r="619" ht="20.1" customHeight="1">
      <c r="A619" s="430">
        <f>_xlfn.XLOOKUP(B619,'INSUMOS MAT '!B:B,'INSUMOS MAT '!C:C,"ERROR",0)</f>
        <v/>
      </c>
      <c r="B619" s="142" t="inlineStr">
        <is>
          <t>MAT16-0007</t>
        </is>
      </c>
      <c r="C619" s="691" t="inlineStr">
        <is>
          <t>PINTURA SUPER DRY DEEP GRIS CLARO</t>
        </is>
      </c>
      <c r="D619" s="692" t="inlineStr">
        <is>
          <t>GALON</t>
        </is>
      </c>
      <c r="E619" s="693" t="n">
        <v>22104.97</v>
      </c>
      <c r="F619" s="694">
        <f>E619*$N$2</f>
        <v/>
      </c>
      <c r="G619" s="695" t="n">
        <v>0</v>
      </c>
      <c r="H619" s="696">
        <f>F619-G619</f>
        <v/>
      </c>
      <c r="I619" s="151" t="n"/>
      <c r="J619" s="152" t="n">
        <v>44692</v>
      </c>
      <c r="K619" s="692" t="inlineStr">
        <is>
          <t>PINTURAS Y REVESTIMIENTOS</t>
        </is>
      </c>
    </row>
    <row r="620" ht="20.1" customHeight="1">
      <c r="A620" s="135" t="n"/>
      <c r="B620" s="142" t="inlineStr">
        <is>
          <t>MAT08-0275</t>
        </is>
      </c>
      <c r="C620" s="691" t="inlineStr">
        <is>
          <t>PINZA TIERRA</t>
        </is>
      </c>
      <c r="D620" s="692" t="inlineStr">
        <is>
          <t>UND</t>
        </is>
      </c>
      <c r="E620" s="693" t="n">
        <v>5144.834</v>
      </c>
      <c r="F620" s="694">
        <f>E620*$N$2</f>
        <v/>
      </c>
      <c r="G620" s="695" t="n">
        <v>0</v>
      </c>
      <c r="H620" s="696">
        <f>F620-G620</f>
        <v/>
      </c>
      <c r="I620" s="151" t="n"/>
      <c r="J620" s="152" t="n">
        <v>44692</v>
      </c>
      <c r="K620" s="692" t="inlineStr">
        <is>
          <t>FERRETERIA GENERAL</t>
        </is>
      </c>
    </row>
    <row r="621" ht="20.1" customHeight="1">
      <c r="A621" s="430">
        <f>_xlfn.XLOOKUP(B621,'INSUMOS MAT '!B:B,'INSUMOS MAT '!C:C,"ERROR",0)</f>
        <v/>
      </c>
      <c r="B621" s="142" t="inlineStr">
        <is>
          <t>MAT08-0099</t>
        </is>
      </c>
      <c r="C621" s="691" t="inlineStr">
        <is>
          <t>PLASTICO NEGRO</t>
        </is>
      </c>
      <c r="D621" s="692" t="inlineStr">
        <is>
          <t>ROLLO</t>
        </is>
      </c>
      <c r="E621" s="693" t="n">
        <v>73761.9471</v>
      </c>
      <c r="F621" s="694">
        <f>E621*$N$2</f>
        <v/>
      </c>
      <c r="G621" s="695" t="n">
        <v>0</v>
      </c>
      <c r="H621" s="696">
        <f>F621-G621</f>
        <v/>
      </c>
      <c r="I621" s="151" t="n"/>
      <c r="J621" s="152" t="n">
        <v>44692</v>
      </c>
      <c r="K621" s="692" t="inlineStr">
        <is>
          <t>FERRETERIA GENERAL</t>
        </is>
      </c>
    </row>
    <row r="622" ht="20.1" customHeight="1">
      <c r="A622" s="430">
        <f>_xlfn.XLOOKUP(B622,'INSUMOS MAT '!B:B,'INSUMOS MAT '!C:C,"ERROR",0)</f>
        <v/>
      </c>
      <c r="B622" s="142" t="inlineStr">
        <is>
          <t>MAT02-0046</t>
        </is>
      </c>
      <c r="C622" s="691" t="inlineStr">
        <is>
          <t>PLATINA EN ALUMINIO 2X3/8</t>
        </is>
      </c>
      <c r="D622" s="692" t="inlineStr">
        <is>
          <t>UND</t>
        </is>
      </c>
      <c r="E622" s="693" t="n">
        <v>60870.3915</v>
      </c>
      <c r="F622" s="694">
        <f>E622*$N$2</f>
        <v/>
      </c>
      <c r="G622" s="695" t="n">
        <v>0</v>
      </c>
      <c r="H622" s="696">
        <f>F622-G622</f>
        <v/>
      </c>
      <c r="I622" s="151" t="n"/>
      <c r="J622" s="152" t="n">
        <v>44651</v>
      </c>
      <c r="K622" s="692" t="inlineStr">
        <is>
          <t>ACEROS Y METALES</t>
        </is>
      </c>
    </row>
    <row r="623" ht="20.1" customHeight="1">
      <c r="A623" s="430">
        <f>_xlfn.XLOOKUP(B623,'INSUMOS MAT '!B:B,'INSUMOS MAT '!C:C,"ERROR",0)</f>
        <v/>
      </c>
      <c r="B623" s="142" t="inlineStr">
        <is>
          <t>MAT17-0092</t>
        </is>
      </c>
      <c r="C623" s="691" t="inlineStr">
        <is>
          <t>PORCELANATO BROKLYN PERLA</t>
        </is>
      </c>
      <c r="D623" s="692" t="inlineStr">
        <is>
          <t>M2</t>
        </is>
      </c>
      <c r="E623" s="693" t="n">
        <v>8471.610000000001</v>
      </c>
      <c r="F623" s="694">
        <f>E623*$N$2</f>
        <v/>
      </c>
      <c r="G623" s="695" t="n">
        <v>0</v>
      </c>
      <c r="H623" s="696">
        <f>F623-G623</f>
        <v/>
      </c>
      <c r="I623" s="151" t="n"/>
      <c r="J623" s="152" t="n">
        <v>44692</v>
      </c>
      <c r="K623" s="692" t="inlineStr">
        <is>
          <t>PISOS Y ENCHAPES</t>
        </is>
      </c>
    </row>
    <row r="624" ht="20.1" customHeight="1">
      <c r="A624" s="430">
        <f>_xlfn.XLOOKUP(B624,'INSUMOS MAT '!B:B,'INSUMOS MAT '!C:C,"ERROR",0)</f>
        <v/>
      </c>
      <c r="B624" s="142" t="inlineStr">
        <is>
          <t>MAT19-0166</t>
        </is>
      </c>
      <c r="C624" s="691" t="inlineStr">
        <is>
          <t>REDUCCION PVC  2" X1 1/4" PRESION POTABLE</t>
        </is>
      </c>
      <c r="D624" s="692" t="inlineStr">
        <is>
          <t>UND</t>
        </is>
      </c>
      <c r="E624" s="693" t="n">
        <v>2579.0733</v>
      </c>
      <c r="F624" s="694">
        <f>E624*$N$2</f>
        <v/>
      </c>
      <c r="G624" s="695" t="n">
        <v>0</v>
      </c>
      <c r="H624" s="696">
        <f>F624-G624</f>
        <v/>
      </c>
      <c r="I624" s="151" t="n"/>
      <c r="J624" s="152" t="n">
        <v>44635</v>
      </c>
      <c r="K624" s="692" t="inlineStr">
        <is>
          <t>PVC</t>
        </is>
      </c>
    </row>
    <row r="625" ht="20.1" customHeight="1">
      <c r="A625" s="430">
        <f>_xlfn.XLOOKUP(B625,'INSUMOS MAT '!B:B,'INSUMOS MAT '!C:C,"ERROR",0)</f>
        <v/>
      </c>
      <c r="B625" s="142" t="inlineStr">
        <is>
          <t>MAT19-0165</t>
        </is>
      </c>
      <c r="C625" s="691" t="inlineStr">
        <is>
          <t>REDUCCION PVC 1 1/4 "X1" PRESION POTABLE</t>
        </is>
      </c>
      <c r="D625" s="692" t="inlineStr">
        <is>
          <t>UND</t>
        </is>
      </c>
      <c r="E625" s="693" t="n">
        <v>1020.385</v>
      </c>
      <c r="F625" s="694">
        <f>E625*$N$2</f>
        <v/>
      </c>
      <c r="G625" s="695" t="n">
        <v>0</v>
      </c>
      <c r="H625" s="696">
        <f>F625-G625</f>
        <v/>
      </c>
      <c r="I625" s="151" t="n"/>
      <c r="J625" s="152" t="n">
        <v>44635</v>
      </c>
      <c r="K625" s="692" t="inlineStr">
        <is>
          <t>PVC</t>
        </is>
      </c>
    </row>
    <row r="626" ht="20.1" customHeight="1">
      <c r="A626" s="430">
        <f>_xlfn.XLOOKUP(B626,'INSUMOS MAT '!B:B,'INSUMOS MAT '!C:C,"ERROR",0)</f>
        <v/>
      </c>
      <c r="B626" s="142" t="inlineStr">
        <is>
          <t>MAT06-0278</t>
        </is>
      </c>
      <c r="C626" s="691" t="inlineStr">
        <is>
          <t>SALIDA HEMBRA EXTENCION 20A 110V</t>
        </is>
      </c>
      <c r="D626" s="692" t="inlineStr">
        <is>
          <t>UND</t>
        </is>
      </c>
      <c r="E626" s="693" t="n">
        <v>1184.24</v>
      </c>
      <c r="F626" s="694">
        <f>E626*$N$2</f>
        <v/>
      </c>
      <c r="G626" s="695" t="n">
        <v>0</v>
      </c>
      <c r="H626" s="696">
        <f>F626-G626</f>
        <v/>
      </c>
      <c r="I626" s="151" t="n"/>
      <c r="J626" s="152" t="n">
        <v>44692</v>
      </c>
      <c r="K626" s="692" t="inlineStr">
        <is>
          <t>ELECTRICO</t>
        </is>
      </c>
    </row>
    <row r="627" ht="20.1" customHeight="1">
      <c r="A627" s="430">
        <f>_xlfn.XLOOKUP(B627,'INSUMOS MAT '!B:B,'INSUMOS MAT '!C:C,"ERROR",0)</f>
        <v/>
      </c>
      <c r="B627" s="142" t="inlineStr">
        <is>
          <t>MAT06-0277</t>
        </is>
      </c>
      <c r="C627" s="691" t="inlineStr">
        <is>
          <t>SALIDA MACHO EXTENCION 20A 110V</t>
        </is>
      </c>
      <c r="D627" s="692" t="inlineStr">
        <is>
          <t>UND</t>
        </is>
      </c>
      <c r="E627" s="693" t="n">
        <v>800.9443</v>
      </c>
      <c r="F627" s="694">
        <f>E627*$N$2</f>
        <v/>
      </c>
      <c r="G627" s="695" t="n">
        <v>0</v>
      </c>
      <c r="H627" s="696">
        <f>F627-G627</f>
        <v/>
      </c>
      <c r="I627" s="151" t="n"/>
      <c r="J627" s="152" t="n">
        <v>44692</v>
      </c>
      <c r="K627" s="692" t="inlineStr">
        <is>
          <t>ELECTRICO</t>
        </is>
      </c>
    </row>
    <row r="628" ht="20.1" customHeight="1">
      <c r="A628" s="430">
        <f>_xlfn.XLOOKUP(B628,'INSUMOS MAT '!B:B,'INSUMOS MAT '!C:C,"ERROR",0)</f>
        <v/>
      </c>
      <c r="B628" s="142" t="inlineStr">
        <is>
          <t>MAT21-0036</t>
        </is>
      </c>
      <c r="C628" s="691" t="inlineStr">
        <is>
          <t>SELLADOR PARA CERAMICA STONETECH SEALER</t>
        </is>
      </c>
      <c r="D628" s="692" t="inlineStr">
        <is>
          <t>GALON</t>
        </is>
      </c>
      <c r="E628" s="693" t="n">
        <v>8418.370000000001</v>
      </c>
      <c r="F628" s="694">
        <f>E628*$N$2</f>
        <v/>
      </c>
      <c r="G628" s="695" t="n">
        <v>0</v>
      </c>
      <c r="H628" s="696">
        <f>F628-G628</f>
        <v/>
      </c>
      <c r="I628" s="151" t="n"/>
      <c r="J628" s="152" t="n">
        <v>44601</v>
      </c>
      <c r="K628" s="692" t="inlineStr">
        <is>
          <t>SILICONES-SELLADORES-ADITIVOS</t>
        </is>
      </c>
    </row>
    <row r="629" ht="20.1" customHeight="1">
      <c r="A629" s="430">
        <f>_xlfn.XLOOKUP(B629,'INSUMOS MAT '!B:B,'INSUMOS MAT '!C:C,"ERROR",0)</f>
        <v/>
      </c>
      <c r="B629" s="142" t="inlineStr">
        <is>
          <t>MAT08-0110</t>
        </is>
      </c>
      <c r="C629" s="691" t="inlineStr">
        <is>
          <t>SEPARADOR PARA CERAMICA 4 MM</t>
        </is>
      </c>
      <c r="D629" s="692" t="inlineStr">
        <is>
          <t>BOLSA</t>
        </is>
      </c>
      <c r="E629" s="693" t="n">
        <v>585.114</v>
      </c>
      <c r="F629" s="694">
        <f>E629*$N$2</f>
        <v/>
      </c>
      <c r="G629" s="695" t="n">
        <v>0</v>
      </c>
      <c r="H629" s="696">
        <f>F629-G629</f>
        <v/>
      </c>
      <c r="I629" s="151" t="n"/>
      <c r="J629" s="152" t="n">
        <v>44692</v>
      </c>
      <c r="K629" s="692" t="inlineStr">
        <is>
          <t>FERRETERIA GENERAL</t>
        </is>
      </c>
    </row>
    <row r="630" ht="20.1" customHeight="1">
      <c r="A630" s="430">
        <f>_xlfn.XLOOKUP(B630,'INSUMOS MAT '!B:B,'INSUMOS MAT '!C:C,"ERROR",0)</f>
        <v/>
      </c>
      <c r="B630" s="142" t="inlineStr">
        <is>
          <t>MAT04-0075</t>
        </is>
      </c>
      <c r="C630" s="691" t="inlineStr">
        <is>
          <t>SIKA MONOROP 412 SM 25K</t>
        </is>
      </c>
      <c r="D630" s="692" t="inlineStr">
        <is>
          <t>SACO</t>
        </is>
      </c>
      <c r="E630" s="693" t="n">
        <v>36388</v>
      </c>
      <c r="F630" s="694">
        <f>E630*$N$2</f>
        <v/>
      </c>
      <c r="G630" s="695" t="n">
        <v>0</v>
      </c>
      <c r="H630" s="696">
        <f>F630-G630</f>
        <v/>
      </c>
      <c r="I630" s="151" t="n"/>
      <c r="J630" s="152" t="n">
        <v>44650</v>
      </c>
      <c r="K630" s="692" t="inlineStr">
        <is>
          <t>CONCRETOS CEMENTOS Y MORTEROS</t>
        </is>
      </c>
    </row>
    <row r="631" ht="20.1" customHeight="1">
      <c r="A631" s="430">
        <f>_xlfn.XLOOKUP(B631,'INSUMOS MAT '!B:B,'INSUMOS MAT '!C:C,"ERROR",0)</f>
        <v/>
      </c>
      <c r="B631" s="142" t="inlineStr">
        <is>
          <t>MAT01-0026</t>
        </is>
      </c>
      <c r="C631" s="691" t="inlineStr">
        <is>
          <t>TAPA P/INODORO</t>
        </is>
      </c>
      <c r="D631" s="692" t="inlineStr">
        <is>
          <t>UND</t>
        </is>
      </c>
      <c r="E631" s="693" t="n">
        <v>24295</v>
      </c>
      <c r="F631" s="694">
        <f>E631*$N$2</f>
        <v/>
      </c>
      <c r="G631" s="695" t="n">
        <v>0</v>
      </c>
      <c r="H631" s="696">
        <f>F631-G631</f>
        <v/>
      </c>
      <c r="I631" s="151" t="n"/>
      <c r="J631" s="152" t="n">
        <v>44434</v>
      </c>
      <c r="K631" s="692" t="inlineStr">
        <is>
          <t>ACABADOS</t>
        </is>
      </c>
    </row>
    <row r="632" ht="20.1" customHeight="1">
      <c r="A632" s="135" t="n"/>
      <c r="B632" s="142" t="inlineStr">
        <is>
          <t>MAT1656</t>
        </is>
      </c>
      <c r="C632" s="691" t="inlineStr">
        <is>
          <t>TAPON LISO CPVC 1/2</t>
        </is>
      </c>
      <c r="D632" s="692" t="inlineStr">
        <is>
          <t>UND</t>
        </is>
      </c>
      <c r="E632" s="693" t="n">
        <v>335.78</v>
      </c>
      <c r="F632" s="694">
        <f>E632*$N$2</f>
        <v/>
      </c>
      <c r="G632" s="695" t="n">
        <v>0</v>
      </c>
      <c r="H632" s="696">
        <f>F632-G632</f>
        <v/>
      </c>
      <c r="I632" s="151" t="n"/>
      <c r="J632" s="152" t="n">
        <v>44597</v>
      </c>
      <c r="K632" s="692" t="n">
        <v>0</v>
      </c>
    </row>
    <row r="633" ht="20.1" customHeight="1">
      <c r="A633" s="135" t="n"/>
      <c r="B633" s="142" t="inlineStr">
        <is>
          <t>MAT1658</t>
        </is>
      </c>
      <c r="C633" s="691" t="inlineStr">
        <is>
          <t>TAPON LISO PVC 1/2</t>
        </is>
      </c>
      <c r="D633" s="692" t="inlineStr">
        <is>
          <t>UND</t>
        </is>
      </c>
      <c r="E633" s="693" t="n">
        <v>92.94199999999999</v>
      </c>
      <c r="F633" s="694">
        <f>E633*$N$2</f>
        <v/>
      </c>
      <c r="G633" s="695" t="n">
        <v>0</v>
      </c>
      <c r="H633" s="696">
        <f>F633-G633</f>
        <v/>
      </c>
      <c r="I633" s="151" t="n"/>
      <c r="J633" s="152" t="n">
        <v>44597</v>
      </c>
      <c r="K633" s="692" t="n">
        <v>0</v>
      </c>
    </row>
    <row r="634" ht="20.1" customHeight="1">
      <c r="A634" s="430">
        <f>_xlfn.XLOOKUP(B634,'INSUMOS MAT '!B:B,'INSUMOS MAT '!C:C,"ERROR",0)</f>
        <v/>
      </c>
      <c r="B634" s="142" t="inlineStr">
        <is>
          <t>MAT19-0144</t>
        </is>
      </c>
      <c r="C634" s="691" t="inlineStr">
        <is>
          <t>TEE PVC CEDULA DE PRESIÓN  2"</t>
        </is>
      </c>
      <c r="D634" s="692" t="inlineStr">
        <is>
          <t>UND</t>
        </is>
      </c>
      <c r="E634" s="693" t="n">
        <v>3557.9967</v>
      </c>
      <c r="F634" s="694">
        <f>E634*$N$2</f>
        <v/>
      </c>
      <c r="G634" s="695" t="n">
        <v>0</v>
      </c>
      <c r="H634" s="696">
        <f>F634-G634</f>
        <v/>
      </c>
      <c r="I634" s="151" t="n"/>
      <c r="J634" s="152" t="n">
        <v>44635</v>
      </c>
      <c r="K634" s="692" t="inlineStr">
        <is>
          <t>PVC</t>
        </is>
      </c>
    </row>
    <row r="635" ht="20.1" customHeight="1">
      <c r="A635" s="135" t="n"/>
      <c r="B635" s="142" t="inlineStr">
        <is>
          <t>MAT1678</t>
        </is>
      </c>
      <c r="C635" s="691" t="inlineStr">
        <is>
          <t>TEE PVC 1/2" LISA</t>
        </is>
      </c>
      <c r="D635" s="692" t="inlineStr">
        <is>
          <t>UND</t>
        </is>
      </c>
      <c r="E635" s="693" t="n">
        <v>126.636</v>
      </c>
      <c r="F635" s="694">
        <f>E635*$N$2</f>
        <v/>
      </c>
      <c r="G635" s="695" t="n">
        <v>0</v>
      </c>
      <c r="H635" s="696">
        <f>F635-G635</f>
        <v/>
      </c>
      <c r="I635" s="151" t="n"/>
      <c r="J635" s="152" t="n">
        <v>44597</v>
      </c>
      <c r="K635" s="692" t="n">
        <v>0</v>
      </c>
    </row>
    <row r="636" ht="20.1" customHeight="1">
      <c r="A636" s="430">
        <f>_xlfn.XLOOKUP(B636,'INSUMOS MAT '!B:B,'INSUMOS MAT '!C:C,"ERROR",0)</f>
        <v/>
      </c>
      <c r="B636" s="142" t="inlineStr">
        <is>
          <t>MAT18-0071</t>
        </is>
      </c>
      <c r="C636" s="691" t="inlineStr">
        <is>
          <t>TINTE DURO TINT NOGAL CLARO</t>
        </is>
      </c>
      <c r="D636" s="692" t="inlineStr">
        <is>
          <t>1/4 DE GALON</t>
        </is>
      </c>
      <c r="E636" s="693" t="n">
        <v>9360.049999999999</v>
      </c>
      <c r="F636" s="694">
        <f>E636*$N$2</f>
        <v/>
      </c>
      <c r="G636" s="695" t="n">
        <v>0</v>
      </c>
      <c r="H636" s="696">
        <f>F636-G636</f>
        <v/>
      </c>
      <c r="I636" s="151" t="n"/>
      <c r="J636" s="152" t="n">
        <v>44692</v>
      </c>
      <c r="K636" s="692" t="inlineStr">
        <is>
          <t>PUERTAS Y RODAPIE</t>
        </is>
      </c>
    </row>
    <row r="637" ht="20.1" customHeight="1">
      <c r="A637" s="430">
        <f>_xlfn.XLOOKUP(B637,'INSUMOS MAT '!B:B,'INSUMOS MAT '!C:C,"ERROR",0)</f>
        <v/>
      </c>
      <c r="B637" s="142" t="inlineStr">
        <is>
          <t>MAT06-0273</t>
        </is>
      </c>
      <c r="C637" s="691" t="inlineStr">
        <is>
          <t>TOMA PARCHE HEMBRA WD112 50A 250V 3P-3H NEMA 10-50 COOPER</t>
        </is>
      </c>
      <c r="D637" s="692" t="inlineStr">
        <is>
          <t>UND</t>
        </is>
      </c>
      <c r="E637" s="693" t="n">
        <v>2237.4</v>
      </c>
      <c r="F637" s="694">
        <f>E637*$N$2</f>
        <v/>
      </c>
      <c r="G637" s="695" t="n">
        <v>0</v>
      </c>
      <c r="H637" s="696">
        <f>F637-G637</f>
        <v/>
      </c>
      <c r="I637" s="151" t="n"/>
      <c r="J637" s="152" t="n">
        <v>44692</v>
      </c>
      <c r="K637" s="692" t="inlineStr">
        <is>
          <t>ELECTRICO</t>
        </is>
      </c>
    </row>
    <row r="638" ht="20.1" customHeight="1">
      <c r="A638" s="135" t="n"/>
      <c r="B638" s="142" t="inlineStr">
        <is>
          <t>MAT08-0516</t>
        </is>
      </c>
      <c r="C638" s="691" t="inlineStr">
        <is>
          <t>TORNILLO P/GYPSUM 2"X6" PTA BROCA</t>
        </is>
      </c>
      <c r="D638" s="692" t="inlineStr">
        <is>
          <t>UND</t>
        </is>
      </c>
      <c r="E638" s="693" t="n">
        <v>13.0515</v>
      </c>
      <c r="F638" s="694">
        <f>E638*$N$2</f>
        <v/>
      </c>
      <c r="G638" s="695" t="n">
        <v>0</v>
      </c>
      <c r="H638" s="696">
        <f>F638-G638</f>
        <v/>
      </c>
      <c r="I638" s="151" t="n"/>
      <c r="J638" s="152" t="n">
        <v>44645</v>
      </c>
      <c r="K638" s="692" t="inlineStr">
        <is>
          <t>FERRETERIA GENERAL</t>
        </is>
      </c>
    </row>
    <row r="639" ht="20.1" customHeight="1">
      <c r="A639" s="430">
        <f>_xlfn.XLOOKUP(B639,'INSUMOS MAT '!B:B,'INSUMOS MAT '!C:C,"ERROR",0)</f>
        <v/>
      </c>
      <c r="B639" s="142" t="inlineStr">
        <is>
          <t>MAT02-0164</t>
        </is>
      </c>
      <c r="C639" s="691" t="inlineStr">
        <is>
          <t>TUBO 2X2X3.2 MM HN</t>
        </is>
      </c>
      <c r="D639" s="692" t="inlineStr">
        <is>
          <t>UND</t>
        </is>
      </c>
      <c r="E639" s="693" t="n">
        <v>35595</v>
      </c>
      <c r="F639" s="694">
        <f>E639*$N$2</f>
        <v/>
      </c>
      <c r="G639" s="695" t="n">
        <v>0</v>
      </c>
      <c r="H639" s="696">
        <f>F639-G639</f>
        <v/>
      </c>
      <c r="I639" s="151" t="n"/>
      <c r="J639" s="152" t="n">
        <v>44637</v>
      </c>
      <c r="K639" s="692" t="inlineStr">
        <is>
          <t>ACEROS Y METALES</t>
        </is>
      </c>
    </row>
    <row r="640" ht="20.1" customHeight="1">
      <c r="A640" s="430">
        <f>_xlfn.XLOOKUP(B640,'INSUMOS MAT '!B:B,'INSUMOS MAT '!C:C,"ERROR",0)</f>
        <v/>
      </c>
      <c r="B640" s="142" t="inlineStr">
        <is>
          <t>MAT19-0097</t>
        </is>
      </c>
      <c r="C640" s="691" t="inlineStr">
        <is>
          <t>TUBO SANITARIO PVC 4</t>
        </is>
      </c>
      <c r="D640" s="692" t="inlineStr">
        <is>
          <t>UND</t>
        </is>
      </c>
      <c r="E640" s="693" t="n">
        <v>26945.755</v>
      </c>
      <c r="F640" s="694">
        <f>E640*$N$2</f>
        <v/>
      </c>
      <c r="G640" s="695" t="n">
        <v>0</v>
      </c>
      <c r="H640" s="696">
        <f>F640-G640</f>
        <v/>
      </c>
      <c r="I640" s="151" t="n"/>
      <c r="J640" s="152" t="n">
        <v>44692</v>
      </c>
      <c r="K640" s="692" t="inlineStr">
        <is>
          <t>PVC</t>
        </is>
      </c>
    </row>
    <row r="641" ht="20.1" customHeight="1">
      <c r="A641" s="430">
        <f>_xlfn.XLOOKUP(B641,'INSUMOS MAT '!B:B,'INSUMOS MAT '!C:C,"ERROR",0)</f>
        <v/>
      </c>
      <c r="B641" s="142" t="inlineStr">
        <is>
          <t>MAT19-0102</t>
        </is>
      </c>
      <c r="C641" s="691" t="inlineStr">
        <is>
          <t>TUBO SDR41 JR PVC 3</t>
        </is>
      </c>
      <c r="D641" s="692" t="inlineStr">
        <is>
          <t>UND</t>
        </is>
      </c>
      <c r="E641" s="693" t="n">
        <v>17655.4586</v>
      </c>
      <c r="F641" s="694">
        <f>E641*$N$2</f>
        <v/>
      </c>
      <c r="G641" s="695" t="n">
        <v>0</v>
      </c>
      <c r="H641" s="696">
        <f>F641-G641</f>
        <v/>
      </c>
      <c r="I641" s="151" t="n"/>
      <c r="J641" s="152" t="n">
        <v>44692</v>
      </c>
      <c r="K641" s="692" t="inlineStr">
        <is>
          <t>PVC</t>
        </is>
      </c>
    </row>
    <row r="642" ht="20.1" customHeight="1">
      <c r="A642" s="430">
        <f>_xlfn.XLOOKUP(B642,'INSUMOS MAT '!B:B,'INSUMOS MAT '!C:C,"ERROR",0)</f>
        <v/>
      </c>
      <c r="B642" s="142" t="inlineStr">
        <is>
          <t>MAT19-0164</t>
        </is>
      </c>
      <c r="C642" s="691" t="inlineStr">
        <is>
          <t>UNION DE TOPE 2 PULG</t>
        </is>
      </c>
      <c r="D642" s="692" t="inlineStr">
        <is>
          <t>UND</t>
        </is>
      </c>
      <c r="E642" s="693" t="n">
        <v>16193.345</v>
      </c>
      <c r="F642" s="694">
        <f>E642*$N$2</f>
        <v/>
      </c>
      <c r="G642" s="695" t="n">
        <v>0</v>
      </c>
      <c r="H642" s="696">
        <f>F642-G642</f>
        <v/>
      </c>
      <c r="I642" s="151" t="n"/>
      <c r="J642" s="152" t="n">
        <v>44635</v>
      </c>
      <c r="K642" s="692" t="inlineStr">
        <is>
          <t>PVC</t>
        </is>
      </c>
    </row>
    <row r="643" ht="20.1" customHeight="1">
      <c r="A643" s="430">
        <f>_xlfn.XLOOKUP(B643,'INSUMOS MAT '!B:B,'INSUMOS MAT '!C:C,"ERROR",0)</f>
        <v/>
      </c>
      <c r="B643" s="142" t="inlineStr">
        <is>
          <t>MAT19-0162</t>
        </is>
      </c>
      <c r="C643" s="691" t="inlineStr">
        <is>
          <t>UNION TOPE PVC 1"</t>
        </is>
      </c>
      <c r="D643" s="692" t="inlineStr">
        <is>
          <t>UND</t>
        </is>
      </c>
      <c r="E643" s="693" t="n">
        <v>5413.945</v>
      </c>
      <c r="F643" s="694">
        <f>E643*$N$2</f>
        <v/>
      </c>
      <c r="G643" s="695" t="n">
        <v>0</v>
      </c>
      <c r="H643" s="696">
        <f>F643-G643</f>
        <v/>
      </c>
      <c r="I643" s="151" t="n"/>
      <c r="J643" s="152" t="n">
        <v>44635</v>
      </c>
      <c r="K643" s="692" t="inlineStr">
        <is>
          <t>PVC</t>
        </is>
      </c>
    </row>
    <row r="644" ht="20.1" customHeight="1">
      <c r="A644" s="430">
        <f>_xlfn.XLOOKUP(B644,'INSUMOS MAT '!B:B,'INSUMOS MAT '!C:C,"ERROR",0)</f>
        <v/>
      </c>
      <c r="B644" s="142" t="inlineStr">
        <is>
          <t>MAT02-0028</t>
        </is>
      </c>
      <c r="C644" s="700" t="inlineStr">
        <is>
          <t>VARILLA #4 DEFORME G40</t>
        </is>
      </c>
      <c r="D644" s="692" t="inlineStr">
        <is>
          <t>UND</t>
        </is>
      </c>
      <c r="E644" s="701" t="n">
        <v>4194.874</v>
      </c>
      <c r="F644" s="702">
        <f>E644*$N$4</f>
        <v/>
      </c>
      <c r="G644" s="695" t="n">
        <v>0</v>
      </c>
      <c r="H644" s="696">
        <f>F644-G644</f>
        <v/>
      </c>
      <c r="I644" s="151" t="n"/>
      <c r="J644" s="152" t="n">
        <v>44692</v>
      </c>
      <c r="K644" s="692" t="inlineStr">
        <is>
          <t>ACEROS Y METALES</t>
        </is>
      </c>
    </row>
    <row r="645" ht="20.1" customHeight="1">
      <c r="A645" s="430">
        <f>_xlfn.XLOOKUP(B645,'INSUMOS MAT '!B:B,'INSUMOS MAT '!C:C,"ERROR",0)</f>
        <v/>
      </c>
      <c r="B645" s="142" t="inlineStr">
        <is>
          <t>MAT22-0001</t>
        </is>
      </c>
      <c r="C645" s="691" t="inlineStr">
        <is>
          <t>ZACATE SAN AGUSTIN</t>
        </is>
      </c>
      <c r="D645" s="692" t="inlineStr">
        <is>
          <t>M2</t>
        </is>
      </c>
      <c r="E645" s="693" t="n">
        <v>1013.5224</v>
      </c>
      <c r="F645" s="694">
        <f>E645*$N$2</f>
        <v/>
      </c>
      <c r="G645" s="695" t="n">
        <v>0</v>
      </c>
      <c r="H645" s="696">
        <f>F645-G645</f>
        <v/>
      </c>
      <c r="I645" s="151" t="n"/>
      <c r="J645" s="152" t="n">
        <v>44692</v>
      </c>
      <c r="K645" s="692" t="inlineStr">
        <is>
          <t>VEGETACION Y AMENIDADES</t>
        </is>
      </c>
    </row>
    <row r="646" ht="20.1" customHeight="1">
      <c r="A646" s="430">
        <f>_xlfn.XLOOKUP(B646,'INSUMOS MAT '!B:B,'INSUMOS MAT '!C:C,"ERROR",0)</f>
        <v/>
      </c>
      <c r="B646" s="142" t="inlineStr">
        <is>
          <t>MAT06-0021</t>
        </is>
      </c>
      <c r="C646" s="691" t="inlineStr">
        <is>
          <t>BREAKER 2P/100AMP QO2100 BASE MEDIDOR</t>
        </is>
      </c>
      <c r="D646" s="692" t="inlineStr">
        <is>
          <t>UND</t>
        </is>
      </c>
      <c r="E646" s="693" t="n">
        <v>47384.708</v>
      </c>
      <c r="F646" s="694">
        <f>E646*$N$2</f>
        <v/>
      </c>
      <c r="G646" s="695" t="n">
        <v>0</v>
      </c>
      <c r="H646" s="696">
        <f>F646-G646</f>
        <v/>
      </c>
      <c r="I646" s="151" t="n"/>
      <c r="J646" s="152" t="n">
        <v>44616</v>
      </c>
      <c r="K646" s="692" t="inlineStr">
        <is>
          <t>ELECTRICO</t>
        </is>
      </c>
    </row>
    <row r="647" ht="20.1" customHeight="1">
      <c r="A647" s="430">
        <f>_xlfn.XLOOKUP(B647,'INSUMOS MAT '!B:B,'INSUMOS MAT '!C:C,"ERROR",0)</f>
        <v/>
      </c>
      <c r="B647" s="142" t="inlineStr">
        <is>
          <t>MAT06-0161</t>
        </is>
      </c>
      <c r="C647" s="691" t="inlineStr">
        <is>
          <t>CABLE TSJ 3X8</t>
        </is>
      </c>
      <c r="D647" s="692" t="inlineStr">
        <is>
          <t>M</t>
        </is>
      </c>
      <c r="E647" s="693" t="n">
        <v>3868.4534</v>
      </c>
      <c r="F647" s="694">
        <f>E647*$N$2</f>
        <v/>
      </c>
      <c r="G647" s="695" t="n">
        <v>0</v>
      </c>
      <c r="H647" s="696">
        <f>F647-G647</f>
        <v/>
      </c>
      <c r="I647" s="151" t="n"/>
      <c r="J647" s="152" t="n">
        <v>44692</v>
      </c>
      <c r="K647" s="692" t="inlineStr">
        <is>
          <t>ELECTRICO</t>
        </is>
      </c>
    </row>
    <row r="648" ht="20.1" customHeight="1">
      <c r="A648" s="135" t="n"/>
      <c r="B648" s="142" t="inlineStr">
        <is>
          <t>MAT2184</t>
        </is>
      </c>
      <c r="C648" s="691" t="inlineStr">
        <is>
          <t>CAJA DE 1/2" DE PROTECCION AGUA HF FUNDELIMA</t>
        </is>
      </c>
      <c r="D648" s="692" t="inlineStr">
        <is>
          <t>UND</t>
        </is>
      </c>
      <c r="E648" s="693" t="n">
        <v>17854</v>
      </c>
      <c r="F648" s="694">
        <f>E648*$N$2</f>
        <v/>
      </c>
      <c r="G648" s="695" t="n">
        <v>0</v>
      </c>
      <c r="H648" s="696">
        <f>F648-G648</f>
        <v/>
      </c>
      <c r="I648" s="151" t="n"/>
      <c r="J648" s="152" t="n">
        <v>44692</v>
      </c>
      <c r="K648" s="692" t="n">
        <v>0</v>
      </c>
    </row>
    <row r="649" ht="20.1" customHeight="1">
      <c r="A649" s="430">
        <f>_xlfn.XLOOKUP(B649,'INSUMOS MAT '!B:B,'INSUMOS MAT '!C:C,"ERROR",0)</f>
        <v/>
      </c>
      <c r="B649" s="142" t="inlineStr">
        <is>
          <t>MAT06-0309</t>
        </is>
      </c>
      <c r="C649" s="691" t="inlineStr">
        <is>
          <t>CAJA TOMA CORRIENTE PARA EXTERIOR</t>
        </is>
      </c>
      <c r="D649" s="692" t="inlineStr">
        <is>
          <t>UND</t>
        </is>
      </c>
      <c r="E649" s="693" t="n">
        <v>4520</v>
      </c>
      <c r="F649" s="694">
        <f>E649*$N$2</f>
        <v/>
      </c>
      <c r="G649" s="695" t="n">
        <v>0</v>
      </c>
      <c r="H649" s="696">
        <f>F649-G649</f>
        <v/>
      </c>
      <c r="I649" s="151" t="n"/>
      <c r="J649" s="152" t="n">
        <v>44616</v>
      </c>
      <c r="K649" s="692" t="inlineStr">
        <is>
          <t>ELECTRICO</t>
        </is>
      </c>
    </row>
    <row r="650" ht="20.1" customHeight="1">
      <c r="A650" s="135" t="n"/>
      <c r="B650" s="142" t="inlineStr">
        <is>
          <t>MAT0416</t>
        </is>
      </c>
      <c r="C650" s="691" t="inlineStr">
        <is>
          <t>CAJA RECTANGULAR EMT 1/2 UL</t>
        </is>
      </c>
      <c r="D650" s="692" t="inlineStr">
        <is>
          <t>UND</t>
        </is>
      </c>
      <c r="E650" s="693" t="n">
        <v>764.9988</v>
      </c>
      <c r="F650" s="694">
        <f>E650*$N$2</f>
        <v/>
      </c>
      <c r="G650" s="695" t="n">
        <v>0</v>
      </c>
      <c r="H650" s="696">
        <f>F650-G650</f>
        <v/>
      </c>
      <c r="I650" s="151" t="n"/>
      <c r="J650" s="152" t="n">
        <v>44692</v>
      </c>
      <c r="K650" s="692" t="n">
        <v>0</v>
      </c>
    </row>
    <row r="651" ht="20.1" customHeight="1">
      <c r="A651" s="135" t="n"/>
      <c r="B651" s="142" t="inlineStr">
        <is>
          <t>MAT0495</t>
        </is>
      </c>
      <c r="C651" s="691" t="inlineStr">
        <is>
          <t>CLAVO DE IMPACTO 1"</t>
        </is>
      </c>
      <c r="D651" s="692" t="inlineStr">
        <is>
          <t>CJ</t>
        </is>
      </c>
      <c r="E651" s="693" t="n">
        <v>2118.75</v>
      </c>
      <c r="F651" s="694">
        <f>E651*$N$2</f>
        <v/>
      </c>
      <c r="G651" s="695" t="n">
        <v>0</v>
      </c>
      <c r="H651" s="696">
        <f>F651-G651</f>
        <v/>
      </c>
      <c r="I651" s="151" t="n"/>
      <c r="J651" s="152" t="n">
        <v>44692</v>
      </c>
      <c r="K651" s="692" t="n">
        <v>0</v>
      </c>
    </row>
    <row r="652" ht="20.1" customHeight="1">
      <c r="A652" s="430">
        <f>_xlfn.XLOOKUP(B652,'INSUMOS MAT '!B:B,'INSUMOS MAT '!C:C,"ERROR",0)</f>
        <v/>
      </c>
      <c r="B652" s="142" t="inlineStr">
        <is>
          <t>MAT08-0485</t>
        </is>
      </c>
      <c r="C652" s="691" t="inlineStr">
        <is>
          <t>CODO 90X1/2 PULG HIERRO CROMADO</t>
        </is>
      </c>
      <c r="D652" s="692" t="inlineStr">
        <is>
          <t>UND</t>
        </is>
      </c>
      <c r="E652" s="693" t="n">
        <v>496.2847</v>
      </c>
      <c r="F652" s="694">
        <f>E652*$N$2</f>
        <v/>
      </c>
      <c r="G652" s="695" t="n">
        <v>0</v>
      </c>
      <c r="H652" s="696">
        <f>F652-G652</f>
        <v/>
      </c>
      <c r="I652" s="151" t="n"/>
      <c r="J652" s="152" t="n">
        <v>44581</v>
      </c>
      <c r="K652" s="692" t="inlineStr">
        <is>
          <t>FERRETERIA GENERAL</t>
        </is>
      </c>
    </row>
    <row r="653" ht="20.1" customHeight="1">
      <c r="A653" s="135" t="n"/>
      <c r="B653" s="142" t="inlineStr">
        <is>
          <t>MAT0571</t>
        </is>
      </c>
      <c r="C653" s="691" t="inlineStr">
        <is>
          <t>CODO 90 PVC LISO 1/2"</t>
        </is>
      </c>
      <c r="D653" s="692" t="inlineStr">
        <is>
          <t>UND</t>
        </is>
      </c>
      <c r="E653" s="693" t="n">
        <v>124.44</v>
      </c>
      <c r="F653" s="694">
        <f>E653*$N$2</f>
        <v/>
      </c>
      <c r="G653" s="695" t="n">
        <v>0</v>
      </c>
      <c r="H653" s="696">
        <f>F653-G653</f>
        <v/>
      </c>
      <c r="I653" s="151" t="n"/>
      <c r="J653" s="152" t="n">
        <v>44692</v>
      </c>
      <c r="K653" s="692" t="n">
        <v>0</v>
      </c>
    </row>
    <row r="654" ht="20.1" customHeight="1">
      <c r="A654" s="430">
        <f>_xlfn.XLOOKUP(B654,'INSUMOS MAT '!B:B,'INSUMOS MAT '!C:C,"ERROR",0)</f>
        <v/>
      </c>
      <c r="B654" s="142" t="inlineStr">
        <is>
          <t>MAT08-0039</t>
        </is>
      </c>
      <c r="C654" s="691" t="inlineStr">
        <is>
          <t>DISCO DIAMANTADO 4 1/2"</t>
        </is>
      </c>
      <c r="D654" s="692" t="inlineStr">
        <is>
          <t>UND</t>
        </is>
      </c>
      <c r="E654" s="693" t="n">
        <v>5400</v>
      </c>
      <c r="F654" s="694">
        <f>E654*$N$2</f>
        <v/>
      </c>
      <c r="G654" s="695" t="n">
        <v>0</v>
      </c>
      <c r="H654" s="696">
        <f>F654-G654</f>
        <v/>
      </c>
      <c r="I654" s="151" t="n"/>
      <c r="J654" s="152" t="n">
        <v>44692</v>
      </c>
      <c r="K654" s="692" t="inlineStr">
        <is>
          <t>FERRETERIA GENERAL</t>
        </is>
      </c>
    </row>
    <row r="655" ht="20.1" customHeight="1">
      <c r="A655" s="430">
        <f>_xlfn.XLOOKUP(B655,'INSUMOS MAT '!B:B,'INSUMOS MAT '!C:C,"ERROR",0)</f>
        <v/>
      </c>
      <c r="B655" s="142" t="inlineStr">
        <is>
          <t>MAT06-0128</t>
        </is>
      </c>
      <c r="C655" s="691" t="inlineStr">
        <is>
          <t>ENCHUFE PARA EXTENSION HEMBRA</t>
        </is>
      </c>
      <c r="D655" s="692" t="inlineStr">
        <is>
          <t>UND</t>
        </is>
      </c>
      <c r="E655" s="693" t="n">
        <v>1220.4</v>
      </c>
      <c r="F655" s="694">
        <f>E655*$N$2</f>
        <v/>
      </c>
      <c r="G655" s="695" t="n">
        <v>0</v>
      </c>
      <c r="H655" s="696">
        <f>F655-G655</f>
        <v/>
      </c>
      <c r="I655" s="151" t="n"/>
      <c r="J655" s="152" t="n">
        <v>44613</v>
      </c>
      <c r="K655" s="692" t="inlineStr">
        <is>
          <t>ELECTRICO</t>
        </is>
      </c>
    </row>
    <row r="656" ht="20.1" customHeight="1">
      <c r="A656" s="135" t="n"/>
      <c r="B656" s="142" t="inlineStr">
        <is>
          <t>HER13-0127</t>
        </is>
      </c>
      <c r="C656" s="691" t="inlineStr">
        <is>
          <t>ESCALERA DE ALUMINIO 8 PELDAÑOS EN A</t>
        </is>
      </c>
      <c r="D656" s="692" t="inlineStr">
        <is>
          <t>UND</t>
        </is>
      </c>
      <c r="E656" s="693" t="n">
        <v>69819.1125</v>
      </c>
      <c r="F656" s="694">
        <f>E656*$N$2</f>
        <v/>
      </c>
      <c r="G656" s="695" t="n">
        <v>0</v>
      </c>
      <c r="H656" s="696">
        <f>F656-G656</f>
        <v/>
      </c>
      <c r="I656" s="151" t="n"/>
      <c r="J656" s="152" t="n">
        <v>44692</v>
      </c>
      <c r="K656" s="692" t="inlineStr">
        <is>
          <t>MENOR</t>
        </is>
      </c>
    </row>
    <row r="657">
      <c r="A657" s="430">
        <f>_xlfn.XLOOKUP(B657,'INSUMOS MAT '!B:B,'INSUMOS MAT '!C:C,"ERROR",0)</f>
        <v/>
      </c>
      <c r="B657" s="142" t="inlineStr">
        <is>
          <t>MAT05-0038</t>
        </is>
      </c>
      <c r="C657" s="691" t="inlineStr">
        <is>
          <t>MASTER SEAL 6100FX EN SACOS DE 25KG CEMENTICIO FLEXIBLE</t>
        </is>
      </c>
      <c r="D657" s="692" t="inlineStr">
        <is>
          <t>SACO</t>
        </is>
      </c>
      <c r="E657" s="693" t="n">
        <v>98691.488</v>
      </c>
      <c r="F657" s="694">
        <f>E657*$N$2</f>
        <v/>
      </c>
      <c r="G657" s="695" t="n">
        <v>0</v>
      </c>
      <c r="H657" s="696">
        <f>F657-G657</f>
        <v/>
      </c>
      <c r="I657" s="151" t="n"/>
      <c r="J657" s="152" t="n">
        <v>44464</v>
      </c>
      <c r="K657" s="692" t="inlineStr">
        <is>
          <t>CUBIERTAS E IMPERMEBILIZANTES</t>
        </is>
      </c>
      <c r="L657">
        <f>+(37168.41*1.13)/(0.93*5.45)</f>
        <v/>
      </c>
    </row>
    <row r="658">
      <c r="A658" s="430">
        <f>_xlfn.XLOOKUP(B658,'INSUMOS MAT '!B:B,'INSUMOS MAT '!C:C,"ERROR",0)</f>
        <v/>
      </c>
      <c r="B658" s="142" t="inlineStr">
        <is>
          <t>MAT04-0063</t>
        </is>
      </c>
      <c r="C658" s="691" t="inlineStr">
        <is>
          <t>MAXIBED</t>
        </is>
      </c>
      <c r="D658" s="692" t="inlineStr">
        <is>
          <t>SACO</t>
        </is>
      </c>
      <c r="E658" s="693" t="n">
        <v>20848.115</v>
      </c>
      <c r="F658" s="694">
        <f>E658*$N$2</f>
        <v/>
      </c>
      <c r="G658" s="695" t="n">
        <v>0</v>
      </c>
      <c r="H658" s="696">
        <f>F658-G658</f>
        <v/>
      </c>
      <c r="I658" s="151" t="n"/>
      <c r="J658" s="152" t="n">
        <v>44692</v>
      </c>
      <c r="K658" s="692" t="inlineStr">
        <is>
          <t>CONCRETOS CEMENTOS Y MORTEROS</t>
        </is>
      </c>
    </row>
    <row r="659" ht="20.1" customHeight="1">
      <c r="A659" s="430">
        <f>_xlfn.XLOOKUP(B659,'INSUMOS MAT '!B:B,'INSUMOS MAT '!C:C,"ERROR",0)</f>
        <v/>
      </c>
      <c r="B659" s="142" t="inlineStr">
        <is>
          <t>MAT08-0483</t>
        </is>
      </c>
      <c r="C659" s="691" t="inlineStr">
        <is>
          <t>NIPLE DE HIERRO CROMADO 1/2X10PULG</t>
        </is>
      </c>
      <c r="D659" s="692" t="inlineStr">
        <is>
          <t>UND</t>
        </is>
      </c>
      <c r="E659" s="693" t="n">
        <v>1479.2818</v>
      </c>
      <c r="F659" s="694">
        <f>E659*$N$2</f>
        <v/>
      </c>
      <c r="G659" s="695" t="n">
        <v>0</v>
      </c>
      <c r="H659" s="696">
        <f>F659-G659</f>
        <v/>
      </c>
      <c r="I659" s="151" t="n"/>
      <c r="J659" s="152" t="n">
        <v>44579</v>
      </c>
      <c r="K659" s="692" t="inlineStr">
        <is>
          <t>FERRETERIA GENERAL</t>
        </is>
      </c>
    </row>
    <row r="660" ht="20.1" customHeight="1">
      <c r="A660" s="430">
        <f>_xlfn.XLOOKUP(B660,'INSUMOS MAT '!B:B,'INSUMOS MAT '!C:C,"ERROR",0)</f>
        <v/>
      </c>
      <c r="B660" s="142" t="inlineStr">
        <is>
          <t>MAT08-0484</t>
        </is>
      </c>
      <c r="C660" s="691" t="inlineStr">
        <is>
          <t>NIPLE DE HIERRO CROMADO 1/2X2PULG</t>
        </is>
      </c>
      <c r="D660" s="692" t="inlineStr">
        <is>
          <t>UND</t>
        </is>
      </c>
      <c r="E660" s="693" t="n">
        <v>408.4382</v>
      </c>
      <c r="F660" s="694">
        <f>E660*$N$2</f>
        <v/>
      </c>
      <c r="G660" s="695" t="n">
        <v>0</v>
      </c>
      <c r="H660" s="696">
        <f>F660-G660</f>
        <v/>
      </c>
      <c r="I660" s="151" t="n"/>
      <c r="J660" s="152" t="n">
        <v>44579</v>
      </c>
      <c r="K660" s="692" t="inlineStr">
        <is>
          <t>FERRETERIA GENERAL</t>
        </is>
      </c>
    </row>
    <row r="661" ht="20.1" customHeight="1">
      <c r="A661" s="135" t="n"/>
      <c r="B661" s="142" t="inlineStr">
        <is>
          <t>MAT08-0097</t>
        </is>
      </c>
      <c r="C661" s="691" t="inlineStr">
        <is>
          <t>PAPEL COVERTOR  6"</t>
        </is>
      </c>
      <c r="D661" s="692" t="inlineStr">
        <is>
          <t>ROLLO</t>
        </is>
      </c>
      <c r="E661" s="693" t="n">
        <v>1960.55</v>
      </c>
      <c r="F661" s="694">
        <f>E661*$N$2</f>
        <v/>
      </c>
      <c r="G661" s="695" t="n">
        <v>0</v>
      </c>
      <c r="H661" s="696">
        <f>F661-G661</f>
        <v/>
      </c>
      <c r="I661" s="151" t="n"/>
      <c r="J661" s="152" t="n">
        <v>44692</v>
      </c>
      <c r="K661" s="692" t="inlineStr">
        <is>
          <t>FERRETERIA GENERAL</t>
        </is>
      </c>
    </row>
    <row r="662" ht="20.1" customHeight="1">
      <c r="A662" s="430">
        <f>_xlfn.XLOOKUP(B662,'INSUMOS MAT '!B:B,'INSUMOS MAT '!C:C,"ERROR",0)</f>
        <v/>
      </c>
      <c r="B662" s="142" t="inlineStr">
        <is>
          <t>MAT04-0016</t>
        </is>
      </c>
      <c r="C662" s="691" t="inlineStr">
        <is>
          <t>PEGA CERAMICA PLUS 20KG CEMEX</t>
        </is>
      </c>
      <c r="D662" s="692" t="inlineStr">
        <is>
          <t>UND</t>
        </is>
      </c>
      <c r="E662" s="693" t="n">
        <v>2810.31</v>
      </c>
      <c r="F662" s="694">
        <f>E662*$N$2</f>
        <v/>
      </c>
      <c r="G662" s="695" t="n">
        <v>0</v>
      </c>
      <c r="H662" s="696">
        <f>F662-G662</f>
        <v/>
      </c>
      <c r="I662" s="151" t="n"/>
      <c r="J662" s="152" t="n">
        <v>44692</v>
      </c>
      <c r="K662" s="692" t="inlineStr">
        <is>
          <t>CONCRETOS CEMENTOS Y MORTEROS</t>
        </is>
      </c>
    </row>
    <row r="663" ht="20.1" customHeight="1">
      <c r="A663" s="430">
        <f>_xlfn.XLOOKUP(B663,'INSUMOS MAT '!B:B,'INSUMOS MAT '!C:C,"ERROR",0)</f>
        <v/>
      </c>
      <c r="B663" s="142" t="inlineStr">
        <is>
          <t>MAT16-0086</t>
        </is>
      </c>
      <c r="C663" s="691" t="inlineStr">
        <is>
          <t>PINTURA FAST DRY NEGRO</t>
        </is>
      </c>
      <c r="D663" s="692" t="inlineStr">
        <is>
          <t>1/4 DE GALON</t>
        </is>
      </c>
      <c r="E663" s="693" t="n">
        <v>8757.557500000001</v>
      </c>
      <c r="F663" s="694">
        <f>E663*$N$2</f>
        <v/>
      </c>
      <c r="G663" s="695" t="n">
        <v>0</v>
      </c>
      <c r="H663" s="696">
        <f>F663-G663</f>
        <v/>
      </c>
      <c r="I663" s="151" t="n"/>
      <c r="J663" s="152" t="n">
        <v>44550</v>
      </c>
      <c r="K663" s="692" t="inlineStr">
        <is>
          <t>PINTURAS Y REVESTIMIENTOS</t>
        </is>
      </c>
    </row>
    <row r="664" ht="20.1" customHeight="1">
      <c r="A664" s="430">
        <f>_xlfn.XLOOKUP(B664,'INSUMOS MAT '!B:B,'INSUMOS MAT '!C:C,"ERROR",0)</f>
        <v/>
      </c>
      <c r="B664" s="142" t="inlineStr">
        <is>
          <t>MAT16-0028</t>
        </is>
      </c>
      <c r="C664" s="691" t="inlineStr">
        <is>
          <t>PINTURA FAST DRY ROJO</t>
        </is>
      </c>
      <c r="D664" s="692" t="inlineStr">
        <is>
          <t>1/4 DE GALON</t>
        </is>
      </c>
      <c r="E664" s="693" t="n">
        <v>8757.559999999999</v>
      </c>
      <c r="F664" s="694">
        <f>E664*$N$2</f>
        <v/>
      </c>
      <c r="G664" s="695" t="n">
        <v>0</v>
      </c>
      <c r="H664" s="696">
        <f>F664-G664</f>
        <v/>
      </c>
      <c r="I664" s="151" t="n"/>
      <c r="J664" s="152" t="n">
        <v>44692</v>
      </c>
      <c r="K664" s="692" t="inlineStr">
        <is>
          <t>PINTURAS Y REVESTIMIENTOS</t>
        </is>
      </c>
    </row>
    <row r="665" ht="20.1" customHeight="1">
      <c r="A665" s="430">
        <f>_xlfn.XLOOKUP(B665,'INSUMOS MAT '!B:B,'INSUMOS MAT '!C:C,"ERROR",0)</f>
        <v/>
      </c>
      <c r="B665" s="142" t="inlineStr">
        <is>
          <t>MAT02-0043</t>
        </is>
      </c>
      <c r="C665" s="691" t="inlineStr">
        <is>
          <t>PLATINA EN 4"X 1/4X6M</t>
        </is>
      </c>
      <c r="D665" s="692" t="inlineStr">
        <is>
          <t>UND</t>
        </is>
      </c>
      <c r="E665" s="693" t="n">
        <v>23440.72</v>
      </c>
      <c r="F665" s="694">
        <f>E665*$N$2</f>
        <v/>
      </c>
      <c r="G665" s="695" t="n">
        <v>0</v>
      </c>
      <c r="H665" s="696">
        <f>F665-G665</f>
        <v/>
      </c>
      <c r="I665" s="151" t="n"/>
      <c r="J665" s="152" t="n">
        <v>44692</v>
      </c>
      <c r="K665" s="692" t="inlineStr">
        <is>
          <t>ACEROS Y METALES</t>
        </is>
      </c>
    </row>
    <row r="666" ht="20.1" customHeight="1">
      <c r="A666" s="430">
        <f>_xlfn.XLOOKUP(B666,'INSUMOS MAT '!B:B,'INSUMOS MAT '!C:C,"ERROR",0)</f>
        <v/>
      </c>
      <c r="B666" s="142" t="inlineStr">
        <is>
          <t>MAT08-0102</t>
        </is>
      </c>
      <c r="C666" s="697" t="inlineStr">
        <is>
          <t>REGLA DE 1 X 3 S.C.</t>
        </is>
      </c>
      <c r="D666" s="692" t="inlineStr">
        <is>
          <t>UND</t>
        </is>
      </c>
      <c r="E666" s="698" t="n">
        <v>363.77</v>
      </c>
      <c r="F666" s="699">
        <f>E666*$N$3</f>
        <v/>
      </c>
      <c r="G666" s="695" t="n">
        <v>0</v>
      </c>
      <c r="H666" s="696">
        <f>F666-G666</f>
        <v/>
      </c>
      <c r="I666" s="151" t="n"/>
      <c r="J666" s="152" t="n">
        <v>44692</v>
      </c>
      <c r="K666" s="692" t="inlineStr">
        <is>
          <t>FERRETERIA GENERAL</t>
        </is>
      </c>
    </row>
    <row r="667" ht="20.1" customHeight="1">
      <c r="A667" s="135" t="n"/>
      <c r="B667" s="142" t="inlineStr">
        <is>
          <t>MAT08-0103</t>
        </is>
      </c>
      <c r="C667" s="697" t="inlineStr">
        <is>
          <t>REGLA DE PINO RADIATA 1X3X3.2M</t>
        </is>
      </c>
      <c r="D667" s="692" t="inlineStr">
        <is>
          <t>UND</t>
        </is>
      </c>
      <c r="E667" s="698" t="n">
        <v>2995.065</v>
      </c>
      <c r="F667" s="699">
        <f>E667*$N$3</f>
        <v/>
      </c>
      <c r="G667" s="695" t="n">
        <v>0</v>
      </c>
      <c r="H667" s="696">
        <f>F667-G667</f>
        <v/>
      </c>
      <c r="I667" s="151" t="n"/>
      <c r="J667" s="152" t="n">
        <v>44692</v>
      </c>
      <c r="K667" s="692" t="inlineStr">
        <is>
          <t>FERRETERIA GENERAL</t>
        </is>
      </c>
    </row>
    <row r="668" ht="20.1" customHeight="1">
      <c r="A668" s="135" t="n"/>
      <c r="B668" s="142" t="inlineStr">
        <is>
          <t>MAT1499</t>
        </is>
      </c>
      <c r="C668" s="691" t="inlineStr">
        <is>
          <t>RODILLO PARA FELPA</t>
        </is>
      </c>
      <c r="D668" s="692" t="inlineStr">
        <is>
          <t>UND</t>
        </is>
      </c>
      <c r="E668" s="693" t="n">
        <v>2169.261</v>
      </c>
      <c r="F668" s="694">
        <f>E668*$N$2</f>
        <v/>
      </c>
      <c r="G668" s="695" t="n">
        <v>0</v>
      </c>
      <c r="H668" s="696">
        <f>F668-G668</f>
        <v/>
      </c>
      <c r="I668" s="151" t="n"/>
      <c r="J668" s="152" t="n">
        <v>44692</v>
      </c>
      <c r="K668" s="692" t="n">
        <v>0</v>
      </c>
    </row>
    <row r="669" ht="20.1" customHeight="1">
      <c r="A669" s="430">
        <f>_xlfn.XLOOKUP(B669,'INSUMOS MAT '!B:B,'INSUMOS MAT '!C:C,"ERROR",0)</f>
        <v/>
      </c>
      <c r="B669" s="142" t="inlineStr">
        <is>
          <t>MAT19-0062</t>
        </is>
      </c>
      <c r="C669" s="691" t="inlineStr">
        <is>
          <t>TAPON HEMBRA LISO PVC 2</t>
        </is>
      </c>
      <c r="D669" s="692" t="inlineStr">
        <is>
          <t>UND</t>
        </is>
      </c>
      <c r="E669" s="693" t="n">
        <v>445.056</v>
      </c>
      <c r="F669" s="694">
        <f>E669*$N$2</f>
        <v/>
      </c>
      <c r="G669" s="695" t="n">
        <v>0</v>
      </c>
      <c r="H669" s="696">
        <f>F669-G669</f>
        <v/>
      </c>
      <c r="I669" s="151" t="n"/>
      <c r="J669" s="152" t="n">
        <v>44692</v>
      </c>
      <c r="K669" s="692" t="inlineStr">
        <is>
          <t>PVC</t>
        </is>
      </c>
    </row>
    <row r="670" ht="20.1" customHeight="1">
      <c r="A670" s="430">
        <f>_xlfn.XLOOKUP(B670,'INSUMOS MAT '!B:B,'INSUMOS MAT '!C:C,"ERROR",0)</f>
        <v/>
      </c>
      <c r="B670" s="142" t="inlineStr">
        <is>
          <t>MAT19-0080</t>
        </is>
      </c>
      <c r="C670" s="691" t="inlineStr">
        <is>
          <t>TEE PVC PARED GRUESA DE 1 1/4"</t>
        </is>
      </c>
      <c r="D670" s="692" t="inlineStr">
        <is>
          <t>UND</t>
        </is>
      </c>
      <c r="E670" s="693" t="n">
        <v>2136.8026</v>
      </c>
      <c r="F670" s="694">
        <f>E670*$N$2</f>
        <v/>
      </c>
      <c r="G670" s="695" t="n">
        <v>0</v>
      </c>
      <c r="H670" s="696">
        <f>F670-G670</f>
        <v/>
      </c>
      <c r="I670" s="151" t="n"/>
      <c r="J670" s="152" t="n">
        <v>44692</v>
      </c>
      <c r="K670" s="692" t="inlineStr">
        <is>
          <t>PVC</t>
        </is>
      </c>
    </row>
    <row r="671" ht="20.1" customHeight="1">
      <c r="A671" s="135" t="n"/>
      <c r="B671" s="142" t="inlineStr">
        <is>
          <t>MAT1686</t>
        </is>
      </c>
      <c r="C671" s="691" t="inlineStr">
        <is>
          <t>TEE PVC 4" SANITARIA PD</t>
        </is>
      </c>
      <c r="D671" s="692" t="inlineStr">
        <is>
          <t>UND</t>
        </is>
      </c>
      <c r="E671" s="693" t="n">
        <v>4995.168</v>
      </c>
      <c r="F671" s="694">
        <f>E671*$N$2</f>
        <v/>
      </c>
      <c r="G671" s="695" t="n">
        <v>0</v>
      </c>
      <c r="H671" s="696">
        <f>F671-G671</f>
        <v/>
      </c>
      <c r="I671" s="151" t="n"/>
      <c r="J671" s="152" t="n">
        <v>44692</v>
      </c>
      <c r="K671" s="692" t="n">
        <v>0</v>
      </c>
    </row>
    <row r="672" ht="20.1" customHeight="1">
      <c r="A672" s="135" t="n"/>
      <c r="B672" s="142" t="inlineStr">
        <is>
          <t>MAT08-0499</t>
        </is>
      </c>
      <c r="C672" s="691" t="inlineStr">
        <is>
          <t>TORNILLO PARA MADERA 2 1/2X12 PULG</t>
        </is>
      </c>
      <c r="D672" s="692" t="inlineStr">
        <is>
          <t>UND</t>
        </is>
      </c>
      <c r="E672" s="693" t="n">
        <v>17.0983</v>
      </c>
      <c r="F672" s="694">
        <f>E672*$N$2</f>
        <v/>
      </c>
      <c r="G672" s="695" t="n">
        <v>0</v>
      </c>
      <c r="H672" s="696">
        <f>F672-G672</f>
        <v/>
      </c>
      <c r="I672" s="151" t="n"/>
      <c r="J672" s="152" t="n">
        <v>44621</v>
      </c>
      <c r="K672" s="692" t="inlineStr">
        <is>
          <t>FERRETERIA GENERAL</t>
        </is>
      </c>
    </row>
    <row r="673" ht="20.1" customHeight="1">
      <c r="A673" s="430">
        <f>_xlfn.XLOOKUP(B673,'INSUMOS MAT '!B:B,'INSUMOS MAT '!C:C,"ERROR",0)</f>
        <v/>
      </c>
      <c r="B673" s="142" t="inlineStr">
        <is>
          <t>MAT02-0016</t>
        </is>
      </c>
      <c r="C673" s="691" t="inlineStr">
        <is>
          <t>TUBO 1X1X1.8MM H.N.</t>
        </is>
      </c>
      <c r="D673" s="692" t="inlineStr">
        <is>
          <t>UND</t>
        </is>
      </c>
      <c r="E673" s="693" t="n">
        <v>9562.4067</v>
      </c>
      <c r="F673" s="694">
        <f>E673*$N$2</f>
        <v/>
      </c>
      <c r="G673" s="695" t="n">
        <v>0</v>
      </c>
      <c r="H673" s="696">
        <f>F673-G673</f>
        <v/>
      </c>
      <c r="I673" s="151" t="n"/>
      <c r="J673" s="152" t="n">
        <v>44692</v>
      </c>
      <c r="K673" s="692" t="inlineStr">
        <is>
          <t>ACEROS Y METALES</t>
        </is>
      </c>
    </row>
    <row r="674" ht="20.1" customHeight="1">
      <c r="A674" s="135" t="n"/>
      <c r="B674" s="142" t="inlineStr">
        <is>
          <t>EQU20-0201</t>
        </is>
      </c>
      <c r="C674" s="691" t="inlineStr">
        <is>
          <t>ACEITE PARA TAPEADORA</t>
        </is>
      </c>
      <c r="D674" s="692" t="inlineStr">
        <is>
          <t>UND</t>
        </is>
      </c>
      <c r="E674" s="693" t="n">
        <v>5000.0025</v>
      </c>
      <c r="F674" s="694">
        <f>E674*$N$2</f>
        <v/>
      </c>
      <c r="G674" s="695" t="n">
        <v>0</v>
      </c>
      <c r="H674" s="696">
        <f>F674-G674</f>
        <v/>
      </c>
      <c r="I674" s="151" t="n"/>
      <c r="J674" s="152" t="n">
        <v>44588</v>
      </c>
      <c r="K674" s="692" t="inlineStr">
        <is>
          <t>REPUESTOS-COMBUSTIBLES</t>
        </is>
      </c>
    </row>
    <row r="675" ht="20.1" customHeight="1">
      <c r="A675" s="135" t="n"/>
      <c r="B675" s="142" t="inlineStr">
        <is>
          <t>MAT0049</t>
        </is>
      </c>
      <c r="C675" s="691" t="inlineStr">
        <is>
          <t>ADAPTADOR MACHO PVC 1/2"</t>
        </is>
      </c>
      <c r="D675" s="692" t="inlineStr">
        <is>
          <t>UND</t>
        </is>
      </c>
      <c r="E675" s="693" t="n">
        <v>105.5985</v>
      </c>
      <c r="F675" s="694">
        <f>E675*$N$2</f>
        <v/>
      </c>
      <c r="G675" s="695" t="n">
        <v>0</v>
      </c>
      <c r="H675" s="696">
        <f>F675-G675</f>
        <v/>
      </c>
      <c r="I675" s="151" t="n"/>
      <c r="J675" s="152" t="n">
        <v>44590</v>
      </c>
      <c r="K675" s="692" t="n">
        <v>0</v>
      </c>
    </row>
    <row r="676" ht="20.1" customHeight="1">
      <c r="A676" s="135" t="n"/>
      <c r="B676" s="142" t="inlineStr">
        <is>
          <t>MAT0083</t>
        </is>
      </c>
      <c r="C676" s="691" t="inlineStr">
        <is>
          <t>ANGULAR CHANNEL 1X3" 0.36MM 3.05M</t>
        </is>
      </c>
      <c r="D676" s="692" t="inlineStr">
        <is>
          <t>UND</t>
        </is>
      </c>
      <c r="E676" s="693" t="n">
        <v>566.13</v>
      </c>
      <c r="F676" s="694">
        <f>E676*$N$2</f>
        <v/>
      </c>
      <c r="G676" s="695" t="n">
        <v>0</v>
      </c>
      <c r="H676" s="696">
        <f>F676-G676</f>
        <v/>
      </c>
      <c r="I676" s="151" t="n"/>
      <c r="J676" s="152" t="n">
        <v>44593</v>
      </c>
      <c r="K676" s="692" t="n">
        <v>0</v>
      </c>
    </row>
    <row r="677" ht="20.1" customHeight="1">
      <c r="A677" s="135" t="n"/>
      <c r="B677" s="142" t="inlineStr">
        <is>
          <t>MAT0091</t>
        </is>
      </c>
      <c r="C677" s="691" t="inlineStr">
        <is>
          <t>ANTICORROSIVO MINIO ROJO</t>
        </is>
      </c>
      <c r="D677" s="692" t="inlineStr">
        <is>
          <t>GAL</t>
        </is>
      </c>
      <c r="E677" s="693" t="n">
        <v>12671.8201</v>
      </c>
      <c r="F677" s="694">
        <f>E677*$N$2</f>
        <v/>
      </c>
      <c r="G677" s="695" t="n">
        <v>0</v>
      </c>
      <c r="H677" s="696">
        <f>F677-G677</f>
        <v/>
      </c>
      <c r="I677" s="151" t="n"/>
      <c r="J677" s="152" t="n">
        <v>44593</v>
      </c>
      <c r="K677" s="692" t="n">
        <v>0</v>
      </c>
    </row>
    <row r="678" ht="20.1" customHeight="1">
      <c r="A678" s="430">
        <f>_xlfn.XLOOKUP(B678,'INSUMOS MAT '!B:B,'INSUMOS MAT '!C:C,"ERROR",0)</f>
        <v/>
      </c>
      <c r="B678" s="142" t="inlineStr">
        <is>
          <t>MAT05-0032</t>
        </is>
      </c>
      <c r="C678" s="691" t="inlineStr">
        <is>
          <t>BASE ALUMINIO NEGRA PARA TAPA DE POLYCARBONATO 6.40</t>
        </is>
      </c>
      <c r="D678" s="692" t="inlineStr">
        <is>
          <t>UND</t>
        </is>
      </c>
      <c r="E678" s="693" t="n">
        <v>18577.2723</v>
      </c>
      <c r="F678" s="694">
        <f>E678*$N$2</f>
        <v/>
      </c>
      <c r="G678" s="695" t="n">
        <v>0</v>
      </c>
      <c r="H678" s="696">
        <f>F678-G678</f>
        <v/>
      </c>
      <c r="I678" s="151" t="n"/>
      <c r="J678" s="152" t="n">
        <v>44692</v>
      </c>
      <c r="K678" s="692" t="inlineStr">
        <is>
          <t>CUBIERTAS E IMPERMEBILIZANTES</t>
        </is>
      </c>
    </row>
    <row r="679" ht="20.1" customHeight="1">
      <c r="A679" s="430">
        <f>_xlfn.XLOOKUP(B679,'INSUMOS MAT '!B:B,'INSUMOS MAT '!C:C,"ERROR",0)</f>
        <v/>
      </c>
      <c r="B679" s="142" t="inlineStr">
        <is>
          <t>MAT04-0035</t>
        </is>
      </c>
      <c r="C679" s="691" t="inlineStr">
        <is>
          <t>BLOCK 12X20X40</t>
        </is>
      </c>
      <c r="D679" s="692" t="inlineStr">
        <is>
          <t>UND</t>
        </is>
      </c>
      <c r="E679" s="693" t="n">
        <v>330</v>
      </c>
      <c r="F679" s="694">
        <f>E679*$N$2</f>
        <v/>
      </c>
      <c r="G679" s="695" t="n">
        <v>0</v>
      </c>
      <c r="H679" s="696">
        <f>F679-G679</f>
        <v/>
      </c>
      <c r="I679" s="151" t="n"/>
      <c r="J679" s="152" t="n">
        <v>44501</v>
      </c>
      <c r="K679" s="692" t="inlineStr">
        <is>
          <t>CONCRETOS CEMENTOS Y MORTEROS</t>
        </is>
      </c>
    </row>
    <row r="680" ht="20.1" customHeight="1">
      <c r="A680" s="135" t="n"/>
      <c r="B680" s="142" t="inlineStr">
        <is>
          <t>AUX10-0058</t>
        </is>
      </c>
      <c r="C680" s="691" t="inlineStr">
        <is>
          <t>CAJA DE SEGURIDAD PARA LLAVES</t>
        </is>
      </c>
      <c r="D680" s="692" t="inlineStr">
        <is>
          <t>UND</t>
        </is>
      </c>
      <c r="E680" s="693" t="n">
        <v>13086.145</v>
      </c>
      <c r="F680" s="694">
        <f>E680*$N$2</f>
        <v/>
      </c>
      <c r="G680" s="695" t="n">
        <v>0</v>
      </c>
      <c r="H680" s="696">
        <f>F680-G680</f>
        <v/>
      </c>
      <c r="I680" s="151" t="n"/>
      <c r="J680" s="152" t="n">
        <v>44579</v>
      </c>
      <c r="K680" s="692" t="inlineStr">
        <is>
          <t>FERRETERIA GENERAL</t>
        </is>
      </c>
    </row>
    <row r="681" ht="20.1" customHeight="1">
      <c r="A681" s="135" t="n"/>
      <c r="B681" s="142" t="inlineStr">
        <is>
          <t>MAT0479</t>
        </is>
      </c>
      <c r="C681" s="691" t="inlineStr">
        <is>
          <t>CINTA MALLA ADHESIVA P/GYP (45M)</t>
        </is>
      </c>
      <c r="D681" s="692" t="inlineStr">
        <is>
          <t>RLL</t>
        </is>
      </c>
      <c r="E681" s="693" t="n">
        <v>1613.64</v>
      </c>
      <c r="F681" s="694">
        <f>E681*$N$2</f>
        <v/>
      </c>
      <c r="G681" s="695" t="n">
        <v>0</v>
      </c>
      <c r="H681" s="696">
        <f>F681-G681</f>
        <v/>
      </c>
      <c r="I681" s="151" t="n"/>
      <c r="J681" s="152" t="n">
        <v>44593</v>
      </c>
      <c r="K681" s="692" t="n">
        <v>0</v>
      </c>
    </row>
    <row r="682" ht="20.1" customHeight="1">
      <c r="A682" s="430">
        <f>_xlfn.XLOOKUP(B682,'INSUMOS MAT '!B:B,'INSUMOS MAT '!C:C,"ERROR",0)</f>
        <v/>
      </c>
      <c r="B682" s="142" t="inlineStr">
        <is>
          <t>MAT08-0025</t>
        </is>
      </c>
      <c r="C682" s="691" t="inlineStr">
        <is>
          <t>CLAVO DE ACERO 1"</t>
        </is>
      </c>
      <c r="D682" s="692" t="inlineStr">
        <is>
          <t>CAJA</t>
        </is>
      </c>
      <c r="E682" s="693" t="n">
        <v>569.9965</v>
      </c>
      <c r="F682" s="694">
        <f>E682*$N$2</f>
        <v/>
      </c>
      <c r="G682" s="695" t="n">
        <v>0</v>
      </c>
      <c r="H682" s="696">
        <f>F682-G682</f>
        <v/>
      </c>
      <c r="I682" s="151" t="n"/>
      <c r="J682" s="152" t="n">
        <v>44692</v>
      </c>
      <c r="K682" s="692" t="inlineStr">
        <is>
          <t>FERRETERIA GENERAL</t>
        </is>
      </c>
    </row>
    <row r="683" ht="20.1" customHeight="1">
      <c r="A683" s="135" t="n"/>
      <c r="B683" s="142" t="inlineStr">
        <is>
          <t>MAT0565</t>
        </is>
      </c>
      <c r="C683" s="691" t="inlineStr">
        <is>
          <t>CODO 90 PVC PARED DELGADA 4"</t>
        </is>
      </c>
      <c r="D683" s="692" t="inlineStr">
        <is>
          <t>UND</t>
        </is>
      </c>
      <c r="E683" s="693" t="n">
        <v>3787.7035</v>
      </c>
      <c r="F683" s="694">
        <f>E683*$N$2</f>
        <v/>
      </c>
      <c r="G683" s="695" t="n">
        <v>0</v>
      </c>
      <c r="H683" s="696">
        <f>F683-G683</f>
        <v/>
      </c>
      <c r="I683" s="151" t="n"/>
      <c r="J683" s="152" t="n">
        <v>44692</v>
      </c>
      <c r="K683" s="692" t="n">
        <v>0</v>
      </c>
    </row>
    <row r="684" ht="20.1" customHeight="1">
      <c r="A684" s="135" t="n"/>
      <c r="B684" s="142" t="inlineStr">
        <is>
          <t>MAT0739</t>
        </is>
      </c>
      <c r="C684" s="691" t="inlineStr">
        <is>
          <t>DURETAN BLANCO</t>
        </is>
      </c>
      <c r="D684" s="692" t="inlineStr">
        <is>
          <t>CARTUCHO</t>
        </is>
      </c>
      <c r="E684" s="693" t="n">
        <v>4355.811</v>
      </c>
      <c r="F684" s="694">
        <f>E684*$N$2</f>
        <v/>
      </c>
      <c r="G684" s="695" t="n">
        <v>0</v>
      </c>
      <c r="H684" s="696">
        <f>F684-G684</f>
        <v/>
      </c>
      <c r="I684" s="151" t="n"/>
      <c r="J684" s="152" t="n">
        <v>44692</v>
      </c>
      <c r="K684" s="692" t="n">
        <v>0</v>
      </c>
    </row>
    <row r="685" ht="20.1" customHeight="1">
      <c r="A685" s="430">
        <f>_xlfn.XLOOKUP(B685,'INSUMOS MAT '!B:B,'INSUMOS MAT '!C:C,"ERROR",0)</f>
        <v/>
      </c>
      <c r="B685" s="142" t="inlineStr">
        <is>
          <t>MAT05-0046</t>
        </is>
      </c>
      <c r="C685" s="691" t="inlineStr">
        <is>
          <t>LAMINA UPVC 1.07 X 11.80X2.5MM</t>
        </is>
      </c>
      <c r="D685" s="692" t="inlineStr">
        <is>
          <t>UND</t>
        </is>
      </c>
      <c r="E685" s="693" t="n">
        <v>97398.21649999999</v>
      </c>
      <c r="F685" s="694">
        <f>E685*$N$2</f>
        <v/>
      </c>
      <c r="G685" s="695" t="n">
        <v>0</v>
      </c>
      <c r="H685" s="696">
        <f>F685-G685</f>
        <v/>
      </c>
      <c r="I685" s="151" t="n"/>
      <c r="J685" s="152" t="n">
        <v>44692</v>
      </c>
      <c r="K685" s="692" t="inlineStr">
        <is>
          <t>CUBIERTAS E IMPERMEBILIZANTES</t>
        </is>
      </c>
    </row>
    <row r="686" ht="20.1" customHeight="1">
      <c r="A686" s="430">
        <f>_xlfn.XLOOKUP(B686,'INSUMOS MAT '!B:B,'INSUMOS MAT '!C:C,"ERROR",0)</f>
        <v/>
      </c>
      <c r="B686" s="142" t="inlineStr">
        <is>
          <t>MAT08-0184</t>
        </is>
      </c>
      <c r="C686" s="691" t="inlineStr">
        <is>
          <t>MANGUERA RIEGO</t>
        </is>
      </c>
      <c r="D686" s="692" t="inlineStr">
        <is>
          <t>UND</t>
        </is>
      </c>
      <c r="E686" s="693" t="n">
        <v>12480</v>
      </c>
      <c r="F686" s="694">
        <f>E686*$N$2</f>
        <v/>
      </c>
      <c r="G686" s="695" t="n">
        <v>0</v>
      </c>
      <c r="H686" s="696">
        <f>F686-G686</f>
        <v/>
      </c>
      <c r="I686" s="151" t="n"/>
      <c r="J686" s="152" t="n">
        <v>44692</v>
      </c>
      <c r="K686" s="692" t="inlineStr">
        <is>
          <t>FERRETERIA GENERAL</t>
        </is>
      </c>
    </row>
    <row r="687" ht="20.1" customHeight="1">
      <c r="A687" s="135" t="n"/>
      <c r="B687" s="142" t="inlineStr">
        <is>
          <t>MAT08-0089</t>
        </is>
      </c>
      <c r="C687" s="691" t="inlineStr">
        <is>
          <t>MAXISTIK 590 (EPOXICO)</t>
        </is>
      </c>
      <c r="D687" s="692" t="inlineStr">
        <is>
          <t>UND</t>
        </is>
      </c>
      <c r="E687" s="693" t="n">
        <v>12450.0008</v>
      </c>
      <c r="F687" s="694">
        <f>E687*$N$2</f>
        <v/>
      </c>
      <c r="G687" s="695" t="n">
        <v>0</v>
      </c>
      <c r="H687" s="696">
        <f>F687-G687</f>
        <v/>
      </c>
      <c r="I687" s="151" t="n"/>
      <c r="J687" s="152" t="n">
        <v>44692</v>
      </c>
      <c r="K687" s="692" t="inlineStr">
        <is>
          <t>FERRETERIA GENERAL</t>
        </is>
      </c>
    </row>
    <row r="688" ht="20.1" customHeight="1">
      <c r="A688" s="430">
        <f>_xlfn.XLOOKUP(B688,'INSUMOS MAT '!B:B,'INSUMOS MAT '!C:C,"ERROR",0)</f>
        <v/>
      </c>
      <c r="B688" s="142" t="inlineStr">
        <is>
          <t>MAT17-0094</t>
        </is>
      </c>
      <c r="C688" s="691" t="inlineStr">
        <is>
          <t>PORCELANATO AVORIO</t>
        </is>
      </c>
      <c r="D688" s="692" t="inlineStr">
        <is>
          <t>M2</t>
        </is>
      </c>
      <c r="E688" s="693" t="n">
        <v>6979.9987</v>
      </c>
      <c r="F688" s="694">
        <f>E688*$N$2</f>
        <v/>
      </c>
      <c r="G688" s="695" t="n">
        <v>0</v>
      </c>
      <c r="H688" s="696">
        <f>F688-G688</f>
        <v/>
      </c>
      <c r="I688" s="151" t="n"/>
      <c r="J688" s="152" t="n">
        <v>44692</v>
      </c>
      <c r="K688" s="692" t="inlineStr">
        <is>
          <t>PISOS Y ENCHAPES</t>
        </is>
      </c>
    </row>
    <row r="689" ht="20.1" customHeight="1">
      <c r="A689" s="430">
        <f>_xlfn.XLOOKUP(B689,'INSUMOS MAT '!B:B,'INSUMOS MAT '!C:C,"ERROR",0)</f>
        <v/>
      </c>
      <c r="B689" s="142" t="inlineStr">
        <is>
          <t>MAT08-0453</t>
        </is>
      </c>
      <c r="C689" s="697" t="inlineStr">
        <is>
          <t>REGLA SEMIDURO 1X3X4 CEPILLADA</t>
        </is>
      </c>
      <c r="D689" s="692" t="inlineStr">
        <is>
          <t>UND</t>
        </is>
      </c>
      <c r="E689" s="698" t="n">
        <v>3303.9956</v>
      </c>
      <c r="F689" s="699">
        <f>E689*$N$3</f>
        <v/>
      </c>
      <c r="G689" s="695" t="n">
        <v>0</v>
      </c>
      <c r="H689" s="696">
        <f>F689-G689</f>
        <v/>
      </c>
      <c r="I689" s="151" t="n"/>
      <c r="J689" s="152" t="n">
        <v>44692</v>
      </c>
      <c r="K689" s="692" t="inlineStr">
        <is>
          <t>FERRETERIA GENERAL</t>
        </is>
      </c>
    </row>
    <row r="690" ht="20.1" customHeight="1">
      <c r="A690" s="135" t="n"/>
      <c r="B690" s="142" t="inlineStr">
        <is>
          <t>MAT1582</t>
        </is>
      </c>
      <c r="C690" s="691" t="inlineStr">
        <is>
          <t>STUD 3X10 CAL#25</t>
        </is>
      </c>
      <c r="D690" s="692" t="inlineStr">
        <is>
          <t>UND</t>
        </is>
      </c>
      <c r="E690" s="693" t="n">
        <v>1562.79</v>
      </c>
      <c r="F690" s="694">
        <f>E690*$N$2</f>
        <v/>
      </c>
      <c r="G690" s="695" t="n">
        <v>0</v>
      </c>
      <c r="H690" s="696">
        <f>F690-G690</f>
        <v/>
      </c>
      <c r="I690" s="151" t="n"/>
      <c r="J690" s="152" t="n">
        <v>44593</v>
      </c>
      <c r="K690" s="692" t="n">
        <v>0</v>
      </c>
    </row>
    <row r="691" ht="20.1" customHeight="1">
      <c r="A691" s="135" t="n"/>
      <c r="B691" s="142" t="inlineStr">
        <is>
          <t>MAT1584</t>
        </is>
      </c>
      <c r="C691" s="691" t="inlineStr">
        <is>
          <t>STUD 4X10 CAL#25</t>
        </is>
      </c>
      <c r="D691" s="692" t="inlineStr">
        <is>
          <t>UND</t>
        </is>
      </c>
      <c r="E691" s="693" t="n">
        <v>1855.46</v>
      </c>
      <c r="F691" s="694">
        <f>E691*$N$2</f>
        <v/>
      </c>
      <c r="G691" s="695" t="n">
        <v>0</v>
      </c>
      <c r="H691" s="696">
        <f>F691-G691</f>
        <v/>
      </c>
      <c r="I691" s="151" t="n"/>
      <c r="J691" s="152" t="n">
        <v>44593</v>
      </c>
      <c r="K691" s="692" t="n">
        <v>0</v>
      </c>
    </row>
    <row r="692" ht="20.1" customHeight="1">
      <c r="A692" s="430">
        <f>_xlfn.XLOOKUP(B692,'INSUMOS MAT '!B:B,'INSUMOS MAT '!C:C,"ERROR",0)</f>
        <v/>
      </c>
      <c r="B692" s="142" t="inlineStr">
        <is>
          <t>MAT19-0103</t>
        </is>
      </c>
      <c r="C692" s="691" t="inlineStr">
        <is>
          <t>TUBO SDR41 JR PVC 4</t>
        </is>
      </c>
      <c r="D692" s="692" t="inlineStr">
        <is>
          <t>UND</t>
        </is>
      </c>
      <c r="E692" s="693" t="n">
        <v>26945.754</v>
      </c>
      <c r="F692" s="694">
        <f>E692*$N$2</f>
        <v/>
      </c>
      <c r="G692" s="695" t="n">
        <v>0</v>
      </c>
      <c r="H692" s="696">
        <f>F692-G692</f>
        <v/>
      </c>
      <c r="I692" s="151" t="n"/>
      <c r="J692" s="152" t="n">
        <v>44692</v>
      </c>
      <c r="K692" s="692" t="inlineStr">
        <is>
          <t>PVC</t>
        </is>
      </c>
    </row>
    <row r="693" ht="20.1" customHeight="1">
      <c r="A693" s="430">
        <f>_xlfn.XLOOKUP(B693,'INSUMOS MAT '!B:B,'INSUMOS MAT '!C:C,"ERROR",0)</f>
        <v/>
      </c>
      <c r="B693" s="142" t="inlineStr">
        <is>
          <t>MAT06-0302</t>
        </is>
      </c>
      <c r="C693" s="691" t="inlineStr">
        <is>
          <t>BREAKER DOBLE 60AMP SQUARE D</t>
        </is>
      </c>
      <c r="D693" s="692" t="inlineStr">
        <is>
          <t>UND</t>
        </is>
      </c>
      <c r="E693" s="693" t="n">
        <v>11331.5949</v>
      </c>
      <c r="F693" s="694">
        <f>E693*$N$2</f>
        <v/>
      </c>
      <c r="G693" s="695" t="n">
        <v>0</v>
      </c>
      <c r="H693" s="696">
        <f>F693-G693</f>
        <v/>
      </c>
      <c r="I693" s="151" t="n"/>
      <c r="J693" s="152" t="n">
        <v>44550</v>
      </c>
      <c r="K693" s="692" t="inlineStr">
        <is>
          <t>ELECTRICO</t>
        </is>
      </c>
    </row>
    <row r="694" ht="20.1" customHeight="1">
      <c r="A694" s="430">
        <f>_xlfn.XLOOKUP(B694,'INSUMOS MAT '!B:B,'INSUMOS MAT '!C:C,"ERROR",0)</f>
        <v/>
      </c>
      <c r="B694" s="142" t="inlineStr">
        <is>
          <t>MAT06-0305</t>
        </is>
      </c>
      <c r="C694" s="691" t="inlineStr">
        <is>
          <t>BREAKER DOBLE DE 125AMP SQUARE D</t>
        </is>
      </c>
      <c r="D694" s="692" t="inlineStr">
        <is>
          <t>UND</t>
        </is>
      </c>
      <c r="E694" s="693" t="n">
        <v>50428.6572</v>
      </c>
      <c r="F694" s="694">
        <f>E694*$N$2</f>
        <v/>
      </c>
      <c r="G694" s="695" t="n">
        <v>0</v>
      </c>
      <c r="H694" s="696">
        <f>F694-G694</f>
        <v/>
      </c>
      <c r="I694" s="151" t="n"/>
      <c r="J694" s="152" t="n">
        <v>44550</v>
      </c>
      <c r="K694" s="692" t="inlineStr">
        <is>
          <t>ELECTRICO</t>
        </is>
      </c>
    </row>
    <row r="695" ht="20.1" customHeight="1">
      <c r="A695" s="430">
        <f>_xlfn.XLOOKUP(B695,'INSUMOS MAT '!B:B,'INSUMOS MAT '!C:C,"ERROR",0)</f>
        <v/>
      </c>
      <c r="B695" s="142" t="inlineStr">
        <is>
          <t>MAT06-0303</t>
        </is>
      </c>
      <c r="C695" s="691" t="inlineStr">
        <is>
          <t>BREAKER DOBLE DE 40AMP SQUARE D</t>
        </is>
      </c>
      <c r="D695" s="692" t="inlineStr">
        <is>
          <t>UND</t>
        </is>
      </c>
      <c r="E695" s="693" t="n">
        <v>11331.65</v>
      </c>
      <c r="F695" s="694">
        <f>E695*$N$2</f>
        <v/>
      </c>
      <c r="G695" s="695" t="n">
        <v>0</v>
      </c>
      <c r="H695" s="696">
        <f>F695-G695</f>
        <v/>
      </c>
      <c r="I695" s="151" t="n"/>
      <c r="J695" s="152" t="n">
        <v>44692</v>
      </c>
      <c r="K695" s="692" t="inlineStr">
        <is>
          <t>ELECTRICO</t>
        </is>
      </c>
    </row>
    <row r="696" ht="20.1" customHeight="1">
      <c r="A696" s="430">
        <f>_xlfn.XLOOKUP(B696,'INSUMOS MAT '!B:B,'INSUMOS MAT '!C:C,"ERROR",0)</f>
        <v/>
      </c>
      <c r="B696" s="142" t="inlineStr">
        <is>
          <t>MAT06-0301</t>
        </is>
      </c>
      <c r="C696" s="691" t="inlineStr">
        <is>
          <t>BREAKER DUAL 20AMP SQUARE D</t>
        </is>
      </c>
      <c r="D696" s="692" t="inlineStr">
        <is>
          <t>UND</t>
        </is>
      </c>
      <c r="E696" s="693" t="n">
        <v>29392.5884</v>
      </c>
      <c r="F696" s="694">
        <f>E696*$N$2</f>
        <v/>
      </c>
      <c r="G696" s="695" t="n">
        <v>0</v>
      </c>
      <c r="H696" s="696">
        <f>F696-G696</f>
        <v/>
      </c>
      <c r="I696" s="151" t="n"/>
      <c r="J696" s="152" t="n">
        <v>44550</v>
      </c>
      <c r="K696" s="692" t="inlineStr">
        <is>
          <t>ELECTRICO</t>
        </is>
      </c>
    </row>
    <row r="697" ht="20.1" customHeight="1">
      <c r="A697" s="430">
        <f>_xlfn.XLOOKUP(B697,'INSUMOS MAT '!B:B,'INSUMOS MAT '!C:C,"ERROR",0)</f>
        <v/>
      </c>
      <c r="B697" s="142" t="inlineStr">
        <is>
          <t>MAT06-0111</t>
        </is>
      </c>
      <c r="C697" s="691" t="inlineStr">
        <is>
          <t>CUBIERTA PARA CENTRO DE CARGA TIPO QOC24UF, MONTAJE DE EMPOTRAR</t>
        </is>
      </c>
      <c r="D697" s="692" t="inlineStr">
        <is>
          <t>UND</t>
        </is>
      </c>
      <c r="E697" s="693" t="n">
        <v>17015.74</v>
      </c>
      <c r="F697" s="694">
        <f>E697*$N$2</f>
        <v/>
      </c>
      <c r="G697" s="695" t="n">
        <v>0</v>
      </c>
      <c r="H697" s="696">
        <f>F697-G697</f>
        <v/>
      </c>
      <c r="I697" s="151" t="n"/>
      <c r="J697" s="152" t="n">
        <v>44692</v>
      </c>
      <c r="K697" s="692" t="inlineStr">
        <is>
          <t>ELECTRICO</t>
        </is>
      </c>
    </row>
    <row r="698" ht="20.1" customHeight="1">
      <c r="A698" s="430">
        <f>_xlfn.XLOOKUP(B698,'INSUMOS MAT '!B:B,'INSUMOS MAT '!C:C,"ERROR",0)</f>
        <v/>
      </c>
      <c r="B698" s="142" t="inlineStr">
        <is>
          <t>MAT08-0135</t>
        </is>
      </c>
      <c r="C698" s="691" t="inlineStr">
        <is>
          <t>DESAGUE PUSH P/BAÑO</t>
        </is>
      </c>
      <c r="D698" s="692" t="inlineStr">
        <is>
          <t>UND</t>
        </is>
      </c>
      <c r="E698" s="693" t="n">
        <v>10735</v>
      </c>
      <c r="F698" s="694">
        <f>E698*$N$2</f>
        <v/>
      </c>
      <c r="G698" s="695" t="n">
        <v>0</v>
      </c>
      <c r="H698" s="696">
        <f>F698-G698</f>
        <v/>
      </c>
      <c r="I698" s="151" t="n"/>
      <c r="J698" s="152" t="n">
        <v>44541</v>
      </c>
      <c r="K698" s="692" t="inlineStr">
        <is>
          <t>FERRETERIA GENERAL</t>
        </is>
      </c>
    </row>
    <row r="699" ht="20.1" customHeight="1">
      <c r="A699" s="135" t="n"/>
      <c r="B699" s="142" t="inlineStr">
        <is>
          <t>ACA03-0001</t>
        </is>
      </c>
      <c r="C699" s="691" t="inlineStr">
        <is>
          <t>FLETE AGREGADOS</t>
        </is>
      </c>
      <c r="D699" s="692" t="inlineStr">
        <is>
          <t>UND</t>
        </is>
      </c>
      <c r="E699" s="693" t="n">
        <v>6054.2121</v>
      </c>
      <c r="F699" s="694">
        <f>E699*$N$2</f>
        <v/>
      </c>
      <c r="G699" s="695" t="n">
        <v>0</v>
      </c>
      <c r="H699" s="696">
        <f>F699-G699</f>
        <v/>
      </c>
      <c r="I699" s="151" t="n"/>
      <c r="J699" s="152" t="n">
        <v>44692</v>
      </c>
      <c r="K699" s="692" t="inlineStr">
        <is>
          <t>AGREGADOS</t>
        </is>
      </c>
    </row>
    <row r="700">
      <c r="A700" s="430">
        <f>_xlfn.XLOOKUP(B700,'INSUMOS MAT '!B:B,'INSUMOS MAT '!C:C,"ERROR",0)</f>
        <v/>
      </c>
      <c r="B700" s="142" t="inlineStr">
        <is>
          <t>MAT05-0014</t>
        </is>
      </c>
      <c r="C700" s="691" t="inlineStr">
        <is>
          <t>IMPERMEABILIZANTE AQUA- PROOF LANCO</t>
        </is>
      </c>
      <c r="D700" s="692" t="inlineStr">
        <is>
          <t>GALON</t>
        </is>
      </c>
      <c r="E700" s="693" t="n">
        <v>19610.89</v>
      </c>
      <c r="F700" s="694">
        <f>E700*$N$2</f>
        <v/>
      </c>
      <c r="G700" s="695" t="n">
        <v>0</v>
      </c>
      <c r="H700" s="696">
        <f>F700-G700</f>
        <v/>
      </c>
      <c r="I700" s="151" t="n"/>
      <c r="J700" s="152" t="n">
        <v>44692</v>
      </c>
      <c r="K700" s="692" t="inlineStr">
        <is>
          <t>CUBIERTAS E IMPERMEBILIZANTES</t>
        </is>
      </c>
    </row>
    <row r="701" ht="20.1" customHeight="1">
      <c r="A701" s="430">
        <f>_xlfn.XLOOKUP(B701,'INSUMOS MAT '!B:B,'INSUMOS MAT '!C:C,"ERROR",0)</f>
        <v/>
      </c>
      <c r="B701" s="142" t="inlineStr">
        <is>
          <t>MAT05-0002</t>
        </is>
      </c>
      <c r="C701" s="691" t="inlineStr">
        <is>
          <t>IMPERMEABILIZANTE TOP 202</t>
        </is>
      </c>
      <c r="D701" s="692" t="inlineStr">
        <is>
          <t>CUBETA</t>
        </is>
      </c>
      <c r="E701" s="693" t="n">
        <v>260545.5267</v>
      </c>
      <c r="F701" s="694">
        <f>E701*$N$2</f>
        <v/>
      </c>
      <c r="G701" s="695" t="n">
        <v>0</v>
      </c>
      <c r="H701" s="696">
        <f>F701-G701</f>
        <v/>
      </c>
      <c r="I701" s="151" t="n"/>
      <c r="J701" s="152" t="n">
        <v>44692</v>
      </c>
      <c r="K701" s="692" t="inlineStr">
        <is>
          <t>CUBIERTAS E IMPERMEBILIZANTES</t>
        </is>
      </c>
    </row>
    <row r="702" ht="20.1" customHeight="1">
      <c r="A702" s="430">
        <f>_xlfn.XLOOKUP(B702,'INSUMOS MAT '!B:B,'INSUMOS MAT '!C:C,"ERROR",0)</f>
        <v/>
      </c>
      <c r="B702" s="142" t="inlineStr">
        <is>
          <t>MAT03-0014</t>
        </is>
      </c>
      <c r="C702" s="691" t="inlineStr">
        <is>
          <t>LASTRE FINO</t>
        </is>
      </c>
      <c r="D702" s="692" t="inlineStr">
        <is>
          <t>M3</t>
        </is>
      </c>
      <c r="E702" s="698" t="n">
        <v>3201.23</v>
      </c>
      <c r="F702" s="699">
        <f>E702*$N$2</f>
        <v/>
      </c>
      <c r="G702" s="695" t="n">
        <v>0</v>
      </c>
      <c r="H702" s="696">
        <f>F702-G702</f>
        <v/>
      </c>
      <c r="I702" s="151" t="n"/>
      <c r="J702" s="152" t="n">
        <v>44692</v>
      </c>
      <c r="K702" s="692" t="inlineStr">
        <is>
          <t>AGREGADOS</t>
        </is>
      </c>
    </row>
    <row r="703" ht="20.1" customHeight="1">
      <c r="A703" s="430">
        <f>_xlfn.XLOOKUP(B703,'INSUMOS MAT '!B:B,'INSUMOS MAT '!C:C,"ERROR",0)</f>
        <v/>
      </c>
      <c r="B703" s="142" t="inlineStr">
        <is>
          <t>MAT08-0475</t>
        </is>
      </c>
      <c r="C703" s="691" t="inlineStr">
        <is>
          <t>NIPLE CROMADO 1/2X3.5</t>
        </is>
      </c>
      <c r="D703" s="692" t="inlineStr">
        <is>
          <t>%MO</t>
        </is>
      </c>
      <c r="E703" s="693" t="n">
        <v>921.063</v>
      </c>
      <c r="F703" s="694">
        <f>E703*$N$2</f>
        <v/>
      </c>
      <c r="G703" s="695" t="n">
        <v>0</v>
      </c>
      <c r="H703" s="696">
        <f>F703-G703</f>
        <v/>
      </c>
      <c r="I703" s="151" t="n"/>
      <c r="J703" s="152" t="n">
        <v>44545</v>
      </c>
      <c r="K703" s="692" t="inlineStr">
        <is>
          <t>FERRETERIA GENERAL</t>
        </is>
      </c>
    </row>
    <row r="704" ht="20.1" customHeight="1">
      <c r="A704" s="430">
        <f>_xlfn.XLOOKUP(B704,'INSUMOS MAT '!B:B,'INSUMOS MAT '!C:C,"ERROR",0)</f>
        <v/>
      </c>
      <c r="B704" s="142" t="inlineStr">
        <is>
          <t>MAT05-0077</t>
        </is>
      </c>
      <c r="C704" s="691" t="inlineStr">
        <is>
          <t>PERFIL TIPO U TERMINAL LAMINA 8MM NEGRO 4.3 M (POLYCARBONATO)</t>
        </is>
      </c>
      <c r="D704" s="692" t="inlineStr">
        <is>
          <t>UND</t>
        </is>
      </c>
      <c r="E704" s="693" t="n">
        <v>5601.7312</v>
      </c>
      <c r="F704" s="694">
        <f>E704*$N$2</f>
        <v/>
      </c>
      <c r="G704" s="695" t="n">
        <v>0</v>
      </c>
      <c r="H704" s="696">
        <f>F704-G704</f>
        <v/>
      </c>
      <c r="I704" s="151" t="n"/>
      <c r="J704" s="152" t="n">
        <v>44547</v>
      </c>
      <c r="K704" s="692" t="inlineStr">
        <is>
          <t>CUBIERTAS E IMPERMEBILIZANTES</t>
        </is>
      </c>
    </row>
    <row r="705" ht="20.1" customHeight="1">
      <c r="A705" s="430">
        <f>_xlfn.XLOOKUP(B705,'INSUMOS MAT '!B:B,'INSUMOS MAT '!C:C,"ERROR",0)</f>
        <v/>
      </c>
      <c r="B705" s="142" t="inlineStr">
        <is>
          <t>MAT16-0020</t>
        </is>
      </c>
      <c r="C705" s="691" t="inlineStr">
        <is>
          <t>PINTURA INTERIOR FIBROCENTRO</t>
        </is>
      </c>
      <c r="D705" s="692" t="inlineStr">
        <is>
          <t>CUBETA</t>
        </is>
      </c>
      <c r="E705" s="693" t="n">
        <v>42000</v>
      </c>
      <c r="F705" s="694">
        <f>E705*$N$2</f>
        <v/>
      </c>
      <c r="G705" s="695" t="n">
        <v>0</v>
      </c>
      <c r="H705" s="696">
        <f>F705-G705</f>
        <v/>
      </c>
      <c r="I705" s="151" t="n"/>
      <c r="J705" s="152" t="n">
        <v>44692</v>
      </c>
      <c r="K705" s="692" t="inlineStr">
        <is>
          <t>PINTURAS Y REVESTIMIENTOS</t>
        </is>
      </c>
    </row>
    <row r="706" ht="20.1" customHeight="1">
      <c r="A706" s="430">
        <f>_xlfn.XLOOKUP(B706,'INSUMOS MAT '!B:B,'INSUMOS MAT '!C:C,"ERROR",0)</f>
        <v/>
      </c>
      <c r="B706" s="142" t="inlineStr">
        <is>
          <t>MAT02-0140</t>
        </is>
      </c>
      <c r="C706" s="691" t="inlineStr">
        <is>
          <t>PLATINA H.N. DE 4 PULGADAS EN 6M</t>
        </is>
      </c>
      <c r="D706" s="692" t="inlineStr">
        <is>
          <t>UND</t>
        </is>
      </c>
      <c r="E706" s="693" t="n">
        <v>41765.1389</v>
      </c>
      <c r="F706" s="694">
        <f>E706*$N$2</f>
        <v/>
      </c>
      <c r="G706" s="695" t="n">
        <v>0</v>
      </c>
      <c r="H706" s="696">
        <f>F706-G706</f>
        <v/>
      </c>
      <c r="I706" s="151" t="n"/>
      <c r="J706" s="152" t="n">
        <v>44692</v>
      </c>
      <c r="K706" s="692" t="inlineStr">
        <is>
          <t>ACEROS Y METALES</t>
        </is>
      </c>
    </row>
    <row r="707" ht="20.1" customHeight="1">
      <c r="A707" s="430">
        <f>_xlfn.XLOOKUP(B707,'INSUMOS MAT '!B:B,'INSUMOS MAT '!C:C,"ERROR",0)</f>
        <v/>
      </c>
      <c r="B707" s="142" t="inlineStr">
        <is>
          <t>MAT17-0063</t>
        </is>
      </c>
      <c r="C707" s="691" t="inlineStr">
        <is>
          <t>PORCELANATO BALDOCER T. MADERA BAL MARYLAND HAYA RECT 20X114</t>
        </is>
      </c>
      <c r="D707" s="692" t="inlineStr">
        <is>
          <t>M2</t>
        </is>
      </c>
      <c r="E707" s="693" t="n">
        <v>14994.9877</v>
      </c>
      <c r="F707" s="694">
        <f>E707*$N$2</f>
        <v/>
      </c>
      <c r="G707" s="695" t="n">
        <v>0</v>
      </c>
      <c r="H707" s="696">
        <f>F707-G707</f>
        <v/>
      </c>
      <c r="I707" s="151" t="n"/>
      <c r="J707" s="152" t="n">
        <v>44692</v>
      </c>
      <c r="K707" s="692" t="inlineStr">
        <is>
          <t>PISOS Y ENCHAPES</t>
        </is>
      </c>
    </row>
    <row r="708" ht="20.1" customHeight="1">
      <c r="A708" s="430">
        <f>_xlfn.XLOOKUP(B708,'INSUMOS MAT '!B:B,'INSUMOS MAT '!C:C,"ERROR",0)</f>
        <v/>
      </c>
      <c r="B708" s="142" t="inlineStr">
        <is>
          <t>MAT06-0282</t>
        </is>
      </c>
      <c r="C708" s="691" t="inlineStr">
        <is>
          <t>REFLECTOR LED 50 WATTS 5000K 110/277 V</t>
        </is>
      </c>
      <c r="D708" s="692" t="inlineStr">
        <is>
          <t>UND</t>
        </is>
      </c>
      <c r="E708" s="693" t="n">
        <v>18661.52</v>
      </c>
      <c r="F708" s="694">
        <f>E708*$N$2</f>
        <v/>
      </c>
      <c r="G708" s="695" t="n">
        <v>0</v>
      </c>
      <c r="H708" s="696">
        <f>F708-G708</f>
        <v/>
      </c>
      <c r="I708" s="151" t="n"/>
      <c r="J708" s="152" t="n">
        <v>44692</v>
      </c>
      <c r="K708" s="692" t="inlineStr">
        <is>
          <t>ELECTRICO</t>
        </is>
      </c>
    </row>
    <row r="709" ht="20.1" customHeight="1">
      <c r="A709" s="430">
        <f>_xlfn.XLOOKUP(B709,'INSUMOS MAT '!B:B,'INSUMOS MAT '!C:C,"ERROR",0)</f>
        <v/>
      </c>
      <c r="B709" s="142" t="inlineStr">
        <is>
          <t>MAT16-0073</t>
        </is>
      </c>
      <c r="C709" s="691" t="inlineStr">
        <is>
          <t>RESANANDOR PREMEZCLADO ONE TIME (1/4 GALON)</t>
        </is>
      </c>
      <c r="D709" s="692" t="inlineStr">
        <is>
          <t>UND</t>
        </is>
      </c>
      <c r="E709" s="693" t="n">
        <v>3648</v>
      </c>
      <c r="F709" s="694">
        <f>E709*$N$2</f>
        <v/>
      </c>
      <c r="G709" s="695" t="n">
        <v>0</v>
      </c>
      <c r="H709" s="696">
        <f>F709-G709</f>
        <v/>
      </c>
      <c r="I709" s="151" t="n"/>
      <c r="J709" s="152" t="n">
        <v>44692</v>
      </c>
      <c r="K709" s="692" t="inlineStr">
        <is>
          <t>PINTURAS Y REVESTIMIENTOS</t>
        </is>
      </c>
    </row>
    <row r="710" ht="20.1" customHeight="1">
      <c r="A710" s="430">
        <f>_xlfn.XLOOKUP(B710,'INSUMOS MAT '!B:B,'INSUMOS MAT '!C:C,"ERROR",0)</f>
        <v/>
      </c>
      <c r="B710" s="142" t="inlineStr">
        <is>
          <t>MAT08-0114</t>
        </is>
      </c>
      <c r="C710" s="691" t="inlineStr">
        <is>
          <t>SILLETA P/MALLA SM100</t>
        </is>
      </c>
      <c r="D710" s="692" t="inlineStr">
        <is>
          <t>UND</t>
        </is>
      </c>
      <c r="E710" s="693" t="n">
        <v>40.0208</v>
      </c>
      <c r="F710" s="694">
        <f>E710*$N$2</f>
        <v/>
      </c>
      <c r="G710" s="695" t="n">
        <v>0</v>
      </c>
      <c r="H710" s="696">
        <f>F710-G710</f>
        <v/>
      </c>
      <c r="I710" s="151" t="n"/>
      <c r="J710" s="152" t="n">
        <v>44692</v>
      </c>
      <c r="K710" s="692" t="inlineStr">
        <is>
          <t>FERRETERIA GENERAL</t>
        </is>
      </c>
    </row>
    <row r="711" ht="20.1" customHeight="1">
      <c r="A711" s="430">
        <f>_xlfn.XLOOKUP(B711,'INSUMOS MAT '!B:B,'INSUMOS MAT '!C:C,"ERROR",0)</f>
        <v/>
      </c>
      <c r="B711" s="142" t="inlineStr">
        <is>
          <t>MAT06-0148</t>
        </is>
      </c>
      <c r="C711" s="691" t="inlineStr">
        <is>
          <t>TOMA PARCHE WD112 50A 250V 3P-3H NEMA 10-50 COOPER</t>
        </is>
      </c>
      <c r="D711" s="692" t="inlineStr">
        <is>
          <t>UND</t>
        </is>
      </c>
      <c r="E711" s="693" t="n">
        <v>2712</v>
      </c>
      <c r="F711" s="694">
        <f>E711*$N$2</f>
        <v/>
      </c>
      <c r="G711" s="695" t="n">
        <v>0</v>
      </c>
      <c r="H711" s="696">
        <f>F711-G711</f>
        <v/>
      </c>
      <c r="I711" s="151" t="n"/>
      <c r="J711" s="152" t="n">
        <v>44692</v>
      </c>
      <c r="K711" s="692" t="inlineStr">
        <is>
          <t>ELECTRICO</t>
        </is>
      </c>
    </row>
    <row r="712" ht="20.1" customHeight="1">
      <c r="A712" s="430">
        <f>_xlfn.XLOOKUP(B712,'INSUMOS MAT '!B:B,'INSUMOS MAT '!C:C,"ERROR",0)</f>
        <v/>
      </c>
      <c r="B712" s="155" t="inlineStr">
        <is>
          <t>MAT08-0127</t>
        </is>
      </c>
      <c r="C712" s="703" t="inlineStr">
        <is>
          <t>TORNILLO 2 PULG GALVANIZADO P/TECHO  P/BROCA</t>
        </is>
      </c>
      <c r="D712" s="704" t="inlineStr">
        <is>
          <t>UND</t>
        </is>
      </c>
      <c r="E712" s="703" t="n">
        <v>70.0035</v>
      </c>
      <c r="F712" s="705">
        <f>E712*$N$2</f>
        <v/>
      </c>
      <c r="G712" s="706" t="n">
        <v>0</v>
      </c>
      <c r="H712" s="706">
        <f>F712-G712</f>
        <v/>
      </c>
      <c r="I712" s="102" t="n"/>
      <c r="J712" s="180" t="n">
        <v>44692</v>
      </c>
      <c r="K712" s="704" t="inlineStr">
        <is>
          <t>FERRETERIA GENERAL</t>
        </is>
      </c>
    </row>
    <row r="713" ht="20.1" customHeight="1">
      <c r="A713" s="430">
        <f>_xlfn.XLOOKUP(B713,'INSUMOS MAT '!B:B,'INSUMOS MAT '!C:C,"ERROR",0)</f>
        <v/>
      </c>
      <c r="B713" s="142" t="inlineStr">
        <is>
          <t>MAT05-0068</t>
        </is>
      </c>
      <c r="C713" s="142" t="inlineStr">
        <is>
          <t>TAPA POLICARBONATO HUMO EN 11.80 METROS</t>
        </is>
      </c>
      <c r="D713" s="704" t="inlineStr">
        <is>
          <t>UND</t>
        </is>
      </c>
      <c r="E713" s="707" t="n">
        <v>16911.5</v>
      </c>
      <c r="F713" s="705">
        <f>E713*$N$2</f>
        <v/>
      </c>
      <c r="G713" s="706" t="n">
        <v>0</v>
      </c>
      <c r="H713" s="706">
        <f>F713-G713</f>
        <v/>
      </c>
      <c r="I713" s="102" t="n"/>
      <c r="J713" s="180" t="n"/>
      <c r="K713" s="704" t="n"/>
    </row>
    <row r="714" ht="20.1" customHeight="1">
      <c r="A714" s="430">
        <f>_xlfn.XLOOKUP(B714,'INSUMOS MAT '!B:B,'INSUMOS MAT '!C:C,"ERROR",0)</f>
        <v/>
      </c>
      <c r="B714" s="142" t="inlineStr">
        <is>
          <t>MAT05-0069</t>
        </is>
      </c>
      <c r="C714" s="142" t="inlineStr">
        <is>
          <t>MARLON ST FORWALL 8MM HUMO 1.05 X 11.80 M</t>
        </is>
      </c>
      <c r="D714" s="704" t="inlineStr">
        <is>
          <t>UND</t>
        </is>
      </c>
      <c r="E714" s="707" t="n">
        <v>89073.45</v>
      </c>
      <c r="F714" s="705">
        <f>E714*$N$2</f>
        <v/>
      </c>
      <c r="G714" s="706" t="n">
        <v>0</v>
      </c>
      <c r="H714" s="706">
        <f>F714-G714</f>
        <v/>
      </c>
      <c r="I714" s="102" t="n"/>
      <c r="J714" s="180" t="n"/>
      <c r="K714" s="704" t="n"/>
    </row>
    <row r="715" ht="20.1" customHeight="1">
      <c r="A715" s="430">
        <f>_xlfn.XLOOKUP(B715,'INSUMOS MAT '!B:B,'INSUMOS MAT '!C:C,"ERROR",0)</f>
        <v/>
      </c>
      <c r="B715" s="142" t="inlineStr">
        <is>
          <t>MAT05-0072</t>
        </is>
      </c>
      <c r="C715" s="142" t="inlineStr">
        <is>
          <t>TORNILLO PTA BROCA BICROMATIZADO 1 (POLYCARBONATO)</t>
        </is>
      </c>
      <c r="D715" s="704" t="inlineStr">
        <is>
          <t>UND</t>
        </is>
      </c>
      <c r="E715" s="707" t="n">
        <v>55.75</v>
      </c>
      <c r="F715" s="705">
        <f>E715*$N$2</f>
        <v/>
      </c>
      <c r="G715" s="706" t="n">
        <v>0</v>
      </c>
      <c r="H715" s="706">
        <f>F715-G715</f>
        <v/>
      </c>
      <c r="I715" s="102" t="n"/>
      <c r="J715" s="180" t="n"/>
      <c r="K715" s="704" t="n"/>
    </row>
    <row r="716" ht="20.1" customHeight="1">
      <c r="A716" s="135" t="n"/>
      <c r="B716" s="270" t="inlineStr">
        <is>
          <t xml:space="preserve">CANOA </t>
        </is>
      </c>
      <c r="C716" s="270" t="inlineStr">
        <is>
          <t xml:space="preserve">CANOA HG 10 CM </t>
        </is>
      </c>
      <c r="D716" s="708" t="inlineStr">
        <is>
          <t xml:space="preserve">YARDA </t>
        </is>
      </c>
      <c r="E716" s="709" t="n">
        <v>8408</v>
      </c>
      <c r="F716" s="710">
        <f>E716*$N$2</f>
        <v/>
      </c>
      <c r="G716" s="706" t="n">
        <v>0</v>
      </c>
      <c r="H716" s="706">
        <f>F716-G716</f>
        <v/>
      </c>
      <c r="I716" s="102" t="n"/>
      <c r="J716" s="180" t="n"/>
      <c r="K716" s="704" t="n"/>
    </row>
    <row r="717" ht="20.1" customHeight="1">
      <c r="A717" s="135" t="n"/>
      <c r="B717" s="270" t="inlineStr">
        <is>
          <t xml:space="preserve">BOTAGUA </t>
        </is>
      </c>
      <c r="C717" s="270" t="inlineStr">
        <is>
          <t xml:space="preserve">BOTAGUA 10 CM X 10 CM X 1,83 M </t>
        </is>
      </c>
      <c r="D717" s="708" t="inlineStr">
        <is>
          <t xml:space="preserve">UND </t>
        </is>
      </c>
      <c r="E717" s="709" t="n">
        <v>5221.24</v>
      </c>
      <c r="F717" s="710">
        <f>E717*$N$2</f>
        <v/>
      </c>
      <c r="G717" s="706" t="n">
        <v>0</v>
      </c>
      <c r="H717" s="706">
        <f>F717-G717</f>
        <v/>
      </c>
      <c r="I717" s="102" t="n"/>
      <c r="J717" s="180" t="n"/>
      <c r="K717" s="704" t="n"/>
    </row>
    <row r="718">
      <c r="A718" s="135" t="n"/>
      <c r="B718" s="270" t="inlineStr">
        <is>
          <t xml:space="preserve">GANCHO CANOA </t>
        </is>
      </c>
      <c r="C718" s="270" t="inlineStr">
        <is>
          <t xml:space="preserve">GANCHO CANOA </t>
        </is>
      </c>
      <c r="D718" s="708" t="inlineStr">
        <is>
          <t xml:space="preserve">UND </t>
        </is>
      </c>
      <c r="E718" s="709" t="n">
        <v>1119.47</v>
      </c>
      <c r="F718" s="710">
        <f>E718*$N$2</f>
        <v/>
      </c>
      <c r="G718" s="706" t="n">
        <v>0</v>
      </c>
      <c r="H718" s="706">
        <f>F718-G718</f>
        <v/>
      </c>
      <c r="I718" s="102" t="n"/>
      <c r="J718" s="180" t="n"/>
      <c r="K718" s="704" t="n"/>
    </row>
    <row r="719" ht="20.1" customHeight="1">
      <c r="A719" s="430">
        <f>_xlfn.XLOOKUP(B719,'INSUMOS MAT '!B:B,'INSUMOS MAT '!C:C,"ERROR",0)</f>
        <v/>
      </c>
      <c r="B719" s="142" t="inlineStr">
        <is>
          <t>MAT18-0032</t>
        </is>
      </c>
      <c r="C719" s="142" t="inlineStr">
        <is>
          <t>PUERTA -MARCO-MOLDURA-BISAGRA BUQUE 100 CM</t>
        </is>
      </c>
      <c r="D719" s="704" t="inlineStr">
        <is>
          <t>UND</t>
        </is>
      </c>
      <c r="E719" s="707" t="n">
        <v>102654.86</v>
      </c>
      <c r="F719" s="705">
        <f>E719*$N$2</f>
        <v/>
      </c>
      <c r="G719" s="706" t="n">
        <v>0</v>
      </c>
      <c r="H719" s="706">
        <f>F719-G719</f>
        <v/>
      </c>
      <c r="I719" s="102" t="n"/>
      <c r="J719" s="180" t="n"/>
      <c r="K719" s="704" t="n"/>
    </row>
    <row r="720" ht="20.1" customHeight="1">
      <c r="A720" s="430">
        <f>_xlfn.XLOOKUP(B720,'INSUMOS MAT '!B:B,'INSUMOS MAT '!C:C,"ERROR",0)</f>
        <v/>
      </c>
      <c r="B720" s="142" t="inlineStr">
        <is>
          <t>MAT18-0035</t>
        </is>
      </c>
      <c r="C720" s="142" t="inlineStr">
        <is>
          <t>PUERTA -MARCO-MOLDURA-BISAGRA BUQUE 90 CM</t>
        </is>
      </c>
      <c r="D720" s="704" t="inlineStr">
        <is>
          <t>UND</t>
        </is>
      </c>
      <c r="E720" s="707" t="n">
        <v>102654.86</v>
      </c>
      <c r="F720" s="705">
        <f>E720*$N$2</f>
        <v/>
      </c>
      <c r="G720" s="706" t="n">
        <v>0</v>
      </c>
      <c r="H720" s="706">
        <f>F720-G720</f>
        <v/>
      </c>
      <c r="I720" s="102" t="n"/>
      <c r="J720" s="180" t="n"/>
      <c r="K720" s="704" t="n"/>
    </row>
    <row r="721" ht="20.1" customHeight="1">
      <c r="A721" s="430">
        <f>_xlfn.XLOOKUP(B721,'INSUMOS MAT '!B:B,'INSUMOS MAT '!C:C,"ERROR",0)</f>
        <v/>
      </c>
      <c r="B721" s="142" t="inlineStr">
        <is>
          <t>MAT18-0036</t>
        </is>
      </c>
      <c r="C721" s="142" t="inlineStr">
        <is>
          <t>PUERTA -MARCO-MOLDURA-BISAGRA BUQUE 80 CM</t>
        </is>
      </c>
      <c r="D721" s="704" t="inlineStr">
        <is>
          <t>UND</t>
        </is>
      </c>
      <c r="E721" s="707" t="n">
        <v>102654.86</v>
      </c>
      <c r="F721" s="705">
        <f>E721*$N$2</f>
        <v/>
      </c>
      <c r="G721" s="706" t="n">
        <v>0</v>
      </c>
      <c r="H721" s="706">
        <f>F721-G721</f>
        <v/>
      </c>
      <c r="I721" s="102" t="n"/>
      <c r="J721" s="180" t="n"/>
      <c r="K721" s="704" t="n"/>
    </row>
    <row r="722" ht="20.1" customHeight="1">
      <c r="A722" s="430">
        <f>_xlfn.XLOOKUP(B722,'INSUMOS MAT '!B:B,'INSUMOS MAT '!C:C,"ERROR",0)</f>
        <v/>
      </c>
      <c r="B722" s="477" t="inlineStr">
        <is>
          <t>MAT18-0037</t>
        </is>
      </c>
      <c r="C722" s="477" t="n"/>
      <c r="D722" s="711" t="n"/>
      <c r="E722" s="712" t="n"/>
      <c r="F722" s="713" t="n"/>
      <c r="G722" s="706" t="n"/>
      <c r="H722" s="706" t="n"/>
      <c r="I722" s="102" t="n"/>
      <c r="J722" s="180" t="n"/>
      <c r="K722" s="704" t="n"/>
    </row>
    <row r="723" ht="20.1" customHeight="1">
      <c r="A723" s="430">
        <f>_xlfn.XLOOKUP(B723,'INSUMOS MAT '!B:B,'INSUMOS MAT '!C:C,"ERROR",0)</f>
        <v/>
      </c>
      <c r="B723" s="142" t="inlineStr">
        <is>
          <t>MAT04-0049</t>
        </is>
      </c>
      <c r="C723" s="142" t="inlineStr">
        <is>
          <t xml:space="preserve">COLUMNA EN L </t>
        </is>
      </c>
      <c r="D723" s="704" t="inlineStr">
        <is>
          <t>UND</t>
        </is>
      </c>
      <c r="E723" s="707" t="n">
        <v>14042.48</v>
      </c>
      <c r="F723" s="705">
        <f>E723*$N$2</f>
        <v/>
      </c>
      <c r="G723" s="706" t="n">
        <v>0</v>
      </c>
      <c r="H723" s="706">
        <f>F723-G723</f>
        <v/>
      </c>
      <c r="I723" s="102" t="n"/>
      <c r="J723" s="180" t="n"/>
      <c r="K723" s="704" t="n"/>
    </row>
    <row r="724" ht="20.1" customHeight="1">
      <c r="A724" s="430">
        <f>_xlfn.XLOOKUP(B724,'INSUMOS MAT '!B:B,'INSUMOS MAT '!C:C,"ERROR",0)</f>
        <v/>
      </c>
      <c r="B724" s="142" t="inlineStr">
        <is>
          <t>MAT04-0050</t>
        </is>
      </c>
      <c r="C724" s="142" t="inlineStr">
        <is>
          <t>COLUMNA E PREFABRICADA 3.80M</t>
        </is>
      </c>
      <c r="D724" s="704" t="inlineStr">
        <is>
          <t>UND</t>
        </is>
      </c>
      <c r="E724" s="707" t="n">
        <v>15482.3</v>
      </c>
      <c r="F724" s="705">
        <f>E724*$N$2</f>
        <v/>
      </c>
      <c r="G724" s="706" t="n">
        <v>0</v>
      </c>
      <c r="H724" s="706">
        <f>F724-G724</f>
        <v/>
      </c>
      <c r="I724" s="102" t="n"/>
      <c r="J724" s="180" t="n"/>
      <c r="K724" s="704" t="n"/>
    </row>
    <row r="725" ht="20.1" customHeight="1">
      <c r="A725" s="430">
        <f>_xlfn.XLOOKUP(B725,'INSUMOS MAT '!B:B,'INSUMOS MAT '!C:C,"ERROR",0)</f>
        <v/>
      </c>
      <c r="B725" s="142" t="inlineStr">
        <is>
          <t>MAT04-0072</t>
        </is>
      </c>
      <c r="C725" s="691" t="inlineStr">
        <is>
          <t>COLUMNA C PREFABRICADA 3.80M</t>
        </is>
      </c>
      <c r="D725" s="692" t="inlineStr">
        <is>
          <t>UND</t>
        </is>
      </c>
      <c r="E725" s="707" t="n">
        <v>15482.3</v>
      </c>
      <c r="F725" s="694">
        <f>E725*$N$2</f>
        <v/>
      </c>
      <c r="G725" s="695" t="n">
        <v>0</v>
      </c>
      <c r="H725" s="696">
        <f>F725-G725</f>
        <v/>
      </c>
      <c r="I725" s="151" t="n"/>
      <c r="J725" s="152" t="n">
        <v>44692</v>
      </c>
      <c r="K725" s="692" t="inlineStr">
        <is>
          <t>CONCRETOS CEMENTOS Y MORTEROS</t>
        </is>
      </c>
    </row>
    <row r="726" ht="20.1" customHeight="1">
      <c r="A726" s="430">
        <f>_xlfn.XLOOKUP(B726,'INSUMOS MAT '!B:B,'INSUMOS MAT '!C:C,"ERROR",0)</f>
        <v/>
      </c>
      <c r="B726" s="142" t="inlineStr">
        <is>
          <t>MAT04-0052</t>
        </is>
      </c>
      <c r="C726" s="691" t="inlineStr">
        <is>
          <t>BALDOSA LISA 2M LARGO</t>
        </is>
      </c>
      <c r="D726" s="692" t="inlineStr">
        <is>
          <t>UND</t>
        </is>
      </c>
      <c r="E726" s="693" t="n">
        <v>6457.52</v>
      </c>
      <c r="F726" s="694">
        <f>E726*$N$2</f>
        <v/>
      </c>
      <c r="G726" s="695" t="n">
        <v>0</v>
      </c>
      <c r="H726" s="696">
        <f>F726-G726</f>
        <v/>
      </c>
      <c r="I726" s="151" t="n"/>
      <c r="J726" s="152" t="n">
        <v>44692</v>
      </c>
      <c r="K726" s="692" t="inlineStr">
        <is>
          <t>CONCRETOS CEMENTOS Y MORTEROS</t>
        </is>
      </c>
    </row>
    <row r="727" ht="20.1" customHeight="1">
      <c r="A727" s="135" t="n"/>
      <c r="B727" s="142" t="inlineStr">
        <is>
          <t>MAT04-79</t>
        </is>
      </c>
      <c r="C727" s="691" t="inlineStr">
        <is>
          <t>CINTA MALLA ADHESIVA P/GYP (45M)</t>
        </is>
      </c>
      <c r="D727" s="704" t="inlineStr">
        <is>
          <t>UND</t>
        </is>
      </c>
      <c r="E727" s="693" t="n">
        <v>11371.68</v>
      </c>
      <c r="F727" s="694">
        <f>E727*$N$2</f>
        <v/>
      </c>
      <c r="G727" s="695" t="n">
        <v>0</v>
      </c>
      <c r="H727" s="696">
        <f>F727-G727</f>
        <v/>
      </c>
      <c r="I727" s="151" t="n"/>
      <c r="J727" s="152" t="n"/>
      <c r="K727" s="692" t="n"/>
    </row>
    <row r="728" ht="20.1" customHeight="1">
      <c r="A728" s="430">
        <f>_xlfn.XLOOKUP(B728,'INSUMOS MAT '!B:B,'INSUMOS MAT '!C:C,"ERROR",0)</f>
        <v/>
      </c>
      <c r="B728" s="142" t="inlineStr">
        <is>
          <t>MAT07-0027</t>
        </is>
      </c>
      <c r="C728" s="691" t="inlineStr">
        <is>
          <t>TORNILLO P/GYP 8X 1/2 P/BROCA (100 UN)</t>
        </is>
      </c>
      <c r="D728" s="704" t="inlineStr">
        <is>
          <t xml:space="preserve">PAQUETE </t>
        </is>
      </c>
      <c r="E728" s="693" t="n">
        <v>530.97</v>
      </c>
      <c r="F728" s="694">
        <f>E728*$N$2</f>
        <v/>
      </c>
      <c r="G728" s="695" t="n">
        <v>0</v>
      </c>
      <c r="H728" s="696">
        <f>F728-G728</f>
        <v/>
      </c>
      <c r="I728" s="151" t="n"/>
      <c r="J728" s="152" t="n"/>
      <c r="K728" s="692" t="n"/>
    </row>
    <row r="729" ht="20.1" customHeight="1">
      <c r="A729" s="430">
        <f>_xlfn.XLOOKUP(B729,'INSUMOS MAT '!B:B,'INSUMOS MAT '!C:C,"ERROR",0)</f>
        <v/>
      </c>
      <c r="B729" s="142" t="inlineStr">
        <is>
          <t>MAT14-0005</t>
        </is>
      </c>
      <c r="C729" s="691" t="inlineStr">
        <is>
          <t>DEDALES PARA PUERTA CORREDIZA</t>
        </is>
      </c>
      <c r="D729" s="704" t="inlineStr">
        <is>
          <t>UND</t>
        </is>
      </c>
      <c r="E729" s="693">
        <f>1.18*700</f>
        <v/>
      </c>
      <c r="F729" s="705">
        <f>E729*$N$2</f>
        <v/>
      </c>
      <c r="G729" s="706" t="n">
        <v>0</v>
      </c>
      <c r="H729" s="706">
        <f>F729-G729</f>
        <v/>
      </c>
      <c r="I729" s="102" t="n"/>
      <c r="J729" s="180" t="n"/>
      <c r="K729" s="704" t="n"/>
    </row>
    <row r="730" ht="20.1" customHeight="1">
      <c r="A730" s="135" t="n"/>
      <c r="B730" s="142" t="inlineStr">
        <is>
          <t>MAT14-0037</t>
        </is>
      </c>
      <c r="C730" s="691" t="inlineStr">
        <is>
          <t>RIEL INFERIOR DOBLE GUIA ACL-RIN09-200CM</t>
        </is>
      </c>
      <c r="D730" s="704" t="inlineStr">
        <is>
          <t>UND</t>
        </is>
      </c>
      <c r="E730" s="693">
        <f>14701.42</f>
        <v/>
      </c>
      <c r="F730" s="705">
        <f>E730*$N$2</f>
        <v/>
      </c>
      <c r="G730" s="706" t="n">
        <v>0</v>
      </c>
      <c r="H730" s="706">
        <f>F730-G730</f>
        <v/>
      </c>
      <c r="I730" s="102" t="n"/>
      <c r="J730" s="180" t="n"/>
      <c r="K730" s="704" t="n"/>
    </row>
    <row r="731" ht="20.1" customHeight="1">
      <c r="A731" s="135" t="n"/>
      <c r="B731" s="487" t="inlineStr">
        <is>
          <t xml:space="preserve">TABLATECK 1 </t>
        </is>
      </c>
      <c r="C731" s="691" t="inlineStr">
        <is>
          <t>PERFIL H.G.PA CAL 20 10 X 3.2 X 305CM G60</t>
        </is>
      </c>
      <c r="D731" s="704" t="inlineStr">
        <is>
          <t>UND</t>
        </is>
      </c>
      <c r="E731" s="693" t="n">
        <v>3346.5</v>
      </c>
      <c r="F731" s="714">
        <f>E731*$N$2</f>
        <v/>
      </c>
      <c r="G731" s="695" t="n">
        <v>0</v>
      </c>
      <c r="H731" s="696">
        <f>F731-G731</f>
        <v/>
      </c>
      <c r="I731" s="151" t="n"/>
      <c r="J731" s="152" t="n"/>
      <c r="K731" s="692" t="n"/>
    </row>
    <row r="732" ht="20.1" customHeight="1">
      <c r="A732" s="135" t="n"/>
      <c r="B732" s="487" t="inlineStr">
        <is>
          <t>TABLATECK 2</t>
        </is>
      </c>
      <c r="C732" s="691" t="inlineStr">
        <is>
          <t>PERFIL H.G.PE CAL 20 10 X 5.0 X 305CM G60</t>
        </is>
      </c>
      <c r="D732" s="704" t="inlineStr">
        <is>
          <t>UND</t>
        </is>
      </c>
      <c r="E732" s="693" t="n">
        <v>4250.4</v>
      </c>
      <c r="F732" s="714">
        <f>E732*$N$2</f>
        <v/>
      </c>
      <c r="G732" s="695" t="n">
        <v>0</v>
      </c>
      <c r="H732" s="696">
        <f>F732-G732</f>
        <v/>
      </c>
      <c r="I732" s="151" t="n"/>
      <c r="J732" s="152" t="n"/>
      <c r="K732" s="692" t="n"/>
    </row>
    <row r="733" ht="20.1" customHeight="1">
      <c r="A733" s="135" t="n"/>
      <c r="B733" s="487" t="inlineStr">
        <is>
          <t>TABLATECK 3</t>
        </is>
      </c>
      <c r="C733" s="691" t="inlineStr">
        <is>
          <t>TORNILLOS LH8-050 UNIONES METÁLICAS</t>
        </is>
      </c>
      <c r="D733" s="704" t="inlineStr">
        <is>
          <t>UND</t>
        </is>
      </c>
      <c r="E733" s="693" t="n">
        <v>26.54867256637169</v>
      </c>
      <c r="F733" s="714">
        <f>E733*$N$2</f>
        <v/>
      </c>
      <c r="G733" s="695" t="n">
        <v>0</v>
      </c>
      <c r="H733" s="696">
        <f>F733-G733</f>
        <v/>
      </c>
      <c r="I733" s="151" t="n"/>
      <c r="J733" s="152" t="n"/>
      <c r="K733" s="692" t="n"/>
    </row>
    <row r="734" ht="20.1" customHeight="1">
      <c r="A734" s="430">
        <f>_xlfn.XLOOKUP(B734,'INSUMOS MAT '!B:B,'INSUMOS MAT '!C:C,"ERROR",0)</f>
        <v/>
      </c>
      <c r="B734" s="487" t="inlineStr">
        <is>
          <t>MAT17-0066</t>
        </is>
      </c>
      <c r="C734" s="691" t="inlineStr">
        <is>
          <t>T-TEK TABLILLA JS 11MM 1229X2438MM A11 D76</t>
        </is>
      </c>
      <c r="D734" s="704" t="inlineStr">
        <is>
          <t>UND</t>
        </is>
      </c>
      <c r="E734" s="693" t="n">
        <v>15044.24778761062</v>
      </c>
      <c r="F734" s="714">
        <f>E734*$N$2</f>
        <v/>
      </c>
      <c r="G734" s="695" t="n">
        <v>0</v>
      </c>
      <c r="H734" s="696">
        <f>F734-G734</f>
        <v/>
      </c>
      <c r="I734" s="151" t="n"/>
      <c r="J734" s="152" t="n"/>
      <c r="K734" s="692" t="n"/>
    </row>
    <row r="735" ht="20.1" customHeight="1">
      <c r="A735" s="135" t="n"/>
      <c r="B735" s="487" t="inlineStr">
        <is>
          <t>TABLATECK 4</t>
        </is>
      </c>
      <c r="C735" s="691" t="inlineStr">
        <is>
          <t>TORN PLYCEM PH8-125 PUNTA TEK #8X1-1/4</t>
        </is>
      </c>
      <c r="D735" s="704" t="inlineStr">
        <is>
          <t>UND</t>
        </is>
      </c>
      <c r="E735" s="693" t="n">
        <v>26.54867256637169</v>
      </c>
      <c r="F735" s="714">
        <f>E735*$N$2</f>
        <v/>
      </c>
      <c r="G735" s="695" t="n">
        <v>0</v>
      </c>
      <c r="H735" s="696">
        <f>F735-G735</f>
        <v/>
      </c>
      <c r="I735" s="151" t="n"/>
      <c r="J735" s="152" t="n"/>
      <c r="K735" s="692" t="n"/>
    </row>
    <row r="736" ht="20.1" customHeight="1">
      <c r="A736" s="135" t="n"/>
      <c r="B736" s="487" t="inlineStr">
        <is>
          <t>TABLATECK 5</t>
        </is>
      </c>
      <c r="C736" s="691" t="inlineStr">
        <is>
          <t>SELLADOR DE TORNILLO (ZERO SPACKILNG LANCO)</t>
        </is>
      </c>
      <c r="D736" s="704" t="inlineStr">
        <is>
          <t xml:space="preserve">CUARTO </t>
        </is>
      </c>
      <c r="E736" s="693" t="n">
        <v>3982.300884955753</v>
      </c>
      <c r="F736" s="714">
        <f>E736*$N$2</f>
        <v/>
      </c>
      <c r="G736" s="695" t="n">
        <v>0</v>
      </c>
      <c r="H736" s="696">
        <f>F736-G736</f>
        <v/>
      </c>
      <c r="I736" s="151" t="n"/>
      <c r="J736" s="152" t="n"/>
      <c r="K736" s="692" t="n"/>
    </row>
    <row r="737" ht="20.1" customHeight="1">
      <c r="A737" s="135" t="n"/>
      <c r="B737" s="487" t="inlineStr">
        <is>
          <t>TABLATECK 6</t>
        </is>
      </c>
      <c r="C737" s="691" t="inlineStr">
        <is>
          <t>BUILDING WRAP ROLLO 1.22 X 35 M</t>
        </is>
      </c>
      <c r="D737" s="704" t="inlineStr">
        <is>
          <t>UND</t>
        </is>
      </c>
      <c r="E737" s="693" t="n">
        <v>70796.46017699115</v>
      </c>
      <c r="F737" s="714">
        <f>E737*$N$2</f>
        <v/>
      </c>
      <c r="G737" s="695" t="n">
        <v>0</v>
      </c>
      <c r="H737" s="696">
        <f>F737-G737</f>
        <v/>
      </c>
      <c r="I737" s="151" t="n"/>
      <c r="J737" s="152" t="n"/>
      <c r="K737" s="692" t="n"/>
    </row>
    <row r="738" ht="20.1" customHeight="1">
      <c r="A738" s="135" t="n"/>
      <c r="B738" s="487" t="inlineStr">
        <is>
          <t>MAT21-0015</t>
        </is>
      </c>
      <c r="C738" s="691" t="inlineStr">
        <is>
          <t>SIKAFLEX 1A PLUS SELLADOR POLIURETANO 300 ML</t>
        </is>
      </c>
      <c r="D738" s="704" t="inlineStr">
        <is>
          <t>UND</t>
        </is>
      </c>
      <c r="E738" s="693" t="n">
        <v>4867.256637168142</v>
      </c>
      <c r="F738" s="714">
        <f>E738*$N$2</f>
        <v/>
      </c>
      <c r="G738" s="695" t="n">
        <v>0</v>
      </c>
      <c r="H738" s="696">
        <f>F738-G738</f>
        <v/>
      </c>
      <c r="I738" s="151" t="n"/>
      <c r="J738" s="152" t="n"/>
      <c r="K738" s="692" t="n"/>
    </row>
    <row r="739" ht="20.1" customHeight="1">
      <c r="A739" s="135" t="n"/>
      <c r="B739" s="487" t="inlineStr">
        <is>
          <t>TABLATECK 7</t>
        </is>
      </c>
      <c r="C739" s="691" t="inlineStr">
        <is>
          <t>TORNILLO MM 10-075 CABEZA HEX PUNTA BROCA # 10X3/4 (19MM)</t>
        </is>
      </c>
      <c r="D739" s="704" t="inlineStr">
        <is>
          <t>UND</t>
        </is>
      </c>
      <c r="E739" s="693" t="n">
        <v>26.54867256637169</v>
      </c>
      <c r="F739" s="714">
        <f>E739*$N$2</f>
        <v/>
      </c>
      <c r="G739" s="695" t="n">
        <v>0</v>
      </c>
      <c r="H739" s="696">
        <f>F739-G739</f>
        <v/>
      </c>
      <c r="I739" s="151" t="n"/>
      <c r="J739" s="152" t="n"/>
      <c r="K739" s="692" t="n"/>
    </row>
    <row r="740" ht="20.1" customHeight="1">
      <c r="A740" s="135" t="n"/>
      <c r="B740" s="487" t="inlineStr">
        <is>
          <t>TABLATECK 8</t>
        </is>
      </c>
      <c r="C740" s="691" t="inlineStr">
        <is>
          <t>PERNO DE EXPANSIÓN 2-1/2" X 1/4"</t>
        </is>
      </c>
      <c r="D740" s="704" t="inlineStr">
        <is>
          <t>UND</t>
        </is>
      </c>
      <c r="E740" s="693" t="n">
        <v>1172.566371681416</v>
      </c>
      <c r="F740" s="714">
        <f>E740*$N$2</f>
        <v/>
      </c>
      <c r="G740" s="695" t="n">
        <v>0</v>
      </c>
      <c r="H740" s="696">
        <f>F740-G740</f>
        <v/>
      </c>
      <c r="I740" s="151" t="n"/>
      <c r="J740" s="152" t="n"/>
      <c r="K740" s="692" t="n"/>
    </row>
    <row r="741" ht="20.1" customHeight="1">
      <c r="A741" s="430">
        <f>_xlfn.XLOOKUP(B741,'INSUMOS MAT '!B:B,'INSUMOS MAT '!C:C,"ERROR",0)</f>
        <v/>
      </c>
      <c r="B741" s="142" t="inlineStr">
        <is>
          <t>MAT07-0020</t>
        </is>
      </c>
      <c r="C741" s="691" t="inlineStr">
        <is>
          <t>TABLILLA PVC INTERIORES</t>
        </is>
      </c>
      <c r="D741" s="704" t="inlineStr">
        <is>
          <t xml:space="preserve">M2 </t>
        </is>
      </c>
      <c r="E741" s="707" t="n">
        <v>5721.24</v>
      </c>
      <c r="F741" s="705">
        <f>E741*$N$2</f>
        <v/>
      </c>
      <c r="G741" s="706" t="n">
        <v>0</v>
      </c>
      <c r="H741" s="706">
        <f>F741-G741</f>
        <v/>
      </c>
      <c r="I741" s="102" t="n"/>
      <c r="J741" s="180" t="n"/>
      <c r="K741" s="704" t="n"/>
    </row>
    <row r="742" ht="20.1" customHeight="1">
      <c r="A742" s="430">
        <f>_xlfn.XLOOKUP(B742,'INSUMOS MAT '!B:B,'INSUMOS MAT '!C:C,"ERROR",0)</f>
        <v/>
      </c>
      <c r="B742" s="142" t="inlineStr">
        <is>
          <t>MAT17-0106</t>
        </is>
      </c>
      <c r="C742" s="691" t="inlineStr">
        <is>
          <t>PISO CERÁMICA DUNA COTTO GRIS</t>
        </is>
      </c>
      <c r="D742" s="704" t="inlineStr">
        <is>
          <t xml:space="preserve">M2 </t>
        </is>
      </c>
      <c r="E742" s="707">
        <f>7955</f>
        <v/>
      </c>
      <c r="F742" s="705">
        <f>E742*$N$2</f>
        <v/>
      </c>
      <c r="G742" s="706" t="n">
        <v>0</v>
      </c>
      <c r="H742" s="706">
        <f>F742-G742</f>
        <v/>
      </c>
      <c r="I742" s="102" t="n"/>
      <c r="J742" s="180" t="n"/>
      <c r="K742" s="704" t="n"/>
    </row>
    <row r="743" ht="20.1" customHeight="1">
      <c r="A743" s="430" t="n"/>
      <c r="B743" s="487" t="n"/>
      <c r="C743" s="715" t="n"/>
      <c r="D743" s="716" t="n"/>
      <c r="E743" s="717" t="n"/>
      <c r="F743" s="714" t="n"/>
      <c r="G743" s="695" t="n"/>
      <c r="H743" s="696" t="n"/>
      <c r="I743" s="151" t="n"/>
      <c r="J743" s="152" t="n"/>
      <c r="K743" s="692" t="n"/>
    </row>
    <row r="744" ht="20.1" customHeight="1">
      <c r="A744" s="430" t="n"/>
      <c r="B744" s="487" t="n"/>
      <c r="C744" s="715" t="n"/>
      <c r="D744" s="716" t="n"/>
      <c r="E744" s="717" t="n"/>
      <c r="F744" s="714" t="n"/>
      <c r="G744" s="695" t="n"/>
      <c r="H744" s="696" t="n"/>
      <c r="I744" s="151" t="n"/>
      <c r="J744" s="152" t="n"/>
      <c r="K744" s="692" t="n"/>
    </row>
    <row r="745" ht="20.1" customHeight="1">
      <c r="A745" s="430" t="n"/>
      <c r="B745" s="487" t="n"/>
      <c r="C745" s="715" t="n"/>
      <c r="D745" s="716" t="n"/>
      <c r="E745" s="717" t="n"/>
      <c r="F745" s="714" t="n"/>
      <c r="G745" s="695" t="n"/>
      <c r="H745" s="696" t="n"/>
      <c r="I745" s="151" t="n"/>
      <c r="J745" s="152" t="n"/>
      <c r="K745" s="692" t="n"/>
    </row>
    <row r="746" ht="20.1" customHeight="1">
      <c r="A746" s="430" t="n"/>
      <c r="B746" s="487" t="n"/>
      <c r="C746" s="715" t="n"/>
      <c r="D746" s="716" t="n"/>
      <c r="E746" s="717" t="n"/>
      <c r="F746" s="714" t="n"/>
      <c r="G746" s="695" t="n"/>
      <c r="H746" s="696" t="n"/>
      <c r="I746" s="151" t="n"/>
      <c r="J746" s="152" t="n"/>
      <c r="K746" s="692" t="n"/>
    </row>
    <row r="747" ht="20.1" customHeight="1">
      <c r="A747" s="430" t="n"/>
      <c r="B747" s="487" t="n"/>
      <c r="C747" s="715" t="n"/>
      <c r="D747" s="716" t="n"/>
      <c r="E747" s="717" t="n"/>
      <c r="F747" s="714" t="n"/>
      <c r="G747" s="695" t="n"/>
      <c r="H747" s="696" t="n"/>
      <c r="I747" s="151" t="n"/>
      <c r="J747" s="152" t="n"/>
      <c r="K747" s="692" t="n"/>
    </row>
    <row r="748" ht="20.1" customHeight="1">
      <c r="A748" s="430" t="n"/>
      <c r="B748" s="487" t="n"/>
      <c r="C748" s="715" t="n"/>
      <c r="D748" s="716" t="n"/>
      <c r="E748" s="717" t="n"/>
      <c r="F748" s="714" t="n"/>
      <c r="G748" s="695" t="n"/>
      <c r="H748" s="696" t="n"/>
      <c r="I748" s="151" t="n"/>
      <c r="J748" s="152" t="n"/>
      <c r="K748" s="692" t="n"/>
    </row>
    <row r="749" ht="20.1" customHeight="1">
      <c r="A749" s="430" t="n"/>
      <c r="B749" s="487" t="n"/>
      <c r="C749" s="715" t="n"/>
      <c r="D749" s="716" t="n"/>
      <c r="E749" s="717" t="n"/>
      <c r="F749" s="714" t="n"/>
      <c r="G749" s="695" t="n"/>
      <c r="H749" s="696" t="n"/>
      <c r="I749" s="151" t="n"/>
      <c r="J749" s="152" t="n"/>
      <c r="K749" s="692" t="n"/>
    </row>
    <row r="750" ht="20.1" customHeight="1">
      <c r="A750" s="430" t="n"/>
      <c r="B750" s="487" t="n"/>
      <c r="C750" s="715" t="n"/>
      <c r="D750" s="716" t="n"/>
      <c r="E750" s="717" t="n"/>
      <c r="F750" s="714" t="n"/>
      <c r="G750" s="695" t="n"/>
      <c r="H750" s="696" t="n"/>
      <c r="I750" s="151" t="n"/>
      <c r="J750" s="152" t="n"/>
      <c r="K750" s="692" t="n"/>
    </row>
    <row r="751" ht="20.1" customHeight="1">
      <c r="A751" s="430" t="n"/>
      <c r="B751" s="487" t="n"/>
      <c r="C751" s="715" t="n"/>
      <c r="D751" s="716" t="n"/>
      <c r="E751" s="717" t="n"/>
      <c r="F751" s="714" t="n"/>
      <c r="G751" s="695" t="n"/>
      <c r="H751" s="696" t="n"/>
      <c r="I751" s="151" t="n"/>
      <c r="J751" s="152" t="n"/>
      <c r="K751" s="692" t="n"/>
    </row>
    <row r="752" ht="20.1" customHeight="1">
      <c r="A752" s="430" t="n"/>
      <c r="B752" s="487" t="n"/>
      <c r="C752" s="715" t="n"/>
      <c r="D752" s="716" t="n"/>
      <c r="E752" s="717" t="n"/>
      <c r="F752" s="714" t="n"/>
      <c r="G752" s="718" t="n"/>
      <c r="H752" s="719" t="n"/>
      <c r="I752" s="494" t="n"/>
      <c r="J752" s="495" t="n"/>
      <c r="K752" s="692" t="n"/>
    </row>
    <row r="753" ht="20.1" customHeight="1">
      <c r="A753" s="430" t="n"/>
      <c r="B753" s="487" t="n"/>
      <c r="C753" s="715" t="n"/>
      <c r="D753" s="716" t="n"/>
      <c r="E753" s="717" t="n"/>
      <c r="F753" s="714" t="n"/>
      <c r="G753" s="718" t="n"/>
      <c r="H753" s="719" t="n"/>
      <c r="I753" s="494" t="n"/>
      <c r="J753" s="495" t="n"/>
      <c r="K753" s="692" t="n"/>
    </row>
    <row r="754" ht="20.1" customHeight="1">
      <c r="A754" s="430" t="n"/>
      <c r="B754" s="487" t="n"/>
      <c r="C754" s="715" t="n"/>
      <c r="D754" s="716" t="n"/>
      <c r="E754" s="717" t="n"/>
      <c r="F754" s="714" t="n"/>
      <c r="G754" s="718" t="n"/>
      <c r="H754" s="719" t="n"/>
      <c r="I754" s="494" t="n"/>
      <c r="J754" s="495" t="n"/>
      <c r="K754" s="692" t="n"/>
    </row>
    <row r="755" ht="20.1" customHeight="1">
      <c r="A755" s="430" t="n"/>
      <c r="B755" s="486" t="n"/>
      <c r="C755" s="715" t="n"/>
      <c r="D755" s="716" t="n"/>
      <c r="E755" s="717" t="n"/>
      <c r="F755" s="714" t="n"/>
      <c r="G755" s="718" t="n"/>
      <c r="H755" s="719" t="n"/>
      <c r="I755" s="494" t="n"/>
      <c r="J755" s="495" t="n"/>
      <c r="K755" s="692" t="n"/>
    </row>
    <row r="756" ht="20.1" customHeight="1">
      <c r="A756" s="430" t="n"/>
      <c r="B756" s="142" t="n"/>
      <c r="C756" s="142" t="n"/>
      <c r="D756" s="692" t="n"/>
      <c r="E756" s="707" t="n"/>
      <c r="F756" s="679" t="n"/>
      <c r="G756" s="695" t="n"/>
      <c r="H756" s="695" t="n"/>
      <c r="I756" s="129" t="n"/>
      <c r="J756" s="166" t="n"/>
      <c r="K756" s="692" t="n"/>
    </row>
    <row r="757" ht="20.1" customHeight="1">
      <c r="A757" s="430" t="n"/>
      <c r="B757" s="142" t="n"/>
      <c r="C757" s="142" t="n"/>
      <c r="D757" s="692" t="n"/>
      <c r="E757" s="707" t="n"/>
      <c r="F757" s="679" t="n"/>
      <c r="G757" s="695" t="n"/>
      <c r="H757" s="695" t="n"/>
      <c r="I757" s="129" t="n"/>
      <c r="J757" s="166" t="n"/>
      <c r="K757" s="692" t="n"/>
    </row>
    <row r="758">
      <c r="A758" s="430" t="n"/>
      <c r="B758" s="186" t="n"/>
      <c r="C758" s="187" t="n"/>
      <c r="D758" s="720" t="n"/>
      <c r="E758" s="189" t="n"/>
      <c r="F758" s="189" t="n"/>
      <c r="G758" s="189" t="n"/>
      <c r="H758" s="189" t="n"/>
      <c r="I758" s="189" t="n"/>
      <c r="J758" s="187" t="n"/>
      <c r="K758" s="190" t="n"/>
    </row>
    <row r="759">
      <c r="A759" s="430" t="n"/>
      <c r="B759" s="191" t="n"/>
      <c r="C759" s="192" t="n"/>
      <c r="D759" s="721" t="n"/>
      <c r="E759" s="194" t="n"/>
      <c r="F759" s="194" t="n"/>
      <c r="G759" s="194" t="n"/>
      <c r="H759" s="194" t="n"/>
      <c r="I759" s="194" t="n"/>
      <c r="J759" s="192" t="n"/>
      <c r="K759" s="195" t="n"/>
    </row>
    <row r="760">
      <c r="A760" s="430" t="n"/>
      <c r="B760" s="181" t="inlineStr">
        <is>
          <t>MAT21-0027</t>
        </is>
      </c>
      <c r="C760" s="181" t="inlineStr">
        <is>
          <t>ADITIVO ERGO RM175</t>
        </is>
      </c>
      <c r="D760" s="722" t="inlineStr">
        <is>
          <t>LITRO</t>
        </is>
      </c>
      <c r="E760" s="723" t="n">
        <v>877.7133</v>
      </c>
      <c r="F760" s="724">
        <f>E760*$N$2</f>
        <v/>
      </c>
      <c r="G760" s="725" t="n">
        <v>0</v>
      </c>
      <c r="H760" s="725">
        <f>F760-G760</f>
        <v/>
      </c>
      <c r="I760" s="88" t="n"/>
      <c r="J760" s="180" t="n">
        <v>44713</v>
      </c>
      <c r="K760" s="593" t="inlineStr">
        <is>
          <t>SILICONES-SELLADORES-ADITIVOS</t>
        </is>
      </c>
    </row>
    <row r="761">
      <c r="A761" s="430">
        <f>_xlfn.XLOOKUP(B761,'INSUMOS MAT '!B:B,'INSUMOS MAT '!C:C,"ERROR",0)</f>
        <v/>
      </c>
      <c r="B761" s="142" t="inlineStr">
        <is>
          <t>MAT21-0028</t>
        </is>
      </c>
      <c r="C761" s="142" t="inlineStr">
        <is>
          <t>ADITIVO EUCON RETARDER 100C</t>
        </is>
      </c>
      <c r="D761" s="692" t="inlineStr">
        <is>
          <t>CUBETA</t>
        </is>
      </c>
      <c r="E761" s="707" t="n">
        <v>20391.8781</v>
      </c>
      <c r="F761" s="679">
        <f>E761*$N$2</f>
        <v/>
      </c>
      <c r="G761" s="695" t="n">
        <v>0</v>
      </c>
      <c r="H761" s="695">
        <f>F761-G761</f>
        <v/>
      </c>
      <c r="I761" s="129" t="n"/>
      <c r="J761" s="180" t="n">
        <v>44700</v>
      </c>
      <c r="K761" s="154" t="inlineStr">
        <is>
          <t>SILICONES-SELLADORES-ADITIVOS</t>
        </is>
      </c>
    </row>
    <row r="762">
      <c r="A762" s="430">
        <f>_xlfn.XLOOKUP(B762,'INSUMOS MAT '!B:B,'INSUMOS MAT '!C:C,"ERROR",0)</f>
        <v/>
      </c>
      <c r="B762" s="142" t="inlineStr">
        <is>
          <t>MAT21-0029</t>
        </is>
      </c>
      <c r="C762" s="142" t="inlineStr">
        <is>
          <t>ADITIVO PLASTOL 5000 ULTRA</t>
        </is>
      </c>
      <c r="D762" s="692" t="inlineStr">
        <is>
          <t>CUBETA</t>
        </is>
      </c>
      <c r="E762" s="707" t="n">
        <v>49450.9701</v>
      </c>
      <c r="F762" s="679">
        <f>E762*$N$2</f>
        <v/>
      </c>
      <c r="G762" s="695" t="n">
        <v>0</v>
      </c>
      <c r="H762" s="695">
        <f>F762-G762</f>
        <v/>
      </c>
      <c r="I762" s="129" t="n"/>
      <c r="J762" s="180" t="n">
        <v>44713</v>
      </c>
      <c r="K762" s="154" t="inlineStr">
        <is>
          <t>SILICONES-SELLADORES-ADITIVOS</t>
        </is>
      </c>
    </row>
    <row r="763">
      <c r="A763" s="430">
        <f>_xlfn.XLOOKUP(B763,'INSUMOS MAT '!B:B,'INSUMOS MAT '!C:C,"ERROR",0)</f>
        <v/>
      </c>
      <c r="B763" s="142" t="inlineStr">
        <is>
          <t>MAT03-0002</t>
        </is>
      </c>
      <c r="C763" s="142" t="inlineStr">
        <is>
          <t>ARENA FINA DE RIO</t>
        </is>
      </c>
      <c r="D763" s="692" t="inlineStr">
        <is>
          <t>M3</t>
        </is>
      </c>
      <c r="E763" s="707" t="n">
        <v>13280.98</v>
      </c>
      <c r="F763" s="679">
        <f>E763*$N$2</f>
        <v/>
      </c>
      <c r="G763" s="695" t="n">
        <v>0</v>
      </c>
      <c r="H763" s="695">
        <f>F763-G763</f>
        <v/>
      </c>
      <c r="I763" s="129" t="n"/>
      <c r="J763" s="180" t="n">
        <v>44720</v>
      </c>
      <c r="K763" s="154" t="inlineStr">
        <is>
          <t>AGREGADOS</t>
        </is>
      </c>
    </row>
    <row r="764">
      <c r="A764" s="135" t="n"/>
      <c r="B764" s="142" t="inlineStr">
        <is>
          <t>MAT0176</t>
        </is>
      </c>
      <c r="C764" s="142" t="inlineStr">
        <is>
          <t>BASE GRANULAR</t>
        </is>
      </c>
      <c r="D764" s="692" t="inlineStr">
        <is>
          <t>M3</t>
        </is>
      </c>
      <c r="E764" s="707" t="n">
        <v>6785.0062</v>
      </c>
      <c r="F764" s="679">
        <f>E764*$N$2</f>
        <v/>
      </c>
      <c r="G764" s="695" t="n">
        <v>0</v>
      </c>
      <c r="H764" s="695">
        <f>F764-G764</f>
        <v/>
      </c>
      <c r="I764" s="129" t="n"/>
      <c r="J764" s="180" t="n">
        <v>44718</v>
      </c>
      <c r="K764" s="154" t="n">
        <v>0</v>
      </c>
    </row>
    <row r="765">
      <c r="A765" s="430">
        <f>_xlfn.XLOOKUP(B765,'INSUMOS MAT '!B:B,'INSUMOS MAT '!C:C,"ERROR",0)</f>
        <v/>
      </c>
      <c r="B765" s="142" t="inlineStr">
        <is>
          <t>MAT04-0062</t>
        </is>
      </c>
      <c r="C765" s="142" t="inlineStr">
        <is>
          <t>CEMENTO INDUSTRIAL</t>
        </is>
      </c>
      <c r="D765" s="692" t="inlineStr">
        <is>
          <t>KG</t>
        </is>
      </c>
      <c r="E765" s="707" t="n">
        <v>113.8023</v>
      </c>
      <c r="F765" s="679">
        <f>E765*$N$2</f>
        <v/>
      </c>
      <c r="G765" s="695" t="n">
        <v>0</v>
      </c>
      <c r="H765" s="695">
        <f>F765-G765</f>
        <v/>
      </c>
      <c r="I765" s="129" t="n"/>
      <c r="J765" s="180" t="n">
        <v>44725</v>
      </c>
      <c r="K765" s="154" t="inlineStr">
        <is>
          <t>CONCRETOS CEMENTOS Y MORTEROS</t>
        </is>
      </c>
    </row>
    <row r="766">
      <c r="A766" s="430">
        <f>_xlfn.XLOOKUP(B766,'INSUMOS MAT '!B:B,'INSUMOS MAT '!C:C,"ERROR",0)</f>
        <v/>
      </c>
      <c r="B766" s="142" t="inlineStr">
        <is>
          <t>MAT04-0061</t>
        </is>
      </c>
      <c r="C766" s="142" t="inlineStr">
        <is>
          <t>FIBRA DE VIDRIO</t>
        </is>
      </c>
      <c r="D766" s="692" t="inlineStr">
        <is>
          <t>KG</t>
        </is>
      </c>
      <c r="E766" s="707" t="n">
        <v>2132.31</v>
      </c>
      <c r="F766" s="679">
        <f>E766*$N$2</f>
        <v/>
      </c>
      <c r="G766" s="695" t="n">
        <v>0</v>
      </c>
      <c r="H766" s="695">
        <f>F766-G766</f>
        <v/>
      </c>
      <c r="I766" s="129" t="n"/>
      <c r="J766" s="180" t="n">
        <v>44715</v>
      </c>
      <c r="K766" s="154" t="inlineStr">
        <is>
          <t>CONCRETOS CEMENTOS Y MORTEROS</t>
        </is>
      </c>
    </row>
    <row r="767">
      <c r="A767" s="135" t="n"/>
      <c r="B767" s="142" t="inlineStr">
        <is>
          <t>ACA03-0001</t>
        </is>
      </c>
      <c r="C767" s="142" t="inlineStr">
        <is>
          <t>FLETE AGREGADOS</t>
        </is>
      </c>
      <c r="D767" s="692" t="inlineStr">
        <is>
          <t>UND</t>
        </is>
      </c>
      <c r="E767" s="707" t="n">
        <v>9040</v>
      </c>
      <c r="F767" s="679">
        <f>E767*$N$2</f>
        <v/>
      </c>
      <c r="G767" s="695" t="n">
        <v>0</v>
      </c>
      <c r="H767" s="695">
        <f>F767-G767</f>
        <v/>
      </c>
      <c r="I767" s="129" t="n"/>
      <c r="J767" s="180" t="n">
        <v>44721</v>
      </c>
      <c r="K767" s="154" t="inlineStr">
        <is>
          <t>AGREGADOS</t>
        </is>
      </c>
    </row>
    <row r="768">
      <c r="A768" s="430">
        <f>_xlfn.XLOOKUP(B768,'INSUMOS MAT '!B:B,'INSUMOS MAT '!C:C,"ERROR",0)</f>
        <v/>
      </c>
      <c r="B768" s="142" t="inlineStr">
        <is>
          <t>MAT03-0006</t>
        </is>
      </c>
      <c r="C768" s="142" t="inlineStr">
        <is>
          <t>PIEDRA CUARTILLA</t>
        </is>
      </c>
      <c r="D768" s="692" t="inlineStr">
        <is>
          <t>M3</t>
        </is>
      </c>
      <c r="E768" s="707" t="n">
        <v>12769.83</v>
      </c>
      <c r="F768" s="679">
        <f>E768*$N$2</f>
        <v/>
      </c>
      <c r="G768" s="695" t="n">
        <v>0</v>
      </c>
      <c r="H768" s="695">
        <f>F768-G768</f>
        <v/>
      </c>
      <c r="I768" s="129" t="n"/>
      <c r="J768" s="180" t="n">
        <v>44723</v>
      </c>
      <c r="K768" s="154" t="inlineStr">
        <is>
          <t>AGREGADOS</t>
        </is>
      </c>
    </row>
    <row r="769">
      <c r="A769" s="430">
        <f>_xlfn.XLOOKUP(B769,'INSUMOS MAT '!B:B,'INSUMOS MAT '!C:C,"ERROR",0)</f>
        <v/>
      </c>
      <c r="B769" s="142" t="inlineStr">
        <is>
          <t>MAT03-0007</t>
        </is>
      </c>
      <c r="C769" s="142" t="inlineStr">
        <is>
          <t>PIEDRA QUINTILLA</t>
        </is>
      </c>
      <c r="D769" s="692" t="inlineStr">
        <is>
          <t>M3</t>
        </is>
      </c>
      <c r="E769" s="707" t="n">
        <v>12769.83</v>
      </c>
      <c r="F769" s="679">
        <f>E769*$N$2</f>
        <v/>
      </c>
      <c r="G769" s="695" t="n">
        <v>0</v>
      </c>
      <c r="H769" s="695">
        <f>F769-G769</f>
        <v/>
      </c>
      <c r="I769" s="129" t="n"/>
      <c r="J769" s="180" t="n">
        <v>44723</v>
      </c>
      <c r="K769" s="154" t="inlineStr">
        <is>
          <t>AGREGADOS</t>
        </is>
      </c>
    </row>
    <row r="770">
      <c r="A770" s="135" t="n"/>
      <c r="B770" s="142" t="inlineStr">
        <is>
          <t>EQU15-0024</t>
        </is>
      </c>
      <c r="C770" s="142" t="inlineStr">
        <is>
          <t>SERVICIO TRANSPORTE</t>
        </is>
      </c>
      <c r="D770" s="692" t="inlineStr">
        <is>
          <t>UND</t>
        </is>
      </c>
      <c r="E770" s="707" t="n">
        <v>6215</v>
      </c>
      <c r="F770" s="679">
        <f>E770*$N$2</f>
        <v/>
      </c>
      <c r="G770" s="695" t="n">
        <v>0</v>
      </c>
      <c r="H770" s="695">
        <f>F770-G770</f>
        <v/>
      </c>
      <c r="I770" s="129" t="n"/>
      <c r="J770" s="166" t="n">
        <v>44718</v>
      </c>
      <c r="K770" s="154" t="inlineStr">
        <is>
          <t>PESADO</t>
        </is>
      </c>
    </row>
    <row r="771">
      <c r="C771" s="158" t="n"/>
      <c r="D771" s="726" t="n"/>
      <c r="J771" s="158" t="n"/>
      <c r="K771" s="159" t="n"/>
    </row>
    <row r="772">
      <c r="C772" s="158" t="n"/>
      <c r="D772" s="726" t="n"/>
      <c r="J772" s="158" t="n"/>
      <c r="K772" s="159" t="n"/>
    </row>
    <row r="773">
      <c r="C773" s="158" t="n"/>
      <c r="D773" s="726" t="n"/>
      <c r="J773" s="158" t="n"/>
      <c r="K773" s="159" t="n"/>
    </row>
    <row r="774">
      <c r="C774" s="158" t="n"/>
      <c r="D774" s="726" t="n"/>
      <c r="J774" s="158" t="n"/>
      <c r="K774" s="159" t="n"/>
    </row>
    <row r="775">
      <c r="C775" s="158" t="n"/>
      <c r="D775" s="726" t="n"/>
      <c r="J775" s="158" t="n"/>
      <c r="K775" s="159" t="n"/>
    </row>
    <row r="776">
      <c r="C776" s="158" t="n"/>
      <c r="D776" s="726" t="n"/>
      <c r="J776" s="158" t="n"/>
      <c r="K776" s="159" t="n"/>
    </row>
    <row r="777">
      <c r="C777" s="158" t="n"/>
      <c r="D777" s="726" t="n"/>
      <c r="J777" s="158" t="n"/>
      <c r="K777" s="159" t="n"/>
    </row>
    <row r="778">
      <c r="C778" s="158" t="n"/>
      <c r="D778" s="726" t="n"/>
      <c r="J778" s="158" t="n"/>
      <c r="K778" s="159" t="n"/>
    </row>
    <row r="779">
      <c r="C779" s="158" t="n"/>
      <c r="D779" s="158" t="n"/>
      <c r="J779" s="158" t="n"/>
      <c r="K779" s="159" t="n"/>
    </row>
    <row r="780">
      <c r="C780" s="158" t="n"/>
      <c r="D780" s="158" t="n"/>
      <c r="J780" s="158" t="n"/>
      <c r="K780" s="159" t="n"/>
    </row>
    <row r="781">
      <c r="C781" s="158" t="n"/>
      <c r="D781" s="158" t="n"/>
      <c r="J781" s="158" t="n"/>
      <c r="K781" s="159" t="n"/>
    </row>
    <row r="782">
      <c r="C782" s="158" t="n"/>
      <c r="D782" s="158" t="n"/>
      <c r="J782" s="158" t="n"/>
      <c r="K782" s="159" t="n"/>
    </row>
    <row r="783">
      <c r="C783" s="158" t="n"/>
      <c r="D783" s="158" t="n"/>
      <c r="J783" s="158" t="n"/>
      <c r="K783" s="159" t="n"/>
    </row>
    <row r="784">
      <c r="C784" s="158" t="n"/>
      <c r="D784" s="158" t="n"/>
      <c r="J784" s="158" t="n"/>
      <c r="K784" s="159" t="n"/>
    </row>
    <row r="785">
      <c r="C785" s="158" t="n"/>
      <c r="D785" s="158" t="n"/>
      <c r="J785" s="158" t="n"/>
      <c r="K785" s="159" t="n"/>
    </row>
    <row r="786">
      <c r="C786" s="158" t="n"/>
      <c r="D786" s="158" t="n"/>
      <c r="J786" s="158" t="n"/>
      <c r="K786" s="159" t="n"/>
    </row>
    <row r="787">
      <c r="C787" s="158" t="n"/>
      <c r="D787" s="158" t="n"/>
      <c r="J787" s="158" t="n"/>
      <c r="K787" s="159" t="n"/>
    </row>
    <row r="788">
      <c r="C788" s="158" t="n"/>
      <c r="D788" s="158" t="n"/>
      <c r="J788" s="158" t="n"/>
      <c r="K788" s="159" t="n"/>
    </row>
    <row r="789">
      <c r="C789" s="158" t="n"/>
      <c r="D789" s="158" t="n"/>
      <c r="J789" s="158" t="n"/>
      <c r="K789" s="159" t="n"/>
    </row>
    <row r="790">
      <c r="C790" s="158" t="n"/>
      <c r="D790" s="158" t="n"/>
      <c r="J790" s="158" t="n"/>
      <c r="K790" s="159" t="n"/>
    </row>
    <row r="791">
      <c r="C791" s="158" t="n"/>
      <c r="D791" s="158" t="n"/>
      <c r="J791" s="158" t="n"/>
      <c r="K791" s="159" t="n"/>
    </row>
    <row r="792">
      <c r="C792" s="158" t="n"/>
      <c r="D792" s="158" t="n"/>
      <c r="J792" s="158" t="n"/>
      <c r="K792" s="159" t="n"/>
    </row>
    <row r="793">
      <c r="C793" s="158" t="n"/>
      <c r="D793" s="158" t="n"/>
      <c r="J793" s="158" t="n"/>
      <c r="K793" s="159" t="n"/>
    </row>
    <row r="794">
      <c r="C794" s="158" t="n"/>
      <c r="D794" s="158" t="n"/>
      <c r="J794" s="158" t="n"/>
      <c r="K794" s="159" t="n"/>
    </row>
    <row r="795">
      <c r="C795" s="158" t="n"/>
      <c r="D795" s="158" t="n"/>
      <c r="J795" s="158" t="n"/>
      <c r="K795" s="159" t="n"/>
    </row>
    <row r="796">
      <c r="C796" s="158" t="n"/>
      <c r="D796" s="158" t="n"/>
      <c r="J796" s="158" t="n"/>
      <c r="K796" s="159" t="n"/>
    </row>
    <row r="797">
      <c r="C797" s="158" t="n"/>
      <c r="D797" s="158" t="n"/>
      <c r="J797" s="158" t="n"/>
      <c r="K797" s="159" t="n"/>
    </row>
    <row r="798">
      <c r="C798" s="158" t="n"/>
      <c r="D798" s="158" t="n"/>
      <c r="J798" s="158" t="n"/>
      <c r="K798" s="159" t="n"/>
    </row>
    <row r="799">
      <c r="C799" s="158" t="n"/>
      <c r="D799" s="158" t="n"/>
      <c r="J799" s="158" t="n"/>
      <c r="K799" s="159" t="n"/>
    </row>
    <row r="800">
      <c r="C800" s="158" t="n"/>
      <c r="D800" s="158" t="n"/>
      <c r="J800" s="158" t="n"/>
      <c r="K800" s="159" t="n"/>
    </row>
    <row r="801">
      <c r="C801" s="158" t="n"/>
      <c r="D801" s="158" t="n"/>
      <c r="J801" s="158" t="n"/>
      <c r="K801" s="159" t="n"/>
    </row>
    <row r="802">
      <c r="C802" s="158" t="n"/>
      <c r="D802" s="158" t="n"/>
      <c r="J802" s="158" t="n"/>
      <c r="K802" s="159" t="n"/>
    </row>
    <row r="803">
      <c r="C803" s="158" t="n"/>
      <c r="D803" s="158" t="n"/>
      <c r="J803" s="158" t="n"/>
      <c r="K803" s="159" t="n"/>
    </row>
    <row r="804">
      <c r="C804" s="158" t="n"/>
      <c r="D804" s="158" t="n"/>
      <c r="J804" s="158" t="n"/>
      <c r="K804" s="159" t="n"/>
    </row>
    <row r="805">
      <c r="C805" s="158" t="n"/>
      <c r="D805" s="158" t="n"/>
      <c r="J805" s="158" t="n"/>
      <c r="K805" s="159" t="n"/>
    </row>
    <row r="806">
      <c r="C806" s="158" t="n"/>
      <c r="D806" s="158" t="n"/>
      <c r="J806" s="158" t="n"/>
      <c r="K806" s="159" t="n"/>
    </row>
    <row r="807">
      <c r="C807" s="158" t="n"/>
      <c r="D807" s="158" t="n"/>
      <c r="J807" s="158" t="n"/>
      <c r="K807" s="159" t="n"/>
    </row>
    <row r="808">
      <c r="C808" s="158" t="n"/>
      <c r="D808" s="158" t="n"/>
      <c r="J808" s="158" t="n"/>
      <c r="K808" s="159" t="n"/>
    </row>
    <row r="809">
      <c r="C809" s="158" t="n"/>
      <c r="D809" s="158" t="n"/>
      <c r="J809" s="158" t="n"/>
      <c r="K809" s="159" t="n"/>
    </row>
    <row r="810">
      <c r="C810" s="158" t="n"/>
      <c r="D810" s="158" t="n"/>
      <c r="J810" s="158" t="n"/>
      <c r="K810" s="159" t="n"/>
    </row>
    <row r="811">
      <c r="C811" s="158" t="n"/>
      <c r="D811" s="158" t="n"/>
      <c r="J811" s="158" t="n"/>
      <c r="K811" s="159" t="n"/>
    </row>
    <row r="812">
      <c r="C812" s="158" t="n"/>
      <c r="D812" s="158" t="n"/>
      <c r="J812" s="158" t="n"/>
      <c r="K812" s="159" t="n"/>
    </row>
    <row r="813">
      <c r="C813" s="158" t="n"/>
      <c r="D813" s="158" t="n"/>
      <c r="J813" s="158" t="n"/>
      <c r="K813" s="159" t="n"/>
    </row>
    <row r="814">
      <c r="C814" s="158" t="n"/>
      <c r="D814" s="158" t="n"/>
      <c r="J814" s="158" t="n"/>
      <c r="K814" s="159" t="n"/>
    </row>
    <row r="815">
      <c r="C815" s="158" t="n"/>
      <c r="D815" s="158" t="n"/>
      <c r="J815" s="158" t="n"/>
      <c r="K815" s="159" t="n"/>
    </row>
    <row r="816">
      <c r="C816" s="158" t="n"/>
      <c r="D816" s="158" t="n"/>
      <c r="J816" s="158" t="n"/>
      <c r="K816" s="159" t="n"/>
    </row>
    <row r="817">
      <c r="C817" s="158" t="n"/>
      <c r="D817" s="158" t="n"/>
      <c r="J817" s="158" t="n"/>
      <c r="K817" s="159" t="n"/>
    </row>
    <row r="818">
      <c r="C818" s="158" t="n"/>
      <c r="D818" s="158" t="n"/>
      <c r="J818" s="158" t="n"/>
      <c r="K818" s="159" t="n"/>
    </row>
    <row r="819">
      <c r="C819" s="158" t="n"/>
      <c r="D819" s="158" t="n"/>
      <c r="J819" s="158" t="n"/>
      <c r="K819" s="159" t="n"/>
    </row>
    <row r="820">
      <c r="C820" s="158" t="n"/>
      <c r="D820" s="158" t="n"/>
      <c r="J820" s="158" t="n"/>
      <c r="K820" s="159" t="n"/>
    </row>
    <row r="821">
      <c r="C821" s="158" t="n"/>
      <c r="D821" s="158" t="n"/>
      <c r="J821" s="158" t="n"/>
      <c r="K821" s="159" t="n"/>
    </row>
    <row r="822">
      <c r="C822" s="158" t="n"/>
      <c r="D822" s="158" t="n"/>
      <c r="J822" s="158" t="n"/>
      <c r="K822" s="159" t="n"/>
    </row>
    <row r="823">
      <c r="C823" s="158" t="n"/>
      <c r="D823" s="158" t="n"/>
      <c r="J823" s="158" t="n"/>
      <c r="K823" s="159" t="n"/>
    </row>
    <row r="824">
      <c r="C824" s="158" t="n"/>
      <c r="D824" s="158" t="n"/>
      <c r="J824" s="158" t="n"/>
      <c r="K824" s="159" t="n"/>
    </row>
    <row r="825">
      <c r="C825" s="158" t="n"/>
      <c r="D825" s="158" t="n"/>
      <c r="J825" s="158" t="n"/>
      <c r="K825" s="159" t="n"/>
    </row>
    <row r="826">
      <c r="C826" s="158" t="n"/>
      <c r="D826" s="158" t="n"/>
      <c r="J826" s="158" t="n"/>
      <c r="K826" s="159" t="n"/>
    </row>
    <row r="827">
      <c r="C827" s="158" t="n"/>
      <c r="D827" s="158" t="n"/>
      <c r="J827" s="158" t="n"/>
      <c r="K827" s="159" t="n"/>
    </row>
    <row r="828">
      <c r="C828" s="158" t="n"/>
      <c r="D828" s="158" t="n"/>
      <c r="J828" s="158" t="n"/>
      <c r="K828" s="159" t="n"/>
    </row>
    <row r="829">
      <c r="C829" s="158" t="n"/>
      <c r="D829" s="158" t="n"/>
      <c r="J829" s="158" t="n"/>
      <c r="K829" s="159" t="n"/>
    </row>
    <row r="830">
      <c r="C830" s="158" t="n"/>
      <c r="D830" s="158" t="n"/>
      <c r="J830" s="158" t="n"/>
      <c r="K830" s="159" t="n"/>
    </row>
    <row r="831">
      <c r="C831" s="158" t="n"/>
      <c r="D831" s="158" t="n"/>
      <c r="J831" s="158" t="n"/>
      <c r="K831" s="159" t="n"/>
    </row>
    <row r="832">
      <c r="C832" s="158" t="n"/>
      <c r="D832" s="158" t="n"/>
      <c r="J832" s="158" t="n"/>
      <c r="K832" s="159" t="n"/>
    </row>
    <row r="833">
      <c r="C833" s="158" t="n"/>
      <c r="D833" s="158" t="n"/>
      <c r="J833" s="158" t="n"/>
      <c r="K833" s="159" t="n"/>
    </row>
    <row r="834">
      <c r="C834" s="158" t="n"/>
      <c r="D834" s="158" t="n"/>
      <c r="J834" s="158" t="n"/>
      <c r="K834" s="159" t="n"/>
    </row>
    <row r="835">
      <c r="C835" s="158" t="n"/>
      <c r="D835" s="158" t="n"/>
      <c r="J835" s="158" t="n"/>
      <c r="K835" s="159" t="n"/>
    </row>
    <row r="836">
      <c r="C836" s="158" t="n"/>
      <c r="D836" s="158" t="n"/>
      <c r="J836" s="158" t="n"/>
      <c r="K836" s="159" t="n"/>
    </row>
    <row r="837">
      <c r="C837" s="158" t="n"/>
      <c r="D837" s="158" t="n"/>
      <c r="J837" s="158" t="n"/>
      <c r="K837" s="159" t="n"/>
    </row>
    <row r="838">
      <c r="C838" s="158" t="n"/>
      <c r="D838" s="158" t="n"/>
      <c r="J838" s="158" t="n"/>
      <c r="K838" s="159" t="n"/>
    </row>
    <row r="839">
      <c r="C839" s="158" t="n"/>
      <c r="D839" s="158" t="n"/>
      <c r="J839" s="158" t="n"/>
      <c r="K839" s="159" t="n"/>
    </row>
    <row r="840">
      <c r="C840" s="158" t="n"/>
      <c r="D840" s="158" t="n"/>
      <c r="J840" s="158" t="n"/>
      <c r="K840" s="159" t="n"/>
    </row>
    <row r="841">
      <c r="C841" s="158" t="n"/>
      <c r="D841" s="158" t="n"/>
      <c r="J841" s="158" t="n"/>
      <c r="K841" s="159" t="n"/>
    </row>
    <row r="842">
      <c r="C842" s="158" t="n"/>
      <c r="D842" s="158" t="n"/>
      <c r="J842" s="158" t="n"/>
      <c r="K842" s="159" t="n"/>
    </row>
    <row r="843">
      <c r="C843" s="158" t="n"/>
      <c r="D843" s="158" t="n"/>
      <c r="J843" s="158" t="n"/>
      <c r="K843" s="159" t="n"/>
    </row>
    <row r="844">
      <c r="C844" s="158" t="n"/>
      <c r="D844" s="158" t="n"/>
      <c r="J844" s="158" t="n"/>
      <c r="K844" s="159" t="n"/>
    </row>
    <row r="845">
      <c r="C845" s="158" t="n"/>
      <c r="D845" s="158" t="n"/>
      <c r="J845" s="158" t="n"/>
      <c r="K845" s="159" t="n"/>
    </row>
    <row r="846">
      <c r="C846" s="158" t="n"/>
      <c r="D846" s="158" t="n"/>
      <c r="J846" s="158" t="n"/>
      <c r="K846" s="159" t="n"/>
    </row>
    <row r="847">
      <c r="C847" s="158" t="n"/>
      <c r="D847" s="158" t="n"/>
      <c r="J847" s="158" t="n"/>
      <c r="K847" s="159" t="n"/>
    </row>
    <row r="848">
      <c r="C848" s="158" t="n"/>
      <c r="D848" s="158" t="n"/>
      <c r="J848" s="158" t="n"/>
      <c r="K848" s="159" t="n"/>
    </row>
    <row r="849">
      <c r="C849" s="158" t="n"/>
      <c r="D849" s="158" t="n"/>
      <c r="J849" s="158" t="n"/>
      <c r="K849" s="159" t="n"/>
    </row>
    <row r="850">
      <c r="C850" s="158" t="n"/>
      <c r="D850" s="158" t="n"/>
      <c r="J850" s="158" t="n"/>
      <c r="K850" s="159" t="n"/>
    </row>
    <row r="851">
      <c r="C851" s="158" t="n"/>
      <c r="D851" s="158" t="n"/>
      <c r="J851" s="158" t="n"/>
      <c r="K851" s="159" t="n"/>
    </row>
    <row r="852">
      <c r="C852" s="158" t="n"/>
      <c r="D852" s="158" t="n"/>
      <c r="J852" s="158" t="n"/>
      <c r="K852" s="159" t="n"/>
    </row>
    <row r="853">
      <c r="C853" s="158" t="n"/>
      <c r="D853" s="158" t="n"/>
      <c r="J853" s="158" t="n"/>
      <c r="K853" s="159" t="n"/>
    </row>
    <row r="854">
      <c r="C854" s="158" t="n"/>
      <c r="D854" s="158" t="n"/>
      <c r="J854" s="158" t="n"/>
      <c r="K854" s="159" t="n"/>
    </row>
    <row r="855">
      <c r="C855" s="158" t="n"/>
      <c r="D855" s="158" t="n"/>
      <c r="J855" s="158" t="n"/>
      <c r="K855" s="159" t="n"/>
    </row>
    <row r="856">
      <c r="C856" s="158" t="n"/>
      <c r="D856" s="158" t="n"/>
      <c r="J856" s="158" t="n"/>
      <c r="K856" s="159" t="n"/>
    </row>
    <row r="857">
      <c r="C857" s="158" t="n"/>
      <c r="D857" s="158" t="n"/>
      <c r="J857" s="158" t="n"/>
      <c r="K857" s="159" t="n"/>
    </row>
    <row r="858">
      <c r="C858" s="158" t="n"/>
      <c r="D858" s="158" t="n"/>
      <c r="J858" s="158" t="n"/>
      <c r="K858" s="159" t="n"/>
    </row>
    <row r="859">
      <c r="C859" s="158" t="n"/>
      <c r="D859" s="158" t="n"/>
      <c r="J859" s="158" t="n"/>
      <c r="K859" s="159" t="n"/>
    </row>
    <row r="860">
      <c r="C860" s="158" t="n"/>
      <c r="D860" s="158" t="n"/>
      <c r="J860" s="158" t="n"/>
      <c r="K860" s="159" t="n"/>
    </row>
    <row r="861">
      <c r="C861" s="158" t="n"/>
      <c r="D861" s="158" t="n"/>
      <c r="J861" s="158" t="n"/>
      <c r="K861" s="159" t="n"/>
    </row>
    <row r="862">
      <c r="C862" s="158" t="n"/>
      <c r="D862" s="158" t="n"/>
      <c r="J862" s="158" t="n"/>
      <c r="K862" s="159" t="n"/>
    </row>
    <row r="863">
      <c r="C863" s="158" t="n"/>
      <c r="D863" s="158" t="n"/>
      <c r="J863" s="158" t="n"/>
      <c r="K863" s="159" t="n"/>
    </row>
    <row r="864">
      <c r="C864" s="158" t="n"/>
      <c r="D864" s="158" t="n"/>
      <c r="J864" s="158" t="n"/>
      <c r="K864" s="159" t="n"/>
    </row>
    <row r="865">
      <c r="C865" s="158" t="n"/>
      <c r="D865" s="158" t="n"/>
      <c r="J865" s="158" t="n"/>
      <c r="K865" s="159" t="n"/>
    </row>
    <row r="866">
      <c r="C866" s="158" t="n"/>
      <c r="D866" s="158" t="n"/>
      <c r="J866" s="158" t="n"/>
      <c r="K866" s="159" t="n"/>
    </row>
    <row r="867">
      <c r="C867" s="158" t="n"/>
      <c r="D867" s="158" t="n"/>
      <c r="J867" s="158" t="n"/>
      <c r="K867" s="159" t="n"/>
    </row>
    <row r="868">
      <c r="C868" s="158" t="n"/>
      <c r="D868" s="158" t="n"/>
      <c r="J868" s="158" t="n"/>
      <c r="K868" s="159" t="n"/>
    </row>
    <row r="869">
      <c r="C869" s="158" t="n"/>
      <c r="D869" s="158" t="n"/>
      <c r="J869" s="158" t="n"/>
      <c r="K869" s="159" t="n"/>
    </row>
    <row r="870">
      <c r="C870" s="158" t="n"/>
      <c r="D870" s="158" t="n"/>
      <c r="J870" s="158" t="n"/>
      <c r="K870" s="159" t="n"/>
    </row>
    <row r="871">
      <c r="C871" s="158" t="n"/>
      <c r="D871" s="158" t="n"/>
      <c r="J871" s="158" t="n"/>
      <c r="K871" s="159" t="n"/>
    </row>
    <row r="872">
      <c r="C872" s="158" t="n"/>
      <c r="D872" s="158" t="n"/>
      <c r="J872" s="158" t="n"/>
      <c r="K872" s="159" t="n"/>
    </row>
    <row r="873">
      <c r="C873" s="158" t="n"/>
      <c r="D873" s="158" t="n"/>
      <c r="J873" s="158" t="n"/>
      <c r="K873" s="159" t="n"/>
    </row>
    <row r="874">
      <c r="C874" s="158" t="n"/>
      <c r="D874" s="158" t="n"/>
      <c r="J874" s="158" t="n"/>
      <c r="K874" s="159" t="n"/>
    </row>
    <row r="875">
      <c r="C875" s="158" t="n"/>
      <c r="D875" s="158" t="n"/>
      <c r="J875" s="158" t="n"/>
      <c r="K875" s="159" t="n"/>
    </row>
    <row r="876">
      <c r="C876" s="158" t="n"/>
      <c r="D876" s="158" t="n"/>
      <c r="J876" s="158" t="n"/>
      <c r="K876" s="159" t="n"/>
    </row>
    <row r="877">
      <c r="C877" s="158" t="n"/>
      <c r="D877" s="158" t="n"/>
      <c r="J877" s="158" t="n"/>
      <c r="K877" s="159" t="n"/>
    </row>
    <row r="878">
      <c r="C878" s="158" t="n"/>
      <c r="D878" s="158" t="n"/>
      <c r="J878" s="158" t="n"/>
      <c r="K878" s="159" t="n"/>
    </row>
    <row r="879">
      <c r="C879" s="158" t="n"/>
      <c r="D879" s="158" t="n"/>
      <c r="J879" s="158" t="n"/>
      <c r="K879" s="159" t="n"/>
    </row>
    <row r="880">
      <c r="C880" s="158" t="n"/>
      <c r="D880" s="158" t="n"/>
      <c r="J880" s="158" t="n"/>
      <c r="K880" s="159" t="n"/>
    </row>
    <row r="881">
      <c r="C881" s="158" t="n"/>
      <c r="D881" s="158" t="n"/>
      <c r="J881" s="158" t="n"/>
      <c r="K881" s="159" t="n"/>
    </row>
    <row r="882">
      <c r="C882" s="158" t="n"/>
      <c r="D882" s="158" t="n"/>
      <c r="J882" s="158" t="n"/>
      <c r="K882" s="159" t="n"/>
    </row>
    <row r="883">
      <c r="C883" s="158" t="n"/>
      <c r="D883" s="158" t="n"/>
      <c r="J883" s="158" t="n"/>
      <c r="K883" s="159" t="n"/>
    </row>
    <row r="884">
      <c r="C884" s="158" t="n"/>
      <c r="D884" s="158" t="n"/>
      <c r="J884" s="158" t="n"/>
      <c r="K884" s="159" t="n"/>
    </row>
    <row r="885">
      <c r="C885" s="158" t="n"/>
      <c r="D885" s="158" t="n"/>
      <c r="J885" s="158" t="n"/>
      <c r="K885" s="159" t="n"/>
    </row>
    <row r="886">
      <c r="C886" s="158" t="n"/>
      <c r="D886" s="158" t="n"/>
      <c r="J886" s="158" t="n"/>
      <c r="K886" s="159" t="n"/>
    </row>
    <row r="887">
      <c r="C887" s="158" t="n"/>
      <c r="D887" s="158" t="n"/>
      <c r="J887" s="158" t="n"/>
      <c r="K887" s="159" t="n"/>
    </row>
    <row r="888">
      <c r="C888" s="158" t="n"/>
      <c r="D888" s="158" t="n"/>
      <c r="J888" s="158" t="n"/>
      <c r="K888" s="159" t="n"/>
    </row>
    <row r="889">
      <c r="C889" s="158" t="n"/>
      <c r="D889" s="158" t="n"/>
      <c r="J889" s="158" t="n"/>
      <c r="K889" s="159" t="n"/>
    </row>
    <row r="890">
      <c r="C890" s="158" t="n"/>
      <c r="D890" s="158" t="n"/>
      <c r="J890" s="158" t="n"/>
      <c r="K890" s="159" t="n"/>
    </row>
    <row r="891">
      <c r="C891" s="158" t="n"/>
      <c r="D891" s="158" t="n"/>
      <c r="J891" s="158" t="n"/>
      <c r="K891" s="159" t="n"/>
    </row>
    <row r="892">
      <c r="C892" s="158" t="n"/>
      <c r="D892" s="158" t="n"/>
      <c r="J892" s="158" t="n"/>
      <c r="K892" s="159" t="n"/>
    </row>
    <row r="893">
      <c r="C893" s="158" t="n"/>
      <c r="D893" s="158" t="n"/>
      <c r="J893" s="158" t="n"/>
      <c r="K893" s="159" t="n"/>
    </row>
    <row r="894">
      <c r="C894" s="158" t="n"/>
      <c r="D894" s="158" t="n"/>
      <c r="J894" s="158" t="n"/>
      <c r="K894" s="159" t="n"/>
    </row>
    <row r="895">
      <c r="C895" s="158" t="n"/>
      <c r="D895" s="158" t="n"/>
      <c r="J895" s="158" t="n"/>
      <c r="K895" s="159" t="n"/>
    </row>
    <row r="896">
      <c r="C896" s="158" t="n"/>
      <c r="D896" s="158" t="n"/>
      <c r="J896" s="158" t="n"/>
      <c r="K896" s="159" t="n"/>
    </row>
    <row r="897">
      <c r="C897" s="158" t="n"/>
      <c r="D897" s="158" t="n"/>
      <c r="J897" s="158" t="n"/>
      <c r="K897" s="159" t="n"/>
    </row>
    <row r="898">
      <c r="C898" s="158" t="n"/>
      <c r="D898" s="158" t="n"/>
      <c r="J898" s="158" t="n"/>
      <c r="K898" s="159" t="n"/>
    </row>
    <row r="899">
      <c r="C899" s="158" t="n"/>
      <c r="D899" s="158" t="n"/>
      <c r="J899" s="158" t="n"/>
      <c r="K899" s="159" t="n"/>
    </row>
    <row r="900">
      <c r="C900" s="158" t="n"/>
      <c r="D900" s="158" t="n"/>
      <c r="J900" s="158" t="n"/>
      <c r="K900" s="159" t="n"/>
    </row>
    <row r="901">
      <c r="C901" s="158" t="n"/>
      <c r="D901" s="158" t="n"/>
      <c r="J901" s="158" t="n"/>
      <c r="K901" s="159" t="n"/>
    </row>
    <row r="902">
      <c r="C902" s="158" t="n"/>
      <c r="D902" s="158" t="n"/>
      <c r="J902" s="158" t="n"/>
      <c r="K902" s="159" t="n"/>
    </row>
    <row r="903">
      <c r="C903" s="158" t="n"/>
      <c r="D903" s="158" t="n"/>
      <c r="J903" s="158" t="n"/>
      <c r="K903" s="159" t="n"/>
    </row>
    <row r="904">
      <c r="C904" s="158" t="n"/>
      <c r="D904" s="158" t="n"/>
      <c r="J904" s="158" t="n"/>
      <c r="K904" s="159" t="n"/>
    </row>
    <row r="905">
      <c r="C905" s="158" t="n"/>
      <c r="D905" s="158" t="n"/>
      <c r="J905" s="158" t="n"/>
      <c r="K905" s="159" t="n"/>
    </row>
    <row r="906">
      <c r="C906" s="158" t="n"/>
      <c r="D906" s="158" t="n"/>
      <c r="J906" s="158" t="n"/>
      <c r="K906" s="159" t="n"/>
    </row>
    <row r="907">
      <c r="C907" s="158" t="n"/>
      <c r="D907" s="158" t="n"/>
      <c r="J907" s="158" t="n"/>
      <c r="K907" s="159" t="n"/>
    </row>
    <row r="908">
      <c r="C908" s="158" t="n"/>
      <c r="D908" s="158" t="n"/>
      <c r="J908" s="158" t="n"/>
      <c r="K908" s="159" t="n"/>
    </row>
    <row r="909">
      <c r="C909" s="158" t="n"/>
      <c r="D909" s="158" t="n"/>
      <c r="J909" s="158" t="n"/>
      <c r="K909" s="159" t="n"/>
    </row>
    <row r="910">
      <c r="C910" s="158" t="n"/>
      <c r="D910" s="158" t="n"/>
      <c r="J910" s="158" t="n"/>
      <c r="K910" s="159" t="n"/>
    </row>
    <row r="911">
      <c r="C911" s="158" t="n"/>
      <c r="D911" s="158" t="n"/>
      <c r="J911" s="158" t="n"/>
      <c r="K911" s="159" t="n"/>
    </row>
    <row r="912">
      <c r="C912" s="158" t="n"/>
      <c r="D912" s="158" t="n"/>
      <c r="J912" s="158" t="n"/>
      <c r="K912" s="159" t="n"/>
    </row>
    <row r="913">
      <c r="C913" s="158" t="n"/>
      <c r="D913" s="158" t="n"/>
      <c r="J913" s="158" t="n"/>
      <c r="K913" s="159" t="n"/>
    </row>
    <row r="914">
      <c r="C914" s="158" t="n"/>
      <c r="D914" s="158" t="n"/>
      <c r="J914" s="158" t="n"/>
      <c r="K914" s="159" t="n"/>
    </row>
    <row r="915">
      <c r="C915" s="158" t="n"/>
      <c r="D915" s="158" t="n"/>
      <c r="J915" s="158" t="n"/>
      <c r="K915" s="159" t="n"/>
    </row>
    <row r="916">
      <c r="C916" s="158" t="n"/>
      <c r="D916" s="158" t="n"/>
      <c r="J916" s="158" t="n"/>
      <c r="K916" s="159" t="n"/>
    </row>
    <row r="917">
      <c r="C917" s="158" t="n"/>
      <c r="D917" s="158" t="n"/>
      <c r="J917" s="158" t="n"/>
      <c r="K917" s="159" t="n"/>
    </row>
    <row r="918">
      <c r="C918" s="158" t="n"/>
      <c r="D918" s="158" t="n"/>
      <c r="J918" s="158" t="n"/>
      <c r="K918" s="159" t="n"/>
    </row>
    <row r="919">
      <c r="C919" s="158" t="n"/>
      <c r="D919" s="158" t="n"/>
      <c r="J919" s="158" t="n"/>
      <c r="K919" s="159" t="n"/>
    </row>
    <row r="920">
      <c r="C920" s="158" t="n"/>
      <c r="D920" s="158" t="n"/>
      <c r="J920" s="158" t="n"/>
      <c r="K920" s="159" t="n"/>
    </row>
    <row r="921">
      <c r="C921" s="158" t="n"/>
      <c r="D921" s="158" t="n"/>
      <c r="J921" s="158" t="n"/>
      <c r="K921" s="159" t="n"/>
    </row>
    <row r="922">
      <c r="C922" s="158" t="n"/>
      <c r="D922" s="158" t="n"/>
      <c r="J922" s="158" t="n"/>
      <c r="K922" s="159" t="n"/>
    </row>
    <row r="923">
      <c r="C923" s="158" t="n"/>
      <c r="D923" s="158" t="n"/>
      <c r="J923" s="158" t="n"/>
      <c r="K923" s="159" t="n"/>
    </row>
    <row r="924">
      <c r="C924" s="158" t="n"/>
      <c r="D924" s="158" t="n"/>
      <c r="J924" s="158" t="n"/>
      <c r="K924" s="159" t="n"/>
    </row>
    <row r="925">
      <c r="C925" s="158" t="n"/>
      <c r="D925" s="158" t="n"/>
      <c r="J925" s="158" t="n"/>
      <c r="K925" s="159" t="n"/>
    </row>
    <row r="926">
      <c r="C926" s="158" t="n"/>
      <c r="D926" s="158" t="n"/>
      <c r="J926" s="158" t="n"/>
      <c r="K926" s="159" t="n"/>
    </row>
    <row r="927">
      <c r="C927" s="158" t="n"/>
      <c r="D927" s="158" t="n"/>
      <c r="J927" s="158" t="n"/>
      <c r="K927" s="159" t="n"/>
    </row>
    <row r="928">
      <c r="C928" s="158" t="n"/>
      <c r="D928" s="158" t="n"/>
      <c r="J928" s="158" t="n"/>
      <c r="K928" s="159" t="n"/>
    </row>
    <row r="929">
      <c r="C929" s="158" t="n"/>
      <c r="D929" s="158" t="n"/>
      <c r="J929" s="158" t="n"/>
      <c r="K929" s="159" t="n"/>
    </row>
    <row r="930">
      <c r="C930" s="158" t="n"/>
      <c r="D930" s="158" t="n"/>
      <c r="J930" s="158" t="n"/>
      <c r="K930" s="159" t="n"/>
    </row>
    <row r="931">
      <c r="C931" s="158" t="n"/>
      <c r="D931" s="158" t="n"/>
      <c r="J931" s="158" t="n"/>
      <c r="K931" s="159" t="n"/>
    </row>
    <row r="932">
      <c r="C932" s="158" t="n"/>
      <c r="D932" s="158" t="n"/>
      <c r="J932" s="158" t="n"/>
      <c r="K932" s="159" t="n"/>
    </row>
    <row r="933">
      <c r="C933" s="158" t="n"/>
      <c r="D933" s="158" t="n"/>
      <c r="J933" s="158" t="n"/>
      <c r="K933" s="159" t="n"/>
    </row>
    <row r="934">
      <c r="C934" s="158" t="n"/>
      <c r="D934" s="158" t="n"/>
      <c r="J934" s="158" t="n"/>
      <c r="K934" s="159" t="n"/>
    </row>
    <row r="935">
      <c r="C935" s="158" t="n"/>
      <c r="D935" s="158" t="n"/>
      <c r="J935" s="158" t="n"/>
      <c r="K935" s="159" t="n"/>
    </row>
    <row r="936">
      <c r="C936" s="158" t="n"/>
      <c r="D936" s="158" t="n"/>
      <c r="J936" s="158" t="n"/>
      <c r="K936" s="159" t="n"/>
    </row>
    <row r="937">
      <c r="C937" s="158" t="n"/>
      <c r="D937" s="158" t="n"/>
      <c r="J937" s="158" t="n"/>
      <c r="K937" s="159" t="n"/>
    </row>
    <row r="938">
      <c r="C938" s="158" t="n"/>
      <c r="D938" s="158" t="n"/>
      <c r="J938" s="158" t="n"/>
      <c r="K938" s="159" t="n"/>
    </row>
    <row r="939">
      <c r="C939" s="158" t="n"/>
      <c r="D939" s="158" t="n"/>
      <c r="J939" s="158" t="n"/>
      <c r="K939" s="159" t="n"/>
    </row>
    <row r="940">
      <c r="C940" s="158" t="n"/>
      <c r="D940" s="158" t="n"/>
      <c r="J940" s="158" t="n"/>
      <c r="K940" s="159" t="n"/>
    </row>
    <row r="941">
      <c r="C941" s="158" t="n"/>
      <c r="D941" s="158" t="n"/>
      <c r="J941" s="158" t="n"/>
      <c r="K941" s="159" t="n"/>
    </row>
    <row r="942">
      <c r="C942" s="158" t="n"/>
      <c r="D942" s="158" t="n"/>
      <c r="J942" s="158" t="n"/>
      <c r="K942" s="159" t="n"/>
    </row>
    <row r="943">
      <c r="C943" s="158" t="n"/>
      <c r="D943" s="158" t="n"/>
      <c r="J943" s="158" t="n"/>
      <c r="K943" s="159" t="n"/>
    </row>
    <row r="944">
      <c r="C944" s="158" t="n"/>
      <c r="D944" s="158" t="n"/>
      <c r="J944" s="158" t="n"/>
      <c r="K944" s="159" t="n"/>
    </row>
    <row r="945">
      <c r="C945" s="158" t="n"/>
      <c r="D945" s="158" t="n"/>
      <c r="J945" s="158" t="n"/>
      <c r="K945" s="159" t="n"/>
    </row>
    <row r="946">
      <c r="C946" s="158" t="n"/>
      <c r="D946" s="158" t="n"/>
      <c r="J946" s="158" t="n"/>
      <c r="K946" s="159" t="n"/>
    </row>
    <row r="947">
      <c r="C947" s="158" t="n"/>
      <c r="D947" s="158" t="n"/>
      <c r="J947" s="158" t="n"/>
      <c r="K947" s="159" t="n"/>
    </row>
    <row r="948">
      <c r="C948" s="158" t="n"/>
      <c r="D948" s="158" t="n"/>
      <c r="J948" s="158" t="n"/>
      <c r="K948" s="159" t="n"/>
    </row>
    <row r="949">
      <c r="C949" s="158" t="n"/>
      <c r="D949" s="158" t="n"/>
      <c r="J949" s="158" t="n"/>
      <c r="K949" s="159" t="n"/>
    </row>
    <row r="950">
      <c r="C950" s="158" t="n"/>
      <c r="D950" s="158" t="n"/>
      <c r="J950" s="158" t="n"/>
      <c r="K950" s="159" t="n"/>
    </row>
    <row r="951">
      <c r="C951" s="158" t="n"/>
      <c r="D951" s="158" t="n"/>
      <c r="J951" s="158" t="n"/>
      <c r="K951" s="159" t="n"/>
    </row>
    <row r="952">
      <c r="C952" s="158" t="n"/>
      <c r="D952" s="158" t="n"/>
      <c r="J952" s="158" t="n"/>
      <c r="K952" s="159" t="n"/>
    </row>
    <row r="953">
      <c r="C953" s="158" t="n"/>
      <c r="D953" s="158" t="n"/>
      <c r="J953" s="158" t="n"/>
      <c r="K953" s="159" t="n"/>
    </row>
    <row r="954">
      <c r="C954" s="158" t="n"/>
      <c r="D954" s="158" t="n"/>
      <c r="J954" s="158" t="n"/>
      <c r="K954" s="159" t="n"/>
    </row>
    <row r="955">
      <c r="C955" s="158" t="n"/>
      <c r="D955" s="158" t="n"/>
      <c r="J955" s="158" t="n"/>
      <c r="K955" s="159" t="n"/>
    </row>
    <row r="956">
      <c r="C956" s="158" t="n"/>
      <c r="D956" s="158" t="n"/>
      <c r="J956" s="158" t="n"/>
      <c r="K956" s="159" t="n"/>
    </row>
    <row r="957">
      <c r="C957" s="158" t="n"/>
      <c r="D957" s="158" t="n"/>
      <c r="J957" s="158" t="n"/>
      <c r="K957" s="159" t="n"/>
    </row>
    <row r="958">
      <c r="C958" s="158" t="n"/>
      <c r="D958" s="158" t="n"/>
      <c r="J958" s="158" t="n"/>
      <c r="K958" s="159" t="n"/>
    </row>
    <row r="959">
      <c r="C959" s="158" t="n"/>
      <c r="D959" s="158" t="n"/>
      <c r="J959" s="158" t="n"/>
      <c r="K959" s="159" t="n"/>
    </row>
    <row r="960">
      <c r="C960" s="158" t="n"/>
      <c r="D960" s="158" t="n"/>
      <c r="J960" s="158" t="n"/>
      <c r="K960" s="159" t="n"/>
    </row>
    <row r="961">
      <c r="C961" s="158" t="n"/>
      <c r="D961" s="158" t="n"/>
      <c r="J961" s="158" t="n"/>
      <c r="K961" s="159" t="n"/>
    </row>
    <row r="962">
      <c r="C962" s="158" t="n"/>
      <c r="D962" s="158" t="n"/>
      <c r="J962" s="158" t="n"/>
      <c r="K962" s="159" t="n"/>
    </row>
    <row r="963">
      <c r="C963" s="158" t="n"/>
      <c r="D963" s="158" t="n"/>
      <c r="J963" s="158" t="n"/>
      <c r="K963" s="159" t="n"/>
    </row>
    <row r="964">
      <c r="C964" s="158" t="n"/>
      <c r="D964" s="158" t="n"/>
      <c r="J964" s="158" t="n"/>
      <c r="K964" s="159" t="n"/>
    </row>
    <row r="965">
      <c r="C965" s="158" t="n"/>
      <c r="D965" s="158" t="n"/>
      <c r="J965" s="158" t="n"/>
      <c r="K965" s="159" t="n"/>
    </row>
    <row r="966">
      <c r="C966" s="158" t="n"/>
      <c r="D966" s="158" t="n"/>
      <c r="J966" s="158" t="n"/>
      <c r="K966" s="159" t="n"/>
    </row>
    <row r="967">
      <c r="C967" s="158" t="n"/>
      <c r="D967" s="158" t="n"/>
      <c r="J967" s="158" t="n"/>
      <c r="K967" s="159" t="n"/>
    </row>
    <row r="968">
      <c r="C968" s="158" t="n"/>
      <c r="D968" s="158" t="n"/>
      <c r="J968" s="158" t="n"/>
      <c r="K968" s="159" t="n"/>
    </row>
    <row r="969">
      <c r="C969" s="158" t="n"/>
      <c r="D969" s="158" t="n"/>
      <c r="J969" s="158" t="n"/>
      <c r="K969" s="159" t="n"/>
    </row>
    <row r="970">
      <c r="C970" s="158" t="n"/>
      <c r="D970" s="158" t="n"/>
      <c r="J970" s="158" t="n"/>
      <c r="K970" s="159" t="n"/>
    </row>
    <row r="971">
      <c r="C971" s="158" t="n"/>
      <c r="D971" s="158" t="n"/>
      <c r="J971" s="158" t="n"/>
      <c r="K971" s="159" t="n"/>
    </row>
    <row r="972">
      <c r="C972" s="158" t="n"/>
      <c r="D972" s="158" t="n"/>
      <c r="J972" s="158" t="n"/>
      <c r="K972" s="159" t="n"/>
    </row>
    <row r="973">
      <c r="C973" s="158" t="n"/>
      <c r="D973" s="158" t="n"/>
      <c r="J973" s="158" t="n"/>
      <c r="K973" s="159" t="n"/>
    </row>
    <row r="974">
      <c r="C974" s="158" t="n"/>
      <c r="D974" s="158" t="n"/>
      <c r="J974" s="158" t="n"/>
      <c r="K974" s="159" t="n"/>
    </row>
    <row r="975">
      <c r="C975" s="158" t="n"/>
      <c r="D975" s="158" t="n"/>
      <c r="J975" s="158" t="n"/>
      <c r="K975" s="159" t="n"/>
    </row>
    <row r="976">
      <c r="C976" s="158" t="n"/>
      <c r="D976" s="158" t="n"/>
      <c r="J976" s="158" t="n"/>
      <c r="K976" s="159" t="n"/>
    </row>
    <row r="977">
      <c r="C977" s="158" t="n"/>
      <c r="D977" s="158" t="n"/>
      <c r="J977" s="158" t="n"/>
      <c r="K977" s="159" t="n"/>
    </row>
    <row r="978">
      <c r="C978" s="158" t="n"/>
      <c r="D978" s="158" t="n"/>
      <c r="J978" s="158" t="n"/>
      <c r="K978" s="159" t="n"/>
    </row>
    <row r="979">
      <c r="C979" s="158" t="n"/>
      <c r="D979" s="158" t="n"/>
      <c r="J979" s="158" t="n"/>
      <c r="K979" s="159" t="n"/>
    </row>
    <row r="980">
      <c r="C980" s="158" t="n"/>
      <c r="D980" s="158" t="n"/>
      <c r="J980" s="158" t="n"/>
      <c r="K980" s="159" t="n"/>
    </row>
    <row r="981">
      <c r="C981" s="158" t="n"/>
      <c r="D981" s="158" t="n"/>
      <c r="J981" s="158" t="n"/>
      <c r="K981" s="159" t="n"/>
    </row>
    <row r="982">
      <c r="C982" s="158" t="n"/>
      <c r="D982" s="158" t="n"/>
      <c r="J982" s="158" t="n"/>
      <c r="K982" s="159" t="n"/>
    </row>
    <row r="983">
      <c r="C983" s="158" t="n"/>
      <c r="D983" s="158" t="n"/>
      <c r="J983" s="158" t="n"/>
      <c r="K983" s="159" t="n"/>
    </row>
    <row r="984">
      <c r="C984" s="158" t="n"/>
      <c r="D984" s="158" t="n"/>
      <c r="J984" s="158" t="n"/>
      <c r="K984" s="159" t="n"/>
    </row>
    <row r="985">
      <c r="C985" s="158" t="n"/>
      <c r="D985" s="158" t="n"/>
      <c r="J985" s="158" t="n"/>
      <c r="K985" s="159" t="n"/>
    </row>
    <row r="986">
      <c r="C986" s="158" t="n"/>
      <c r="D986" s="158" t="n"/>
      <c r="J986" s="158" t="n"/>
      <c r="K986" s="159" t="n"/>
    </row>
    <row r="987">
      <c r="C987" s="158" t="n"/>
      <c r="D987" s="158" t="n"/>
      <c r="J987" s="158" t="n"/>
      <c r="K987" s="159" t="n"/>
    </row>
    <row r="988">
      <c r="C988" s="158" t="n"/>
      <c r="D988" s="158" t="n"/>
      <c r="J988" s="158" t="n"/>
      <c r="K988" s="159" t="n"/>
    </row>
    <row r="989">
      <c r="C989" s="158" t="n"/>
      <c r="D989" s="158" t="n"/>
      <c r="J989" s="158" t="n"/>
      <c r="K989" s="159" t="n"/>
    </row>
    <row r="990">
      <c r="C990" s="158" t="n"/>
      <c r="D990" s="158" t="n"/>
      <c r="J990" s="158" t="n"/>
      <c r="K990" s="159" t="n"/>
    </row>
    <row r="991">
      <c r="C991" s="158" t="n"/>
      <c r="D991" s="158" t="n"/>
      <c r="J991" s="158" t="n"/>
      <c r="K991" s="159" t="n"/>
    </row>
    <row r="992">
      <c r="C992" s="158" t="n"/>
      <c r="D992" s="158" t="n"/>
      <c r="J992" s="158" t="n"/>
      <c r="K992" s="159" t="n"/>
    </row>
    <row r="993">
      <c r="C993" s="158" t="n"/>
      <c r="D993" s="158" t="n"/>
      <c r="J993" s="158" t="n"/>
      <c r="K993" s="159" t="n"/>
    </row>
    <row r="994">
      <c r="C994" s="158" t="n"/>
      <c r="D994" s="158" t="n"/>
      <c r="J994" s="158" t="n"/>
      <c r="K994" s="159" t="n"/>
    </row>
    <row r="995">
      <c r="C995" s="158" t="n"/>
      <c r="D995" s="158" t="n"/>
      <c r="J995" s="158" t="n"/>
      <c r="K995" s="159" t="n"/>
    </row>
    <row r="996">
      <c r="C996" s="158" t="n"/>
      <c r="D996" s="158" t="n"/>
      <c r="J996" s="158" t="n"/>
      <c r="K996" s="159" t="n"/>
    </row>
    <row r="997">
      <c r="C997" s="158" t="n"/>
      <c r="D997" s="158" t="n"/>
      <c r="J997" s="158" t="n"/>
      <c r="K997" s="159" t="n"/>
    </row>
    <row r="998">
      <c r="C998" s="158" t="n"/>
      <c r="D998" s="158" t="n"/>
      <c r="J998" s="158" t="n"/>
      <c r="K998" s="159" t="n"/>
    </row>
    <row r="999">
      <c r="C999" s="158" t="n"/>
      <c r="D999" s="158" t="n"/>
      <c r="J999" s="158" t="n"/>
      <c r="K999" s="159" t="n"/>
    </row>
    <row r="1000">
      <c r="C1000" s="158" t="n"/>
      <c r="D1000" s="158" t="n"/>
      <c r="J1000" s="158" t="n"/>
      <c r="K1000" s="159" t="n"/>
    </row>
    <row r="1001">
      <c r="C1001" s="158" t="n"/>
      <c r="D1001" s="158" t="n"/>
      <c r="J1001" s="158" t="n"/>
      <c r="K1001" s="159" t="n"/>
    </row>
    <row r="1002">
      <c r="C1002" s="158" t="n"/>
      <c r="D1002" s="158" t="n"/>
      <c r="J1002" s="158" t="n"/>
      <c r="K1002" s="159" t="n"/>
    </row>
    <row r="1003">
      <c r="C1003" s="158" t="n"/>
      <c r="D1003" s="158" t="n"/>
      <c r="J1003" s="158" t="n"/>
      <c r="K1003" s="159" t="n"/>
    </row>
    <row r="1004">
      <c r="C1004" s="158" t="n"/>
      <c r="D1004" s="158" t="n"/>
      <c r="J1004" s="158" t="n"/>
      <c r="K1004" s="159" t="n"/>
    </row>
    <row r="1005">
      <c r="C1005" s="158" t="n"/>
      <c r="D1005" s="158" t="n"/>
      <c r="J1005" s="158" t="n"/>
      <c r="K1005" s="159" t="n"/>
    </row>
    <row r="1006">
      <c r="C1006" s="158" t="n"/>
      <c r="D1006" s="158" t="n"/>
      <c r="J1006" s="158" t="n"/>
      <c r="K1006" s="159" t="n"/>
    </row>
    <row r="1007">
      <c r="C1007" s="158" t="n"/>
      <c r="D1007" s="158" t="n"/>
      <c r="J1007" s="158" t="n"/>
      <c r="K1007" s="159" t="n"/>
    </row>
    <row r="1008">
      <c r="C1008" s="158" t="n"/>
      <c r="D1008" s="158" t="n"/>
      <c r="J1008" s="158" t="n"/>
      <c r="K1008" s="159" t="n"/>
    </row>
    <row r="1009">
      <c r="C1009" s="158" t="n"/>
      <c r="D1009" s="158" t="n"/>
      <c r="J1009" s="158" t="n"/>
      <c r="K1009" s="159" t="n"/>
    </row>
    <row r="1010">
      <c r="C1010" s="158" t="n"/>
      <c r="D1010" s="158" t="n"/>
      <c r="J1010" s="158" t="n"/>
      <c r="K1010" s="159" t="n"/>
    </row>
    <row r="1011">
      <c r="C1011" s="158" t="n"/>
      <c r="D1011" s="158" t="n"/>
      <c r="J1011" s="158" t="n"/>
      <c r="K1011" s="159" t="n"/>
    </row>
    <row r="1012">
      <c r="C1012" s="158" t="n"/>
      <c r="D1012" s="158" t="n"/>
      <c r="J1012" s="158" t="n"/>
      <c r="K1012" s="159" t="n"/>
    </row>
    <row r="1013">
      <c r="C1013" s="158" t="n"/>
      <c r="D1013" s="158" t="n"/>
      <c r="J1013" s="158" t="n"/>
      <c r="K1013" s="159" t="n"/>
    </row>
    <row r="1014">
      <c r="C1014" s="158" t="n"/>
      <c r="D1014" s="158" t="n"/>
      <c r="J1014" s="158" t="n"/>
      <c r="K1014" s="159" t="n"/>
    </row>
    <row r="1015">
      <c r="C1015" s="158" t="n"/>
      <c r="D1015" s="158" t="n"/>
      <c r="J1015" s="158" t="n"/>
      <c r="K1015" s="159" t="n"/>
    </row>
    <row r="1016">
      <c r="C1016" s="158" t="n"/>
      <c r="D1016" s="158" t="n"/>
      <c r="J1016" s="158" t="n"/>
      <c r="K1016" s="159" t="n"/>
    </row>
    <row r="1017">
      <c r="C1017" s="158" t="n"/>
      <c r="D1017" s="158" t="n"/>
      <c r="J1017" s="158" t="n"/>
      <c r="K1017" s="159" t="n"/>
    </row>
    <row r="1018">
      <c r="C1018" s="158" t="n"/>
      <c r="D1018" s="158" t="n"/>
      <c r="J1018" s="158" t="n"/>
      <c r="K1018" s="159" t="n"/>
    </row>
    <row r="1019">
      <c r="C1019" s="158" t="n"/>
      <c r="D1019" s="158" t="n"/>
      <c r="J1019" s="158" t="n"/>
      <c r="K1019" s="159" t="n"/>
    </row>
    <row r="1020">
      <c r="C1020" s="158" t="n"/>
      <c r="D1020" s="158" t="n"/>
      <c r="J1020" s="158" t="n"/>
      <c r="K1020" s="159" t="n"/>
    </row>
    <row r="1021">
      <c r="C1021" s="158" t="n"/>
      <c r="D1021" s="158" t="n"/>
      <c r="J1021" s="158" t="n"/>
      <c r="K1021" s="159" t="n"/>
    </row>
    <row r="1022">
      <c r="C1022" s="158" t="n"/>
      <c r="D1022" s="158" t="n"/>
      <c r="J1022" s="158" t="n"/>
      <c r="K1022" s="159" t="n"/>
    </row>
    <row r="1023">
      <c r="C1023" s="158" t="n"/>
      <c r="D1023" s="158" t="n"/>
      <c r="J1023" s="158" t="n"/>
      <c r="K1023" s="159" t="n"/>
    </row>
    <row r="1024">
      <c r="C1024" s="158" t="n"/>
      <c r="D1024" s="158" t="n"/>
      <c r="J1024" s="158" t="n"/>
      <c r="K1024" s="159" t="n"/>
    </row>
    <row r="1025">
      <c r="C1025" s="158" t="n"/>
      <c r="D1025" s="158" t="n"/>
      <c r="J1025" s="158" t="n"/>
      <c r="K1025" s="159" t="n"/>
    </row>
    <row r="1026">
      <c r="C1026" s="158" t="n"/>
      <c r="D1026" s="158" t="n"/>
      <c r="J1026" s="158" t="n"/>
      <c r="K1026" s="159" t="n"/>
    </row>
    <row r="1027">
      <c r="C1027" s="158" t="n"/>
      <c r="D1027" s="158" t="n"/>
      <c r="J1027" s="158" t="n"/>
      <c r="K1027" s="159" t="n"/>
    </row>
    <row r="1028">
      <c r="C1028" s="158" t="n"/>
      <c r="D1028" s="158" t="n"/>
      <c r="J1028" s="158" t="n"/>
      <c r="K1028" s="159" t="n"/>
    </row>
    <row r="1029">
      <c r="C1029" s="158" t="n"/>
      <c r="D1029" s="158" t="n"/>
      <c r="J1029" s="158" t="n"/>
      <c r="K1029" s="159" t="n"/>
    </row>
    <row r="1030">
      <c r="C1030" s="158" t="n"/>
      <c r="D1030" s="158" t="n"/>
      <c r="J1030" s="158" t="n"/>
      <c r="K1030" s="159" t="n"/>
    </row>
    <row r="1031">
      <c r="C1031" s="158" t="n"/>
      <c r="D1031" s="158" t="n"/>
      <c r="J1031" s="158" t="n"/>
      <c r="K1031" s="159" t="n"/>
    </row>
    <row r="1032">
      <c r="C1032" s="158" t="n"/>
      <c r="D1032" s="158" t="n"/>
      <c r="J1032" s="158" t="n"/>
      <c r="K1032" s="159" t="n"/>
    </row>
    <row r="1033">
      <c r="C1033" s="158" t="n"/>
      <c r="D1033" s="158" t="n"/>
      <c r="J1033" s="158" t="n"/>
      <c r="K1033" s="159" t="n"/>
    </row>
    <row r="1034">
      <c r="C1034" s="158" t="n"/>
      <c r="D1034" s="158" t="n"/>
      <c r="J1034" s="158" t="n"/>
      <c r="K1034" s="159" t="n"/>
    </row>
    <row r="1035">
      <c r="C1035" s="158" t="n"/>
      <c r="D1035" s="158" t="n"/>
      <c r="J1035" s="158" t="n"/>
      <c r="K1035" s="159" t="n"/>
    </row>
    <row r="1036">
      <c r="C1036" s="158" t="n"/>
      <c r="D1036" s="158" t="n"/>
      <c r="J1036" s="158" t="n"/>
      <c r="K1036" s="159" t="n"/>
    </row>
    <row r="1037">
      <c r="C1037" s="158" t="n"/>
      <c r="D1037" s="158" t="n"/>
      <c r="J1037" s="158" t="n"/>
      <c r="K1037" s="159" t="n"/>
    </row>
    <row r="1038">
      <c r="C1038" s="158" t="n"/>
      <c r="D1038" s="158" t="n"/>
      <c r="J1038" s="158" t="n"/>
      <c r="K1038" s="159" t="n"/>
    </row>
    <row r="1039">
      <c r="C1039" s="158" t="n"/>
      <c r="D1039" s="158" t="n"/>
      <c r="J1039" s="158" t="n"/>
      <c r="K1039" s="159" t="n"/>
    </row>
    <row r="1040">
      <c r="C1040" s="158" t="n"/>
      <c r="D1040" s="158" t="n"/>
      <c r="J1040" s="158" t="n"/>
      <c r="K1040" s="159" t="n"/>
    </row>
    <row r="1041">
      <c r="C1041" s="158" t="n"/>
      <c r="D1041" s="158" t="n"/>
      <c r="J1041" s="158" t="n"/>
      <c r="K1041" s="159" t="n"/>
    </row>
    <row r="1042">
      <c r="C1042" s="158" t="n"/>
      <c r="D1042" s="158" t="n"/>
      <c r="J1042" s="158" t="n"/>
      <c r="K1042" s="159" t="n"/>
    </row>
    <row r="1043">
      <c r="C1043" s="158" t="n"/>
      <c r="D1043" s="158" t="n"/>
      <c r="J1043" s="158" t="n"/>
      <c r="K1043" s="159" t="n"/>
    </row>
    <row r="1044">
      <c r="C1044" s="158" t="n"/>
      <c r="D1044" s="158" t="n"/>
      <c r="J1044" s="158" t="n"/>
      <c r="K1044" s="159" t="n"/>
    </row>
    <row r="1045">
      <c r="C1045" s="158" t="n"/>
      <c r="D1045" s="158" t="n"/>
      <c r="J1045" s="158" t="n"/>
      <c r="K1045" s="159" t="n"/>
    </row>
    <row r="1046">
      <c r="C1046" s="158" t="n"/>
      <c r="D1046" s="158" t="n"/>
      <c r="J1046" s="158" t="n"/>
      <c r="K1046" s="159" t="n"/>
    </row>
    <row r="1047">
      <c r="C1047" s="158" t="n"/>
      <c r="D1047" s="158" t="n"/>
      <c r="J1047" s="158" t="n"/>
      <c r="K1047" s="159" t="n"/>
    </row>
    <row r="1048">
      <c r="C1048" s="158" t="n"/>
      <c r="D1048" s="158" t="n"/>
      <c r="J1048" s="158" t="n"/>
      <c r="K1048" s="159" t="n"/>
    </row>
    <row r="1049">
      <c r="C1049" s="158" t="n"/>
      <c r="D1049" s="158" t="n"/>
      <c r="J1049" s="158" t="n"/>
      <c r="K1049" s="159" t="n"/>
    </row>
    <row r="1050">
      <c r="C1050" s="158" t="n"/>
      <c r="D1050" s="158" t="n"/>
      <c r="J1050" s="158" t="n"/>
      <c r="K1050" s="159" t="n"/>
    </row>
    <row r="1051">
      <c r="C1051" s="158" t="n"/>
      <c r="D1051" s="158" t="n"/>
      <c r="J1051" s="158" t="n"/>
      <c r="K1051" s="159" t="n"/>
    </row>
    <row r="1052">
      <c r="C1052" s="158" t="n"/>
      <c r="D1052" s="158" t="n"/>
      <c r="J1052" s="158" t="n"/>
      <c r="K1052" s="159" t="n"/>
    </row>
    <row r="1053">
      <c r="C1053" s="158" t="n"/>
      <c r="D1053" s="158" t="n"/>
      <c r="J1053" s="158" t="n"/>
      <c r="K1053" s="159" t="n"/>
    </row>
    <row r="1054">
      <c r="C1054" s="158" t="n"/>
      <c r="D1054" s="158" t="n"/>
      <c r="J1054" s="158" t="n"/>
      <c r="K1054" s="159" t="n"/>
    </row>
    <row r="1055">
      <c r="C1055" s="158" t="n"/>
      <c r="D1055" s="158" t="n"/>
      <c r="J1055" s="158" t="n"/>
      <c r="K1055" s="159" t="n"/>
    </row>
    <row r="1056">
      <c r="C1056" s="158" t="n"/>
      <c r="D1056" s="158" t="n"/>
      <c r="J1056" s="158" t="n"/>
      <c r="K1056" s="159" t="n"/>
    </row>
    <row r="1057">
      <c r="C1057" s="158" t="n"/>
      <c r="D1057" s="158" t="n"/>
      <c r="J1057" s="158" t="n"/>
      <c r="K1057" s="159" t="n"/>
    </row>
    <row r="1058">
      <c r="C1058" s="158" t="n"/>
      <c r="D1058" s="158" t="n"/>
      <c r="J1058" s="158" t="n"/>
      <c r="K1058" s="159" t="n"/>
    </row>
    <row r="1059">
      <c r="C1059" s="158" t="n"/>
      <c r="D1059" s="158" t="n"/>
      <c r="J1059" s="158" t="n"/>
      <c r="K1059" s="159" t="n"/>
    </row>
    <row r="1060">
      <c r="C1060" s="158" t="n"/>
      <c r="D1060" s="158" t="n"/>
      <c r="J1060" s="158" t="n"/>
      <c r="K1060" s="159" t="n"/>
    </row>
    <row r="1061">
      <c r="C1061" s="158" t="n"/>
      <c r="D1061" s="158" t="n"/>
      <c r="J1061" s="158" t="n"/>
      <c r="K1061" s="159" t="n"/>
    </row>
    <row r="1062">
      <c r="C1062" s="158" t="n"/>
      <c r="D1062" s="158" t="n"/>
      <c r="J1062" s="158" t="n"/>
      <c r="K1062" s="159" t="n"/>
    </row>
    <row r="1063">
      <c r="C1063" s="158" t="n"/>
      <c r="D1063" s="158" t="n"/>
      <c r="J1063" s="158" t="n"/>
      <c r="K1063" s="159" t="n"/>
    </row>
    <row r="1064">
      <c r="C1064" s="158" t="n"/>
      <c r="D1064" s="158" t="n"/>
      <c r="J1064" s="158" t="n"/>
      <c r="K1064" s="159" t="n"/>
    </row>
    <row r="1065">
      <c r="C1065" s="158" t="n"/>
      <c r="D1065" s="158" t="n"/>
      <c r="J1065" s="158" t="n"/>
      <c r="K1065" s="159" t="n"/>
    </row>
    <row r="1066">
      <c r="C1066" s="158" t="n"/>
      <c r="D1066" s="158" t="n"/>
      <c r="J1066" s="158" t="n"/>
      <c r="K1066" s="159" t="n"/>
    </row>
    <row r="1067">
      <c r="C1067" s="158" t="n"/>
      <c r="D1067" s="158" t="n"/>
      <c r="J1067" s="158" t="n"/>
      <c r="K1067" s="159" t="n"/>
    </row>
    <row r="1068">
      <c r="C1068" s="158" t="n"/>
      <c r="D1068" s="158" t="n"/>
      <c r="J1068" s="158" t="n"/>
      <c r="K1068" s="159" t="n"/>
    </row>
    <row r="1069">
      <c r="C1069" s="158" t="n"/>
      <c r="D1069" s="158" t="n"/>
      <c r="J1069" s="158" t="n"/>
      <c r="K1069" s="159" t="n"/>
    </row>
    <row r="1070">
      <c r="C1070" s="158" t="n"/>
      <c r="D1070" s="158" t="n"/>
      <c r="J1070" s="158" t="n"/>
      <c r="K1070" s="159" t="n"/>
    </row>
    <row r="1071">
      <c r="C1071" s="158" t="n"/>
      <c r="D1071" s="158" t="n"/>
      <c r="J1071" s="158" t="n"/>
      <c r="K1071" s="159" t="n"/>
    </row>
    <row r="1072">
      <c r="C1072" s="158" t="n"/>
      <c r="D1072" s="158" t="n"/>
      <c r="J1072" s="158" t="n"/>
      <c r="K1072" s="159" t="n"/>
    </row>
    <row r="1073">
      <c r="C1073" s="158" t="n"/>
      <c r="D1073" s="158" t="n"/>
      <c r="J1073" s="158" t="n"/>
      <c r="K1073" s="159" t="n"/>
    </row>
    <row r="1074">
      <c r="C1074" s="158" t="n"/>
      <c r="D1074" s="158" t="n"/>
      <c r="J1074" s="158" t="n"/>
      <c r="K1074" s="159" t="n"/>
    </row>
    <row r="1075">
      <c r="C1075" s="158" t="n"/>
      <c r="D1075" s="158" t="n"/>
      <c r="J1075" s="158" t="n"/>
      <c r="K1075" s="159" t="n"/>
    </row>
    <row r="1076">
      <c r="C1076" s="158" t="n"/>
      <c r="D1076" s="158" t="n"/>
      <c r="J1076" s="158" t="n"/>
      <c r="K1076" s="159" t="n"/>
    </row>
    <row r="1077">
      <c r="C1077" s="158" t="n"/>
      <c r="D1077" s="158" t="n"/>
      <c r="J1077" s="158" t="n"/>
      <c r="K1077" s="159" t="n"/>
    </row>
    <row r="1078">
      <c r="C1078" s="158" t="n"/>
      <c r="D1078" s="158" t="n"/>
      <c r="J1078" s="158" t="n"/>
      <c r="K1078" s="159" t="n"/>
    </row>
    <row r="1079">
      <c r="C1079" s="158" t="n"/>
      <c r="D1079" s="158" t="n"/>
      <c r="J1079" s="158" t="n"/>
      <c r="K1079" s="159" t="n"/>
    </row>
    <row r="1080">
      <c r="C1080" s="158" t="n"/>
      <c r="D1080" s="158" t="n"/>
      <c r="J1080" s="158" t="n"/>
      <c r="K1080" s="159" t="n"/>
    </row>
    <row r="1081">
      <c r="C1081" s="158" t="n"/>
      <c r="D1081" s="158" t="n"/>
      <c r="J1081" s="158" t="n"/>
      <c r="K1081" s="159" t="n"/>
    </row>
    <row r="1082">
      <c r="C1082" s="158" t="n"/>
      <c r="D1082" s="158" t="n"/>
      <c r="J1082" s="158" t="n"/>
      <c r="K1082" s="159" t="n"/>
    </row>
    <row r="1083">
      <c r="C1083" s="158" t="n"/>
      <c r="D1083" s="158" t="n"/>
      <c r="J1083" s="158" t="n"/>
      <c r="K1083" s="159" t="n"/>
    </row>
    <row r="1084">
      <c r="C1084" s="158" t="n"/>
      <c r="D1084" s="158" t="n"/>
      <c r="J1084" s="158" t="n"/>
      <c r="K1084" s="159" t="n"/>
    </row>
    <row r="1085">
      <c r="C1085" s="158" t="n"/>
      <c r="D1085" s="158" t="n"/>
      <c r="J1085" s="158" t="n"/>
      <c r="K1085" s="159" t="n"/>
    </row>
    <row r="1086">
      <c r="C1086" s="158" t="n"/>
      <c r="D1086" s="158" t="n"/>
      <c r="J1086" s="158" t="n"/>
      <c r="K1086" s="159" t="n"/>
    </row>
    <row r="1087">
      <c r="C1087" s="158" t="n"/>
      <c r="D1087" s="158" t="n"/>
      <c r="J1087" s="158" t="n"/>
      <c r="K1087" s="159" t="n"/>
    </row>
    <row r="1088">
      <c r="C1088" s="158" t="n"/>
      <c r="D1088" s="158" t="n"/>
      <c r="J1088" s="158" t="n"/>
      <c r="K1088" s="159" t="n"/>
    </row>
    <row r="1089">
      <c r="C1089" s="158" t="n"/>
      <c r="D1089" s="158" t="n"/>
      <c r="J1089" s="158" t="n"/>
      <c r="K1089" s="159" t="n"/>
    </row>
    <row r="1090">
      <c r="C1090" s="158" t="n"/>
      <c r="D1090" s="158" t="n"/>
      <c r="J1090" s="158" t="n"/>
      <c r="K1090" s="159" t="n"/>
    </row>
    <row r="1091">
      <c r="C1091" s="158" t="n"/>
      <c r="D1091" s="158" t="n"/>
      <c r="J1091" s="158" t="n"/>
      <c r="K1091" s="159" t="n"/>
    </row>
    <row r="1092">
      <c r="C1092" s="158" t="n"/>
      <c r="D1092" s="158" t="n"/>
      <c r="J1092" s="158" t="n"/>
      <c r="K1092" s="159" t="n"/>
    </row>
    <row r="1093">
      <c r="C1093" s="158" t="n"/>
      <c r="D1093" s="158" t="n"/>
      <c r="J1093" s="158" t="n"/>
      <c r="K1093" s="159" t="n"/>
    </row>
    <row r="1094">
      <c r="C1094" s="158" t="n"/>
      <c r="D1094" s="158" t="n"/>
      <c r="J1094" s="158" t="n"/>
      <c r="K1094" s="159" t="n"/>
    </row>
    <row r="1095">
      <c r="C1095" s="158" t="n"/>
      <c r="D1095" s="158" t="n"/>
      <c r="J1095" s="158" t="n"/>
      <c r="K1095" s="159" t="n"/>
    </row>
    <row r="1096">
      <c r="C1096" s="158" t="n"/>
      <c r="D1096" s="158" t="n"/>
      <c r="J1096" s="158" t="n"/>
      <c r="K1096" s="159" t="n"/>
    </row>
    <row r="1097">
      <c r="C1097" s="158" t="n"/>
      <c r="D1097" s="158" t="n"/>
      <c r="J1097" s="158" t="n"/>
      <c r="K1097" s="159" t="n"/>
    </row>
    <row r="1098">
      <c r="C1098" s="158" t="n"/>
      <c r="D1098" s="158" t="n"/>
      <c r="J1098" s="158" t="n"/>
      <c r="K1098" s="159" t="n"/>
    </row>
    <row r="1099">
      <c r="C1099" s="158" t="n"/>
      <c r="D1099" s="158" t="n"/>
      <c r="J1099" s="158" t="n"/>
      <c r="K1099" s="159" t="n"/>
    </row>
    <row r="1100">
      <c r="C1100" s="158" t="n"/>
      <c r="D1100" s="158" t="n"/>
      <c r="J1100" s="158" t="n"/>
      <c r="K1100" s="159" t="n"/>
    </row>
    <row r="1101">
      <c r="C1101" s="158" t="n"/>
      <c r="D1101" s="158" t="n"/>
      <c r="J1101" s="158" t="n"/>
      <c r="K1101" s="159" t="n"/>
    </row>
    <row r="1102">
      <c r="C1102" s="158" t="n"/>
      <c r="D1102" s="158" t="n"/>
      <c r="J1102" s="158" t="n"/>
      <c r="K1102" s="159" t="n"/>
    </row>
    <row r="1103">
      <c r="C1103" s="158" t="n"/>
      <c r="D1103" s="158" t="n"/>
      <c r="J1103" s="158" t="n"/>
      <c r="K1103" s="159" t="n"/>
    </row>
    <row r="1104">
      <c r="C1104" s="158" t="n"/>
      <c r="D1104" s="158" t="n"/>
      <c r="J1104" s="158" t="n"/>
      <c r="K1104" s="159" t="n"/>
    </row>
    <row r="1105">
      <c r="C1105" s="158" t="n"/>
      <c r="D1105" s="158" t="n"/>
      <c r="J1105" s="158" t="n"/>
      <c r="K1105" s="159" t="n"/>
    </row>
    <row r="1106">
      <c r="C1106" s="158" t="n"/>
      <c r="D1106" s="158" t="n"/>
      <c r="J1106" s="158" t="n"/>
      <c r="K1106" s="159" t="n"/>
    </row>
    <row r="1107">
      <c r="C1107" s="158" t="n"/>
      <c r="D1107" s="158" t="n"/>
      <c r="J1107" s="158" t="n"/>
      <c r="K1107" s="159" t="n"/>
    </row>
    <row r="1108">
      <c r="C1108" s="158" t="n"/>
      <c r="D1108" s="158" t="n"/>
      <c r="J1108" s="158" t="n"/>
      <c r="K1108" s="159" t="n"/>
    </row>
    <row r="1109">
      <c r="C1109" s="158" t="n"/>
      <c r="D1109" s="158" t="n"/>
      <c r="J1109" s="158" t="n"/>
      <c r="K1109" s="159" t="n"/>
    </row>
    <row r="1110">
      <c r="C1110" s="158" t="n"/>
      <c r="D1110" s="158" t="n"/>
      <c r="J1110" s="158" t="n"/>
      <c r="K1110" s="159" t="n"/>
    </row>
    <row r="1111">
      <c r="C1111" s="158" t="n"/>
      <c r="D1111" s="158" t="n"/>
      <c r="J1111" s="158" t="n"/>
      <c r="K1111" s="159" t="n"/>
    </row>
    <row r="1112">
      <c r="C1112" s="158" t="n"/>
      <c r="D1112" s="158" t="n"/>
      <c r="J1112" s="158" t="n"/>
      <c r="K1112" s="159" t="n"/>
    </row>
    <row r="1113">
      <c r="C1113" s="158" t="n"/>
      <c r="D1113" s="158" t="n"/>
      <c r="J1113" s="158" t="n"/>
      <c r="K1113" s="159" t="n"/>
    </row>
    <row r="1114">
      <c r="C1114" s="158" t="n"/>
      <c r="D1114" s="158" t="n"/>
      <c r="J1114" s="158" t="n"/>
      <c r="K1114" s="159" t="n"/>
    </row>
    <row r="1115">
      <c r="C1115" s="158" t="n"/>
      <c r="D1115" s="158" t="n"/>
      <c r="J1115" s="158" t="n"/>
      <c r="K1115" s="159" t="n"/>
    </row>
    <row r="1116">
      <c r="C1116" s="158" t="n"/>
      <c r="D1116" s="158" t="n"/>
      <c r="J1116" s="158" t="n"/>
      <c r="K1116" s="159" t="n"/>
    </row>
    <row r="1117">
      <c r="C1117" s="158" t="n"/>
      <c r="D1117" s="158" t="n"/>
      <c r="J1117" s="158" t="n"/>
      <c r="K1117" s="159" t="n"/>
    </row>
    <row r="1118">
      <c r="C1118" s="158" t="n"/>
      <c r="D1118" s="158" t="n"/>
      <c r="J1118" s="158" t="n"/>
      <c r="K1118" s="159" t="n"/>
    </row>
    <row r="1119">
      <c r="C1119" s="158" t="n"/>
      <c r="D1119" s="158" t="n"/>
      <c r="J1119" s="158" t="n"/>
      <c r="K1119" s="159" t="n"/>
    </row>
    <row r="1120">
      <c r="C1120" s="158" t="n"/>
      <c r="D1120" s="158" t="n"/>
      <c r="J1120" s="158" t="n"/>
      <c r="K1120" s="159" t="n"/>
    </row>
    <row r="1121">
      <c r="C1121" s="158" t="n"/>
      <c r="D1121" s="158" t="n"/>
      <c r="J1121" s="158" t="n"/>
      <c r="K1121" s="159" t="n"/>
    </row>
    <row r="1122">
      <c r="C1122" s="158" t="n"/>
      <c r="D1122" s="158" t="n"/>
      <c r="J1122" s="158" t="n"/>
      <c r="K1122" s="159" t="n"/>
    </row>
    <row r="1123">
      <c r="C1123" s="158" t="n"/>
      <c r="D1123" s="158" t="n"/>
      <c r="J1123" s="158" t="n"/>
      <c r="K1123" s="159" t="n"/>
    </row>
    <row r="1124">
      <c r="C1124" s="158" t="n"/>
      <c r="D1124" s="158" t="n"/>
      <c r="J1124" s="158" t="n"/>
      <c r="K1124" s="159" t="n"/>
    </row>
    <row r="1125">
      <c r="C1125" s="158" t="n"/>
      <c r="D1125" s="158" t="n"/>
      <c r="J1125" s="158" t="n"/>
      <c r="K1125" s="159" t="n"/>
    </row>
    <row r="1126">
      <c r="C1126" s="158" t="n"/>
      <c r="D1126" s="158" t="n"/>
      <c r="J1126" s="158" t="n"/>
      <c r="K1126" s="159" t="n"/>
    </row>
    <row r="1127">
      <c r="C1127" s="158" t="n"/>
      <c r="D1127" s="158" t="n"/>
      <c r="J1127" s="158" t="n"/>
      <c r="K1127" s="159" t="n"/>
    </row>
    <row r="1128">
      <c r="C1128" s="158" t="n"/>
      <c r="D1128" s="158" t="n"/>
      <c r="J1128" s="158" t="n"/>
      <c r="K1128" s="159" t="n"/>
    </row>
    <row r="1129">
      <c r="C1129" s="158" t="n"/>
      <c r="D1129" s="158" t="n"/>
      <c r="J1129" s="158" t="n"/>
      <c r="K1129" s="159" t="n"/>
    </row>
    <row r="1130">
      <c r="C1130" s="158" t="n"/>
      <c r="D1130" s="158" t="n"/>
      <c r="J1130" s="158" t="n"/>
      <c r="K1130" s="159" t="n"/>
    </row>
    <row r="1131">
      <c r="C1131" s="158" t="n"/>
      <c r="D1131" s="158" t="n"/>
      <c r="J1131" s="158" t="n"/>
      <c r="K1131" s="159" t="n"/>
    </row>
    <row r="1132">
      <c r="C1132" s="158" t="n"/>
      <c r="D1132" s="158" t="n"/>
      <c r="J1132" s="158" t="n"/>
      <c r="K1132" s="159" t="n"/>
    </row>
    <row r="1133">
      <c r="C1133" s="158" t="n"/>
      <c r="D1133" s="158" t="n"/>
      <c r="J1133" s="158" t="n"/>
      <c r="K1133" s="159" t="n"/>
    </row>
    <row r="1134">
      <c r="C1134" s="158" t="n"/>
      <c r="D1134" s="158" t="n"/>
      <c r="J1134" s="158" t="n"/>
      <c r="K1134" s="159" t="n"/>
    </row>
    <row r="1135">
      <c r="C1135" s="158" t="n"/>
      <c r="D1135" s="158" t="n"/>
      <c r="J1135" s="158" t="n"/>
      <c r="K1135" s="159" t="n"/>
    </row>
    <row r="1136">
      <c r="C1136" s="158" t="n"/>
      <c r="D1136" s="158" t="n"/>
      <c r="J1136" s="158" t="n"/>
      <c r="K1136" s="159" t="n"/>
    </row>
    <row r="1137">
      <c r="C1137" s="158" t="n"/>
      <c r="D1137" s="158" t="n"/>
      <c r="J1137" s="158" t="n"/>
      <c r="K1137" s="159" t="n"/>
    </row>
    <row r="1138">
      <c r="C1138" s="158" t="n"/>
      <c r="D1138" s="158" t="n"/>
      <c r="J1138" s="158" t="n"/>
      <c r="K1138" s="159" t="n"/>
    </row>
    <row r="1139">
      <c r="C1139" s="158" t="n"/>
      <c r="D1139" s="158" t="n"/>
      <c r="J1139" s="158" t="n"/>
      <c r="K1139" s="159" t="n"/>
    </row>
    <row r="1140">
      <c r="C1140" s="158" t="n"/>
      <c r="D1140" s="158" t="n"/>
      <c r="J1140" s="158" t="n"/>
      <c r="K1140" s="159" t="n"/>
    </row>
    <row r="1141">
      <c r="C1141" s="158" t="n"/>
      <c r="D1141" s="158" t="n"/>
      <c r="J1141" s="158" t="n"/>
      <c r="K1141" s="159" t="n"/>
    </row>
    <row r="1142">
      <c r="C1142" s="158" t="n"/>
      <c r="D1142" s="158" t="n"/>
      <c r="J1142" s="158" t="n"/>
      <c r="K1142" s="159" t="n"/>
    </row>
    <row r="1143">
      <c r="C1143" s="158" t="n"/>
      <c r="D1143" s="158" t="n"/>
      <c r="J1143" s="158" t="n"/>
      <c r="K1143" s="159" t="n"/>
    </row>
    <row r="1144">
      <c r="C1144" s="158" t="n"/>
      <c r="D1144" s="158" t="n"/>
      <c r="J1144" s="158" t="n"/>
      <c r="K1144" s="159" t="n"/>
    </row>
    <row r="1145">
      <c r="C1145" s="158" t="n"/>
      <c r="D1145" s="158" t="n"/>
      <c r="J1145" s="158" t="n"/>
      <c r="K1145" s="159" t="n"/>
    </row>
    <row r="1146">
      <c r="C1146" s="158" t="n"/>
      <c r="D1146" s="158" t="n"/>
      <c r="J1146" s="158" t="n"/>
      <c r="K1146" s="159" t="n"/>
    </row>
    <row r="1147">
      <c r="C1147" s="158" t="n"/>
      <c r="D1147" s="158" t="n"/>
      <c r="J1147" s="158" t="n"/>
      <c r="K1147" s="159" t="n"/>
    </row>
    <row r="1148">
      <c r="C1148" s="158" t="n"/>
      <c r="D1148" s="158" t="n"/>
      <c r="J1148" s="158" t="n"/>
      <c r="K1148" s="159" t="n"/>
    </row>
    <row r="1149">
      <c r="C1149" s="158" t="n"/>
      <c r="D1149" s="158" t="n"/>
      <c r="J1149" s="158" t="n"/>
      <c r="K1149" s="159" t="n"/>
    </row>
    <row r="1150">
      <c r="C1150" s="158" t="n"/>
      <c r="D1150" s="158" t="n"/>
      <c r="J1150" s="158" t="n"/>
      <c r="K1150" s="159" t="n"/>
    </row>
    <row r="1151">
      <c r="C1151" s="158" t="n"/>
      <c r="D1151" s="158" t="n"/>
      <c r="J1151" s="158" t="n"/>
      <c r="K1151" s="159" t="n"/>
    </row>
    <row r="1152">
      <c r="C1152" s="158" t="n"/>
      <c r="D1152" s="158" t="n"/>
      <c r="J1152" s="158" t="n"/>
      <c r="K1152" s="159" t="n"/>
    </row>
    <row r="1153">
      <c r="C1153" s="158" t="n"/>
      <c r="D1153" s="158" t="n"/>
      <c r="J1153" s="158" t="n"/>
      <c r="K1153" s="159" t="n"/>
    </row>
    <row r="1154">
      <c r="C1154" s="158" t="n"/>
      <c r="D1154" s="158" t="n"/>
      <c r="J1154" s="158" t="n"/>
      <c r="K1154" s="159" t="n"/>
    </row>
    <row r="1155">
      <c r="C1155" s="158" t="n"/>
      <c r="D1155" s="158" t="n"/>
      <c r="J1155" s="158" t="n"/>
      <c r="K1155" s="159" t="n"/>
    </row>
    <row r="1156">
      <c r="C1156" s="158" t="n"/>
      <c r="D1156" s="158" t="n"/>
      <c r="J1156" s="158" t="n"/>
      <c r="K1156" s="159" t="n"/>
    </row>
    <row r="1157">
      <c r="C1157" s="158" t="n"/>
      <c r="D1157" s="158" t="n"/>
      <c r="J1157" s="158" t="n"/>
      <c r="K1157" s="159" t="n"/>
    </row>
    <row r="1158">
      <c r="C1158" s="158" t="n"/>
      <c r="D1158" s="158" t="n"/>
      <c r="J1158" s="158" t="n"/>
      <c r="K1158" s="159" t="n"/>
    </row>
    <row r="1159">
      <c r="C1159" s="158" t="n"/>
      <c r="D1159" s="158" t="n"/>
      <c r="J1159" s="158" t="n"/>
      <c r="K1159" s="159" t="n"/>
    </row>
    <row r="1160">
      <c r="C1160" s="158" t="n"/>
      <c r="D1160" s="158" t="n"/>
      <c r="J1160" s="158" t="n"/>
      <c r="K1160" s="159" t="n"/>
    </row>
    <row r="1161">
      <c r="C1161" s="158" t="n"/>
      <c r="D1161" s="158" t="n"/>
      <c r="J1161" s="158" t="n"/>
      <c r="K1161" s="159" t="n"/>
    </row>
    <row r="1162">
      <c r="C1162" s="158" t="n"/>
      <c r="D1162" s="158" t="n"/>
      <c r="J1162" s="158" t="n"/>
      <c r="K1162" s="159" t="n"/>
    </row>
    <row r="1163">
      <c r="C1163" s="158" t="n"/>
      <c r="D1163" s="158" t="n"/>
      <c r="J1163" s="158" t="n"/>
      <c r="K1163" s="159" t="n"/>
    </row>
    <row r="1164">
      <c r="C1164" s="158" t="n"/>
      <c r="D1164" s="158" t="n"/>
      <c r="J1164" s="158" t="n"/>
      <c r="K1164" s="159" t="n"/>
    </row>
    <row r="1165">
      <c r="C1165" s="158" t="n"/>
      <c r="D1165" s="158" t="n"/>
      <c r="J1165" s="158" t="n"/>
      <c r="K1165" s="159" t="n"/>
    </row>
    <row r="1166">
      <c r="C1166" s="158" t="n"/>
      <c r="D1166" s="158" t="n"/>
      <c r="J1166" s="158" t="n"/>
      <c r="K1166" s="159" t="n"/>
    </row>
    <row r="1167">
      <c r="C1167" s="158" t="n"/>
      <c r="D1167" s="158" t="n"/>
      <c r="J1167" s="158" t="n"/>
      <c r="K1167" s="159" t="n"/>
    </row>
    <row r="1168">
      <c r="C1168" s="158" t="n"/>
      <c r="D1168" s="158" t="n"/>
      <c r="J1168" s="158" t="n"/>
      <c r="K1168" s="159" t="n"/>
    </row>
    <row r="1169">
      <c r="C1169" s="158" t="n"/>
      <c r="D1169" s="158" t="n"/>
      <c r="J1169" s="158" t="n"/>
      <c r="K1169" s="159" t="n"/>
    </row>
    <row r="1170">
      <c r="C1170" s="158" t="n"/>
      <c r="D1170" s="158" t="n"/>
      <c r="J1170" s="158" t="n"/>
      <c r="K1170" s="159" t="n"/>
    </row>
    <row r="1171">
      <c r="C1171" s="158" t="n"/>
      <c r="D1171" s="158" t="n"/>
      <c r="J1171" s="158" t="n"/>
      <c r="K1171" s="159" t="n"/>
    </row>
    <row r="1172">
      <c r="C1172" s="158" t="n"/>
      <c r="D1172" s="158" t="n"/>
      <c r="J1172" s="158" t="n"/>
      <c r="K1172" s="159" t="n"/>
    </row>
    <row r="1173">
      <c r="C1173" s="158" t="n"/>
      <c r="D1173" s="158" t="n"/>
      <c r="J1173" s="158" t="n"/>
      <c r="K1173" s="159" t="n"/>
    </row>
    <row r="1174">
      <c r="C1174" s="158" t="n"/>
      <c r="D1174" s="158" t="n"/>
      <c r="J1174" s="158" t="n"/>
      <c r="K1174" s="159" t="n"/>
    </row>
    <row r="1175">
      <c r="C1175" s="158" t="n"/>
      <c r="D1175" s="158" t="n"/>
      <c r="J1175" s="158" t="n"/>
      <c r="K1175" s="159" t="n"/>
    </row>
    <row r="1176">
      <c r="C1176" s="158" t="n"/>
      <c r="D1176" s="158" t="n"/>
      <c r="J1176" s="158" t="n"/>
      <c r="K1176" s="159" t="n"/>
    </row>
    <row r="1177">
      <c r="C1177" s="158" t="n"/>
      <c r="D1177" s="158" t="n"/>
      <c r="J1177" s="158" t="n"/>
      <c r="K1177" s="159" t="n"/>
    </row>
    <row r="1178">
      <c r="C1178" s="158" t="n"/>
      <c r="D1178" s="158" t="n"/>
      <c r="J1178" s="158" t="n"/>
      <c r="K1178" s="159" t="n"/>
    </row>
    <row r="1179">
      <c r="C1179" s="158" t="n"/>
      <c r="D1179" s="158" t="n"/>
      <c r="J1179" s="158" t="n"/>
      <c r="K1179" s="159" t="n"/>
    </row>
    <row r="1180">
      <c r="C1180" s="158" t="n"/>
      <c r="D1180" s="158" t="n"/>
      <c r="J1180" s="158" t="n"/>
      <c r="K1180" s="159" t="n"/>
    </row>
    <row r="1181">
      <c r="C1181" s="158" t="n"/>
      <c r="D1181" s="158" t="n"/>
      <c r="J1181" s="158" t="n"/>
      <c r="K1181" s="159" t="n"/>
    </row>
    <row r="1182">
      <c r="C1182" s="158" t="n"/>
      <c r="D1182" s="158" t="n"/>
      <c r="J1182" s="158" t="n"/>
      <c r="K1182" s="159" t="n"/>
    </row>
    <row r="1183">
      <c r="C1183" s="158" t="n"/>
      <c r="D1183" s="158" t="n"/>
      <c r="J1183" s="158" t="n"/>
      <c r="K1183" s="159" t="n"/>
    </row>
    <row r="1184">
      <c r="C1184" s="158" t="n"/>
      <c r="D1184" s="158" t="n"/>
      <c r="J1184" s="158" t="n"/>
      <c r="K1184" s="159" t="n"/>
    </row>
    <row r="1185">
      <c r="C1185" s="158" t="n"/>
      <c r="D1185" s="158" t="n"/>
      <c r="J1185" s="158" t="n"/>
      <c r="K1185" s="159" t="n"/>
    </row>
    <row r="1186">
      <c r="C1186" s="158" t="n"/>
      <c r="D1186" s="158" t="n"/>
      <c r="J1186" s="158" t="n"/>
      <c r="K1186" s="159" t="n"/>
    </row>
    <row r="1187">
      <c r="C1187" s="158" t="n"/>
      <c r="D1187" s="158" t="n"/>
      <c r="J1187" s="158" t="n"/>
      <c r="K1187" s="159" t="n"/>
    </row>
    <row r="1188">
      <c r="C1188" s="158" t="n"/>
      <c r="D1188" s="158" t="n"/>
      <c r="J1188" s="158" t="n"/>
      <c r="K1188" s="159" t="n"/>
    </row>
    <row r="1189">
      <c r="C1189" s="158" t="n"/>
      <c r="D1189" s="158" t="n"/>
      <c r="J1189" s="158" t="n"/>
      <c r="K1189" s="159" t="n"/>
    </row>
    <row r="1190">
      <c r="C1190" s="158" t="n"/>
      <c r="D1190" s="158" t="n"/>
      <c r="J1190" s="158" t="n"/>
      <c r="K1190" s="159" t="n"/>
    </row>
    <row r="1191">
      <c r="C1191" s="158" t="n"/>
      <c r="D1191" s="158" t="n"/>
      <c r="J1191" s="158" t="n"/>
      <c r="K1191" s="159" t="n"/>
    </row>
    <row r="1192">
      <c r="C1192" s="158" t="n"/>
      <c r="D1192" s="158" t="n"/>
      <c r="J1192" s="158" t="n"/>
      <c r="K1192" s="159" t="n"/>
    </row>
    <row r="1193">
      <c r="C1193" s="158" t="n"/>
      <c r="D1193" s="158" t="n"/>
      <c r="J1193" s="158" t="n"/>
      <c r="K1193" s="159" t="n"/>
    </row>
    <row r="1194">
      <c r="C1194" s="158" t="n"/>
      <c r="D1194" s="158" t="n"/>
      <c r="J1194" s="158" t="n"/>
      <c r="K1194" s="159" t="n"/>
    </row>
    <row r="1195">
      <c r="C1195" s="158" t="n"/>
      <c r="D1195" s="158" t="n"/>
      <c r="J1195" s="158" t="n"/>
      <c r="K1195" s="159" t="n"/>
    </row>
    <row r="1196">
      <c r="C1196" s="158" t="n"/>
      <c r="D1196" s="158" t="n"/>
      <c r="J1196" s="158" t="n"/>
      <c r="K1196" s="159" t="n"/>
    </row>
    <row r="1197">
      <c r="C1197" s="158" t="n"/>
      <c r="D1197" s="158" t="n"/>
      <c r="J1197" s="158" t="n"/>
      <c r="K1197" s="159" t="n"/>
    </row>
    <row r="1198">
      <c r="C1198" s="158" t="n"/>
      <c r="D1198" s="158" t="n"/>
      <c r="J1198" s="158" t="n"/>
      <c r="K1198" s="159" t="n"/>
    </row>
    <row r="1199">
      <c r="C1199" s="158" t="n"/>
      <c r="D1199" s="158" t="n"/>
      <c r="J1199" s="158" t="n"/>
      <c r="K1199" s="159" t="n"/>
    </row>
    <row r="1200">
      <c r="C1200" s="158" t="n"/>
      <c r="D1200" s="158" t="n"/>
      <c r="J1200" s="158" t="n"/>
      <c r="K1200" s="159" t="n"/>
    </row>
    <row r="1201">
      <c r="C1201" s="158" t="n"/>
      <c r="D1201" s="158" t="n"/>
      <c r="J1201" s="158" t="n"/>
      <c r="K1201" s="159" t="n"/>
    </row>
    <row r="1202">
      <c r="C1202" s="158" t="n"/>
      <c r="D1202" s="158" t="n"/>
      <c r="J1202" s="158" t="n"/>
      <c r="K1202" s="159" t="n"/>
    </row>
    <row r="1203">
      <c r="C1203" s="158" t="n"/>
      <c r="D1203" s="158" t="n"/>
      <c r="J1203" s="158" t="n"/>
      <c r="K1203" s="159" t="n"/>
    </row>
    <row r="1204">
      <c r="C1204" s="158" t="n"/>
      <c r="D1204" s="158" t="n"/>
      <c r="J1204" s="158" t="n"/>
      <c r="K1204" s="159" t="n"/>
    </row>
    <row r="1205">
      <c r="C1205" s="158" t="n"/>
      <c r="D1205" s="158" t="n"/>
      <c r="J1205" s="158" t="n"/>
      <c r="K1205" s="159" t="n"/>
    </row>
    <row r="1206">
      <c r="C1206" s="158" t="n"/>
      <c r="D1206" s="158" t="n"/>
      <c r="J1206" s="158" t="n"/>
      <c r="K1206" s="159" t="n"/>
    </row>
    <row r="1207">
      <c r="C1207" s="158" t="n"/>
      <c r="D1207" s="158" t="n"/>
      <c r="J1207" s="158" t="n"/>
      <c r="K1207" s="159" t="n"/>
    </row>
    <row r="1208">
      <c r="C1208" s="158" t="n"/>
      <c r="D1208" s="158" t="n"/>
      <c r="J1208" s="158" t="n"/>
      <c r="K1208" s="159" t="n"/>
    </row>
    <row r="1209">
      <c r="C1209" s="158" t="n"/>
      <c r="D1209" s="158" t="n"/>
      <c r="J1209" s="158" t="n"/>
      <c r="K1209" s="159" t="n"/>
    </row>
    <row r="1210">
      <c r="C1210" s="158" t="n"/>
      <c r="D1210" s="158" t="n"/>
      <c r="J1210" s="158" t="n"/>
      <c r="K1210" s="159" t="n"/>
    </row>
    <row r="1211">
      <c r="C1211" s="158" t="n"/>
      <c r="D1211" s="158" t="n"/>
      <c r="J1211" s="158" t="n"/>
      <c r="K1211" s="159" t="n"/>
    </row>
    <row r="1212">
      <c r="C1212" s="158" t="n"/>
      <c r="D1212" s="158" t="n"/>
      <c r="J1212" s="158" t="n"/>
      <c r="K1212" s="159" t="n"/>
    </row>
    <row r="1213">
      <c r="C1213" s="158" t="n"/>
      <c r="D1213" s="158" t="n"/>
      <c r="J1213" s="158" t="n"/>
      <c r="K1213" s="159" t="n"/>
    </row>
    <row r="1214">
      <c r="C1214" s="158" t="n"/>
      <c r="D1214" s="158" t="n"/>
      <c r="J1214" s="158" t="n"/>
      <c r="K1214" s="159" t="n"/>
    </row>
    <row r="1215">
      <c r="C1215" s="158" t="n"/>
      <c r="D1215" s="158" t="n"/>
      <c r="J1215" s="158" t="n"/>
      <c r="K1215" s="159" t="n"/>
    </row>
    <row r="1216">
      <c r="C1216" s="158" t="n"/>
      <c r="D1216" s="158" t="n"/>
      <c r="J1216" s="158" t="n"/>
      <c r="K1216" s="159" t="n"/>
    </row>
    <row r="1217">
      <c r="C1217" s="158" t="n"/>
      <c r="D1217" s="158" t="n"/>
      <c r="J1217" s="158" t="n"/>
      <c r="K1217" s="159" t="n"/>
    </row>
    <row r="1218">
      <c r="C1218" s="158" t="n"/>
      <c r="D1218" s="158" t="n"/>
      <c r="J1218" s="158" t="n"/>
      <c r="K1218" s="159" t="n"/>
    </row>
    <row r="1219">
      <c r="C1219" s="158" t="n"/>
      <c r="D1219" s="158" t="n"/>
      <c r="J1219" s="158" t="n"/>
      <c r="K1219" s="159" t="n"/>
    </row>
    <row r="1220">
      <c r="C1220" s="158" t="n"/>
      <c r="D1220" s="158" t="n"/>
      <c r="J1220" s="158" t="n"/>
      <c r="K1220" s="159" t="n"/>
    </row>
    <row r="1221">
      <c r="C1221" s="158" t="n"/>
      <c r="D1221" s="158" t="n"/>
      <c r="J1221" s="158" t="n"/>
      <c r="K1221" s="159" t="n"/>
    </row>
    <row r="1222">
      <c r="C1222" s="158" t="n"/>
      <c r="D1222" s="158" t="n"/>
      <c r="J1222" s="158" t="n"/>
      <c r="K1222" s="159" t="n"/>
    </row>
    <row r="1223">
      <c r="C1223" s="158" t="n"/>
      <c r="D1223" s="158" t="n"/>
      <c r="J1223" s="158" t="n"/>
      <c r="K1223" s="159" t="n"/>
    </row>
    <row r="1224">
      <c r="C1224" s="158" t="n"/>
      <c r="D1224" s="158" t="n"/>
      <c r="J1224" s="158" t="n"/>
      <c r="K1224" s="159" t="n"/>
    </row>
    <row r="1225">
      <c r="C1225" s="158" t="n"/>
      <c r="D1225" s="158" t="n"/>
      <c r="J1225" s="158" t="n"/>
      <c r="K1225" s="159" t="n"/>
    </row>
    <row r="1226">
      <c r="C1226" s="158" t="n"/>
      <c r="D1226" s="158" t="n"/>
      <c r="J1226" s="158" t="n"/>
      <c r="K1226" s="159" t="n"/>
    </row>
    <row r="1227">
      <c r="C1227" s="158" t="n"/>
      <c r="D1227" s="158" t="n"/>
      <c r="J1227" s="158" t="n"/>
      <c r="K1227" s="159" t="n"/>
    </row>
    <row r="1228">
      <c r="C1228" s="158" t="n"/>
      <c r="D1228" s="158" t="n"/>
      <c r="J1228" s="158" t="n"/>
      <c r="K1228" s="159" t="n"/>
    </row>
    <row r="1229">
      <c r="C1229" s="158" t="n"/>
      <c r="D1229" s="158" t="n"/>
      <c r="J1229" s="158" t="n"/>
      <c r="K1229" s="159" t="n"/>
    </row>
    <row r="1230">
      <c r="C1230" s="158" t="n"/>
      <c r="D1230" s="158" t="n"/>
      <c r="J1230" s="158" t="n"/>
      <c r="K1230" s="159" t="n"/>
    </row>
    <row r="1231">
      <c r="C1231" s="158" t="n"/>
      <c r="D1231" s="158" t="n"/>
      <c r="J1231" s="158" t="n"/>
      <c r="K1231" s="159" t="n"/>
    </row>
    <row r="1232">
      <c r="C1232" s="158" t="n"/>
      <c r="D1232" s="158" t="n"/>
      <c r="J1232" s="158" t="n"/>
      <c r="K1232" s="159" t="n"/>
    </row>
    <row r="1233">
      <c r="C1233" s="158" t="n"/>
      <c r="D1233" s="158" t="n"/>
      <c r="J1233" s="158" t="n"/>
      <c r="K1233" s="159" t="n"/>
    </row>
    <row r="1234">
      <c r="C1234" s="158" t="n"/>
      <c r="D1234" s="158" t="n"/>
      <c r="J1234" s="158" t="n"/>
      <c r="K1234" s="159" t="n"/>
    </row>
    <row r="1235">
      <c r="C1235" s="158" t="n"/>
      <c r="D1235" s="158" t="n"/>
      <c r="J1235" s="158" t="n"/>
      <c r="K1235" s="159" t="n"/>
    </row>
    <row r="1236">
      <c r="C1236" s="158" t="n"/>
      <c r="D1236" s="158" t="n"/>
      <c r="J1236" s="158" t="n"/>
      <c r="K1236" s="159" t="n"/>
    </row>
    <row r="1237">
      <c r="C1237" s="158" t="n"/>
      <c r="D1237" s="158" t="n"/>
      <c r="J1237" s="158" t="n"/>
      <c r="K1237" s="159" t="n"/>
    </row>
    <row r="1238">
      <c r="C1238" s="158" t="n"/>
      <c r="D1238" s="158" t="n"/>
      <c r="J1238" s="158" t="n"/>
      <c r="K1238" s="159" t="n"/>
    </row>
    <row r="1239">
      <c r="C1239" s="158" t="n"/>
      <c r="D1239" s="158" t="n"/>
      <c r="J1239" s="158" t="n"/>
      <c r="K1239" s="159" t="n"/>
    </row>
    <row r="1240">
      <c r="C1240" s="158" t="n"/>
      <c r="D1240" s="158" t="n"/>
      <c r="J1240" s="158" t="n"/>
      <c r="K1240" s="159" t="n"/>
    </row>
    <row r="1241">
      <c r="C1241" s="158" t="n"/>
      <c r="D1241" s="158" t="n"/>
      <c r="J1241" s="158" t="n"/>
      <c r="K1241" s="159" t="n"/>
    </row>
    <row r="1242">
      <c r="C1242" s="158" t="n"/>
      <c r="D1242" s="158" t="n"/>
      <c r="J1242" s="158" t="n"/>
      <c r="K1242" s="159" t="n"/>
    </row>
    <row r="1243">
      <c r="C1243" s="158" t="n"/>
      <c r="D1243" s="158" t="n"/>
      <c r="J1243" s="158" t="n"/>
      <c r="K1243" s="159" t="n"/>
    </row>
    <row r="1244">
      <c r="C1244" s="158" t="n"/>
      <c r="D1244" s="158" t="n"/>
      <c r="J1244" s="158" t="n"/>
      <c r="K1244" s="159" t="n"/>
    </row>
    <row r="1245">
      <c r="C1245" s="158" t="n"/>
      <c r="D1245" s="158" t="n"/>
      <c r="J1245" s="158" t="n"/>
      <c r="K1245" s="159" t="n"/>
    </row>
    <row r="1246">
      <c r="C1246" s="158" t="n"/>
      <c r="D1246" s="158" t="n"/>
      <c r="J1246" s="158" t="n"/>
      <c r="K1246" s="159" t="n"/>
    </row>
    <row r="1247">
      <c r="C1247" s="158" t="n"/>
      <c r="D1247" s="158" t="n"/>
      <c r="J1247" s="158" t="n"/>
      <c r="K1247" s="159" t="n"/>
    </row>
    <row r="1248">
      <c r="C1248" s="158" t="n"/>
      <c r="D1248" s="158" t="n"/>
      <c r="J1248" s="158" t="n"/>
      <c r="K1248" s="159" t="n"/>
    </row>
    <row r="1249">
      <c r="C1249" s="158" t="n"/>
      <c r="D1249" s="158" t="n"/>
      <c r="J1249" s="158" t="n"/>
      <c r="K1249" s="159" t="n"/>
    </row>
    <row r="1250">
      <c r="C1250" s="158" t="n"/>
      <c r="D1250" s="158" t="n"/>
      <c r="J1250" s="158" t="n"/>
      <c r="K1250" s="159" t="n"/>
    </row>
    <row r="1251">
      <c r="C1251" s="158" t="n"/>
      <c r="D1251" s="158" t="n"/>
      <c r="J1251" s="158" t="n"/>
      <c r="K1251" s="159" t="n"/>
    </row>
    <row r="1252">
      <c r="C1252" s="158" t="n"/>
      <c r="D1252" s="158" t="n"/>
      <c r="J1252" s="158" t="n"/>
      <c r="K1252" s="159" t="n"/>
    </row>
    <row r="1253">
      <c r="C1253" s="158" t="n"/>
      <c r="D1253" s="158" t="n"/>
      <c r="J1253" s="158" t="n"/>
      <c r="K1253" s="159" t="n"/>
    </row>
    <row r="1254">
      <c r="C1254" s="158" t="n"/>
      <c r="D1254" s="158" t="n"/>
      <c r="J1254" s="158" t="n"/>
      <c r="K1254" s="159" t="n"/>
    </row>
    <row r="1255">
      <c r="C1255" s="158" t="n"/>
      <c r="D1255" s="158" t="n"/>
      <c r="J1255" s="158" t="n"/>
      <c r="K1255" s="159" t="n"/>
    </row>
    <row r="1256">
      <c r="C1256" s="158" t="n"/>
      <c r="D1256" s="158" t="n"/>
      <c r="J1256" s="158" t="n"/>
      <c r="K1256" s="159" t="n"/>
    </row>
    <row r="1257">
      <c r="C1257" s="158" t="n"/>
      <c r="D1257" s="158" t="n"/>
      <c r="J1257" s="158" t="n"/>
      <c r="K1257" s="159" t="n"/>
    </row>
    <row r="1258">
      <c r="C1258" s="158" t="n"/>
      <c r="D1258" s="158" t="n"/>
      <c r="J1258" s="158" t="n"/>
      <c r="K1258" s="159" t="n"/>
    </row>
    <row r="1259">
      <c r="C1259" s="158" t="n"/>
      <c r="D1259" s="158" t="n"/>
      <c r="J1259" s="158" t="n"/>
      <c r="K1259" s="159" t="n"/>
    </row>
    <row r="1260">
      <c r="C1260" s="158" t="n"/>
      <c r="D1260" s="158" t="n"/>
      <c r="J1260" s="158" t="n"/>
      <c r="K1260" s="159" t="n"/>
    </row>
    <row r="1261">
      <c r="C1261" s="158" t="n"/>
      <c r="D1261" s="158" t="n"/>
      <c r="J1261" s="158" t="n"/>
      <c r="K1261" s="159" t="n"/>
    </row>
    <row r="1262">
      <c r="C1262" s="158" t="n"/>
      <c r="D1262" s="158" t="n"/>
      <c r="J1262" s="158" t="n"/>
      <c r="K1262" s="159" t="n"/>
    </row>
    <row r="1263">
      <c r="C1263" s="158" t="n"/>
      <c r="D1263" s="158" t="n"/>
      <c r="J1263" s="158" t="n"/>
      <c r="K1263" s="159" t="n"/>
    </row>
    <row r="1264">
      <c r="C1264" s="158" t="n"/>
      <c r="D1264" s="158" t="n"/>
      <c r="J1264" s="158" t="n"/>
      <c r="K1264" s="159" t="n"/>
    </row>
    <row r="1265">
      <c r="C1265" s="158" t="n"/>
      <c r="D1265" s="158" t="n"/>
      <c r="J1265" s="158" t="n"/>
      <c r="K1265" s="159" t="n"/>
    </row>
    <row r="1266">
      <c r="C1266" s="158" t="n"/>
      <c r="D1266" s="158" t="n"/>
      <c r="J1266" s="158" t="n"/>
      <c r="K1266" s="159" t="n"/>
    </row>
    <row r="1267">
      <c r="C1267" s="158" t="n"/>
      <c r="D1267" s="158" t="n"/>
      <c r="J1267" s="158" t="n"/>
      <c r="K1267" s="159" t="n"/>
    </row>
    <row r="1268">
      <c r="C1268" s="158" t="n"/>
      <c r="D1268" s="158" t="n"/>
      <c r="J1268" s="158" t="n"/>
      <c r="K1268" s="159" t="n"/>
    </row>
    <row r="1269">
      <c r="C1269" s="158" t="n"/>
      <c r="D1269" s="158" t="n"/>
      <c r="J1269" s="158" t="n"/>
      <c r="K1269" s="159" t="n"/>
    </row>
    <row r="1270">
      <c r="C1270" s="158" t="n"/>
      <c r="D1270" s="158" t="n"/>
      <c r="J1270" s="158" t="n"/>
      <c r="K1270" s="159" t="n"/>
    </row>
    <row r="1271">
      <c r="C1271" s="158" t="n"/>
      <c r="D1271" s="158" t="n"/>
      <c r="J1271" s="158" t="n"/>
      <c r="K1271" s="159" t="n"/>
    </row>
    <row r="1272">
      <c r="C1272" s="158" t="n"/>
      <c r="D1272" s="158" t="n"/>
      <c r="J1272" s="158" t="n"/>
      <c r="K1272" s="159" t="n"/>
    </row>
    <row r="1273">
      <c r="C1273" s="158" t="n"/>
      <c r="D1273" s="158" t="n"/>
      <c r="J1273" s="158" t="n"/>
      <c r="K1273" s="159" t="n"/>
    </row>
    <row r="1274">
      <c r="C1274" s="158" t="n"/>
      <c r="D1274" s="158" t="n"/>
      <c r="J1274" s="158" t="n"/>
      <c r="K1274" s="159" t="n"/>
    </row>
    <row r="1275">
      <c r="C1275" s="158" t="n"/>
      <c r="D1275" s="158" t="n"/>
      <c r="J1275" s="158" t="n"/>
      <c r="K1275" s="159" t="n"/>
    </row>
    <row r="1276">
      <c r="C1276" s="158" t="n"/>
      <c r="D1276" s="158" t="n"/>
      <c r="J1276" s="158" t="n"/>
      <c r="K1276" s="159" t="n"/>
    </row>
    <row r="1277">
      <c r="C1277" s="158" t="n"/>
      <c r="D1277" s="158" t="n"/>
      <c r="J1277" s="158" t="n"/>
      <c r="K1277" s="159" t="n"/>
    </row>
    <row r="1278">
      <c r="C1278" s="158" t="n"/>
      <c r="D1278" s="158" t="n"/>
      <c r="J1278" s="158" t="n"/>
      <c r="K1278" s="159" t="n"/>
    </row>
    <row r="1279">
      <c r="C1279" s="158" t="n"/>
      <c r="D1279" s="158" t="n"/>
      <c r="J1279" s="158" t="n"/>
      <c r="K1279" s="159" t="n"/>
    </row>
    <row r="1280">
      <c r="C1280" s="158" t="n"/>
      <c r="D1280" s="158" t="n"/>
      <c r="J1280" s="158" t="n"/>
      <c r="K1280" s="159" t="n"/>
    </row>
    <row r="1281">
      <c r="C1281" s="158" t="n"/>
      <c r="D1281" s="158" t="n"/>
      <c r="J1281" s="158" t="n"/>
      <c r="K1281" s="159" t="n"/>
    </row>
    <row r="1282">
      <c r="C1282" s="158" t="n"/>
      <c r="D1282" s="158" t="n"/>
      <c r="J1282" s="158" t="n"/>
      <c r="K1282" s="159" t="n"/>
    </row>
    <row r="1283">
      <c r="C1283" s="158" t="n"/>
      <c r="D1283" s="158" t="n"/>
      <c r="J1283" s="158" t="n"/>
      <c r="K1283" s="159" t="n"/>
    </row>
    <row r="1284">
      <c r="C1284" s="158" t="n"/>
      <c r="D1284" s="158" t="n"/>
      <c r="J1284" s="158" t="n"/>
      <c r="K1284" s="159" t="n"/>
    </row>
    <row r="1285">
      <c r="C1285" s="158" t="n"/>
      <c r="D1285" s="158" t="n"/>
      <c r="J1285" s="158" t="n"/>
      <c r="K1285" s="159" t="n"/>
    </row>
    <row r="1286">
      <c r="C1286" s="158" t="n"/>
      <c r="D1286" s="158" t="n"/>
      <c r="J1286" s="158" t="n"/>
      <c r="K1286" s="159" t="n"/>
    </row>
    <row r="1287">
      <c r="C1287" s="158" t="n"/>
      <c r="D1287" s="158" t="n"/>
      <c r="J1287" s="158" t="n"/>
      <c r="K1287" s="159" t="n"/>
    </row>
    <row r="1288">
      <c r="C1288" s="158" t="n"/>
      <c r="D1288" s="158" t="n"/>
      <c r="J1288" s="158" t="n"/>
      <c r="K1288" s="159" t="n"/>
    </row>
    <row r="1289">
      <c r="C1289" s="158" t="n"/>
      <c r="D1289" s="158" t="n"/>
      <c r="J1289" s="158" t="n"/>
      <c r="K1289" s="159" t="n"/>
    </row>
    <row r="1290">
      <c r="C1290" s="158" t="n"/>
      <c r="D1290" s="158" t="n"/>
      <c r="J1290" s="158" t="n"/>
      <c r="K1290" s="159" t="n"/>
    </row>
    <row r="1291">
      <c r="C1291" s="158" t="n"/>
      <c r="D1291" s="158" t="n"/>
      <c r="J1291" s="158" t="n"/>
      <c r="K1291" s="159" t="n"/>
    </row>
    <row r="1292">
      <c r="C1292" s="158" t="n"/>
      <c r="D1292" s="158" t="n"/>
      <c r="J1292" s="158" t="n"/>
      <c r="K1292" s="159" t="n"/>
    </row>
    <row r="1293">
      <c r="C1293" s="158" t="n"/>
      <c r="D1293" s="158" t="n"/>
      <c r="J1293" s="158" t="n"/>
      <c r="K1293" s="159" t="n"/>
    </row>
    <row r="1294">
      <c r="C1294" s="158" t="n"/>
      <c r="D1294" s="158" t="n"/>
      <c r="J1294" s="158" t="n"/>
      <c r="K1294" s="159" t="n"/>
    </row>
    <row r="1295">
      <c r="C1295" s="158" t="n"/>
      <c r="D1295" s="158" t="n"/>
      <c r="J1295" s="158" t="n"/>
      <c r="K1295" s="159" t="n"/>
    </row>
    <row r="1296">
      <c r="C1296" s="158" t="n"/>
      <c r="D1296" s="158" t="n"/>
      <c r="J1296" s="158" t="n"/>
      <c r="K1296" s="159" t="n"/>
    </row>
    <row r="1297">
      <c r="C1297" s="158" t="n"/>
      <c r="D1297" s="158" t="n"/>
      <c r="J1297" s="158" t="n"/>
      <c r="K1297" s="159" t="n"/>
    </row>
    <row r="1298">
      <c r="C1298" s="158" t="n"/>
      <c r="D1298" s="158" t="n"/>
      <c r="J1298" s="158" t="n"/>
      <c r="K1298" s="159" t="n"/>
    </row>
    <row r="1299">
      <c r="C1299" s="158" t="n"/>
      <c r="D1299" s="158" t="n"/>
      <c r="J1299" s="158" t="n"/>
      <c r="K1299" s="159" t="n"/>
    </row>
    <row r="1300">
      <c r="C1300" s="158" t="n"/>
      <c r="D1300" s="158" t="n"/>
      <c r="J1300" s="158" t="n"/>
      <c r="K1300" s="159" t="n"/>
    </row>
    <row r="1301">
      <c r="C1301" s="158" t="n"/>
      <c r="D1301" s="158" t="n"/>
      <c r="J1301" s="158" t="n"/>
      <c r="K1301" s="159" t="n"/>
    </row>
    <row r="1302">
      <c r="C1302" s="158" t="n"/>
      <c r="D1302" s="158" t="n"/>
      <c r="J1302" s="158" t="n"/>
      <c r="K1302" s="159" t="n"/>
    </row>
    <row r="1303">
      <c r="C1303" s="158" t="n"/>
      <c r="D1303" s="158" t="n"/>
      <c r="J1303" s="158" t="n"/>
      <c r="K1303" s="159" t="n"/>
    </row>
    <row r="1304">
      <c r="C1304" s="158" t="n"/>
      <c r="D1304" s="158" t="n"/>
      <c r="J1304" s="158" t="n"/>
      <c r="K1304" s="159" t="n"/>
    </row>
    <row r="1305">
      <c r="C1305" s="158" t="n"/>
      <c r="D1305" s="158" t="n"/>
      <c r="J1305" s="158" t="n"/>
      <c r="K1305" s="159" t="n"/>
    </row>
    <row r="1306">
      <c r="C1306" s="158" t="n"/>
      <c r="D1306" s="158" t="n"/>
      <c r="J1306" s="158" t="n"/>
      <c r="K1306" s="159" t="n"/>
    </row>
    <row r="1307">
      <c r="C1307" s="158" t="n"/>
      <c r="D1307" s="158" t="n"/>
      <c r="J1307" s="158" t="n"/>
      <c r="K1307" s="159" t="n"/>
    </row>
    <row r="1308">
      <c r="C1308" s="158" t="n"/>
      <c r="D1308" s="158" t="n"/>
      <c r="J1308" s="158" t="n"/>
      <c r="K1308" s="159" t="n"/>
    </row>
    <row r="1309">
      <c r="C1309" s="158" t="n"/>
      <c r="D1309" s="158" t="n"/>
      <c r="J1309" s="158" t="n"/>
      <c r="K1309" s="159" t="n"/>
    </row>
    <row r="1310">
      <c r="C1310" s="158" t="n"/>
      <c r="D1310" s="158" t="n"/>
      <c r="J1310" s="158" t="n"/>
      <c r="K1310" s="159" t="n"/>
    </row>
    <row r="1311">
      <c r="C1311" s="158" t="n"/>
      <c r="D1311" s="158" t="n"/>
      <c r="J1311" s="158" t="n"/>
      <c r="K1311" s="159" t="n"/>
    </row>
    <row r="1312">
      <c r="C1312" s="158" t="n"/>
      <c r="D1312" s="158" t="n"/>
      <c r="J1312" s="158" t="n"/>
      <c r="K1312" s="159" t="n"/>
    </row>
    <row r="1313">
      <c r="C1313" s="158" t="n"/>
      <c r="D1313" s="158" t="n"/>
      <c r="J1313" s="158" t="n"/>
      <c r="K1313" s="159" t="n"/>
    </row>
    <row r="1314">
      <c r="C1314" s="158" t="n"/>
      <c r="D1314" s="158" t="n"/>
      <c r="J1314" s="158" t="n"/>
      <c r="K1314" s="159" t="n"/>
    </row>
    <row r="1315">
      <c r="C1315" s="158" t="n"/>
      <c r="D1315" s="158" t="n"/>
      <c r="J1315" s="158" t="n"/>
      <c r="K1315" s="159" t="n"/>
    </row>
    <row r="1316">
      <c r="C1316" s="158" t="n"/>
      <c r="D1316" s="158" t="n"/>
      <c r="J1316" s="158" t="n"/>
      <c r="K1316" s="159" t="n"/>
    </row>
    <row r="1317">
      <c r="C1317" s="158" t="n"/>
      <c r="D1317" s="158" t="n"/>
      <c r="J1317" s="158" t="n"/>
      <c r="K1317" s="159" t="n"/>
    </row>
    <row r="1318">
      <c r="C1318" s="158" t="n"/>
      <c r="D1318" s="158" t="n"/>
      <c r="J1318" s="158" t="n"/>
      <c r="K1318" s="159" t="n"/>
    </row>
    <row r="1319">
      <c r="C1319" s="158" t="n"/>
      <c r="D1319" s="158" t="n"/>
      <c r="J1319" s="158" t="n"/>
      <c r="K1319" s="159" t="n"/>
    </row>
    <row r="1320">
      <c r="C1320" s="158" t="n"/>
      <c r="D1320" s="158" t="n"/>
      <c r="J1320" s="158" t="n"/>
      <c r="K1320" s="159" t="n"/>
    </row>
    <row r="1321">
      <c r="C1321" s="158" t="n"/>
      <c r="D1321" s="158" t="n"/>
      <c r="J1321" s="158" t="n"/>
      <c r="K1321" s="159" t="n"/>
    </row>
    <row r="1322">
      <c r="C1322" s="158" t="n"/>
      <c r="D1322" s="158" t="n"/>
      <c r="J1322" s="158" t="n"/>
      <c r="K1322" s="159" t="n"/>
    </row>
    <row r="1323">
      <c r="C1323" s="158" t="n"/>
      <c r="D1323" s="158" t="n"/>
      <c r="J1323" s="158" t="n"/>
      <c r="K1323" s="159" t="n"/>
    </row>
    <row r="1324">
      <c r="C1324" s="158" t="n"/>
      <c r="D1324" s="158" t="n"/>
      <c r="J1324" s="158" t="n"/>
      <c r="K1324" s="159" t="n"/>
    </row>
    <row r="1325">
      <c r="C1325" s="158" t="n"/>
      <c r="D1325" s="158" t="n"/>
      <c r="J1325" s="158" t="n"/>
      <c r="K1325" s="159" t="n"/>
    </row>
    <row r="1326">
      <c r="C1326" s="158" t="n"/>
      <c r="D1326" s="158" t="n"/>
      <c r="J1326" s="158" t="n"/>
      <c r="K1326" s="159" t="n"/>
    </row>
    <row r="1327">
      <c r="C1327" s="158" t="n"/>
      <c r="D1327" s="158" t="n"/>
      <c r="J1327" s="158" t="n"/>
      <c r="K1327" s="159" t="n"/>
    </row>
    <row r="1328">
      <c r="C1328" s="158" t="n"/>
      <c r="D1328" s="158" t="n"/>
      <c r="J1328" s="158" t="n"/>
      <c r="K1328" s="159" t="n"/>
    </row>
    <row r="1329">
      <c r="C1329" s="158" t="n"/>
      <c r="D1329" s="158" t="n"/>
      <c r="J1329" s="158" t="n"/>
      <c r="K1329" s="159" t="n"/>
    </row>
    <row r="1330">
      <c r="C1330" s="158" t="n"/>
      <c r="D1330" s="158" t="n"/>
      <c r="J1330" s="158" t="n"/>
      <c r="K1330" s="159" t="n"/>
    </row>
    <row r="1331">
      <c r="C1331" s="158" t="n"/>
      <c r="D1331" s="158" t="n"/>
      <c r="J1331" s="158" t="n"/>
      <c r="K1331" s="159" t="n"/>
    </row>
    <row r="1332">
      <c r="C1332" s="158" t="n"/>
      <c r="D1332" s="158" t="n"/>
      <c r="J1332" s="158" t="n"/>
      <c r="K1332" s="159" t="n"/>
    </row>
    <row r="1333">
      <c r="C1333" s="158" t="n"/>
      <c r="D1333" s="158" t="n"/>
      <c r="J1333" s="158" t="n"/>
      <c r="K1333" s="159" t="n"/>
    </row>
    <row r="1334">
      <c r="C1334" s="158" t="n"/>
      <c r="D1334" s="158" t="n"/>
      <c r="J1334" s="158" t="n"/>
      <c r="K1334" s="159" t="n"/>
    </row>
    <row r="1335">
      <c r="C1335" s="158" t="n"/>
      <c r="D1335" s="158" t="n"/>
      <c r="J1335" s="158" t="n"/>
      <c r="K1335" s="159" t="n"/>
    </row>
    <row r="1336">
      <c r="C1336" s="158" t="n"/>
      <c r="D1336" s="158" t="n"/>
      <c r="J1336" s="158" t="n"/>
      <c r="K1336" s="159" t="n"/>
    </row>
    <row r="1337">
      <c r="C1337" s="158" t="n"/>
      <c r="D1337" s="158" t="n"/>
      <c r="J1337" s="158" t="n"/>
      <c r="K1337" s="159" t="n"/>
    </row>
    <row r="1338">
      <c r="C1338" s="158" t="n"/>
      <c r="D1338" s="158" t="n"/>
      <c r="J1338" s="158" t="n"/>
      <c r="K1338" s="159" t="n"/>
    </row>
    <row r="1339">
      <c r="C1339" s="158" t="n"/>
      <c r="D1339" s="158" t="n"/>
      <c r="J1339" s="158" t="n"/>
      <c r="K1339" s="159" t="n"/>
    </row>
    <row r="1340">
      <c r="C1340" s="158" t="n"/>
      <c r="D1340" s="158" t="n"/>
      <c r="J1340" s="158" t="n"/>
      <c r="K1340" s="159" t="n"/>
    </row>
    <row r="1341">
      <c r="C1341" s="158" t="n"/>
      <c r="D1341" s="158" t="n"/>
      <c r="J1341" s="158" t="n"/>
      <c r="K1341" s="159" t="n"/>
    </row>
    <row r="1342">
      <c r="C1342" s="158" t="n"/>
      <c r="D1342" s="158" t="n"/>
      <c r="J1342" s="158" t="n"/>
      <c r="K1342" s="159" t="n"/>
    </row>
    <row r="1343">
      <c r="C1343" s="158" t="n"/>
      <c r="D1343" s="158" t="n"/>
      <c r="J1343" s="158" t="n"/>
      <c r="K1343" s="159" t="n"/>
    </row>
    <row r="1344">
      <c r="C1344" s="158" t="n"/>
      <c r="D1344" s="158" t="n"/>
      <c r="J1344" s="158" t="n"/>
      <c r="K1344" s="159" t="n"/>
    </row>
    <row r="1345">
      <c r="C1345" s="158" t="n"/>
      <c r="D1345" s="158" t="n"/>
      <c r="J1345" s="158" t="n"/>
      <c r="K1345" s="159" t="n"/>
    </row>
    <row r="1346">
      <c r="C1346" s="158" t="n"/>
      <c r="D1346" s="158" t="n"/>
      <c r="J1346" s="158" t="n"/>
      <c r="K1346" s="159" t="n"/>
    </row>
    <row r="1347">
      <c r="C1347" s="158" t="n"/>
      <c r="D1347" s="158" t="n"/>
      <c r="J1347" s="158" t="n"/>
      <c r="K1347" s="159" t="n"/>
    </row>
    <row r="1348">
      <c r="C1348" s="158" t="n"/>
      <c r="D1348" s="158" t="n"/>
      <c r="J1348" s="158" t="n"/>
      <c r="K1348" s="159" t="n"/>
    </row>
    <row r="1349">
      <c r="C1349" s="158" t="n"/>
      <c r="D1349" s="158" t="n"/>
      <c r="J1349" s="158" t="n"/>
      <c r="K1349" s="159" t="n"/>
    </row>
    <row r="1350">
      <c r="C1350" s="158" t="n"/>
      <c r="D1350" s="158" t="n"/>
      <c r="J1350" s="158" t="n"/>
      <c r="K1350" s="159" t="n"/>
    </row>
    <row r="1351">
      <c r="C1351" s="158" t="n"/>
      <c r="D1351" s="158" t="n"/>
      <c r="J1351" s="158" t="n"/>
      <c r="K1351" s="159" t="n"/>
    </row>
    <row r="1352">
      <c r="C1352" s="158" t="n"/>
      <c r="D1352" s="158" t="n"/>
      <c r="J1352" s="158" t="n"/>
      <c r="K1352" s="159" t="n"/>
    </row>
    <row r="1353">
      <c r="C1353" s="158" t="n"/>
      <c r="D1353" s="158" t="n"/>
      <c r="J1353" s="158" t="n"/>
      <c r="K1353" s="159" t="n"/>
    </row>
    <row r="1354">
      <c r="C1354" s="158" t="n"/>
      <c r="D1354" s="158" t="n"/>
      <c r="J1354" s="158" t="n"/>
      <c r="K1354" s="159" t="n"/>
    </row>
    <row r="1355">
      <c r="C1355" s="158" t="n"/>
      <c r="D1355" s="158" t="n"/>
      <c r="J1355" s="158" t="n"/>
      <c r="K1355" s="159" t="n"/>
    </row>
    <row r="1356">
      <c r="C1356" s="158" t="n"/>
      <c r="D1356" s="158" t="n"/>
      <c r="J1356" s="158" t="n"/>
      <c r="K1356" s="159" t="n"/>
    </row>
    <row r="1357">
      <c r="C1357" s="158" t="n"/>
      <c r="D1357" s="158" t="n"/>
      <c r="J1357" s="158" t="n"/>
      <c r="K1357" s="159" t="n"/>
    </row>
    <row r="1358">
      <c r="C1358" s="158" t="n"/>
      <c r="D1358" s="158" t="n"/>
      <c r="J1358" s="158" t="n"/>
      <c r="K1358" s="159" t="n"/>
    </row>
    <row r="1359">
      <c r="C1359" s="158" t="n"/>
      <c r="D1359" s="158" t="n"/>
      <c r="J1359" s="158" t="n"/>
      <c r="K1359" s="159" t="n"/>
    </row>
    <row r="1360">
      <c r="C1360" s="158" t="n"/>
      <c r="D1360" s="158" t="n"/>
      <c r="J1360" s="158" t="n"/>
      <c r="K1360" s="159" t="n"/>
    </row>
    <row r="1361">
      <c r="C1361" s="158" t="n"/>
      <c r="D1361" s="158" t="n"/>
      <c r="J1361" s="158" t="n"/>
      <c r="K1361" s="159" t="n"/>
    </row>
    <row r="1362">
      <c r="C1362" s="158" t="n"/>
      <c r="D1362" s="158" t="n"/>
      <c r="J1362" s="158" t="n"/>
      <c r="K1362" s="159" t="n"/>
    </row>
    <row r="1363">
      <c r="C1363" s="158" t="n"/>
      <c r="D1363" s="158" t="n"/>
      <c r="J1363" s="158" t="n"/>
      <c r="K1363" s="159" t="n"/>
    </row>
    <row r="1364">
      <c r="C1364" s="158" t="n"/>
      <c r="D1364" s="158" t="n"/>
      <c r="J1364" s="158" t="n"/>
      <c r="K1364" s="159" t="n"/>
    </row>
    <row r="1365">
      <c r="C1365" s="158" t="n"/>
      <c r="D1365" s="158" t="n"/>
      <c r="J1365" s="158" t="n"/>
      <c r="K1365" s="159" t="n"/>
    </row>
    <row r="1366">
      <c r="C1366" s="158" t="n"/>
      <c r="D1366" s="158" t="n"/>
      <c r="J1366" s="158" t="n"/>
      <c r="K1366" s="159" t="n"/>
    </row>
    <row r="1367">
      <c r="C1367" s="158" t="n"/>
      <c r="D1367" s="158" t="n"/>
      <c r="J1367" s="158" t="n"/>
      <c r="K1367" s="159" t="n"/>
    </row>
    <row r="1368">
      <c r="C1368" s="158" t="n"/>
      <c r="D1368" s="158" t="n"/>
      <c r="J1368" s="158" t="n"/>
      <c r="K1368" s="159" t="n"/>
    </row>
    <row r="1369">
      <c r="C1369" s="158" t="n"/>
      <c r="D1369" s="158" t="n"/>
      <c r="J1369" s="158" t="n"/>
      <c r="K1369" s="159" t="n"/>
    </row>
    <row r="1370">
      <c r="C1370" s="158" t="n"/>
      <c r="D1370" s="158" t="n"/>
      <c r="J1370" s="158" t="n"/>
      <c r="K1370" s="159" t="n"/>
    </row>
    <row r="1371">
      <c r="C1371" s="158" t="n"/>
      <c r="D1371" s="158" t="n"/>
      <c r="J1371" s="158" t="n"/>
      <c r="K1371" s="159" t="n"/>
    </row>
    <row r="1372">
      <c r="C1372" s="158" t="n"/>
      <c r="D1372" s="158" t="n"/>
      <c r="J1372" s="158" t="n"/>
      <c r="K1372" s="159" t="n"/>
    </row>
    <row r="1373">
      <c r="C1373" s="158" t="n"/>
      <c r="D1373" s="158" t="n"/>
      <c r="J1373" s="158" t="n"/>
      <c r="K1373" s="159" t="n"/>
    </row>
    <row r="1374">
      <c r="C1374" s="158" t="n"/>
      <c r="D1374" s="158" t="n"/>
      <c r="J1374" s="158" t="n"/>
      <c r="K1374" s="159" t="n"/>
    </row>
    <row r="1375">
      <c r="C1375" s="158" t="n"/>
      <c r="D1375" s="158" t="n"/>
      <c r="J1375" s="158" t="n"/>
      <c r="K1375" s="159" t="n"/>
    </row>
    <row r="1376">
      <c r="C1376" s="158" t="n"/>
      <c r="D1376" s="158" t="n"/>
      <c r="J1376" s="158" t="n"/>
      <c r="K1376" s="159" t="n"/>
    </row>
    <row r="1377">
      <c r="C1377" s="158" t="n"/>
      <c r="D1377" s="158" t="n"/>
      <c r="J1377" s="158" t="n"/>
      <c r="K1377" s="159" t="n"/>
    </row>
    <row r="1378">
      <c r="C1378" s="158" t="n"/>
      <c r="D1378" s="158" t="n"/>
      <c r="J1378" s="158" t="n"/>
      <c r="K1378" s="159" t="n"/>
    </row>
    <row r="1379">
      <c r="C1379" s="158" t="n"/>
      <c r="D1379" s="158" t="n"/>
      <c r="J1379" s="158" t="n"/>
      <c r="K1379" s="159" t="n"/>
    </row>
    <row r="1380">
      <c r="C1380" s="158" t="n"/>
      <c r="D1380" s="158" t="n"/>
      <c r="J1380" s="158" t="n"/>
      <c r="K1380" s="159" t="n"/>
    </row>
    <row r="1381">
      <c r="C1381" s="158" t="n"/>
      <c r="D1381" s="158" t="n"/>
      <c r="J1381" s="158" t="n"/>
      <c r="K1381" s="159" t="n"/>
    </row>
    <row r="1382">
      <c r="C1382" s="158" t="n"/>
      <c r="D1382" s="158" t="n"/>
      <c r="J1382" s="158" t="n"/>
      <c r="K1382" s="159" t="n"/>
    </row>
    <row r="1383">
      <c r="C1383" s="158" t="n"/>
      <c r="D1383" s="158" t="n"/>
      <c r="J1383" s="158" t="n"/>
      <c r="K1383" s="159" t="n"/>
    </row>
    <row r="1384">
      <c r="C1384" s="158" t="n"/>
      <c r="D1384" s="158" t="n"/>
      <c r="J1384" s="158" t="n"/>
      <c r="K1384" s="159" t="n"/>
    </row>
    <row r="1385">
      <c r="C1385" s="158" t="n"/>
      <c r="D1385" s="158" t="n"/>
      <c r="J1385" s="158" t="n"/>
      <c r="K1385" s="159" t="n"/>
    </row>
    <row r="1386">
      <c r="C1386" s="158" t="n"/>
      <c r="D1386" s="158" t="n"/>
      <c r="J1386" s="158" t="n"/>
      <c r="K1386" s="159" t="n"/>
    </row>
    <row r="1387">
      <c r="C1387" s="158" t="n"/>
      <c r="D1387" s="158" t="n"/>
      <c r="J1387" s="158" t="n"/>
      <c r="K1387" s="159" t="n"/>
    </row>
    <row r="1388">
      <c r="C1388" s="158" t="n"/>
      <c r="D1388" s="158" t="n"/>
      <c r="J1388" s="158" t="n"/>
      <c r="K1388" s="159" t="n"/>
    </row>
    <row r="1389">
      <c r="C1389" s="158" t="n"/>
      <c r="D1389" s="158" t="n"/>
      <c r="J1389" s="158" t="n"/>
      <c r="K1389" s="159" t="n"/>
    </row>
    <row r="1390">
      <c r="C1390" s="158" t="n"/>
      <c r="D1390" s="158" t="n"/>
      <c r="J1390" s="158" t="n"/>
      <c r="K1390" s="159" t="n"/>
    </row>
    <row r="1391">
      <c r="C1391" s="158" t="n"/>
      <c r="D1391" s="158" t="n"/>
      <c r="J1391" s="158" t="n"/>
      <c r="K1391" s="159" t="n"/>
    </row>
    <row r="1392">
      <c r="C1392" s="158" t="n"/>
      <c r="D1392" s="158" t="n"/>
      <c r="J1392" s="158" t="n"/>
      <c r="K1392" s="159" t="n"/>
    </row>
    <row r="1393">
      <c r="C1393" s="158" t="n"/>
      <c r="D1393" s="158" t="n"/>
      <c r="J1393" s="158" t="n"/>
      <c r="K1393" s="159" t="n"/>
    </row>
    <row r="1394">
      <c r="C1394" s="158" t="n"/>
      <c r="D1394" s="158" t="n"/>
      <c r="J1394" s="158" t="n"/>
      <c r="K1394" s="159" t="n"/>
    </row>
    <row r="1395">
      <c r="C1395" s="158" t="n"/>
      <c r="D1395" s="158" t="n"/>
      <c r="J1395" s="158" t="n"/>
      <c r="K1395" s="159" t="n"/>
    </row>
    <row r="1396">
      <c r="C1396" s="158" t="n"/>
      <c r="D1396" s="158" t="n"/>
      <c r="J1396" s="158" t="n"/>
      <c r="K1396" s="159" t="n"/>
    </row>
    <row r="1397">
      <c r="C1397" s="158" t="n"/>
      <c r="D1397" s="158" t="n"/>
      <c r="J1397" s="158" t="n"/>
      <c r="K1397" s="159" t="n"/>
    </row>
    <row r="1398">
      <c r="C1398" s="158" t="n"/>
      <c r="D1398" s="158" t="n"/>
      <c r="J1398" s="158" t="n"/>
      <c r="K1398" s="159" t="n"/>
    </row>
    <row r="1399">
      <c r="C1399" s="158" t="n"/>
      <c r="D1399" s="158" t="n"/>
      <c r="J1399" s="158" t="n"/>
      <c r="K1399" s="159" t="n"/>
    </row>
    <row r="1400">
      <c r="C1400" s="158" t="n"/>
      <c r="D1400" s="158" t="n"/>
      <c r="J1400" s="158" t="n"/>
      <c r="K1400" s="159" t="n"/>
    </row>
    <row r="1401">
      <c r="C1401" s="158" t="n"/>
      <c r="D1401" s="158" t="n"/>
      <c r="J1401" s="158" t="n"/>
      <c r="K1401" s="159" t="n"/>
    </row>
    <row r="1402">
      <c r="C1402" s="158" t="n"/>
      <c r="D1402" s="158" t="n"/>
      <c r="J1402" s="158" t="n"/>
      <c r="K1402" s="159" t="n"/>
    </row>
    <row r="1403">
      <c r="C1403" s="158" t="n"/>
      <c r="D1403" s="158" t="n"/>
      <c r="J1403" s="158" t="n"/>
      <c r="K1403" s="159" t="n"/>
    </row>
    <row r="1404">
      <c r="C1404" s="158" t="n"/>
      <c r="D1404" s="158" t="n"/>
      <c r="J1404" s="158" t="n"/>
      <c r="K1404" s="159" t="n"/>
    </row>
    <row r="1405">
      <c r="C1405" s="158" t="n"/>
      <c r="D1405" s="158" t="n"/>
      <c r="J1405" s="158" t="n"/>
      <c r="K1405" s="159" t="n"/>
    </row>
    <row r="1406">
      <c r="C1406" s="158" t="n"/>
      <c r="D1406" s="158" t="n"/>
      <c r="J1406" s="158" t="n"/>
      <c r="K1406" s="159" t="n"/>
    </row>
    <row r="1407">
      <c r="C1407" s="158" t="n"/>
      <c r="D1407" s="158" t="n"/>
      <c r="J1407" s="158" t="n"/>
      <c r="K1407" s="159" t="n"/>
    </row>
    <row r="1408">
      <c r="C1408" s="158" t="n"/>
      <c r="D1408" s="158" t="n"/>
      <c r="J1408" s="158" t="n"/>
      <c r="K1408" s="159" t="n"/>
    </row>
    <row r="1409">
      <c r="C1409" s="158" t="n"/>
      <c r="D1409" s="158" t="n"/>
      <c r="J1409" s="158" t="n"/>
      <c r="K1409" s="159" t="n"/>
    </row>
    <row r="1410">
      <c r="C1410" s="158" t="n"/>
      <c r="D1410" s="158" t="n"/>
      <c r="J1410" s="158" t="n"/>
      <c r="K1410" s="159" t="n"/>
    </row>
    <row r="1411">
      <c r="C1411" s="158" t="n"/>
      <c r="D1411" s="158" t="n"/>
      <c r="J1411" s="158" t="n"/>
      <c r="K1411" s="159" t="n"/>
    </row>
    <row r="1412">
      <c r="C1412" s="158" t="n"/>
      <c r="D1412" s="158" t="n"/>
      <c r="J1412" s="158" t="n"/>
      <c r="K1412" s="159" t="n"/>
    </row>
    <row r="1413">
      <c r="C1413" s="158" t="n"/>
      <c r="D1413" s="158" t="n"/>
      <c r="J1413" s="158" t="n"/>
      <c r="K1413" s="159" t="n"/>
    </row>
    <row r="1414">
      <c r="C1414" s="158" t="n"/>
      <c r="D1414" s="158" t="n"/>
      <c r="J1414" s="158" t="n"/>
      <c r="K1414" s="159" t="n"/>
    </row>
    <row r="1415">
      <c r="C1415" s="158" t="n"/>
      <c r="D1415" s="158" t="n"/>
      <c r="J1415" s="158" t="n"/>
      <c r="K1415" s="159" t="n"/>
    </row>
    <row r="1416">
      <c r="C1416" s="158" t="n"/>
      <c r="D1416" s="158" t="n"/>
      <c r="J1416" s="158" t="n"/>
      <c r="K1416" s="159" t="n"/>
    </row>
    <row r="1417">
      <c r="C1417" s="158" t="n"/>
      <c r="D1417" s="158" t="n"/>
      <c r="J1417" s="158" t="n"/>
      <c r="K1417" s="159" t="n"/>
    </row>
    <row r="1418">
      <c r="C1418" s="158" t="n"/>
      <c r="D1418" s="158" t="n"/>
      <c r="J1418" s="158" t="n"/>
      <c r="K1418" s="159" t="n"/>
    </row>
    <row r="1419">
      <c r="C1419" s="158" t="n"/>
      <c r="D1419" s="158" t="n"/>
      <c r="J1419" s="158" t="n"/>
      <c r="K1419" s="159" t="n"/>
    </row>
    <row r="1420">
      <c r="C1420" s="158" t="n"/>
      <c r="D1420" s="158" t="n"/>
      <c r="J1420" s="158" t="n"/>
      <c r="K1420" s="159" t="n"/>
    </row>
    <row r="1421">
      <c r="C1421" s="158" t="n"/>
      <c r="D1421" s="158" t="n"/>
      <c r="J1421" s="158" t="n"/>
      <c r="K1421" s="159" t="n"/>
    </row>
    <row r="1422">
      <c r="C1422" s="158" t="n"/>
      <c r="D1422" s="158" t="n"/>
      <c r="J1422" s="158" t="n"/>
      <c r="K1422" s="159" t="n"/>
    </row>
    <row r="1423">
      <c r="C1423" s="158" t="n"/>
      <c r="D1423" s="158" t="n"/>
      <c r="J1423" s="158" t="n"/>
      <c r="K1423" s="159" t="n"/>
    </row>
    <row r="1424">
      <c r="C1424" s="158" t="n"/>
      <c r="D1424" s="158" t="n"/>
      <c r="J1424" s="158" t="n"/>
      <c r="K1424" s="159" t="n"/>
    </row>
    <row r="1425">
      <c r="C1425" s="158" t="n"/>
      <c r="D1425" s="158" t="n"/>
      <c r="J1425" s="158" t="n"/>
      <c r="K1425" s="159" t="n"/>
    </row>
    <row r="1426">
      <c r="C1426" s="158" t="n"/>
      <c r="D1426" s="158" t="n"/>
      <c r="J1426" s="158" t="n"/>
      <c r="K1426" s="159" t="n"/>
    </row>
    <row r="1427">
      <c r="C1427" s="158" t="n"/>
      <c r="D1427" s="158" t="n"/>
      <c r="J1427" s="158" t="n"/>
      <c r="K1427" s="159" t="n"/>
    </row>
    <row r="1428">
      <c r="C1428" s="158" t="n"/>
      <c r="D1428" s="158" t="n"/>
      <c r="J1428" s="158" t="n"/>
      <c r="K1428" s="159" t="n"/>
    </row>
    <row r="1429">
      <c r="C1429" s="158" t="n"/>
      <c r="D1429" s="158" t="n"/>
      <c r="J1429" s="158" t="n"/>
      <c r="K1429" s="159" t="n"/>
    </row>
    <row r="1430">
      <c r="C1430" s="158" t="n"/>
      <c r="D1430" s="158" t="n"/>
      <c r="J1430" s="158" t="n"/>
      <c r="K1430" s="159" t="n"/>
    </row>
    <row r="1431">
      <c r="C1431" s="158" t="n"/>
      <c r="D1431" s="158" t="n"/>
      <c r="J1431" s="158" t="n"/>
      <c r="K1431" s="159" t="n"/>
    </row>
    <row r="1432">
      <c r="C1432" s="158" t="n"/>
      <c r="D1432" s="158" t="n"/>
      <c r="J1432" s="158" t="n"/>
      <c r="K1432" s="159" t="n"/>
    </row>
    <row r="1433">
      <c r="C1433" s="158" t="n"/>
      <c r="D1433" s="158" t="n"/>
      <c r="J1433" s="158" t="n"/>
      <c r="K1433" s="159" t="n"/>
    </row>
    <row r="1434">
      <c r="C1434" s="158" t="n"/>
      <c r="D1434" s="158" t="n"/>
      <c r="J1434" s="158" t="n"/>
      <c r="K1434" s="159" t="n"/>
    </row>
    <row r="1435">
      <c r="C1435" s="158" t="n"/>
      <c r="D1435" s="158" t="n"/>
      <c r="J1435" s="158" t="n"/>
      <c r="K1435" s="159" t="n"/>
    </row>
    <row r="1436">
      <c r="C1436" s="158" t="n"/>
      <c r="D1436" s="158" t="n"/>
      <c r="J1436" s="158" t="n"/>
      <c r="K1436" s="159" t="n"/>
    </row>
    <row r="1437">
      <c r="C1437" s="158" t="n"/>
      <c r="D1437" s="158" t="n"/>
      <c r="J1437" s="158" t="n"/>
      <c r="K1437" s="159" t="n"/>
    </row>
    <row r="1438">
      <c r="C1438" s="158" t="n"/>
      <c r="D1438" s="158" t="n"/>
      <c r="J1438" s="158" t="n"/>
      <c r="K1438" s="159" t="n"/>
    </row>
    <row r="1439">
      <c r="C1439" s="158" t="n"/>
      <c r="D1439" s="158" t="n"/>
      <c r="J1439" s="158" t="n"/>
      <c r="K1439" s="159" t="n"/>
    </row>
    <row r="1440">
      <c r="C1440" s="158" t="n"/>
      <c r="D1440" s="158" t="n"/>
      <c r="J1440" s="158" t="n"/>
      <c r="K1440" s="159" t="n"/>
    </row>
    <row r="1441">
      <c r="C1441" s="158" t="n"/>
      <c r="D1441" s="158" t="n"/>
      <c r="J1441" s="158" t="n"/>
      <c r="K1441" s="159" t="n"/>
    </row>
    <row r="1442">
      <c r="C1442" s="158" t="n"/>
      <c r="D1442" s="158" t="n"/>
      <c r="J1442" s="158" t="n"/>
      <c r="K1442" s="159" t="n"/>
    </row>
    <row r="1443">
      <c r="C1443" s="158" t="n"/>
      <c r="D1443" s="158" t="n"/>
      <c r="J1443" s="158" t="n"/>
      <c r="K1443" s="159" t="n"/>
    </row>
    <row r="1444">
      <c r="C1444" s="158" t="n"/>
      <c r="D1444" s="158" t="n"/>
      <c r="J1444" s="158" t="n"/>
      <c r="K1444" s="159" t="n"/>
    </row>
    <row r="1445">
      <c r="C1445" s="158" t="n"/>
      <c r="D1445" s="158" t="n"/>
      <c r="J1445" s="158" t="n"/>
      <c r="K1445" s="159" t="n"/>
    </row>
    <row r="1446">
      <c r="C1446" s="158" t="n"/>
      <c r="D1446" s="158" t="n"/>
      <c r="J1446" s="158" t="n"/>
      <c r="K1446" s="159" t="n"/>
    </row>
    <row r="1447">
      <c r="C1447" s="158" t="n"/>
      <c r="D1447" s="158" t="n"/>
      <c r="J1447" s="158" t="n"/>
      <c r="K1447" s="159" t="n"/>
    </row>
    <row r="1448">
      <c r="C1448" s="158" t="n"/>
      <c r="D1448" s="158" t="n"/>
      <c r="J1448" s="158" t="n"/>
      <c r="K1448" s="159" t="n"/>
    </row>
    <row r="1449">
      <c r="C1449" s="158" t="n"/>
      <c r="D1449" s="158" t="n"/>
      <c r="J1449" s="158" t="n"/>
      <c r="K1449" s="159" t="n"/>
    </row>
    <row r="1450">
      <c r="C1450" s="158" t="n"/>
      <c r="D1450" s="158" t="n"/>
      <c r="J1450" s="158" t="n"/>
      <c r="K1450" s="159" t="n"/>
    </row>
    <row r="1451">
      <c r="C1451" s="158" t="n"/>
      <c r="D1451" s="158" t="n"/>
      <c r="J1451" s="158" t="n"/>
      <c r="K1451" s="159" t="n"/>
    </row>
    <row r="1452">
      <c r="C1452" s="158" t="n"/>
      <c r="D1452" s="158" t="n"/>
      <c r="J1452" s="158" t="n"/>
      <c r="K1452" s="159" t="n"/>
    </row>
    <row r="1453">
      <c r="C1453" s="158" t="n"/>
      <c r="D1453" s="158" t="n"/>
      <c r="J1453" s="158" t="n"/>
      <c r="K1453" s="159" t="n"/>
    </row>
    <row r="1454">
      <c r="C1454" s="158" t="n"/>
      <c r="D1454" s="158" t="n"/>
      <c r="J1454" s="158" t="n"/>
      <c r="K1454" s="159" t="n"/>
    </row>
    <row r="1455">
      <c r="C1455" s="158" t="n"/>
      <c r="D1455" s="158" t="n"/>
      <c r="J1455" s="158" t="n"/>
      <c r="K1455" s="159" t="n"/>
    </row>
    <row r="1456">
      <c r="C1456" s="158" t="n"/>
      <c r="D1456" s="158" t="n"/>
      <c r="J1456" s="158" t="n"/>
      <c r="K1456" s="159" t="n"/>
    </row>
    <row r="1457">
      <c r="C1457" s="158" t="n"/>
      <c r="D1457" s="158" t="n"/>
      <c r="J1457" s="158" t="n"/>
      <c r="K1457" s="159" t="n"/>
    </row>
    <row r="1458">
      <c r="C1458" s="158" t="n"/>
      <c r="D1458" s="158" t="n"/>
      <c r="J1458" s="158" t="n"/>
      <c r="K1458" s="159" t="n"/>
    </row>
    <row r="1459">
      <c r="C1459" s="158" t="n"/>
      <c r="D1459" s="158" t="n"/>
      <c r="J1459" s="158" t="n"/>
      <c r="K1459" s="159" t="n"/>
    </row>
    <row r="1460">
      <c r="C1460" s="158" t="n"/>
      <c r="D1460" s="158" t="n"/>
      <c r="J1460" s="158" t="n"/>
      <c r="K1460" s="159" t="n"/>
    </row>
    <row r="1461">
      <c r="C1461" s="158" t="n"/>
      <c r="D1461" s="158" t="n"/>
      <c r="J1461" s="158" t="n"/>
      <c r="K1461" s="159" t="n"/>
    </row>
    <row r="1462">
      <c r="C1462" s="158" t="n"/>
      <c r="D1462" s="158" t="n"/>
      <c r="J1462" s="158" t="n"/>
      <c r="K1462" s="159" t="n"/>
    </row>
    <row r="1463">
      <c r="C1463" s="158" t="n"/>
      <c r="D1463" s="158" t="n"/>
      <c r="J1463" s="158" t="n"/>
      <c r="K1463" s="159" t="n"/>
    </row>
    <row r="1464">
      <c r="C1464" s="158" t="n"/>
      <c r="D1464" s="158" t="n"/>
      <c r="J1464" s="158" t="n"/>
      <c r="K1464" s="159" t="n"/>
    </row>
    <row r="1465">
      <c r="C1465" s="158" t="n"/>
      <c r="D1465" s="158" t="n"/>
      <c r="J1465" s="158" t="n"/>
      <c r="K1465" s="159" t="n"/>
    </row>
    <row r="1466">
      <c r="C1466" s="158" t="n"/>
      <c r="D1466" s="158" t="n"/>
      <c r="J1466" s="158" t="n"/>
      <c r="K1466" s="159" t="n"/>
    </row>
    <row r="1467">
      <c r="C1467" s="158" t="n"/>
      <c r="D1467" s="158" t="n"/>
      <c r="J1467" s="158" t="n"/>
      <c r="K1467" s="159" t="n"/>
    </row>
    <row r="1468">
      <c r="C1468" s="158" t="n"/>
      <c r="D1468" s="158" t="n"/>
      <c r="J1468" s="158" t="n"/>
      <c r="K1468" s="159" t="n"/>
    </row>
    <row r="1469">
      <c r="C1469" s="158" t="n"/>
      <c r="D1469" s="158" t="n"/>
      <c r="J1469" s="158" t="n"/>
      <c r="K1469" s="159" t="n"/>
    </row>
    <row r="1470">
      <c r="C1470" s="158" t="n"/>
      <c r="D1470" s="158" t="n"/>
      <c r="J1470" s="158" t="n"/>
      <c r="K1470" s="159" t="n"/>
    </row>
    <row r="1471">
      <c r="C1471" s="158" t="n"/>
      <c r="D1471" s="158" t="n"/>
      <c r="J1471" s="158" t="n"/>
      <c r="K1471" s="159" t="n"/>
    </row>
    <row r="1472">
      <c r="C1472" s="158" t="n"/>
      <c r="D1472" s="158" t="n"/>
      <c r="J1472" s="158" t="n"/>
      <c r="K1472" s="159" t="n"/>
    </row>
    <row r="1473">
      <c r="C1473" s="158" t="n"/>
      <c r="D1473" s="158" t="n"/>
      <c r="J1473" s="158" t="n"/>
      <c r="K1473" s="159" t="n"/>
    </row>
    <row r="1474">
      <c r="C1474" s="158" t="n"/>
      <c r="D1474" s="158" t="n"/>
      <c r="J1474" s="158" t="n"/>
      <c r="K1474" s="159" t="n"/>
    </row>
    <row r="1475">
      <c r="C1475" s="158" t="n"/>
      <c r="D1475" s="158" t="n"/>
      <c r="J1475" s="158" t="n"/>
      <c r="K1475" s="159" t="n"/>
    </row>
    <row r="1476">
      <c r="C1476" s="158" t="n"/>
      <c r="D1476" s="158" t="n"/>
      <c r="J1476" s="158" t="n"/>
      <c r="K1476" s="159" t="n"/>
    </row>
    <row r="1477">
      <c r="C1477" s="158" t="n"/>
      <c r="D1477" s="158" t="n"/>
      <c r="J1477" s="158" t="n"/>
      <c r="K1477" s="159" t="n"/>
    </row>
    <row r="1478">
      <c r="C1478" s="158" t="n"/>
      <c r="D1478" s="158" t="n"/>
      <c r="J1478" s="158" t="n"/>
      <c r="K1478" s="159" t="n"/>
    </row>
    <row r="1479">
      <c r="C1479" s="158" t="n"/>
      <c r="D1479" s="158" t="n"/>
      <c r="J1479" s="158" t="n"/>
      <c r="K1479" s="159" t="n"/>
    </row>
    <row r="1480">
      <c r="C1480" s="158" t="n"/>
      <c r="D1480" s="158" t="n"/>
      <c r="J1480" s="158" t="n"/>
      <c r="K1480" s="159" t="n"/>
    </row>
    <row r="1481">
      <c r="C1481" s="158" t="n"/>
      <c r="D1481" s="158" t="n"/>
      <c r="J1481" s="158" t="n"/>
      <c r="K1481" s="159" t="n"/>
    </row>
    <row r="1482">
      <c r="C1482" s="158" t="n"/>
      <c r="D1482" s="158" t="n"/>
      <c r="J1482" s="158" t="n"/>
      <c r="K1482" s="159" t="n"/>
    </row>
    <row r="1483">
      <c r="C1483" s="158" t="n"/>
      <c r="D1483" s="158" t="n"/>
      <c r="J1483" s="158" t="n"/>
      <c r="K1483" s="159" t="n"/>
    </row>
    <row r="1484">
      <c r="C1484" s="158" t="n"/>
      <c r="D1484" s="158" t="n"/>
      <c r="J1484" s="158" t="n"/>
      <c r="K1484" s="159" t="n"/>
    </row>
    <row r="1485">
      <c r="C1485" s="158" t="n"/>
      <c r="D1485" s="158" t="n"/>
      <c r="J1485" s="158" t="n"/>
      <c r="K1485" s="159" t="n"/>
    </row>
    <row r="1486">
      <c r="C1486" s="158" t="n"/>
      <c r="D1486" s="158" t="n"/>
      <c r="J1486" s="158" t="n"/>
      <c r="K1486" s="159" t="n"/>
    </row>
    <row r="1487">
      <c r="C1487" s="158" t="n"/>
      <c r="D1487" s="158" t="n"/>
      <c r="J1487" s="158" t="n"/>
      <c r="K1487" s="159" t="n"/>
    </row>
    <row r="1488">
      <c r="C1488" s="158" t="n"/>
      <c r="D1488" s="158" t="n"/>
      <c r="J1488" s="158" t="n"/>
      <c r="K1488" s="159" t="n"/>
    </row>
    <row r="1489">
      <c r="C1489" s="158" t="n"/>
      <c r="D1489" s="158" t="n"/>
      <c r="J1489" s="158" t="n"/>
      <c r="K1489" s="159" t="n"/>
    </row>
    <row r="1490">
      <c r="C1490" s="158" t="n"/>
      <c r="D1490" s="158" t="n"/>
      <c r="J1490" s="158" t="n"/>
      <c r="K1490" s="159" t="n"/>
    </row>
    <row r="1491">
      <c r="C1491" s="158" t="n"/>
      <c r="D1491" s="158" t="n"/>
      <c r="J1491" s="158" t="n"/>
      <c r="K1491" s="159" t="n"/>
    </row>
    <row r="1492">
      <c r="C1492" s="158" t="n"/>
      <c r="D1492" s="158" t="n"/>
      <c r="J1492" s="158" t="n"/>
      <c r="K1492" s="159" t="n"/>
    </row>
    <row r="1493">
      <c r="C1493" s="158" t="n"/>
      <c r="D1493" s="158" t="n"/>
      <c r="J1493" s="158" t="n"/>
      <c r="K1493" s="159" t="n"/>
    </row>
    <row r="1494">
      <c r="C1494" s="158" t="n"/>
      <c r="D1494" s="158" t="n"/>
      <c r="J1494" s="158" t="n"/>
      <c r="K1494" s="159" t="n"/>
    </row>
    <row r="1495">
      <c r="C1495" s="158" t="n"/>
      <c r="D1495" s="158" t="n"/>
      <c r="J1495" s="158" t="n"/>
      <c r="K1495" s="159" t="n"/>
    </row>
    <row r="1496">
      <c r="C1496" s="158" t="n"/>
      <c r="D1496" s="158" t="n"/>
      <c r="J1496" s="158" t="n"/>
      <c r="K1496" s="159" t="n"/>
    </row>
    <row r="1497">
      <c r="C1497" s="158" t="n"/>
      <c r="D1497" s="158" t="n"/>
      <c r="J1497" s="158" t="n"/>
      <c r="K1497" s="159" t="n"/>
    </row>
    <row r="1498">
      <c r="C1498" s="158" t="n"/>
      <c r="D1498" s="158" t="n"/>
      <c r="J1498" s="158" t="n"/>
      <c r="K1498" s="159" t="n"/>
    </row>
    <row r="1499">
      <c r="C1499" s="158" t="n"/>
      <c r="D1499" s="158" t="n"/>
      <c r="J1499" s="158" t="n"/>
      <c r="K1499" s="159" t="n"/>
    </row>
    <row r="1500">
      <c r="C1500" s="158" t="n"/>
      <c r="D1500" s="158" t="n"/>
      <c r="J1500" s="158" t="n"/>
      <c r="K1500" s="159" t="n"/>
    </row>
    <row r="1501">
      <c r="C1501" s="158" t="n"/>
      <c r="D1501" s="158" t="n"/>
      <c r="J1501" s="158" t="n"/>
      <c r="K1501" s="159" t="n"/>
    </row>
    <row r="1502">
      <c r="C1502" s="158" t="n"/>
      <c r="D1502" s="158" t="n"/>
      <c r="J1502" s="158" t="n"/>
      <c r="K1502" s="159" t="n"/>
    </row>
    <row r="1503">
      <c r="C1503" s="158" t="n"/>
      <c r="D1503" s="158" t="n"/>
      <c r="J1503" s="158" t="n"/>
      <c r="K1503" s="159" t="n"/>
    </row>
    <row r="1504">
      <c r="C1504" s="158" t="n"/>
      <c r="D1504" s="158" t="n"/>
      <c r="J1504" s="158" t="n"/>
      <c r="K1504" s="159" t="n"/>
    </row>
    <row r="1505">
      <c r="C1505" s="158" t="n"/>
      <c r="D1505" s="158" t="n"/>
      <c r="J1505" s="158" t="n"/>
      <c r="K1505" s="159" t="n"/>
    </row>
    <row r="1506">
      <c r="C1506" s="158" t="n"/>
      <c r="D1506" s="158" t="n"/>
      <c r="J1506" s="158" t="n"/>
      <c r="K1506" s="159" t="n"/>
    </row>
    <row r="1507">
      <c r="C1507" s="158" t="n"/>
      <c r="D1507" s="158" t="n"/>
      <c r="J1507" s="158" t="n"/>
      <c r="K1507" s="159" t="n"/>
    </row>
    <row r="1508">
      <c r="C1508" s="158" t="n"/>
      <c r="D1508" s="158" t="n"/>
      <c r="J1508" s="158" t="n"/>
      <c r="K1508" s="159" t="n"/>
    </row>
    <row r="1509">
      <c r="C1509" s="158" t="n"/>
      <c r="D1509" s="158" t="n"/>
      <c r="J1509" s="158" t="n"/>
      <c r="K1509" s="159" t="n"/>
    </row>
    <row r="1510">
      <c r="C1510" s="158" t="n"/>
      <c r="D1510" s="158" t="n"/>
      <c r="J1510" s="158" t="n"/>
      <c r="K1510" s="159" t="n"/>
    </row>
    <row r="1511">
      <c r="C1511" s="158" t="n"/>
      <c r="D1511" s="158" t="n"/>
      <c r="J1511" s="158" t="n"/>
      <c r="K1511" s="159" t="n"/>
    </row>
    <row r="1512">
      <c r="C1512" s="158" t="n"/>
      <c r="D1512" s="158" t="n"/>
      <c r="J1512" s="158" t="n"/>
      <c r="K1512" s="159" t="n"/>
    </row>
    <row r="1513">
      <c r="C1513" s="158" t="n"/>
      <c r="D1513" s="158" t="n"/>
      <c r="J1513" s="158" t="n"/>
      <c r="K1513" s="159" t="n"/>
    </row>
    <row r="1514">
      <c r="C1514" s="158" t="n"/>
      <c r="D1514" s="158" t="n"/>
      <c r="J1514" s="158" t="n"/>
      <c r="K1514" s="159" t="n"/>
    </row>
    <row r="1515">
      <c r="C1515" s="158" t="n"/>
      <c r="D1515" s="158" t="n"/>
      <c r="J1515" s="158" t="n"/>
      <c r="K1515" s="159" t="n"/>
    </row>
    <row r="1516">
      <c r="C1516" s="158" t="n"/>
      <c r="D1516" s="158" t="n"/>
      <c r="J1516" s="158" t="n"/>
      <c r="K1516" s="159" t="n"/>
    </row>
    <row r="1517">
      <c r="C1517" s="158" t="n"/>
      <c r="D1517" s="158" t="n"/>
      <c r="J1517" s="158" t="n"/>
      <c r="K1517" s="159" t="n"/>
    </row>
    <row r="1518">
      <c r="C1518" s="158" t="n"/>
      <c r="D1518" s="158" t="n"/>
      <c r="J1518" s="158" t="n"/>
      <c r="K1518" s="159" t="n"/>
    </row>
    <row r="1519">
      <c r="C1519" s="158" t="n"/>
      <c r="D1519" s="158" t="n"/>
      <c r="J1519" s="158" t="n"/>
      <c r="K1519" s="159" t="n"/>
    </row>
    <row r="1520">
      <c r="C1520" s="158" t="n"/>
      <c r="D1520" s="158" t="n"/>
      <c r="J1520" s="158" t="n"/>
      <c r="K1520" s="159" t="n"/>
    </row>
    <row r="1521">
      <c r="C1521" s="158" t="n"/>
      <c r="D1521" s="158" t="n"/>
      <c r="J1521" s="158" t="n"/>
      <c r="K1521" s="159" t="n"/>
    </row>
    <row r="1522">
      <c r="C1522" s="158" t="n"/>
      <c r="D1522" s="158" t="n"/>
      <c r="J1522" s="158" t="n"/>
      <c r="K1522" s="159" t="n"/>
    </row>
    <row r="1523">
      <c r="C1523" s="158" t="n"/>
      <c r="D1523" s="158" t="n"/>
      <c r="J1523" s="158" t="n"/>
      <c r="K1523" s="159" t="n"/>
    </row>
    <row r="1524">
      <c r="C1524" s="158" t="n"/>
      <c r="D1524" s="158" t="n"/>
      <c r="J1524" s="158" t="n"/>
      <c r="K1524" s="159" t="n"/>
    </row>
    <row r="1525">
      <c r="C1525" s="158" t="n"/>
      <c r="D1525" s="158" t="n"/>
      <c r="J1525" s="158" t="n"/>
      <c r="K1525" s="159" t="n"/>
    </row>
    <row r="1526">
      <c r="C1526" s="158" t="n"/>
      <c r="D1526" s="158" t="n"/>
      <c r="J1526" s="158" t="n"/>
      <c r="K1526" s="159" t="n"/>
    </row>
    <row r="1527">
      <c r="C1527" s="158" t="n"/>
      <c r="D1527" s="158" t="n"/>
      <c r="J1527" s="158" t="n"/>
      <c r="K1527" s="159" t="n"/>
    </row>
    <row r="1528">
      <c r="C1528" s="158" t="n"/>
      <c r="D1528" s="158" t="n"/>
      <c r="J1528" s="158" t="n"/>
      <c r="K1528" s="159" t="n"/>
    </row>
    <row r="1529">
      <c r="C1529" s="158" t="n"/>
      <c r="D1529" s="158" t="n"/>
      <c r="J1529" s="158" t="n"/>
      <c r="K1529" s="159" t="n"/>
    </row>
    <row r="1530">
      <c r="C1530" s="158" t="n"/>
      <c r="D1530" s="158" t="n"/>
      <c r="J1530" s="158" t="n"/>
      <c r="K1530" s="159" t="n"/>
    </row>
    <row r="1531">
      <c r="C1531" s="158" t="n"/>
      <c r="D1531" s="158" t="n"/>
      <c r="J1531" s="158" t="n"/>
      <c r="K1531" s="159" t="n"/>
    </row>
    <row r="1532">
      <c r="C1532" s="158" t="n"/>
      <c r="D1532" s="158" t="n"/>
      <c r="J1532" s="158" t="n"/>
      <c r="K1532" s="159" t="n"/>
    </row>
    <row r="1533">
      <c r="C1533" s="158" t="n"/>
      <c r="D1533" s="158" t="n"/>
      <c r="J1533" s="158" t="n"/>
      <c r="K1533" s="159" t="n"/>
    </row>
    <row r="1534">
      <c r="C1534" s="158" t="n"/>
      <c r="D1534" s="158" t="n"/>
      <c r="J1534" s="158" t="n"/>
      <c r="K1534" s="159" t="n"/>
    </row>
    <row r="1535">
      <c r="C1535" s="158" t="n"/>
      <c r="D1535" s="158" t="n"/>
      <c r="J1535" s="158" t="n"/>
      <c r="K1535" s="159" t="n"/>
    </row>
    <row r="1536">
      <c r="C1536" s="158" t="n"/>
      <c r="D1536" s="158" t="n"/>
      <c r="J1536" s="158" t="n"/>
      <c r="K1536" s="159" t="n"/>
    </row>
    <row r="1537">
      <c r="C1537" s="158" t="n"/>
      <c r="D1537" s="158" t="n"/>
      <c r="J1537" s="158" t="n"/>
      <c r="K1537" s="159" t="n"/>
    </row>
    <row r="1538">
      <c r="C1538" s="158" t="n"/>
      <c r="D1538" s="158" t="n"/>
      <c r="J1538" s="158" t="n"/>
      <c r="K1538" s="159" t="n"/>
    </row>
    <row r="1539">
      <c r="C1539" s="158" t="n"/>
      <c r="D1539" s="158" t="n"/>
      <c r="J1539" s="158" t="n"/>
      <c r="K1539" s="159" t="n"/>
    </row>
    <row r="1540">
      <c r="C1540" s="158" t="n"/>
      <c r="D1540" s="158" t="n"/>
      <c r="J1540" s="158" t="n"/>
      <c r="K1540" s="159" t="n"/>
    </row>
    <row r="1541">
      <c r="C1541" s="158" t="n"/>
      <c r="D1541" s="158" t="n"/>
      <c r="J1541" s="158" t="n"/>
      <c r="K1541" s="159" t="n"/>
    </row>
    <row r="1542">
      <c r="C1542" s="158" t="n"/>
      <c r="D1542" s="158" t="n"/>
      <c r="J1542" s="158" t="n"/>
      <c r="K1542" s="159" t="n"/>
    </row>
    <row r="1543">
      <c r="C1543" s="158" t="n"/>
      <c r="D1543" s="158" t="n"/>
      <c r="J1543" s="158" t="n"/>
      <c r="K1543" s="159" t="n"/>
    </row>
    <row r="1544">
      <c r="C1544" s="158" t="n"/>
      <c r="D1544" s="158" t="n"/>
      <c r="J1544" s="158" t="n"/>
      <c r="K1544" s="159" t="n"/>
    </row>
    <row r="1545">
      <c r="C1545" s="158" t="n"/>
      <c r="D1545" s="158" t="n"/>
      <c r="J1545" s="158" t="n"/>
      <c r="K1545" s="159" t="n"/>
    </row>
    <row r="1546">
      <c r="C1546" s="158" t="n"/>
      <c r="D1546" s="158" t="n"/>
      <c r="J1546" s="158" t="n"/>
      <c r="K1546" s="159" t="n"/>
    </row>
    <row r="1547">
      <c r="C1547" s="158" t="n"/>
      <c r="D1547" s="158" t="n"/>
      <c r="J1547" s="158" t="n"/>
      <c r="K1547" s="159" t="n"/>
    </row>
    <row r="1548">
      <c r="C1548" s="158" t="n"/>
      <c r="D1548" s="158" t="n"/>
      <c r="J1548" s="158" t="n"/>
      <c r="K1548" s="159" t="n"/>
    </row>
    <row r="1549">
      <c r="C1549" s="158" t="n"/>
      <c r="D1549" s="158" t="n"/>
      <c r="J1549" s="158" t="n"/>
      <c r="K1549" s="159" t="n"/>
    </row>
    <row r="1550">
      <c r="C1550" s="158" t="n"/>
      <c r="D1550" s="158" t="n"/>
      <c r="J1550" s="158" t="n"/>
      <c r="K1550" s="159" t="n"/>
    </row>
    <row r="1551">
      <c r="C1551" s="158" t="n"/>
      <c r="D1551" s="158" t="n"/>
      <c r="J1551" s="158" t="n"/>
      <c r="K1551" s="159" t="n"/>
    </row>
    <row r="1552">
      <c r="C1552" s="158" t="n"/>
      <c r="D1552" s="158" t="n"/>
      <c r="J1552" s="158" t="n"/>
      <c r="K1552" s="159" t="n"/>
    </row>
    <row r="1553">
      <c r="C1553" s="158" t="n"/>
      <c r="D1553" s="158" t="n"/>
      <c r="J1553" s="158" t="n"/>
      <c r="K1553" s="159" t="n"/>
    </row>
    <row r="1554">
      <c r="C1554" s="158" t="n"/>
      <c r="D1554" s="158" t="n"/>
      <c r="J1554" s="158" t="n"/>
      <c r="K1554" s="159" t="n"/>
    </row>
    <row r="1555">
      <c r="C1555" s="158" t="n"/>
      <c r="D1555" s="158" t="n"/>
      <c r="J1555" s="158" t="n"/>
      <c r="K1555" s="159" t="n"/>
    </row>
    <row r="1556">
      <c r="C1556" s="158" t="n"/>
      <c r="D1556" s="158" t="n"/>
      <c r="J1556" s="158" t="n"/>
      <c r="K1556" s="159" t="n"/>
    </row>
    <row r="1557">
      <c r="C1557" s="158" t="n"/>
      <c r="D1557" s="158" t="n"/>
      <c r="J1557" s="158" t="n"/>
      <c r="K1557" s="159" t="n"/>
    </row>
    <row r="1558">
      <c r="C1558" s="158" t="n"/>
      <c r="D1558" s="158" t="n"/>
      <c r="J1558" s="158" t="n"/>
      <c r="K1558" s="159" t="n"/>
    </row>
    <row r="1559">
      <c r="C1559" s="158" t="n"/>
      <c r="D1559" s="158" t="n"/>
      <c r="J1559" s="158" t="n"/>
      <c r="K1559" s="159" t="n"/>
    </row>
    <row r="1560">
      <c r="C1560" s="158" t="n"/>
      <c r="D1560" s="158" t="n"/>
      <c r="J1560" s="158" t="n"/>
      <c r="K1560" s="159" t="n"/>
    </row>
    <row r="1561">
      <c r="C1561" s="158" t="n"/>
      <c r="D1561" s="158" t="n"/>
      <c r="J1561" s="158" t="n"/>
      <c r="K1561" s="159" t="n"/>
    </row>
    <row r="1562">
      <c r="C1562" s="158" t="n"/>
      <c r="D1562" s="158" t="n"/>
      <c r="J1562" s="158" t="n"/>
      <c r="K1562" s="159" t="n"/>
    </row>
    <row r="1563">
      <c r="C1563" s="158" t="n"/>
      <c r="D1563" s="158" t="n"/>
      <c r="J1563" s="158" t="n"/>
      <c r="K1563" s="159" t="n"/>
    </row>
    <row r="1564">
      <c r="C1564" s="158" t="n"/>
      <c r="D1564" s="158" t="n"/>
      <c r="J1564" s="158" t="n"/>
      <c r="K1564" s="159" t="n"/>
    </row>
    <row r="1565">
      <c r="C1565" s="158" t="n"/>
      <c r="D1565" s="158" t="n"/>
      <c r="J1565" s="158" t="n"/>
      <c r="K1565" s="159" t="n"/>
    </row>
    <row r="1566">
      <c r="C1566" s="158" t="n"/>
      <c r="D1566" s="158" t="n"/>
      <c r="J1566" s="158" t="n"/>
      <c r="K1566" s="159" t="n"/>
    </row>
    <row r="1567">
      <c r="C1567" s="158" t="n"/>
      <c r="D1567" s="158" t="n"/>
      <c r="J1567" s="158" t="n"/>
      <c r="K1567" s="159" t="n"/>
    </row>
    <row r="1568">
      <c r="C1568" s="158" t="n"/>
      <c r="D1568" s="158" t="n"/>
      <c r="J1568" s="158" t="n"/>
      <c r="K1568" s="159" t="n"/>
    </row>
    <row r="1569">
      <c r="C1569" s="158" t="n"/>
      <c r="D1569" s="158" t="n"/>
      <c r="J1569" s="158" t="n"/>
      <c r="K1569" s="159" t="n"/>
    </row>
    <row r="1570">
      <c r="C1570" s="158" t="n"/>
      <c r="D1570" s="158" t="n"/>
      <c r="J1570" s="158" t="n"/>
      <c r="K1570" s="159" t="n"/>
    </row>
    <row r="1571">
      <c r="C1571" s="158" t="n"/>
      <c r="D1571" s="158" t="n"/>
      <c r="J1571" s="158" t="n"/>
      <c r="K1571" s="159" t="n"/>
    </row>
    <row r="1572">
      <c r="C1572" s="158" t="n"/>
      <c r="D1572" s="158" t="n"/>
      <c r="J1572" s="158" t="n"/>
      <c r="K1572" s="159" t="n"/>
    </row>
    <row r="1573">
      <c r="C1573" s="158" t="n"/>
      <c r="D1573" s="158" t="n"/>
      <c r="J1573" s="158" t="n"/>
      <c r="K1573" s="159" t="n"/>
    </row>
    <row r="1574">
      <c r="C1574" s="158" t="n"/>
      <c r="D1574" s="158" t="n"/>
      <c r="J1574" s="158" t="n"/>
      <c r="K1574" s="159" t="n"/>
    </row>
    <row r="1575">
      <c r="C1575" s="158" t="n"/>
      <c r="D1575" s="158" t="n"/>
      <c r="J1575" s="158" t="n"/>
      <c r="K1575" s="159" t="n"/>
    </row>
    <row r="1576">
      <c r="C1576" s="158" t="n"/>
      <c r="D1576" s="158" t="n"/>
      <c r="J1576" s="158" t="n"/>
      <c r="K1576" s="159" t="n"/>
    </row>
    <row r="1577">
      <c r="C1577" s="158" t="n"/>
      <c r="D1577" s="158" t="n"/>
      <c r="J1577" s="158" t="n"/>
      <c r="K1577" s="159" t="n"/>
    </row>
    <row r="1578">
      <c r="C1578" s="158" t="n"/>
      <c r="D1578" s="158" t="n"/>
      <c r="J1578" s="158" t="n"/>
      <c r="K1578" s="159" t="n"/>
    </row>
    <row r="1579">
      <c r="C1579" s="158" t="n"/>
      <c r="D1579" s="158" t="n"/>
      <c r="J1579" s="158" t="n"/>
      <c r="K1579" s="159" t="n"/>
    </row>
    <row r="1580">
      <c r="C1580" s="158" t="n"/>
      <c r="D1580" s="158" t="n"/>
      <c r="J1580" s="158" t="n"/>
      <c r="K1580" s="159" t="n"/>
    </row>
    <row r="1581">
      <c r="C1581" s="158" t="n"/>
      <c r="D1581" s="158" t="n"/>
      <c r="J1581" s="158" t="n"/>
      <c r="K1581" s="159" t="n"/>
    </row>
    <row r="1582">
      <c r="C1582" s="158" t="n"/>
      <c r="D1582" s="158" t="n"/>
      <c r="J1582" s="158" t="n"/>
      <c r="K1582" s="159" t="n"/>
    </row>
    <row r="1583">
      <c r="C1583" s="158" t="n"/>
      <c r="D1583" s="158" t="n"/>
      <c r="J1583" s="158" t="n"/>
      <c r="K1583" s="159" t="n"/>
    </row>
    <row r="1584">
      <c r="C1584" s="158" t="n"/>
      <c r="D1584" s="158" t="n"/>
      <c r="J1584" s="158" t="n"/>
      <c r="K1584" s="159" t="n"/>
    </row>
    <row r="1585">
      <c r="C1585" s="158" t="n"/>
      <c r="D1585" s="158" t="n"/>
      <c r="J1585" s="158" t="n"/>
      <c r="K1585" s="159" t="n"/>
    </row>
    <row r="1586">
      <c r="C1586" s="158" t="n"/>
      <c r="D1586" s="158" t="n"/>
      <c r="J1586" s="158" t="n"/>
      <c r="K1586" s="159" t="n"/>
    </row>
    <row r="1587">
      <c r="C1587" s="158" t="n"/>
      <c r="D1587" s="158" t="n"/>
      <c r="J1587" s="158" t="n"/>
      <c r="K1587" s="159" t="n"/>
    </row>
    <row r="1588">
      <c r="C1588" s="158" t="n"/>
      <c r="D1588" s="158" t="n"/>
      <c r="J1588" s="158" t="n"/>
      <c r="K1588" s="159" t="n"/>
    </row>
    <row r="1589">
      <c r="C1589" s="158" t="n"/>
      <c r="D1589" s="158" t="n"/>
      <c r="J1589" s="158" t="n"/>
      <c r="K1589" s="159" t="n"/>
    </row>
    <row r="1590">
      <c r="C1590" s="158" t="n"/>
      <c r="D1590" s="158" t="n"/>
      <c r="J1590" s="158" t="n"/>
      <c r="K1590" s="159" t="n"/>
    </row>
    <row r="1591">
      <c r="C1591" s="158" t="n"/>
      <c r="D1591" s="158" t="n"/>
      <c r="J1591" s="158" t="n"/>
      <c r="K1591" s="159" t="n"/>
    </row>
    <row r="1592">
      <c r="C1592" s="158" t="n"/>
      <c r="D1592" s="158" t="n"/>
      <c r="J1592" s="158" t="n"/>
      <c r="K1592" s="159" t="n"/>
    </row>
    <row r="1593">
      <c r="C1593" s="158" t="n"/>
      <c r="D1593" s="158" t="n"/>
      <c r="J1593" s="158" t="n"/>
      <c r="K1593" s="159" t="n"/>
    </row>
    <row r="1594">
      <c r="C1594" s="158" t="n"/>
      <c r="D1594" s="158" t="n"/>
      <c r="J1594" s="158" t="n"/>
      <c r="K1594" s="159" t="n"/>
    </row>
    <row r="1595">
      <c r="C1595" s="158" t="n"/>
      <c r="D1595" s="158" t="n"/>
      <c r="J1595" s="158" t="n"/>
      <c r="K1595" s="159" t="n"/>
    </row>
    <row r="1596">
      <c r="C1596" s="158" t="n"/>
      <c r="D1596" s="158" t="n"/>
      <c r="J1596" s="158" t="n"/>
      <c r="K1596" s="159" t="n"/>
    </row>
    <row r="1597">
      <c r="C1597" s="158" t="n"/>
      <c r="D1597" s="158" t="n"/>
      <c r="J1597" s="158" t="n"/>
      <c r="K1597" s="159" t="n"/>
    </row>
    <row r="1598">
      <c r="C1598" s="158" t="n"/>
      <c r="D1598" s="158" t="n"/>
      <c r="J1598" s="158" t="n"/>
      <c r="K1598" s="159" t="n"/>
    </row>
    <row r="1599">
      <c r="C1599" s="158" t="n"/>
      <c r="D1599" s="158" t="n"/>
      <c r="J1599" s="158" t="n"/>
      <c r="K1599" s="159" t="n"/>
    </row>
    <row r="1600">
      <c r="C1600" s="158" t="n"/>
      <c r="D1600" s="158" t="n"/>
      <c r="J1600" s="158" t="n"/>
      <c r="K1600" s="159" t="n"/>
    </row>
    <row r="1601">
      <c r="C1601" s="158" t="n"/>
      <c r="D1601" s="158" t="n"/>
      <c r="J1601" s="158" t="n"/>
      <c r="K1601" s="159" t="n"/>
    </row>
    <row r="1602">
      <c r="C1602" s="158" t="n"/>
      <c r="D1602" s="158" t="n"/>
      <c r="J1602" s="158" t="n"/>
      <c r="K1602" s="159" t="n"/>
    </row>
    <row r="1603">
      <c r="C1603" s="158" t="n"/>
      <c r="D1603" s="158" t="n"/>
      <c r="J1603" s="158" t="n"/>
      <c r="K1603" s="159" t="n"/>
    </row>
    <row r="1604">
      <c r="C1604" s="158" t="n"/>
      <c r="D1604" s="158" t="n"/>
      <c r="J1604" s="158" t="n"/>
      <c r="K1604" s="159" t="n"/>
    </row>
    <row r="1605">
      <c r="C1605" s="158" t="n"/>
      <c r="D1605" s="158" t="n"/>
      <c r="J1605" s="158" t="n"/>
      <c r="K1605" s="159" t="n"/>
    </row>
    <row r="1606">
      <c r="C1606" s="158" t="n"/>
      <c r="D1606" s="158" t="n"/>
      <c r="J1606" s="158" t="n"/>
      <c r="K1606" s="159" t="n"/>
    </row>
    <row r="1607">
      <c r="C1607" s="158" t="n"/>
      <c r="D1607" s="158" t="n"/>
      <c r="J1607" s="158" t="n"/>
      <c r="K1607" s="159" t="n"/>
    </row>
    <row r="1608">
      <c r="C1608" s="158" t="n"/>
      <c r="D1608" s="158" t="n"/>
      <c r="J1608" s="158" t="n"/>
      <c r="K1608" s="159" t="n"/>
    </row>
    <row r="1609">
      <c r="C1609" s="158" t="n"/>
      <c r="D1609" s="158" t="n"/>
      <c r="J1609" s="158" t="n"/>
      <c r="K1609" s="159" t="n"/>
    </row>
    <row r="1610">
      <c r="C1610" s="158" t="n"/>
      <c r="D1610" s="158" t="n"/>
      <c r="J1610" s="158" t="n"/>
      <c r="K1610" s="159" t="n"/>
    </row>
    <row r="1611">
      <c r="C1611" s="158" t="n"/>
      <c r="D1611" s="158" t="n"/>
      <c r="J1611" s="158" t="n"/>
      <c r="K1611" s="159" t="n"/>
    </row>
    <row r="1612">
      <c r="C1612" s="158" t="n"/>
      <c r="D1612" s="158" t="n"/>
      <c r="J1612" s="158" t="n"/>
      <c r="K1612" s="159" t="n"/>
    </row>
    <row r="1613">
      <c r="C1613" s="158" t="n"/>
      <c r="D1613" s="158" t="n"/>
      <c r="J1613" s="158" t="n"/>
      <c r="K1613" s="159" t="n"/>
    </row>
    <row r="1614">
      <c r="C1614" s="158" t="n"/>
      <c r="D1614" s="158" t="n"/>
      <c r="J1614" s="158" t="n"/>
      <c r="K1614" s="159" t="n"/>
    </row>
    <row r="1615">
      <c r="C1615" s="158" t="n"/>
      <c r="D1615" s="158" t="n"/>
      <c r="J1615" s="158" t="n"/>
      <c r="K1615" s="159" t="n"/>
    </row>
    <row r="1616">
      <c r="C1616" s="158" t="n"/>
      <c r="D1616" s="158" t="n"/>
      <c r="J1616" s="158" t="n"/>
      <c r="K1616" s="159" t="n"/>
    </row>
    <row r="1617">
      <c r="C1617" s="158" t="n"/>
      <c r="D1617" s="158" t="n"/>
      <c r="J1617" s="158" t="n"/>
      <c r="K1617" s="159" t="n"/>
    </row>
    <row r="1618">
      <c r="C1618" s="158" t="n"/>
      <c r="D1618" s="158" t="n"/>
      <c r="J1618" s="158" t="n"/>
      <c r="K1618" s="159" t="n"/>
    </row>
    <row r="1619">
      <c r="C1619" s="158" t="n"/>
      <c r="D1619" s="158" t="n"/>
      <c r="J1619" s="158" t="n"/>
      <c r="K1619" s="159" t="n"/>
    </row>
    <row r="1620">
      <c r="C1620" s="158" t="n"/>
      <c r="D1620" s="158" t="n"/>
      <c r="J1620" s="158" t="n"/>
      <c r="K1620" s="159" t="n"/>
    </row>
    <row r="1621">
      <c r="C1621" s="158" t="n"/>
      <c r="D1621" s="158" t="n"/>
      <c r="J1621" s="158" t="n"/>
      <c r="K1621" s="159" t="n"/>
    </row>
    <row r="1622">
      <c r="C1622" s="158" t="n"/>
      <c r="D1622" s="158" t="n"/>
      <c r="J1622" s="158" t="n"/>
      <c r="K1622" s="159" t="n"/>
    </row>
    <row r="1623">
      <c r="C1623" s="158" t="n"/>
      <c r="D1623" s="158" t="n"/>
      <c r="J1623" s="158" t="n"/>
      <c r="K1623" s="159" t="n"/>
    </row>
    <row r="1624">
      <c r="C1624" s="158" t="n"/>
      <c r="D1624" s="158" t="n"/>
      <c r="J1624" s="158" t="n"/>
      <c r="K1624" s="159" t="n"/>
    </row>
    <row r="1625">
      <c r="C1625" s="158" t="n"/>
      <c r="D1625" s="158" t="n"/>
      <c r="J1625" s="158" t="n"/>
      <c r="K1625" s="159" t="n"/>
    </row>
    <row r="1626">
      <c r="C1626" s="158" t="n"/>
      <c r="D1626" s="158" t="n"/>
      <c r="J1626" s="158" t="n"/>
      <c r="K1626" s="159" t="n"/>
    </row>
    <row r="1627">
      <c r="C1627" s="158" t="n"/>
      <c r="D1627" s="158" t="n"/>
      <c r="J1627" s="158" t="n"/>
      <c r="K1627" s="159" t="n"/>
    </row>
    <row r="1628">
      <c r="C1628" s="158" t="n"/>
      <c r="D1628" s="158" t="n"/>
      <c r="J1628" s="158" t="n"/>
      <c r="K1628" s="159" t="n"/>
    </row>
    <row r="1629">
      <c r="C1629" s="158" t="n"/>
      <c r="D1629" s="158" t="n"/>
      <c r="J1629" s="158" t="n"/>
      <c r="K1629" s="159" t="n"/>
    </row>
    <row r="1630">
      <c r="C1630" s="158" t="n"/>
      <c r="D1630" s="158" t="n"/>
      <c r="J1630" s="158" t="n"/>
      <c r="K1630" s="159" t="n"/>
    </row>
    <row r="1631">
      <c r="C1631" s="158" t="n"/>
      <c r="D1631" s="158" t="n"/>
      <c r="J1631" s="158" t="n"/>
      <c r="K1631" s="159" t="n"/>
    </row>
    <row r="1632">
      <c r="C1632" s="158" t="n"/>
      <c r="D1632" s="158" t="n"/>
      <c r="J1632" s="158" t="n"/>
      <c r="K1632" s="159" t="n"/>
    </row>
    <row r="1633">
      <c r="C1633" s="158" t="n"/>
      <c r="D1633" s="158" t="n"/>
      <c r="J1633" s="158" t="n"/>
      <c r="K1633" s="159" t="n"/>
    </row>
    <row r="1634">
      <c r="C1634" s="158" t="n"/>
      <c r="D1634" s="158" t="n"/>
      <c r="J1634" s="158" t="n"/>
      <c r="K1634" s="159" t="n"/>
    </row>
    <row r="1635">
      <c r="C1635" s="158" t="n"/>
      <c r="D1635" s="158" t="n"/>
      <c r="J1635" s="158" t="n"/>
      <c r="K1635" s="159" t="n"/>
    </row>
    <row r="1636">
      <c r="C1636" s="158" t="n"/>
      <c r="D1636" s="158" t="n"/>
      <c r="J1636" s="158" t="n"/>
      <c r="K1636" s="159" t="n"/>
    </row>
    <row r="1637">
      <c r="C1637" s="158" t="n"/>
      <c r="D1637" s="158" t="n"/>
      <c r="J1637" s="158" t="n"/>
      <c r="K1637" s="159" t="n"/>
    </row>
    <row r="1638">
      <c r="C1638" s="158" t="n"/>
      <c r="D1638" s="158" t="n"/>
      <c r="J1638" s="158" t="n"/>
      <c r="K1638" s="159" t="n"/>
    </row>
    <row r="1639">
      <c r="C1639" s="158" t="n"/>
      <c r="D1639" s="158" t="n"/>
      <c r="J1639" s="158" t="n"/>
      <c r="K1639" s="159" t="n"/>
    </row>
    <row r="1640">
      <c r="C1640" s="158" t="n"/>
      <c r="D1640" s="158" t="n"/>
      <c r="J1640" s="158" t="n"/>
      <c r="K1640" s="159" t="n"/>
    </row>
    <row r="1641">
      <c r="C1641" s="158" t="n"/>
      <c r="D1641" s="158" t="n"/>
      <c r="J1641" s="158" t="n"/>
      <c r="K1641" s="159" t="n"/>
    </row>
    <row r="1642">
      <c r="C1642" s="158" t="n"/>
      <c r="D1642" s="158" t="n"/>
      <c r="J1642" s="158" t="n"/>
      <c r="K1642" s="159" t="n"/>
    </row>
    <row r="1643">
      <c r="C1643" s="158" t="n"/>
      <c r="D1643" s="158" t="n"/>
      <c r="J1643" s="158" t="n"/>
      <c r="K1643" s="159" t="n"/>
    </row>
    <row r="1644">
      <c r="C1644" s="158" t="n"/>
      <c r="D1644" s="158" t="n"/>
      <c r="J1644" s="158" t="n"/>
      <c r="K1644" s="159" t="n"/>
    </row>
    <row r="1645">
      <c r="C1645" s="158" t="n"/>
      <c r="D1645" s="158" t="n"/>
      <c r="J1645" s="158" t="n"/>
      <c r="K1645" s="159" t="n"/>
    </row>
    <row r="1646">
      <c r="C1646" s="158" t="n"/>
      <c r="D1646" s="158" t="n"/>
      <c r="J1646" s="158" t="n"/>
      <c r="K1646" s="159" t="n"/>
    </row>
    <row r="1647">
      <c r="C1647" s="158" t="n"/>
      <c r="D1647" s="158" t="n"/>
      <c r="J1647" s="158" t="n"/>
      <c r="K1647" s="159" t="n"/>
    </row>
    <row r="1648">
      <c r="C1648" s="158" t="n"/>
      <c r="D1648" s="158" t="n"/>
      <c r="J1648" s="158" t="n"/>
      <c r="K1648" s="159" t="n"/>
    </row>
    <row r="1649">
      <c r="C1649" s="158" t="n"/>
      <c r="D1649" s="158" t="n"/>
      <c r="J1649" s="158" t="n"/>
      <c r="K1649" s="159" t="n"/>
    </row>
    <row r="1650">
      <c r="C1650" s="158" t="n"/>
      <c r="D1650" s="158" t="n"/>
      <c r="J1650" s="158" t="n"/>
      <c r="K1650" s="159" t="n"/>
    </row>
    <row r="1651">
      <c r="C1651" s="158" t="n"/>
      <c r="D1651" s="158" t="n"/>
      <c r="J1651" s="158" t="n"/>
      <c r="K1651" s="159" t="n"/>
    </row>
    <row r="1652">
      <c r="C1652" s="158" t="n"/>
      <c r="D1652" s="158" t="n"/>
      <c r="J1652" s="158" t="n"/>
      <c r="K1652" s="159" t="n"/>
    </row>
    <row r="1653">
      <c r="C1653" s="158" t="n"/>
      <c r="D1653" s="158" t="n"/>
      <c r="J1653" s="158" t="n"/>
      <c r="K1653" s="159" t="n"/>
    </row>
    <row r="1654">
      <c r="C1654" s="158" t="n"/>
      <c r="D1654" s="158" t="n"/>
      <c r="J1654" s="158" t="n"/>
      <c r="K1654" s="159" t="n"/>
    </row>
    <row r="1655">
      <c r="C1655" s="158" t="n"/>
      <c r="D1655" s="158" t="n"/>
      <c r="J1655" s="158" t="n"/>
      <c r="K1655" s="159" t="n"/>
    </row>
    <row r="1656">
      <c r="C1656" s="158" t="n"/>
      <c r="D1656" s="158" t="n"/>
      <c r="J1656" s="158" t="n"/>
      <c r="K1656" s="159" t="n"/>
    </row>
    <row r="1657">
      <c r="C1657" s="158" t="n"/>
      <c r="D1657" s="158" t="n"/>
      <c r="J1657" s="158" t="n"/>
      <c r="K1657" s="159" t="n"/>
    </row>
    <row r="1658">
      <c r="C1658" s="158" t="n"/>
      <c r="D1658" s="158" t="n"/>
      <c r="J1658" s="158" t="n"/>
      <c r="K1658" s="159" t="n"/>
    </row>
    <row r="1659">
      <c r="C1659" s="158" t="n"/>
      <c r="D1659" s="158" t="n"/>
      <c r="J1659" s="158" t="n"/>
      <c r="K1659" s="159" t="n"/>
    </row>
    <row r="1660">
      <c r="C1660" s="158" t="n"/>
      <c r="D1660" s="158" t="n"/>
      <c r="J1660" s="158" t="n"/>
      <c r="K1660" s="159" t="n"/>
    </row>
    <row r="1661">
      <c r="C1661" s="158" t="n"/>
      <c r="D1661" s="158" t="n"/>
      <c r="J1661" s="158" t="n"/>
      <c r="K1661" s="159" t="n"/>
    </row>
    <row r="1662">
      <c r="C1662" s="158" t="n"/>
      <c r="D1662" s="158" t="n"/>
      <c r="J1662" s="158" t="n"/>
      <c r="K1662" s="159" t="n"/>
    </row>
    <row r="1663">
      <c r="C1663" s="158" t="n"/>
      <c r="D1663" s="158" t="n"/>
      <c r="J1663" s="158" t="n"/>
      <c r="K1663" s="159" t="n"/>
    </row>
    <row r="1664">
      <c r="C1664" s="158" t="n"/>
      <c r="D1664" s="158" t="n"/>
      <c r="J1664" s="158" t="n"/>
      <c r="K1664" s="159" t="n"/>
    </row>
    <row r="1665">
      <c r="C1665" s="158" t="n"/>
      <c r="D1665" s="158" t="n"/>
      <c r="J1665" s="158" t="n"/>
      <c r="K1665" s="159" t="n"/>
    </row>
    <row r="1666">
      <c r="C1666" s="158" t="n"/>
      <c r="D1666" s="158" t="n"/>
      <c r="J1666" s="158" t="n"/>
      <c r="K1666" s="159" t="n"/>
    </row>
    <row r="1667">
      <c r="C1667" s="158" t="n"/>
      <c r="D1667" s="158" t="n"/>
      <c r="J1667" s="158" t="n"/>
      <c r="K1667" s="159" t="n"/>
    </row>
    <row r="1668">
      <c r="C1668" s="158" t="n"/>
      <c r="D1668" s="158" t="n"/>
      <c r="J1668" s="158" t="n"/>
      <c r="K1668" s="159" t="n"/>
    </row>
    <row r="1669">
      <c r="C1669" s="158" t="n"/>
      <c r="D1669" s="158" t="n"/>
      <c r="J1669" s="158" t="n"/>
      <c r="K1669" s="159" t="n"/>
    </row>
    <row r="1670">
      <c r="C1670" s="158" t="n"/>
      <c r="D1670" s="158" t="n"/>
      <c r="J1670" s="158" t="n"/>
      <c r="K1670" s="159" t="n"/>
    </row>
    <row r="1671">
      <c r="C1671" s="158" t="n"/>
      <c r="D1671" s="158" t="n"/>
      <c r="J1671" s="158" t="n"/>
      <c r="K1671" s="159" t="n"/>
    </row>
    <row r="1672">
      <c r="C1672" s="158" t="n"/>
      <c r="D1672" s="158" t="n"/>
      <c r="J1672" s="158" t="n"/>
      <c r="K1672" s="159" t="n"/>
    </row>
    <row r="1673">
      <c r="C1673" s="158" t="n"/>
      <c r="D1673" s="158" t="n"/>
      <c r="J1673" s="158" t="n"/>
      <c r="K1673" s="159" t="n"/>
    </row>
    <row r="1674">
      <c r="C1674" s="158" t="n"/>
      <c r="D1674" s="158" t="n"/>
      <c r="J1674" s="158" t="n"/>
      <c r="K1674" s="159" t="n"/>
    </row>
    <row r="1675">
      <c r="C1675" s="158" t="n"/>
      <c r="D1675" s="158" t="n"/>
      <c r="J1675" s="158" t="n"/>
      <c r="K1675" s="159" t="n"/>
    </row>
    <row r="1676">
      <c r="C1676" s="158" t="n"/>
      <c r="D1676" s="158" t="n"/>
      <c r="J1676" s="158" t="n"/>
      <c r="K1676" s="159" t="n"/>
    </row>
    <row r="1677">
      <c r="C1677" s="158" t="n"/>
      <c r="D1677" s="158" t="n"/>
      <c r="J1677" s="158" t="n"/>
      <c r="K1677" s="159" t="n"/>
    </row>
    <row r="1678">
      <c r="C1678" s="158" t="n"/>
      <c r="D1678" s="158" t="n"/>
      <c r="J1678" s="158" t="n"/>
      <c r="K1678" s="159" t="n"/>
    </row>
    <row r="1679">
      <c r="C1679" s="158" t="n"/>
      <c r="D1679" s="158" t="n"/>
      <c r="J1679" s="158" t="n"/>
      <c r="K1679" s="159" t="n"/>
    </row>
    <row r="1680">
      <c r="C1680" s="158" t="n"/>
      <c r="D1680" s="158" t="n"/>
      <c r="J1680" s="158" t="n"/>
      <c r="K1680" s="159" t="n"/>
    </row>
    <row r="1681">
      <c r="C1681" s="158" t="n"/>
      <c r="D1681" s="158" t="n"/>
      <c r="J1681" s="158" t="n"/>
      <c r="K1681" s="159" t="n"/>
    </row>
    <row r="1682">
      <c r="C1682" s="158" t="n"/>
      <c r="D1682" s="158" t="n"/>
      <c r="J1682" s="158" t="n"/>
      <c r="K1682" s="159" t="n"/>
    </row>
    <row r="1683">
      <c r="C1683" s="158" t="n"/>
      <c r="D1683" s="158" t="n"/>
      <c r="J1683" s="158" t="n"/>
      <c r="K1683" s="159" t="n"/>
    </row>
    <row r="1684">
      <c r="C1684" s="158" t="n"/>
      <c r="D1684" s="158" t="n"/>
      <c r="J1684" s="158" t="n"/>
      <c r="K1684" s="159" t="n"/>
    </row>
    <row r="1685">
      <c r="C1685" s="158" t="n"/>
      <c r="D1685" s="158" t="n"/>
      <c r="J1685" s="158" t="n"/>
      <c r="K1685" s="159" t="n"/>
    </row>
    <row r="1686">
      <c r="C1686" s="158" t="n"/>
      <c r="D1686" s="158" t="n"/>
      <c r="J1686" s="158" t="n"/>
      <c r="K1686" s="159" t="n"/>
    </row>
    <row r="1687">
      <c r="C1687" s="158" t="n"/>
      <c r="D1687" s="158" t="n"/>
      <c r="J1687" s="158" t="n"/>
      <c r="K1687" s="159" t="n"/>
    </row>
    <row r="1688">
      <c r="C1688" s="158" t="n"/>
      <c r="D1688" s="158" t="n"/>
      <c r="J1688" s="158" t="n"/>
      <c r="K1688" s="159" t="n"/>
    </row>
    <row r="1689">
      <c r="C1689" s="158" t="n"/>
      <c r="D1689" s="158" t="n"/>
      <c r="J1689" s="158" t="n"/>
      <c r="K1689" s="159" t="n"/>
    </row>
    <row r="1690">
      <c r="C1690" s="158" t="n"/>
      <c r="D1690" s="158" t="n"/>
      <c r="J1690" s="158" t="n"/>
      <c r="K1690" s="159" t="n"/>
    </row>
    <row r="1691">
      <c r="C1691" s="158" t="n"/>
      <c r="D1691" s="158" t="n"/>
      <c r="J1691" s="158" t="n"/>
      <c r="K1691" s="159" t="n"/>
    </row>
    <row r="1692">
      <c r="C1692" s="158" t="n"/>
      <c r="D1692" s="158" t="n"/>
      <c r="J1692" s="158" t="n"/>
      <c r="K1692" s="159" t="n"/>
    </row>
    <row r="1693">
      <c r="C1693" s="158" t="n"/>
      <c r="D1693" s="158" t="n"/>
      <c r="J1693" s="158" t="n"/>
      <c r="K1693" s="159" t="n"/>
    </row>
    <row r="1694">
      <c r="C1694" s="158" t="n"/>
      <c r="D1694" s="158" t="n"/>
      <c r="J1694" s="158" t="n"/>
      <c r="K1694" s="159" t="n"/>
    </row>
    <row r="1695">
      <c r="C1695" s="158" t="n"/>
      <c r="D1695" s="158" t="n"/>
      <c r="J1695" s="158" t="n"/>
      <c r="K1695" s="159" t="n"/>
    </row>
    <row r="1696">
      <c r="C1696" s="158" t="n"/>
      <c r="D1696" s="158" t="n"/>
      <c r="J1696" s="158" t="n"/>
      <c r="K1696" s="159" t="n"/>
    </row>
    <row r="1697">
      <c r="C1697" s="158" t="n"/>
      <c r="D1697" s="158" t="n"/>
      <c r="J1697" s="158" t="n"/>
      <c r="K1697" s="159" t="n"/>
    </row>
    <row r="1698">
      <c r="C1698" s="158" t="n"/>
      <c r="D1698" s="158" t="n"/>
      <c r="J1698" s="158" t="n"/>
      <c r="K1698" s="159" t="n"/>
    </row>
    <row r="1699">
      <c r="C1699" s="158" t="n"/>
      <c r="D1699" s="158" t="n"/>
      <c r="J1699" s="158" t="n"/>
      <c r="K1699" s="159" t="n"/>
    </row>
    <row r="1700">
      <c r="C1700" s="158" t="n"/>
      <c r="D1700" s="158" t="n"/>
      <c r="J1700" s="158" t="n"/>
      <c r="K1700" s="159" t="n"/>
    </row>
    <row r="1701">
      <c r="C1701" s="158" t="n"/>
      <c r="D1701" s="158" t="n"/>
      <c r="J1701" s="158" t="n"/>
      <c r="K1701" s="159" t="n"/>
    </row>
    <row r="1702">
      <c r="C1702" s="158" t="n"/>
      <c r="D1702" s="158" t="n"/>
      <c r="J1702" s="158" t="n"/>
      <c r="K1702" s="159" t="n"/>
    </row>
    <row r="1703">
      <c r="C1703" s="158" t="n"/>
      <c r="D1703" s="158" t="n"/>
      <c r="J1703" s="158" t="n"/>
      <c r="K1703" s="159" t="n"/>
    </row>
    <row r="1704">
      <c r="C1704" s="158" t="n"/>
      <c r="D1704" s="158" t="n"/>
      <c r="J1704" s="158" t="n"/>
      <c r="K1704" s="159" t="n"/>
    </row>
    <row r="1705">
      <c r="C1705" s="158" t="n"/>
      <c r="D1705" s="158" t="n"/>
      <c r="J1705" s="158" t="n"/>
      <c r="K1705" s="159" t="n"/>
    </row>
    <row r="1706">
      <c r="C1706" s="158" t="n"/>
      <c r="D1706" s="158" t="n"/>
      <c r="J1706" s="158" t="n"/>
      <c r="K1706" s="159" t="n"/>
    </row>
    <row r="1707">
      <c r="C1707" s="158" t="n"/>
      <c r="D1707" s="158" t="n"/>
      <c r="J1707" s="158" t="n"/>
      <c r="K1707" s="159" t="n"/>
    </row>
    <row r="1708">
      <c r="C1708" s="158" t="n"/>
      <c r="D1708" s="158" t="n"/>
      <c r="J1708" s="158" t="n"/>
      <c r="K1708" s="159" t="n"/>
    </row>
    <row r="1709">
      <c r="C1709" s="158" t="n"/>
      <c r="D1709" s="158" t="n"/>
      <c r="J1709" s="158" t="n"/>
      <c r="K1709" s="159" t="n"/>
    </row>
    <row r="1710">
      <c r="C1710" s="158" t="n"/>
      <c r="D1710" s="158" t="n"/>
      <c r="J1710" s="158" t="n"/>
      <c r="K1710" s="159" t="n"/>
    </row>
    <row r="1711">
      <c r="C1711" s="158" t="n"/>
      <c r="D1711" s="158" t="n"/>
      <c r="J1711" s="158" t="n"/>
      <c r="K1711" s="159" t="n"/>
    </row>
    <row r="1712">
      <c r="C1712" s="158" t="n"/>
      <c r="D1712" s="158" t="n"/>
      <c r="J1712" s="158" t="n"/>
      <c r="K1712" s="159" t="n"/>
    </row>
    <row r="1713">
      <c r="C1713" s="158" t="n"/>
      <c r="D1713" s="158" t="n"/>
      <c r="J1713" s="158" t="n"/>
      <c r="K1713" s="159" t="n"/>
    </row>
    <row r="1714">
      <c r="C1714" s="158" t="n"/>
      <c r="D1714" s="158" t="n"/>
      <c r="J1714" s="158" t="n"/>
      <c r="K1714" s="159" t="n"/>
    </row>
    <row r="1715">
      <c r="C1715" s="158" t="n"/>
      <c r="D1715" s="158" t="n"/>
      <c r="J1715" s="158" t="n"/>
      <c r="K1715" s="159" t="n"/>
    </row>
    <row r="1716">
      <c r="C1716" s="158" t="n"/>
      <c r="D1716" s="158" t="n"/>
      <c r="J1716" s="158" t="n"/>
      <c r="K1716" s="159" t="n"/>
    </row>
    <row r="1717">
      <c r="C1717" s="158" t="n"/>
      <c r="D1717" s="158" t="n"/>
      <c r="J1717" s="158" t="n"/>
      <c r="K1717" s="159" t="n"/>
    </row>
    <row r="1718">
      <c r="C1718" s="158" t="n"/>
      <c r="D1718" s="158" t="n"/>
      <c r="J1718" s="158" t="n"/>
      <c r="K1718" s="159" t="n"/>
    </row>
    <row r="1719">
      <c r="D1719" s="158" t="n"/>
    </row>
    <row r="1720">
      <c r="D1720" s="158" t="n"/>
    </row>
    <row r="1721">
      <c r="D1721" s="158" t="n"/>
    </row>
    <row r="1722">
      <c r="D1722" s="158" t="n"/>
    </row>
    <row r="1723">
      <c r="D1723" s="158" t="n"/>
    </row>
    <row r="1724">
      <c r="D1724" s="158" t="n"/>
    </row>
    <row r="1725">
      <c r="D1725" s="158" t="n"/>
    </row>
    <row r="1726">
      <c r="D1726" s="158" t="n"/>
    </row>
    <row r="1727">
      <c r="D1727" s="158" t="n"/>
    </row>
    <row r="1728">
      <c r="D1728" s="158" t="n"/>
    </row>
    <row r="1729">
      <c r="D1729" s="158" t="n"/>
    </row>
    <row r="1730">
      <c r="D1730" s="158" t="n"/>
    </row>
    <row r="1731">
      <c r="D1731" s="158" t="n"/>
    </row>
    <row r="1732">
      <c r="D1732" s="158" t="n"/>
    </row>
    <row r="1733">
      <c r="D1733" s="158" t="n"/>
    </row>
    <row r="1734">
      <c r="D1734" s="158" t="n"/>
    </row>
    <row r="1735">
      <c r="D1735" s="158" t="n"/>
    </row>
    <row r="1736">
      <c r="D1736" s="158" t="n"/>
    </row>
    <row r="1737">
      <c r="D1737" s="158" t="n"/>
    </row>
    <row r="1738">
      <c r="D1738" s="158" t="n"/>
    </row>
  </sheetData>
  <autoFilter ref="B1:K1738"/>
  <conditionalFormatting sqref="A1">
    <cfRule type="duplicateValues" priority="1" dxfId="0"/>
  </conditionalFormatting>
  <conditionalFormatting sqref="B2:B112 B114:B267 B354:B741 B743:B757">
    <cfRule type="duplicateValues" priority="41" dxfId="0"/>
  </conditionalFormatting>
  <conditionalFormatting sqref="B113">
    <cfRule type="duplicateValues" priority="2" dxfId="0"/>
  </conditionalFormatting>
  <conditionalFormatting sqref="B742">
    <cfRule type="duplicateValues" priority="4" dxfId="0"/>
  </conditionalFormatting>
  <conditionalFormatting sqref="B761:B770">
    <cfRule type="duplicateValues" priority="7" dxfId="0"/>
  </conditionalFormatting>
  <conditionalFormatting sqref="D771:D778">
    <cfRule type="cellIs" priority="8" operator="equal" dxfId="0">
      <formula>"ERROR"</formula>
    </cfRule>
  </conditionalFormatting>
  <conditionalFormatting sqref="J760:J770">
    <cfRule type="cellIs" priority="5" operator="equal" dxfId="0">
      <formula>"ERROR"</formula>
    </cfRule>
  </conditionalFormatting>
  <conditionalFormatting sqref="C741:E755 J42:K757">
    <cfRule type="cellIs" priority="3" operator="equal" dxfId="0">
      <formula>"ERROR"</formula>
    </cfRule>
  </conditionalFormatting>
  <conditionalFormatting sqref="C2:E730 C730:C741 C743:C757 D731:E740 D743:D759 E743:E757 J2:J41 K1:K41">
    <cfRule type="cellIs" priority="13" operator="equal" dxfId="0">
      <formula>"ERROR"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N1716"/>
  <sheetViews>
    <sheetView topLeftCell="A10" workbookViewId="0">
      <selection activeCell="D13" sqref="D13"/>
    </sheetView>
  </sheetViews>
  <sheetFormatPr baseColWidth="8" defaultColWidth="11.1640625" defaultRowHeight="15"/>
  <cols>
    <col width="15.33203125" customWidth="1" style="129" min="1" max="1"/>
    <col width="65.109375" bestFit="1" customWidth="1" style="153" min="2" max="2"/>
    <col width="11.1640625" customWidth="1" style="143" min="3" max="3"/>
    <col width="20.4453125" bestFit="1" customWidth="1" min="5" max="5"/>
    <col width="22.05859375" bestFit="1" customWidth="1" min="6" max="6"/>
    <col width="20.984375" bestFit="1" customWidth="1" min="8" max="8"/>
    <col width="15.46875" bestFit="1" customWidth="1" style="153" min="9" max="9"/>
    <col width="34.16796875" bestFit="1" customWidth="1" style="154" min="10" max="10"/>
  </cols>
  <sheetData>
    <row r="1" ht="41.25" customHeight="1">
      <c r="A1" s="145" t="inlineStr">
        <is>
          <t xml:space="preserve">CODIGO </t>
        </is>
      </c>
      <c r="B1" s="147" t="inlineStr">
        <is>
          <t xml:space="preserve">DESCRIPCION </t>
        </is>
      </c>
      <c r="C1" s="727" t="inlineStr">
        <is>
          <t>UNIDAD</t>
        </is>
      </c>
      <c r="D1" s="690" t="inlineStr">
        <is>
          <t xml:space="preserve">PRECIO </t>
        </is>
      </c>
      <c r="E1" s="146" t="inlineStr">
        <is>
          <t xml:space="preserve">PRECIO CON IVA </t>
        </is>
      </c>
      <c r="F1" s="145" t="inlineStr">
        <is>
          <t xml:space="preserve">PRECIO ANTERIOR </t>
        </is>
      </c>
      <c r="G1" s="147" t="inlineStr">
        <is>
          <t xml:space="preserve">DIFERENCIA </t>
        </is>
      </c>
      <c r="H1" s="147" t="inlineStr">
        <is>
          <t xml:space="preserve">OBSERVACIONES </t>
        </is>
      </c>
      <c r="I1" s="148" t="inlineStr">
        <is>
          <t xml:space="preserve">FECHA ÚLTIMO MOVIMIENTO </t>
        </is>
      </c>
      <c r="J1" s="145" t="inlineStr">
        <is>
          <t xml:space="preserve">FAMILIA DEL INSUMO </t>
        </is>
      </c>
    </row>
    <row r="2" ht="20.45" customHeight="1">
      <c r="A2" s="142" t="inlineStr">
        <is>
          <t xml:space="preserve">BACK HOE </t>
        </is>
      </c>
      <c r="B2" s="691" t="inlineStr">
        <is>
          <t xml:space="preserve">BACK HOE </t>
        </is>
      </c>
      <c r="C2" s="692" t="inlineStr">
        <is>
          <t xml:space="preserve">HORA </t>
        </is>
      </c>
      <c r="D2" s="693">
        <f>18500</f>
        <v/>
      </c>
      <c r="E2" s="728">
        <f>D2</f>
        <v/>
      </c>
      <c r="F2" s="695" t="n"/>
      <c r="G2" s="696" t="n"/>
      <c r="H2" s="151" t="n"/>
      <c r="I2" s="152" t="n"/>
      <c r="J2" s="692" t="n"/>
      <c r="L2" s="168" t="inlineStr">
        <is>
          <t xml:space="preserve">IVA </t>
        </is>
      </c>
      <c r="M2" s="168" t="n">
        <v>1.13</v>
      </c>
      <c r="N2" t="inlineStr">
        <is>
          <t xml:space="preserve">GENERAL </t>
        </is>
      </c>
    </row>
    <row r="3">
      <c r="A3" s="142" t="inlineStr">
        <is>
          <t xml:space="preserve">COMPACTADOR </t>
        </is>
      </c>
      <c r="B3" s="691" t="inlineStr">
        <is>
          <t xml:space="preserve">COMPACTADOR </t>
        </is>
      </c>
      <c r="C3" s="692" t="inlineStr">
        <is>
          <t xml:space="preserve">HORA </t>
        </is>
      </c>
      <c r="D3" s="693" t="n">
        <v>12000</v>
      </c>
      <c r="E3" s="728">
        <f>D3</f>
        <v/>
      </c>
      <c r="F3" s="695" t="n"/>
      <c r="G3" s="696" t="n"/>
      <c r="H3" s="151" t="n"/>
      <c r="I3" s="152" t="n"/>
      <c r="J3" s="692" t="n"/>
      <c r="L3" s="141" t="inlineStr">
        <is>
          <t xml:space="preserve">IVA </t>
        </is>
      </c>
      <c r="M3" s="141" t="n">
        <v>1.1</v>
      </c>
      <c r="N3" s="158" t="inlineStr">
        <is>
          <t xml:space="preserve">MADERA </t>
        </is>
      </c>
    </row>
    <row r="4">
      <c r="A4" s="142" t="n"/>
      <c r="B4" s="707" t="n"/>
      <c r="C4" s="692" t="n"/>
      <c r="D4" s="707" t="n"/>
      <c r="E4" s="692" t="n"/>
      <c r="F4" s="695" t="n"/>
      <c r="G4" s="696" t="n"/>
      <c r="H4" s="151" t="n"/>
      <c r="I4" s="152" t="n"/>
      <c r="J4" s="692" t="n"/>
      <c r="N4" s="158" t="n"/>
    </row>
    <row r="5">
      <c r="A5" s="142" t="n"/>
      <c r="B5" s="707" t="n"/>
      <c r="C5" s="692" t="n"/>
      <c r="D5" s="707" t="n"/>
      <c r="E5" s="692" t="n"/>
      <c r="F5" s="695" t="n"/>
      <c r="G5" s="696" t="n"/>
      <c r="H5" s="151" t="n"/>
      <c r="I5" s="152" t="n"/>
      <c r="J5" s="692" t="n"/>
      <c r="N5" s="158" t="n"/>
    </row>
    <row r="6">
      <c r="A6" s="142" t="n"/>
      <c r="B6" s="707" t="n"/>
      <c r="C6" s="692" t="n"/>
      <c r="D6" s="707" t="n"/>
      <c r="E6" s="692" t="n"/>
      <c r="F6" s="695" t="n"/>
      <c r="G6" s="696" t="n"/>
      <c r="H6" s="151" t="n"/>
      <c r="I6" s="152" t="n"/>
      <c r="J6" s="692" t="n"/>
      <c r="N6" s="158" t="n"/>
    </row>
    <row r="7">
      <c r="A7" s="142" t="n"/>
      <c r="B7" s="707" t="n"/>
      <c r="C7" s="692" t="n"/>
      <c r="D7" s="707" t="n"/>
      <c r="E7" s="692" t="n"/>
      <c r="F7" s="695" t="n"/>
      <c r="G7" s="696" t="n"/>
      <c r="H7" s="151" t="n"/>
      <c r="I7" s="152" t="n"/>
      <c r="J7" s="692" t="n"/>
      <c r="N7" s="158" t="n"/>
    </row>
    <row r="8">
      <c r="A8" s="142" t="n"/>
      <c r="B8" s="707" t="n"/>
      <c r="C8" s="692" t="n"/>
      <c r="D8" s="707" t="n"/>
      <c r="E8" s="692" t="n"/>
      <c r="F8" s="695" t="n"/>
      <c r="G8" s="696" t="n"/>
      <c r="H8" s="151" t="n"/>
      <c r="I8" s="152" t="n"/>
      <c r="J8" s="692" t="n"/>
      <c r="N8" s="158" t="n"/>
    </row>
    <row r="9">
      <c r="A9" s="142" t="n"/>
      <c r="B9" s="707" t="n"/>
      <c r="C9" s="692" t="n"/>
      <c r="D9" s="707" t="n"/>
      <c r="E9" s="692" t="n"/>
      <c r="F9" s="695" t="n"/>
      <c r="G9" s="696" t="n"/>
      <c r="H9" s="151" t="n"/>
      <c r="I9" s="152" t="n"/>
      <c r="J9" s="692" t="n"/>
      <c r="N9" s="158" t="n"/>
    </row>
    <row r="10">
      <c r="A10" s="235" t="n"/>
      <c r="B10" s="729" t="inlineStr">
        <is>
          <t xml:space="preserve">SUBCONTRATO ELÉCTRICO </t>
        </is>
      </c>
      <c r="C10" s="730" t="n"/>
      <c r="D10" s="731" t="n"/>
      <c r="E10" s="730" t="n"/>
      <c r="F10" s="732" t="n"/>
      <c r="G10" s="733" t="n"/>
      <c r="H10" s="240" t="n"/>
      <c r="I10" s="241" t="n"/>
      <c r="J10" s="730" t="n"/>
      <c r="N10" s="158" t="n"/>
    </row>
    <row r="11">
      <c r="A11" s="142" t="n"/>
      <c r="B11" s="707" t="n"/>
      <c r="C11" s="692" t="n"/>
      <c r="D11" s="707" t="n"/>
      <c r="E11" s="692" t="n"/>
      <c r="F11" s="695" t="n"/>
      <c r="G11" s="696" t="n"/>
      <c r="H11" s="151" t="n"/>
      <c r="I11" s="152" t="n"/>
      <c r="J11" s="692" t="n"/>
      <c r="N11" s="158" t="n"/>
    </row>
    <row r="12">
      <c r="A12" s="142" t="inlineStr">
        <is>
          <t xml:space="preserve">SUB ACOMETIDA </t>
        </is>
      </c>
      <c r="B12" s="691" t="inlineStr">
        <is>
          <t xml:space="preserve">M.O. ACOMETIDA ELÉCTRICA </t>
        </is>
      </c>
      <c r="C12" s="692" t="inlineStr">
        <is>
          <t xml:space="preserve">GLOBAL </t>
        </is>
      </c>
      <c r="D12" s="693" t="n"/>
      <c r="E12" s="694" t="n">
        <v>25000</v>
      </c>
      <c r="F12" s="695" t="n"/>
      <c r="G12" s="696" t="n"/>
      <c r="H12" s="151" t="n"/>
      <c r="I12" s="152" t="n"/>
      <c r="J12" s="692" t="n"/>
      <c r="N12" s="158" t="n"/>
    </row>
    <row r="13" ht="27.75" customHeight="1">
      <c r="A13" s="142" t="inlineStr">
        <is>
          <t xml:space="preserve">SUB ELECTRICO LOSA </t>
        </is>
      </c>
      <c r="B13" s="691" t="inlineStr">
        <is>
          <t>M.O. TUBERIA ELECTRICA LOSA</t>
        </is>
      </c>
      <c r="C13" s="692" t="inlineStr">
        <is>
          <t xml:space="preserve">GLOBAL </t>
        </is>
      </c>
      <c r="D13" s="693" t="n"/>
      <c r="E13" s="694" t="n">
        <v>84000</v>
      </c>
      <c r="F13" s="695" t="n"/>
      <c r="G13" s="696" t="n"/>
      <c r="H13" s="151" t="n"/>
      <c r="I13" s="152" t="n"/>
      <c r="J13" s="692" t="n"/>
      <c r="N13" s="158" t="n"/>
    </row>
    <row r="14" ht="27.75" customHeight="1">
      <c r="A14" s="142" t="inlineStr">
        <is>
          <t>SUB ELECTRICO MUROS</t>
        </is>
      </c>
      <c r="B14" s="691" t="inlineStr">
        <is>
          <t>M.O. TUBERIA ELECTRICA MUROS</t>
        </is>
      </c>
      <c r="C14" s="692" t="inlineStr">
        <is>
          <t xml:space="preserve">GLOBAL </t>
        </is>
      </c>
      <c r="D14" s="693" t="n"/>
      <c r="E14" s="694" t="n">
        <v>36000</v>
      </c>
      <c r="F14" s="695" t="n"/>
      <c r="G14" s="696" t="n"/>
      <c r="H14" s="151" t="n"/>
      <c r="I14" s="152" t="n"/>
      <c r="J14" s="692" t="n"/>
      <c r="N14" s="158" t="n"/>
    </row>
    <row r="15" ht="27.75" customHeight="1">
      <c r="A15" s="142" t="inlineStr">
        <is>
          <t xml:space="preserve">SUB BASE MEDIDOR </t>
        </is>
      </c>
      <c r="B15" s="691" t="inlineStr">
        <is>
          <t xml:space="preserve">M.O. INSTALACIÓN BASE MEDIDOR </t>
        </is>
      </c>
      <c r="C15" s="692" t="inlineStr">
        <is>
          <t xml:space="preserve">GLOBAL </t>
        </is>
      </c>
      <c r="D15" s="693" t="n"/>
      <c r="E15" s="694" t="n">
        <v>15000</v>
      </c>
      <c r="F15" s="695" t="n"/>
      <c r="G15" s="696" t="n"/>
      <c r="H15" s="151" t="n"/>
      <c r="I15" s="152" t="n"/>
      <c r="J15" s="692" t="n"/>
      <c r="N15" s="158" t="n"/>
    </row>
    <row r="16" ht="27.75" customHeight="1">
      <c r="A16" s="142" t="inlineStr">
        <is>
          <t>SUB ILUMINACION</t>
        </is>
      </c>
      <c r="B16" s="691" t="inlineStr">
        <is>
          <t>M.O. SALIDAS DE ILUMINACION</t>
        </is>
      </c>
      <c r="C16" s="692" t="inlineStr">
        <is>
          <t xml:space="preserve">GLOBAL </t>
        </is>
      </c>
      <c r="D16" s="693" t="n"/>
      <c r="E16" s="694" t="n">
        <v>48000.00000000001</v>
      </c>
      <c r="F16" s="695" t="n"/>
      <c r="G16" s="696" t="n"/>
      <c r="H16" s="151" t="n"/>
      <c r="I16" s="152" t="n"/>
      <c r="J16" s="692" t="n"/>
      <c r="N16" s="158" t="n"/>
    </row>
    <row r="17">
      <c r="A17" s="142" t="inlineStr">
        <is>
          <t xml:space="preserve">SUB TABLEROS </t>
        </is>
      </c>
      <c r="B17" s="691" t="inlineStr">
        <is>
          <t xml:space="preserve">M.O. ARMADO TABLEROS </t>
        </is>
      </c>
      <c r="C17" s="692" t="inlineStr">
        <is>
          <t xml:space="preserve">GLOBAL </t>
        </is>
      </c>
      <c r="D17" s="693" t="n"/>
      <c r="E17" s="694" t="n">
        <v>27500</v>
      </c>
      <c r="F17" s="695" t="n"/>
      <c r="G17" s="696" t="n"/>
      <c r="H17" s="151" t="n"/>
      <c r="I17" s="152" t="n"/>
      <c r="J17" s="692" t="n"/>
      <c r="N17" s="158" t="n"/>
    </row>
    <row r="18">
      <c r="A18" s="142" t="inlineStr">
        <is>
          <t xml:space="preserve">SUB CABLEADO </t>
        </is>
      </c>
      <c r="B18" s="691" t="inlineStr">
        <is>
          <t xml:space="preserve">M.O. CABLEADO ELÉCTRICO </t>
        </is>
      </c>
      <c r="C18" s="692" t="inlineStr">
        <is>
          <t xml:space="preserve">GLOBAL </t>
        </is>
      </c>
      <c r="D18" s="693" t="n"/>
      <c r="E18" s="694" t="n">
        <v>112000</v>
      </c>
      <c r="F18" s="695" t="n"/>
      <c r="G18" s="696" t="n"/>
      <c r="H18" s="151" t="n"/>
      <c r="I18" s="152" t="n"/>
      <c r="J18" s="692" t="n"/>
      <c r="N18" s="158" t="n"/>
    </row>
    <row r="19">
      <c r="A19" s="142" t="inlineStr">
        <is>
          <t xml:space="preserve">SUB PLAQUERIA </t>
        </is>
      </c>
      <c r="B19" s="691" t="inlineStr">
        <is>
          <t xml:space="preserve">M.O. COLOCACIÓN DE PLAQUERÍA </t>
        </is>
      </c>
      <c r="C19" s="692" t="inlineStr">
        <is>
          <t xml:space="preserve">GLOBAL </t>
        </is>
      </c>
      <c r="D19" s="693" t="n"/>
      <c r="E19" s="694" t="n">
        <v>60000</v>
      </c>
      <c r="F19" s="695" t="n"/>
      <c r="G19" s="696" t="n"/>
      <c r="H19" s="151" t="n"/>
      <c r="I19" s="152" t="n"/>
      <c r="J19" s="692" t="n"/>
      <c r="N19" s="158" t="n"/>
    </row>
    <row r="20" ht="27.75" customHeight="1">
      <c r="A20" s="142" t="inlineStr">
        <is>
          <t xml:space="preserve">SUB ENTREGA FINAL </t>
        </is>
      </c>
      <c r="B20" s="691" t="inlineStr">
        <is>
          <t xml:space="preserve">M.O. TRABAJOS ELÉCTRICOS PARA ENTREGA FINAL </t>
        </is>
      </c>
      <c r="C20" s="692" t="inlineStr">
        <is>
          <t xml:space="preserve">GLOBAL </t>
        </is>
      </c>
      <c r="D20" s="693" t="n"/>
      <c r="E20" s="694" t="n">
        <v>87500</v>
      </c>
      <c r="F20" s="695" t="n"/>
      <c r="G20" s="696" t="n"/>
      <c r="H20" s="151" t="n"/>
      <c r="I20" s="152" t="n"/>
      <c r="J20" s="692" t="n"/>
      <c r="N20" s="158" t="n"/>
    </row>
    <row r="21">
      <c r="A21" s="142" t="n"/>
      <c r="B21" s="691" t="n"/>
      <c r="C21" s="692" t="n"/>
      <c r="D21" s="693" t="n"/>
      <c r="E21" s="734">
        <f>SUM(E12:E20)</f>
        <v/>
      </c>
      <c r="F21" s="695" t="n"/>
      <c r="G21" s="696" t="n"/>
      <c r="H21" s="151" t="n"/>
      <c r="I21" s="152" t="n"/>
      <c r="J21" s="692" t="n"/>
      <c r="N21" s="158" t="n"/>
    </row>
    <row r="22">
      <c r="A22" s="142" t="n"/>
      <c r="B22" s="691" t="n"/>
      <c r="C22" s="692" t="n"/>
      <c r="D22" s="693" t="n"/>
      <c r="E22" s="728" t="n"/>
      <c r="F22" s="695" t="n"/>
      <c r="G22" s="696" t="n"/>
      <c r="H22" s="151" t="n"/>
      <c r="I22" s="152" t="n"/>
      <c r="J22" s="692" t="n"/>
      <c r="N22" s="158" t="n"/>
    </row>
    <row r="23">
      <c r="A23" s="142" t="n"/>
      <c r="B23" s="691" t="n"/>
      <c r="C23" s="692" t="n"/>
      <c r="D23" s="693" t="n"/>
      <c r="E23" s="694" t="n"/>
      <c r="F23" s="695" t="n"/>
      <c r="G23" s="696" t="n"/>
      <c r="H23" s="735" t="n"/>
      <c r="I23" s="152" t="n"/>
      <c r="J23" s="692" t="n"/>
    </row>
    <row r="24">
      <c r="A24" s="142" t="n"/>
      <c r="B24" s="691" t="n"/>
      <c r="C24" s="692" t="n"/>
      <c r="D24" s="693" t="n"/>
      <c r="E24" s="694" t="n"/>
      <c r="F24" s="695" t="n"/>
      <c r="G24" s="696" t="n"/>
      <c r="H24" s="151" t="n"/>
      <c r="I24" s="152" t="n"/>
      <c r="J24" s="692" t="n"/>
    </row>
    <row r="25">
      <c r="A25" s="142" t="n"/>
      <c r="B25" s="691" t="n"/>
      <c r="C25" s="692" t="n"/>
      <c r="D25" s="693" t="n"/>
      <c r="E25" s="694" t="n"/>
      <c r="F25" s="695" t="n"/>
      <c r="G25" s="696" t="n"/>
      <c r="H25" s="151" t="n"/>
      <c r="I25" s="152" t="n"/>
      <c r="J25" s="692" t="n"/>
    </row>
    <row r="26">
      <c r="A26" s="142" t="n"/>
      <c r="B26" s="691" t="n"/>
      <c r="C26" s="692" t="n"/>
      <c r="D26" s="693" t="n"/>
      <c r="E26" s="694" t="n"/>
      <c r="F26" s="695" t="n"/>
      <c r="G26" s="696" t="n"/>
      <c r="H26" s="151" t="n"/>
      <c r="I26" s="152" t="n"/>
      <c r="J26" s="692" t="n"/>
    </row>
    <row r="27">
      <c r="A27" s="142" t="n"/>
      <c r="B27" s="691" t="n"/>
      <c r="C27" s="692" t="n"/>
      <c r="D27" s="693" t="n"/>
      <c r="E27" s="694" t="n"/>
      <c r="F27" s="695" t="n"/>
      <c r="G27" s="696" t="n"/>
      <c r="H27" s="151" t="n"/>
      <c r="I27" s="152" t="n"/>
      <c r="J27" s="692" t="n"/>
    </row>
    <row r="28">
      <c r="A28" s="142" t="n"/>
      <c r="B28" s="691" t="n"/>
      <c r="C28" s="692" t="n"/>
      <c r="D28" s="693" t="n"/>
      <c r="E28" s="694" t="n"/>
      <c r="F28" s="695" t="n"/>
      <c r="G28" s="696" t="n"/>
      <c r="H28" s="151" t="n"/>
      <c r="I28" s="152" t="n"/>
      <c r="J28" s="692" t="n"/>
    </row>
    <row r="29">
      <c r="A29" s="235" t="n"/>
      <c r="B29" s="729" t="inlineStr">
        <is>
          <t xml:space="preserve">FORMALETA </t>
        </is>
      </c>
      <c r="C29" s="730" t="n"/>
      <c r="D29" s="731" t="n"/>
      <c r="E29" s="730" t="n"/>
      <c r="F29" s="732" t="n"/>
      <c r="G29" s="733" t="n"/>
      <c r="H29" s="240" t="n"/>
      <c r="I29" s="241" t="n"/>
      <c r="J29" s="730" t="n"/>
    </row>
    <row r="30">
      <c r="A30" s="142" t="n"/>
      <c r="B30" s="736" t="n"/>
      <c r="C30" s="692" t="n"/>
      <c r="D30" s="693" t="n"/>
      <c r="E30" s="728" t="n"/>
      <c r="F30" s="695" t="n"/>
      <c r="G30" s="696" t="n"/>
      <c r="H30" s="151" t="n"/>
      <c r="I30" s="152" t="n"/>
      <c r="J30" s="692" t="n"/>
    </row>
    <row r="31">
      <c r="A31" s="142" t="inlineStr">
        <is>
          <t xml:space="preserve">FORMALETA LOSA   </t>
        </is>
      </c>
      <c r="B31" s="142" t="inlineStr">
        <is>
          <t>FORMALETA LOSA FLOTANTE</t>
        </is>
      </c>
      <c r="C31" s="692" t="inlineStr">
        <is>
          <t xml:space="preserve">GLOBAL </t>
        </is>
      </c>
      <c r="D31" s="693" t="n"/>
      <c r="E31" s="694" t="n"/>
      <c r="F31" s="695" t="n"/>
      <c r="G31" s="696" t="n"/>
      <c r="H31" s="151" t="n"/>
      <c r="I31" s="152" t="n"/>
      <c r="J31" s="692" t="n"/>
    </row>
    <row r="32" ht="27.75" customHeight="1">
      <c r="A32" s="142" t="inlineStr">
        <is>
          <t>FORMALETA MUROS</t>
        </is>
      </c>
      <c r="B32" s="142" t="inlineStr">
        <is>
          <t>FORMALETA MUROS</t>
        </is>
      </c>
      <c r="C32" s="692" t="inlineStr">
        <is>
          <t xml:space="preserve">GLOBAL </t>
        </is>
      </c>
      <c r="D32" s="693" t="n"/>
      <c r="E32" s="694" t="n">
        <v>0</v>
      </c>
      <c r="F32" s="695" t="n"/>
      <c r="G32" s="696" t="n"/>
      <c r="H32" s="151" t="n"/>
      <c r="I32" s="152" t="n"/>
      <c r="J32" s="692" t="n"/>
    </row>
    <row r="33" ht="28.5" customHeight="1">
      <c r="A33" s="142" t="inlineStr">
        <is>
          <t>FORMALETA COLUMNAS</t>
        </is>
      </c>
      <c r="B33" s="142" t="inlineStr">
        <is>
          <t xml:space="preserve">FORMALETA COLUMNAS </t>
        </is>
      </c>
      <c r="C33" s="692" t="inlineStr">
        <is>
          <t xml:space="preserve">GLOBAL </t>
        </is>
      </c>
      <c r="D33" s="693" t="n"/>
      <c r="E33" s="694" t="n">
        <v>0</v>
      </c>
      <c r="F33" s="695" t="n"/>
      <c r="G33" s="696" t="n"/>
      <c r="H33" s="151" t="n"/>
      <c r="I33" s="152" t="n"/>
      <c r="J33" s="692" t="n"/>
    </row>
    <row r="34" ht="20.1" customHeight="1">
      <c r="A34" s="142" t="n"/>
      <c r="B34" s="691" t="n"/>
      <c r="C34" s="692" t="n"/>
      <c r="D34" s="693" t="n"/>
      <c r="E34" s="694" t="n"/>
      <c r="F34" s="695" t="n"/>
      <c r="G34" s="696" t="n"/>
      <c r="H34" s="151" t="n"/>
      <c r="I34" s="152" t="n"/>
      <c r="J34" s="692" t="n"/>
    </row>
    <row r="35" ht="20.1" customHeight="1">
      <c r="A35" s="142" t="n"/>
      <c r="B35" s="691" t="n"/>
      <c r="C35" s="692" t="n"/>
      <c r="D35" s="693" t="n"/>
      <c r="E35" s="694" t="n"/>
      <c r="F35" s="695" t="n"/>
      <c r="G35" s="696" t="n"/>
      <c r="H35" s="151" t="n"/>
      <c r="I35" s="152" t="n"/>
      <c r="J35" s="692" t="n"/>
    </row>
    <row r="36" ht="20.1" customHeight="1">
      <c r="A36" s="142" t="n"/>
      <c r="B36" s="691" t="n"/>
      <c r="C36" s="692" t="n"/>
      <c r="D36" s="693" t="n"/>
      <c r="E36" s="694" t="n"/>
      <c r="F36" s="695" t="n"/>
      <c r="G36" s="696" t="n"/>
      <c r="H36" s="151" t="n"/>
      <c r="I36" s="152" t="n"/>
      <c r="J36" s="692" t="n"/>
    </row>
    <row r="37" ht="20.1" customHeight="1">
      <c r="A37" s="142" t="n"/>
      <c r="B37" s="691" t="n"/>
      <c r="C37" s="692" t="n"/>
      <c r="D37" s="693" t="n"/>
      <c r="E37" s="694" t="n"/>
      <c r="F37" s="695" t="n"/>
      <c r="G37" s="696" t="n"/>
      <c r="H37" s="151" t="n"/>
      <c r="I37" s="152" t="n"/>
      <c r="J37" s="692" t="n"/>
    </row>
    <row r="38" ht="20.1" customHeight="1">
      <c r="A38" s="235" t="n"/>
      <c r="B38" s="729" t="inlineStr">
        <is>
          <t xml:space="preserve">OTROS </t>
        </is>
      </c>
      <c r="C38" s="730" t="n"/>
      <c r="D38" s="731" t="n"/>
      <c r="E38" s="730" t="n"/>
      <c r="F38" s="732" t="n"/>
      <c r="G38" s="733" t="n"/>
      <c r="H38" s="240" t="n"/>
      <c r="I38" s="241" t="n"/>
      <c r="J38" s="730" t="n"/>
    </row>
    <row r="39" ht="20.1" customHeight="1">
      <c r="A39" s="270" t="inlineStr">
        <is>
          <t xml:space="preserve">GRANITO </t>
        </is>
      </c>
      <c r="B39" s="737" t="inlineStr">
        <is>
          <t xml:space="preserve">GRANITO CON INSTALACION </t>
        </is>
      </c>
      <c r="C39" s="738" t="inlineStr">
        <is>
          <t xml:space="preserve">M </t>
        </is>
      </c>
      <c r="D39" s="739">
        <f>85250*1.03</f>
        <v/>
      </c>
      <c r="E39" s="740">
        <f>D39*'BASE DATOS PRECIOS '!$N$4</f>
        <v/>
      </c>
      <c r="F39" s="695" t="n">
        <v>0</v>
      </c>
      <c r="G39" s="696">
        <f>E39-F39</f>
        <v/>
      </c>
      <c r="H39" s="151" t="n"/>
      <c r="I39" s="152" t="n"/>
      <c r="J39" s="692" t="n"/>
    </row>
    <row r="40" ht="27.75" customHeight="1">
      <c r="A40" s="270" t="inlineStr">
        <is>
          <t xml:space="preserve">VENTANERIA IKARIA  </t>
        </is>
      </c>
      <c r="B40" s="737" t="inlineStr">
        <is>
          <t xml:space="preserve">SUBCONTRATO VENTANERIA (MATERIAL Y MANO DE OBRA) </t>
        </is>
      </c>
      <c r="C40" s="738" t="inlineStr">
        <is>
          <t xml:space="preserve">GLOBAL </t>
        </is>
      </c>
      <c r="D40" s="739">
        <f>896000*1.03</f>
        <v/>
      </c>
      <c r="E40" s="740">
        <f>D40*'BASE DATOS PRECIOS '!$N$4</f>
        <v/>
      </c>
      <c r="F40" s="695" t="n">
        <v>0</v>
      </c>
      <c r="G40" s="696">
        <f>E40-F40</f>
        <v/>
      </c>
      <c r="H40" s="151" t="n"/>
      <c r="I40" s="152" t="n"/>
      <c r="J40" s="692" t="n"/>
    </row>
    <row r="41" ht="20.1" customHeight="1">
      <c r="A41" s="270" t="inlineStr">
        <is>
          <t>VENTANERIA SKYROS</t>
        </is>
      </c>
      <c r="B41" s="737" t="inlineStr">
        <is>
          <t xml:space="preserve">SUBCONTRATO VENTANERIA (MATERIAL Y MANO DE OBRA) </t>
        </is>
      </c>
      <c r="C41" s="738" t="inlineStr">
        <is>
          <t xml:space="preserve">GLOBAL </t>
        </is>
      </c>
      <c r="D41" s="739">
        <f>947511.36*1.03</f>
        <v/>
      </c>
      <c r="E41" s="740">
        <f>D41*'[3]BASE DATOS PRECIOS '!$N$4</f>
        <v/>
      </c>
      <c r="F41" s="695" t="n">
        <v>0</v>
      </c>
      <c r="G41" s="696">
        <f>E41-F41</f>
        <v/>
      </c>
      <c r="H41" s="151" t="n"/>
      <c r="I41" s="152" t="n"/>
      <c r="J41" s="692" t="n"/>
    </row>
    <row r="42" ht="20.1" customHeight="1">
      <c r="A42" s="142" t="n"/>
      <c r="B42" s="691" t="n"/>
      <c r="C42" s="692" t="n"/>
      <c r="D42" s="693" t="n"/>
      <c r="E42" s="694" t="n"/>
      <c r="F42" s="695" t="n"/>
      <c r="G42" s="696" t="n"/>
      <c r="H42" s="151" t="n"/>
      <c r="I42" s="152" t="n"/>
      <c r="J42" s="692" t="n"/>
    </row>
    <row r="43" ht="20.1" customHeight="1">
      <c r="A43" s="142" t="n"/>
      <c r="B43" s="691" t="n"/>
      <c r="C43" s="692" t="n"/>
      <c r="D43" s="693" t="n"/>
      <c r="E43" s="694" t="n"/>
      <c r="F43" s="695" t="n"/>
      <c r="G43" s="696" t="n"/>
      <c r="H43" s="151" t="n"/>
      <c r="I43" s="152" t="n"/>
      <c r="J43" s="692" t="n"/>
    </row>
    <row r="44" ht="20.1" customHeight="1">
      <c r="A44" s="142" t="n"/>
      <c r="B44" s="691" t="n"/>
      <c r="C44" s="692" t="n"/>
      <c r="D44" s="693" t="n"/>
      <c r="E44" s="694" t="n"/>
      <c r="F44" s="695" t="n"/>
      <c r="G44" s="696" t="n"/>
      <c r="H44" s="151" t="n"/>
      <c r="I44" s="152" t="n"/>
      <c r="J44" s="692" t="n"/>
    </row>
    <row r="45" ht="20.1" customHeight="1">
      <c r="A45" s="142" t="n"/>
      <c r="B45" s="691" t="n"/>
      <c r="C45" s="692" t="n"/>
      <c r="D45" s="693" t="n"/>
      <c r="E45" s="694" t="n"/>
      <c r="F45" s="695" t="n"/>
      <c r="G45" s="696" t="n"/>
      <c r="H45" s="151" t="n"/>
      <c r="I45" s="152" t="n"/>
      <c r="J45" s="692" t="n"/>
    </row>
    <row r="46" ht="20.1" customHeight="1">
      <c r="A46" s="142" t="n"/>
      <c r="B46" s="691" t="n"/>
      <c r="C46" s="692" t="n"/>
      <c r="D46" s="693" t="n"/>
      <c r="E46" s="694" t="n"/>
      <c r="F46" s="695" t="n"/>
      <c r="G46" s="696" t="n"/>
      <c r="H46" s="151" t="n"/>
      <c r="I46" s="152" t="n"/>
      <c r="J46" s="692" t="n"/>
    </row>
    <row r="47" ht="20.1" customHeight="1">
      <c r="A47" s="142" t="n"/>
      <c r="B47" s="691" t="n"/>
      <c r="C47" s="692" t="n"/>
      <c r="D47" s="693" t="n"/>
      <c r="E47" s="694" t="n"/>
      <c r="F47" s="695" t="n"/>
      <c r="G47" s="696" t="n"/>
      <c r="H47" s="151" t="n"/>
      <c r="I47" s="152" t="n"/>
      <c r="J47" s="692" t="n"/>
    </row>
    <row r="48" ht="20.1" customHeight="1">
      <c r="A48" s="142" t="n"/>
      <c r="B48" s="691" t="n"/>
      <c r="C48" s="692" t="n"/>
      <c r="D48" s="693" t="n"/>
      <c r="E48" s="694" t="n"/>
      <c r="F48" s="695" t="n"/>
      <c r="G48" s="696" t="n"/>
      <c r="H48" s="151" t="n"/>
      <c r="I48" s="152" t="n"/>
      <c r="J48" s="692" t="n"/>
    </row>
    <row r="49" ht="20.1" customHeight="1">
      <c r="A49" s="142" t="n"/>
      <c r="B49" s="691" t="n"/>
      <c r="C49" s="692" t="n"/>
      <c r="D49" s="693" t="n"/>
      <c r="E49" s="694" t="n"/>
      <c r="F49" s="695" t="n"/>
      <c r="G49" s="696" t="n"/>
      <c r="H49" s="151" t="n"/>
      <c r="I49" s="152" t="n"/>
      <c r="J49" s="692" t="n"/>
    </row>
    <row r="50" ht="20.1" customHeight="1">
      <c r="A50" s="142" t="n"/>
      <c r="B50" s="691" t="n"/>
      <c r="C50" s="692" t="n"/>
      <c r="D50" s="693" t="n"/>
      <c r="E50" s="694" t="n"/>
      <c r="F50" s="695" t="n"/>
      <c r="G50" s="696" t="n"/>
      <c r="H50" s="151" t="n"/>
      <c r="I50" s="152" t="n"/>
      <c r="J50" s="692" t="n"/>
    </row>
    <row r="51" ht="20.1" customHeight="1">
      <c r="A51" s="142" t="n"/>
      <c r="B51" s="691" t="n"/>
      <c r="C51" s="692" t="n"/>
      <c r="D51" s="693" t="n"/>
      <c r="E51" s="694" t="n"/>
      <c r="F51" s="695" t="n"/>
      <c r="G51" s="696" t="n"/>
      <c r="H51" s="151" t="n"/>
      <c r="I51" s="152" t="n"/>
      <c r="J51" s="692" t="n"/>
    </row>
    <row r="52" ht="20.1" customHeight="1">
      <c r="A52" s="142" t="n"/>
      <c r="B52" s="691" t="n"/>
      <c r="C52" s="692" t="n"/>
      <c r="D52" s="693" t="n"/>
      <c r="E52" s="694" t="n"/>
      <c r="F52" s="695" t="n"/>
      <c r="G52" s="696" t="n"/>
      <c r="H52" s="151" t="n"/>
      <c r="I52" s="152" t="n"/>
      <c r="J52" s="692" t="n"/>
    </row>
    <row r="53" ht="20.1" customHeight="1">
      <c r="A53" s="142" t="n"/>
      <c r="B53" s="691" t="n"/>
      <c r="C53" s="692" t="n"/>
      <c r="D53" s="693" t="n"/>
      <c r="E53" s="694" t="n"/>
      <c r="F53" s="695" t="n"/>
      <c r="G53" s="696" t="n"/>
      <c r="H53" s="151" t="n"/>
      <c r="I53" s="152" t="n"/>
      <c r="J53" s="692" t="n"/>
    </row>
    <row r="54" ht="20.1" customHeight="1">
      <c r="A54" s="142" t="n"/>
      <c r="B54" s="691" t="n"/>
      <c r="C54" s="692" t="n"/>
      <c r="D54" s="693" t="n"/>
      <c r="E54" s="694" t="n"/>
      <c r="F54" s="695" t="n"/>
      <c r="G54" s="696" t="n"/>
      <c r="H54" s="151" t="n"/>
      <c r="I54" s="152" t="n"/>
      <c r="J54" s="692" t="n"/>
    </row>
    <row r="55" ht="20.1" customHeight="1">
      <c r="A55" s="142" t="n"/>
      <c r="B55" s="691" t="n"/>
      <c r="C55" s="692" t="n"/>
      <c r="D55" s="693" t="n"/>
      <c r="E55" s="694" t="n"/>
      <c r="F55" s="695" t="n"/>
      <c r="G55" s="696" t="n"/>
      <c r="H55" s="151" t="n"/>
      <c r="I55" s="152" t="n"/>
      <c r="J55" s="692" t="n"/>
    </row>
    <row r="56" ht="20.1" customHeight="1">
      <c r="A56" s="142" t="n"/>
      <c r="B56" s="691" t="n"/>
      <c r="C56" s="692" t="n"/>
      <c r="D56" s="693" t="n"/>
      <c r="E56" s="694" t="n"/>
      <c r="F56" s="695" t="n"/>
      <c r="G56" s="696" t="n"/>
      <c r="H56" s="151" t="n"/>
      <c r="I56" s="152" t="n"/>
      <c r="J56" s="692" t="n"/>
    </row>
    <row r="57" ht="20.1" customHeight="1">
      <c r="A57" s="142" t="n"/>
      <c r="B57" s="691" t="n"/>
      <c r="C57" s="692" t="n"/>
      <c r="D57" s="693" t="n"/>
      <c r="E57" s="694" t="n"/>
      <c r="F57" s="695" t="n"/>
      <c r="G57" s="696" t="n"/>
      <c r="H57" s="151" t="n"/>
      <c r="I57" s="152" t="n"/>
      <c r="J57" s="692" t="n"/>
    </row>
    <row r="58" ht="20.1" customHeight="1">
      <c r="A58" s="142" t="n"/>
      <c r="B58" s="691" t="n"/>
      <c r="C58" s="692" t="n"/>
      <c r="D58" s="693" t="n"/>
      <c r="E58" s="694" t="n"/>
      <c r="F58" s="695" t="n"/>
      <c r="G58" s="696" t="n"/>
      <c r="H58" s="151" t="n"/>
      <c r="I58" s="152" t="n"/>
      <c r="J58" s="692" t="n"/>
    </row>
    <row r="59" ht="20.1" customHeight="1">
      <c r="A59" s="142" t="n"/>
      <c r="B59" s="691" t="n"/>
      <c r="C59" s="692" t="n"/>
      <c r="D59" s="693" t="n"/>
      <c r="E59" s="694" t="n"/>
      <c r="F59" s="695" t="n"/>
      <c r="G59" s="696" t="n"/>
      <c r="H59" s="151" t="n"/>
      <c r="I59" s="152" t="n"/>
      <c r="J59" s="692" t="n"/>
    </row>
    <row r="60" ht="20.1" customHeight="1">
      <c r="A60" s="142" t="n"/>
      <c r="B60" s="691" t="n"/>
      <c r="C60" s="692" t="n"/>
      <c r="D60" s="693" t="n"/>
      <c r="E60" s="694" t="n"/>
      <c r="F60" s="695" t="n"/>
      <c r="G60" s="696" t="n"/>
      <c r="H60" s="151" t="n"/>
      <c r="I60" s="152" t="n"/>
      <c r="J60" s="692" t="n"/>
    </row>
    <row r="61" ht="20.1" customHeight="1">
      <c r="A61" s="142" t="n"/>
      <c r="B61" s="691" t="n"/>
      <c r="C61" s="692" t="n"/>
      <c r="D61" s="693" t="n"/>
      <c r="E61" s="694" t="n"/>
      <c r="F61" s="695" t="n"/>
      <c r="G61" s="696" t="n"/>
      <c r="H61" s="151" t="n"/>
      <c r="I61" s="152" t="n"/>
      <c r="J61" s="692" t="n"/>
    </row>
    <row r="62" ht="20.1" customHeight="1">
      <c r="A62" s="142" t="n"/>
      <c r="B62" s="691" t="n"/>
      <c r="C62" s="692" t="n"/>
      <c r="D62" s="693" t="n"/>
      <c r="E62" s="694" t="n"/>
      <c r="F62" s="695" t="n"/>
      <c r="G62" s="696" t="n"/>
      <c r="H62" s="151" t="n"/>
      <c r="I62" s="152" t="n"/>
      <c r="J62" s="692" t="n"/>
    </row>
    <row r="63" ht="20.1" customHeight="1">
      <c r="A63" s="142" t="n"/>
      <c r="B63" s="691" t="n"/>
      <c r="C63" s="692" t="n"/>
      <c r="D63" s="693" t="n"/>
      <c r="E63" s="694" t="n"/>
      <c r="F63" s="695" t="n"/>
      <c r="G63" s="696" t="n"/>
      <c r="H63" s="151" t="n"/>
      <c r="I63" s="152" t="n"/>
      <c r="J63" s="692" t="n"/>
    </row>
    <row r="64" ht="20.1" customHeight="1">
      <c r="A64" s="142" t="n"/>
      <c r="B64" s="691" t="n"/>
      <c r="C64" s="692" t="n"/>
      <c r="D64" s="693" t="n"/>
      <c r="E64" s="694" t="n"/>
      <c r="F64" s="695" t="n"/>
      <c r="G64" s="696" t="n"/>
      <c r="H64" s="151" t="n"/>
      <c r="I64" s="152" t="n"/>
      <c r="J64" s="692" t="n"/>
    </row>
    <row r="65" ht="20.1" customHeight="1">
      <c r="A65" s="142" t="n"/>
      <c r="B65" s="691" t="n"/>
      <c r="C65" s="692" t="n"/>
      <c r="D65" s="693" t="n"/>
      <c r="E65" s="694" t="n"/>
      <c r="F65" s="695" t="n"/>
      <c r="G65" s="696" t="n"/>
      <c r="H65" s="151" t="n"/>
      <c r="I65" s="152" t="n"/>
      <c r="J65" s="692" t="n"/>
    </row>
    <row r="66" ht="20.1" customHeight="1">
      <c r="A66" s="142" t="n"/>
      <c r="B66" s="691" t="n"/>
      <c r="C66" s="692" t="n"/>
      <c r="D66" s="693" t="n"/>
      <c r="E66" s="694" t="n"/>
      <c r="F66" s="695" t="n"/>
      <c r="G66" s="696" t="n"/>
      <c r="H66" s="151" t="n"/>
      <c r="I66" s="152" t="n"/>
      <c r="J66" s="692" t="n"/>
    </row>
    <row r="67" ht="20.1" customHeight="1">
      <c r="A67" s="142" t="n"/>
      <c r="B67" s="691" t="n"/>
      <c r="C67" s="692" t="n"/>
      <c r="D67" s="693" t="n"/>
      <c r="E67" s="694" t="n"/>
      <c r="F67" s="695" t="n"/>
      <c r="G67" s="696" t="n"/>
      <c r="H67" s="151" t="n"/>
      <c r="I67" s="152" t="n"/>
      <c r="J67" s="692" t="n"/>
    </row>
    <row r="68" ht="20.1" customHeight="1">
      <c r="A68" s="142" t="n"/>
      <c r="B68" s="691" t="n"/>
      <c r="C68" s="692" t="n"/>
      <c r="D68" s="693" t="n"/>
      <c r="E68" s="694" t="n"/>
      <c r="F68" s="695" t="n"/>
      <c r="G68" s="696" t="n"/>
      <c r="H68" s="151" t="n"/>
      <c r="I68" s="152" t="n"/>
      <c r="J68" s="692" t="n"/>
    </row>
    <row r="69" ht="20.1" customHeight="1">
      <c r="A69" s="142" t="n"/>
      <c r="B69" s="691" t="n"/>
      <c r="C69" s="692" t="n"/>
      <c r="D69" s="693" t="n"/>
      <c r="E69" s="694" t="n"/>
      <c r="F69" s="695" t="n"/>
      <c r="G69" s="696" t="n"/>
      <c r="H69" s="151" t="n"/>
      <c r="I69" s="152" t="n"/>
      <c r="J69" s="692" t="n"/>
    </row>
    <row r="70" ht="20.1" customHeight="1">
      <c r="A70" s="142" t="n"/>
      <c r="B70" s="691" t="n"/>
      <c r="C70" s="692" t="n"/>
      <c r="D70" s="693" t="n"/>
      <c r="E70" s="694" t="n"/>
      <c r="F70" s="695" t="n"/>
      <c r="G70" s="696" t="n"/>
      <c r="H70" s="151" t="n"/>
      <c r="I70" s="152" t="n"/>
      <c r="J70" s="692" t="n"/>
    </row>
    <row r="71" ht="20.1" customHeight="1">
      <c r="A71" s="142" t="n"/>
      <c r="B71" s="691" t="n"/>
      <c r="C71" s="692" t="n"/>
      <c r="D71" s="693" t="n"/>
      <c r="E71" s="694" t="n"/>
      <c r="F71" s="695" t="n"/>
      <c r="G71" s="696" t="n"/>
      <c r="H71" s="151" t="n"/>
      <c r="I71" s="152" t="n"/>
      <c r="J71" s="692" t="n"/>
    </row>
    <row r="72" ht="20.1" customHeight="1">
      <c r="A72" s="142" t="n"/>
      <c r="B72" s="691" t="n"/>
      <c r="C72" s="692" t="n"/>
      <c r="D72" s="693" t="n"/>
      <c r="E72" s="694" t="n"/>
      <c r="F72" s="695" t="n"/>
      <c r="G72" s="696" t="n"/>
      <c r="H72" s="151" t="n"/>
      <c r="I72" s="152" t="n"/>
      <c r="J72" s="692" t="n"/>
    </row>
    <row r="73" ht="20.1" customHeight="1">
      <c r="A73" s="142" t="n"/>
      <c r="B73" s="691" t="n"/>
      <c r="C73" s="692" t="n"/>
      <c r="D73" s="693" t="n"/>
      <c r="E73" s="694" t="n"/>
      <c r="F73" s="695" t="n"/>
      <c r="G73" s="696" t="n"/>
      <c r="H73" s="151" t="n"/>
      <c r="I73" s="152" t="n"/>
      <c r="J73" s="692" t="n"/>
    </row>
    <row r="74" ht="20.1" customHeight="1">
      <c r="A74" s="142" t="n"/>
      <c r="B74" s="691" t="n"/>
      <c r="C74" s="692" t="n"/>
      <c r="D74" s="693" t="n"/>
      <c r="E74" s="694" t="n"/>
      <c r="F74" s="695" t="n"/>
      <c r="G74" s="696" t="n"/>
      <c r="H74" s="151" t="n"/>
      <c r="I74" s="152" t="n"/>
      <c r="J74" s="692" t="n"/>
    </row>
    <row r="75" ht="20.1" customHeight="1">
      <c r="A75" s="142" t="n"/>
      <c r="B75" s="691" t="n"/>
      <c r="C75" s="692" t="n"/>
      <c r="D75" s="693" t="n"/>
      <c r="E75" s="694" t="n"/>
      <c r="F75" s="695" t="n"/>
      <c r="G75" s="696" t="n"/>
      <c r="H75" s="151" t="n"/>
      <c r="I75" s="152" t="n"/>
      <c r="J75" s="692" t="n"/>
    </row>
    <row r="76" ht="20.1" customHeight="1">
      <c r="A76" s="142" t="n"/>
      <c r="B76" s="691" t="n"/>
      <c r="C76" s="692" t="n"/>
      <c r="D76" s="693" t="n"/>
      <c r="E76" s="694" t="n"/>
      <c r="F76" s="695" t="n"/>
      <c r="G76" s="696" t="n"/>
      <c r="H76" s="151" t="n"/>
      <c r="I76" s="152" t="n"/>
      <c r="J76" s="692" t="n"/>
    </row>
    <row r="77" ht="20.1" customHeight="1">
      <c r="A77" s="142" t="n"/>
      <c r="B77" s="691" t="n"/>
      <c r="C77" s="692" t="n"/>
      <c r="D77" s="693" t="n"/>
      <c r="E77" s="694" t="n"/>
      <c r="F77" s="695" t="n"/>
      <c r="G77" s="696" t="n"/>
      <c r="H77" s="151" t="n"/>
      <c r="I77" s="152" t="n"/>
      <c r="J77" s="692" t="n"/>
    </row>
    <row r="78" ht="20.1" customHeight="1">
      <c r="A78" s="142" t="n"/>
      <c r="B78" s="691" t="n"/>
      <c r="C78" s="692" t="n"/>
      <c r="D78" s="693" t="n"/>
      <c r="E78" s="694" t="n"/>
      <c r="F78" s="695" t="n"/>
      <c r="G78" s="696" t="n"/>
      <c r="H78" s="151" t="n"/>
      <c r="I78" s="152" t="n"/>
      <c r="J78" s="692" t="n"/>
    </row>
    <row r="79" ht="20.1" customHeight="1">
      <c r="A79" s="142" t="n"/>
      <c r="B79" s="691" t="n"/>
      <c r="C79" s="692" t="n"/>
      <c r="D79" s="693" t="n"/>
      <c r="E79" s="694" t="n"/>
      <c r="F79" s="695" t="n"/>
      <c r="G79" s="696" t="n"/>
      <c r="H79" s="151" t="n"/>
      <c r="I79" s="152" t="n"/>
      <c r="J79" s="692" t="n"/>
    </row>
    <row r="80" ht="20.1" customHeight="1">
      <c r="A80" s="142" t="n"/>
      <c r="B80" s="691" t="n"/>
      <c r="C80" s="692" t="n"/>
      <c r="D80" s="693" t="n"/>
      <c r="E80" s="694" t="n"/>
      <c r="F80" s="695" t="n"/>
      <c r="G80" s="696" t="n"/>
      <c r="H80" s="151" t="n"/>
      <c r="I80" s="152" t="n"/>
      <c r="J80" s="692" t="n"/>
    </row>
    <row r="81" ht="20.1" customHeight="1">
      <c r="A81" s="142" t="n"/>
      <c r="B81" s="691" t="n"/>
      <c r="C81" s="692" t="n"/>
      <c r="D81" s="693" t="n"/>
      <c r="E81" s="694" t="n"/>
      <c r="F81" s="695" t="n"/>
      <c r="G81" s="696" t="n"/>
      <c r="H81" s="151" t="n"/>
      <c r="I81" s="152" t="n"/>
      <c r="J81" s="692" t="n"/>
    </row>
    <row r="82" ht="20.1" customHeight="1">
      <c r="A82" s="142" t="n"/>
      <c r="B82" s="691" t="n"/>
      <c r="C82" s="692" t="n"/>
      <c r="D82" s="693" t="n"/>
      <c r="E82" s="694" t="n"/>
      <c r="F82" s="695" t="n"/>
      <c r="G82" s="696" t="n"/>
      <c r="H82" s="151" t="n"/>
      <c r="I82" s="152" t="n"/>
      <c r="J82" s="692" t="n"/>
    </row>
    <row r="83" ht="20.1" customHeight="1">
      <c r="A83" s="142" t="n"/>
      <c r="B83" s="691" t="n"/>
      <c r="C83" s="692" t="n"/>
      <c r="D83" s="693" t="n"/>
      <c r="E83" s="694" t="n"/>
      <c r="F83" s="695" t="n"/>
      <c r="G83" s="696" t="n"/>
      <c r="H83" s="151" t="n"/>
      <c r="I83" s="152" t="n"/>
      <c r="J83" s="692" t="n"/>
    </row>
    <row r="84" ht="20.1" customHeight="1">
      <c r="A84" s="142" t="n"/>
      <c r="B84" s="691" t="n"/>
      <c r="C84" s="692" t="n"/>
      <c r="D84" s="693" t="n"/>
      <c r="E84" s="694" t="n"/>
      <c r="F84" s="695" t="n"/>
      <c r="G84" s="696" t="n"/>
      <c r="H84" s="151" t="n"/>
      <c r="I84" s="152" t="n"/>
      <c r="J84" s="692" t="n"/>
    </row>
    <row r="85" ht="20.1" customHeight="1">
      <c r="A85" s="142" t="n"/>
      <c r="B85" s="691" t="n"/>
      <c r="C85" s="692" t="n"/>
      <c r="D85" s="693" t="n"/>
      <c r="E85" s="694" t="n"/>
      <c r="F85" s="695" t="n"/>
      <c r="G85" s="696" t="n"/>
      <c r="H85" s="151" t="n"/>
      <c r="I85" s="152" t="n"/>
      <c r="J85" s="692" t="n"/>
    </row>
    <row r="86" ht="20.1" customHeight="1">
      <c r="A86" s="142" t="n"/>
      <c r="B86" s="691" t="n"/>
      <c r="C86" s="692" t="n"/>
      <c r="D86" s="693" t="n"/>
      <c r="E86" s="694" t="n"/>
      <c r="F86" s="695" t="n"/>
      <c r="G86" s="696" t="n"/>
      <c r="H86" s="151" t="n"/>
      <c r="I86" s="152" t="n"/>
      <c r="J86" s="692" t="n"/>
    </row>
    <row r="87">
      <c r="A87" s="142" t="n"/>
      <c r="B87" s="691" t="n"/>
      <c r="C87" s="692" t="n"/>
      <c r="D87" s="693" t="n"/>
      <c r="E87" s="694" t="n"/>
      <c r="F87" s="695" t="n"/>
      <c r="G87" s="696" t="n"/>
      <c r="H87" s="151" t="n"/>
      <c r="I87" s="152" t="n"/>
      <c r="J87" s="692" t="n"/>
    </row>
    <row r="88">
      <c r="A88" s="142" t="n"/>
      <c r="B88" s="691" t="n"/>
      <c r="C88" s="692" t="n"/>
      <c r="D88" s="693" t="n"/>
      <c r="E88" s="694" t="n"/>
      <c r="F88" s="695" t="n"/>
      <c r="G88" s="696" t="n"/>
      <c r="H88" s="151" t="n"/>
      <c r="I88" s="152" t="n"/>
      <c r="J88" s="692" t="n"/>
    </row>
    <row r="89" ht="20.1" customHeight="1">
      <c r="A89" s="142" t="n"/>
      <c r="B89" s="691" t="n"/>
      <c r="C89" s="692" t="n"/>
      <c r="D89" s="693" t="n"/>
      <c r="E89" s="694" t="n"/>
      <c r="F89" s="695" t="n"/>
      <c r="G89" s="696" t="n"/>
      <c r="H89" s="151" t="n"/>
      <c r="I89" s="152" t="n"/>
      <c r="J89" s="692" t="n"/>
    </row>
    <row r="90" ht="20.1" customHeight="1">
      <c r="A90" s="142" t="n"/>
      <c r="B90" s="691" t="n"/>
      <c r="C90" s="692" t="n"/>
      <c r="D90" s="693" t="n"/>
      <c r="E90" s="694" t="n"/>
      <c r="F90" s="695" t="n"/>
      <c r="G90" s="696" t="n"/>
      <c r="H90" s="151" t="n"/>
      <c r="I90" s="152" t="n"/>
      <c r="J90" s="692" t="n"/>
    </row>
    <row r="91" ht="20.1" customHeight="1">
      <c r="A91" s="142" t="n"/>
      <c r="B91" s="691" t="n"/>
      <c r="C91" s="692" t="n"/>
      <c r="D91" s="693" t="n"/>
      <c r="E91" s="694" t="n"/>
      <c r="F91" s="695" t="n"/>
      <c r="G91" s="696" t="n"/>
      <c r="H91" s="151" t="n"/>
      <c r="I91" s="152" t="n"/>
      <c r="J91" s="692" t="n"/>
    </row>
    <row r="92" ht="20.1" customHeight="1">
      <c r="A92" s="142" t="n"/>
      <c r="B92" s="691" t="n"/>
      <c r="C92" s="692" t="n"/>
      <c r="D92" s="693" t="n"/>
      <c r="E92" s="694" t="n"/>
      <c r="F92" s="695" t="n"/>
      <c r="G92" s="696" t="n"/>
      <c r="H92" s="151" t="n"/>
      <c r="I92" s="152" t="n"/>
      <c r="J92" s="692" t="n"/>
    </row>
    <row r="93" ht="20.1" customHeight="1">
      <c r="A93" s="142" t="n"/>
      <c r="B93" s="691" t="n"/>
      <c r="C93" s="692" t="n"/>
      <c r="D93" s="693" t="n"/>
      <c r="E93" s="694" t="n"/>
      <c r="F93" s="695" t="n"/>
      <c r="G93" s="696" t="n"/>
      <c r="H93" s="151" t="n"/>
      <c r="I93" s="152" t="n"/>
      <c r="J93" s="692" t="n"/>
    </row>
    <row r="94" ht="20.1" customHeight="1">
      <c r="A94" s="142" t="n"/>
      <c r="B94" s="691" t="n"/>
      <c r="C94" s="692" t="n"/>
      <c r="D94" s="693" t="n"/>
      <c r="E94" s="694" t="n"/>
      <c r="F94" s="695" t="n"/>
      <c r="G94" s="696" t="n"/>
      <c r="H94" s="151" t="n"/>
      <c r="I94" s="152" t="n"/>
      <c r="J94" s="692" t="n"/>
    </row>
    <row r="95" ht="20.1" customHeight="1">
      <c r="A95" s="142" t="n"/>
      <c r="B95" s="691" t="n"/>
      <c r="C95" s="692" t="n"/>
      <c r="D95" s="693" t="n"/>
      <c r="E95" s="694" t="n"/>
      <c r="F95" s="695" t="n"/>
      <c r="G95" s="696" t="n"/>
      <c r="H95" s="151" t="n"/>
      <c r="I95" s="152" t="n"/>
      <c r="J95" s="692" t="n"/>
    </row>
    <row r="96" ht="20.1" customHeight="1">
      <c r="A96" s="142" t="n"/>
      <c r="B96" s="691" t="n"/>
      <c r="C96" s="692" t="n"/>
      <c r="D96" s="693" t="n"/>
      <c r="E96" s="694" t="n"/>
      <c r="F96" s="695" t="n"/>
      <c r="G96" s="696" t="n"/>
      <c r="H96" s="151" t="n"/>
      <c r="I96" s="152" t="n"/>
      <c r="J96" s="692" t="n"/>
    </row>
    <row r="97" ht="20.1" customHeight="1">
      <c r="A97" s="142" t="n"/>
      <c r="B97" s="691" t="n"/>
      <c r="C97" s="692" t="n"/>
      <c r="D97" s="693" t="n"/>
      <c r="E97" s="694" t="n"/>
      <c r="F97" s="695" t="n"/>
      <c r="G97" s="696" t="n"/>
      <c r="H97" s="151" t="n"/>
      <c r="I97" s="152" t="n"/>
      <c r="J97" s="692" t="n"/>
    </row>
    <row r="98" ht="20.1" customHeight="1">
      <c r="A98" s="142" t="n"/>
      <c r="B98" s="691" t="n"/>
      <c r="C98" s="692" t="n"/>
      <c r="D98" s="693" t="n"/>
      <c r="E98" s="694" t="n"/>
      <c r="F98" s="695" t="n"/>
      <c r="G98" s="696" t="n"/>
      <c r="H98" s="151" t="n"/>
      <c r="I98" s="152" t="n"/>
      <c r="J98" s="692" t="n"/>
    </row>
    <row r="99" ht="20.1" customHeight="1">
      <c r="A99" s="142" t="n"/>
      <c r="B99" s="691" t="n"/>
      <c r="C99" s="692" t="n"/>
      <c r="D99" s="693" t="n"/>
      <c r="E99" s="694" t="n"/>
      <c r="F99" s="695" t="n"/>
      <c r="G99" s="696" t="n"/>
      <c r="H99" s="151" t="n"/>
      <c r="I99" s="152" t="n"/>
      <c r="J99" s="692" t="n"/>
    </row>
    <row r="100" ht="20.1" customHeight="1">
      <c r="A100" s="142" t="n"/>
      <c r="B100" s="691" t="n"/>
      <c r="C100" s="692" t="n"/>
      <c r="D100" s="693" t="n"/>
      <c r="E100" s="694" t="n"/>
      <c r="F100" s="695" t="n"/>
      <c r="G100" s="696" t="n"/>
      <c r="H100" s="151" t="n"/>
      <c r="I100" s="152" t="n"/>
      <c r="J100" s="692" t="n"/>
    </row>
    <row r="101" ht="20.1" customHeight="1">
      <c r="A101" s="142" t="n"/>
      <c r="B101" s="691" t="n"/>
      <c r="C101" s="692" t="n"/>
      <c r="D101" s="693" t="n"/>
      <c r="E101" s="694" t="n"/>
      <c r="F101" s="695" t="n"/>
      <c r="G101" s="696" t="n"/>
      <c r="H101" s="151" t="n"/>
      <c r="I101" s="152" t="n"/>
      <c r="J101" s="692" t="n"/>
    </row>
    <row r="102" ht="20.1" customHeight="1">
      <c r="A102" s="142" t="n"/>
      <c r="B102" s="691" t="n"/>
      <c r="C102" s="692" t="n"/>
      <c r="D102" s="693" t="n"/>
      <c r="E102" s="694" t="n"/>
      <c r="F102" s="695" t="n"/>
      <c r="G102" s="696" t="n"/>
      <c r="H102" s="151" t="n"/>
      <c r="I102" s="152" t="n"/>
      <c r="J102" s="692" t="n"/>
    </row>
    <row r="103" ht="20.1" customHeight="1">
      <c r="A103" s="142" t="n"/>
      <c r="B103" s="691" t="n"/>
      <c r="C103" s="692" t="n"/>
      <c r="D103" s="693" t="n"/>
      <c r="E103" s="694" t="n"/>
      <c r="F103" s="695" t="n"/>
      <c r="G103" s="696" t="n"/>
      <c r="H103" s="151" t="n"/>
      <c r="I103" s="152" t="n"/>
      <c r="J103" s="692" t="n"/>
    </row>
    <row r="104" ht="20.1" customHeight="1">
      <c r="A104" s="142" t="n"/>
      <c r="B104" s="691" t="n"/>
      <c r="C104" s="692" t="n"/>
      <c r="D104" s="693" t="n"/>
      <c r="E104" s="694" t="n"/>
      <c r="F104" s="695" t="n"/>
      <c r="G104" s="696" t="n"/>
      <c r="H104" s="151" t="n"/>
      <c r="I104" s="152" t="n"/>
      <c r="J104" s="692" t="n"/>
    </row>
    <row r="105" ht="20.1" customHeight="1">
      <c r="A105" s="142" t="n"/>
      <c r="B105" s="691" t="n"/>
      <c r="C105" s="692" t="n"/>
      <c r="D105" s="693" t="n"/>
      <c r="E105" s="694" t="n"/>
      <c r="F105" s="695" t="n"/>
      <c r="G105" s="696" t="n"/>
      <c r="H105" s="151" t="n"/>
      <c r="I105" s="152" t="n"/>
      <c r="J105" s="692" t="n"/>
    </row>
    <row r="106" ht="20.1" customHeight="1">
      <c r="A106" s="142" t="n"/>
      <c r="B106" s="691" t="n"/>
      <c r="C106" s="692" t="n"/>
      <c r="D106" s="693" t="n"/>
      <c r="E106" s="694" t="n"/>
      <c r="F106" s="695" t="n"/>
      <c r="G106" s="696" t="n"/>
      <c r="H106" s="151" t="n"/>
      <c r="I106" s="152" t="n"/>
      <c r="J106" s="692" t="n"/>
    </row>
    <row r="107" ht="20.1" customHeight="1">
      <c r="A107" s="142" t="n"/>
      <c r="B107" s="691" t="n"/>
      <c r="C107" s="692" t="n"/>
      <c r="D107" s="693" t="n"/>
      <c r="E107" s="694" t="n"/>
      <c r="F107" s="695" t="n"/>
      <c r="G107" s="696" t="n"/>
      <c r="H107" s="151" t="n"/>
      <c r="I107" s="152" t="n"/>
      <c r="J107" s="692" t="n"/>
    </row>
    <row r="108" ht="20.1" customHeight="1">
      <c r="A108" s="142" t="n"/>
      <c r="B108" s="691" t="n"/>
      <c r="C108" s="692" t="n"/>
      <c r="D108" s="693" t="n"/>
      <c r="E108" s="694" t="n"/>
      <c r="F108" s="695" t="n"/>
      <c r="G108" s="696" t="n"/>
      <c r="H108" s="151" t="n"/>
      <c r="I108" s="152" t="n"/>
      <c r="J108" s="692" t="n"/>
    </row>
    <row r="109" ht="20.1" customHeight="1">
      <c r="A109" s="142" t="n"/>
      <c r="B109" s="691" t="n"/>
      <c r="C109" s="692" t="n"/>
      <c r="D109" s="693" t="n"/>
      <c r="E109" s="694" t="n"/>
      <c r="F109" s="695" t="n"/>
      <c r="G109" s="696" t="n"/>
      <c r="H109" s="151" t="n"/>
      <c r="I109" s="152" t="n"/>
      <c r="J109" s="692" t="n"/>
    </row>
    <row r="110" ht="20.1" customHeight="1">
      <c r="A110" s="142" t="n"/>
      <c r="B110" s="691" t="n"/>
      <c r="C110" s="692" t="n"/>
      <c r="D110" s="693" t="n"/>
      <c r="E110" s="694" t="n"/>
      <c r="F110" s="695" t="n"/>
      <c r="G110" s="696" t="n"/>
      <c r="H110" s="151" t="n"/>
      <c r="I110" s="152" t="n"/>
      <c r="J110" s="692" t="n"/>
    </row>
    <row r="111" ht="20.1" customHeight="1">
      <c r="A111" s="142" t="n"/>
      <c r="B111" s="691" t="n"/>
      <c r="C111" s="692" t="n"/>
      <c r="D111" s="693" t="n"/>
      <c r="E111" s="694" t="n"/>
      <c r="F111" s="695" t="n"/>
      <c r="G111" s="696" t="n"/>
      <c r="H111" s="151" t="n"/>
      <c r="I111" s="152" t="n"/>
      <c r="J111" s="692" t="n"/>
    </row>
    <row r="112" ht="20.1" customHeight="1">
      <c r="A112" s="142" t="n"/>
      <c r="B112" s="691" t="n"/>
      <c r="C112" s="692" t="n"/>
      <c r="D112" s="693" t="n"/>
      <c r="E112" s="694" t="n"/>
      <c r="F112" s="695" t="n"/>
      <c r="G112" s="696" t="n"/>
      <c r="H112" s="151" t="n"/>
      <c r="I112" s="152" t="n"/>
      <c r="J112" s="692" t="n"/>
    </row>
    <row r="113" ht="20.1" customHeight="1">
      <c r="A113" s="142" t="n"/>
      <c r="B113" s="691" t="n"/>
      <c r="C113" s="692" t="n"/>
      <c r="D113" s="693" t="n"/>
      <c r="E113" s="694" t="n"/>
      <c r="F113" s="695" t="n"/>
      <c r="G113" s="696" t="n"/>
      <c r="H113" s="151" t="n"/>
      <c r="I113" s="152" t="n"/>
      <c r="J113" s="692" t="n"/>
    </row>
    <row r="114" ht="20.1" customHeight="1">
      <c r="A114" s="142" t="n"/>
      <c r="B114" s="691" t="n"/>
      <c r="C114" s="692" t="n"/>
      <c r="D114" s="693" t="n"/>
      <c r="E114" s="694" t="n"/>
      <c r="F114" s="695" t="n"/>
      <c r="G114" s="696" t="n"/>
      <c r="H114" s="151" t="n"/>
      <c r="I114" s="152" t="n"/>
      <c r="J114" s="692" t="n"/>
    </row>
    <row r="115" ht="20.1" customHeight="1">
      <c r="A115" s="142" t="n"/>
      <c r="B115" s="691" t="n"/>
      <c r="C115" s="692" t="n"/>
      <c r="D115" s="693" t="n"/>
      <c r="E115" s="694" t="n"/>
      <c r="F115" s="695" t="n"/>
      <c r="G115" s="696" t="n"/>
      <c r="H115" s="151" t="n"/>
      <c r="I115" s="152" t="n"/>
      <c r="J115" s="692" t="n"/>
    </row>
    <row r="116" ht="20.1" customHeight="1">
      <c r="A116" s="142" t="n"/>
      <c r="B116" s="691" t="n"/>
      <c r="C116" s="692" t="n"/>
      <c r="D116" s="693" t="n"/>
      <c r="E116" s="694" t="n"/>
      <c r="F116" s="695" t="n"/>
      <c r="G116" s="696" t="n"/>
      <c r="H116" s="151" t="n"/>
      <c r="I116" s="152" t="n"/>
      <c r="J116" s="692" t="n"/>
    </row>
    <row r="117" ht="20.1" customHeight="1">
      <c r="A117" s="142" t="n"/>
      <c r="B117" s="691" t="n"/>
      <c r="C117" s="692" t="n"/>
      <c r="D117" s="693" t="n"/>
      <c r="E117" s="694" t="n"/>
      <c r="F117" s="695" t="n"/>
      <c r="G117" s="696" t="n"/>
      <c r="H117" s="151" t="n"/>
      <c r="I117" s="152" t="n"/>
      <c r="J117" s="692" t="n"/>
    </row>
    <row r="118" ht="20.1" customHeight="1">
      <c r="A118" s="142" t="n"/>
      <c r="B118" s="691" t="n"/>
      <c r="C118" s="692" t="n"/>
      <c r="D118" s="693" t="n"/>
      <c r="E118" s="694" t="n"/>
      <c r="F118" s="695" t="n"/>
      <c r="G118" s="696" t="n"/>
      <c r="H118" s="151" t="n"/>
      <c r="I118" s="152" t="n"/>
      <c r="J118" s="692" t="n"/>
    </row>
    <row r="119" ht="20.1" customHeight="1">
      <c r="A119" s="142" t="n"/>
      <c r="B119" s="691" t="n"/>
      <c r="C119" s="692" t="n"/>
      <c r="D119" s="693" t="n"/>
      <c r="E119" s="694" t="n"/>
      <c r="F119" s="695" t="n"/>
      <c r="G119" s="696" t="n"/>
      <c r="H119" s="151" t="n"/>
      <c r="I119" s="152" t="n"/>
      <c r="J119" s="692" t="n"/>
    </row>
    <row r="120" ht="20.1" customHeight="1">
      <c r="A120" s="142" t="n"/>
      <c r="B120" s="691" t="n"/>
      <c r="C120" s="692" t="n"/>
      <c r="D120" s="693" t="n"/>
      <c r="E120" s="694" t="n"/>
      <c r="F120" s="695" t="n"/>
      <c r="G120" s="696" t="n"/>
      <c r="H120" s="151" t="n"/>
      <c r="I120" s="152" t="n"/>
      <c r="J120" s="692" t="n"/>
    </row>
    <row r="121" ht="20.1" customHeight="1">
      <c r="A121" s="142" t="n"/>
      <c r="B121" s="691" t="n"/>
      <c r="C121" s="692" t="n"/>
      <c r="D121" s="693" t="n"/>
      <c r="E121" s="694" t="n"/>
      <c r="F121" s="695" t="n"/>
      <c r="G121" s="696" t="n"/>
      <c r="H121" s="151" t="n"/>
      <c r="I121" s="152" t="n"/>
      <c r="J121" s="692" t="n"/>
    </row>
    <row r="122" ht="20.1" customHeight="1">
      <c r="A122" s="142" t="n"/>
      <c r="B122" s="691" t="n"/>
      <c r="C122" s="692" t="n"/>
      <c r="D122" s="693" t="n"/>
      <c r="E122" s="694" t="n"/>
      <c r="F122" s="695" t="n"/>
      <c r="G122" s="696" t="n"/>
      <c r="H122" s="151" t="n"/>
      <c r="I122" s="152" t="n"/>
      <c r="J122" s="692" t="n"/>
    </row>
    <row r="123" ht="20.1" customHeight="1">
      <c r="A123" s="142" t="n"/>
      <c r="B123" s="691" t="n"/>
      <c r="C123" s="692" t="n"/>
      <c r="D123" s="693" t="n"/>
      <c r="E123" s="694" t="n"/>
      <c r="F123" s="695" t="n"/>
      <c r="G123" s="696" t="n"/>
      <c r="H123" s="151" t="n"/>
      <c r="I123" s="152" t="n"/>
      <c r="J123" s="692" t="n"/>
    </row>
    <row r="124" ht="20.1" customHeight="1">
      <c r="A124" s="142" t="n"/>
      <c r="B124" s="691" t="n"/>
      <c r="C124" s="692" t="n"/>
      <c r="D124" s="693" t="n"/>
      <c r="E124" s="694" t="n"/>
      <c r="F124" s="695" t="n"/>
      <c r="G124" s="696" t="n"/>
      <c r="H124" s="151" t="n"/>
      <c r="I124" s="152" t="n"/>
      <c r="J124" s="692" t="n"/>
    </row>
    <row r="125">
      <c r="A125" s="142" t="n"/>
      <c r="B125" s="691" t="n"/>
      <c r="C125" s="692" t="n"/>
      <c r="D125" s="693" t="n"/>
      <c r="E125" s="694" t="n"/>
      <c r="F125" s="695" t="n"/>
      <c r="G125" s="696" t="n"/>
      <c r="H125" s="151" t="n"/>
      <c r="I125" s="152" t="n"/>
      <c r="J125" s="692" t="n"/>
    </row>
    <row r="126">
      <c r="A126" s="142" t="n"/>
      <c r="B126" s="691" t="n"/>
      <c r="C126" s="692" t="n"/>
      <c r="D126" s="693" t="n"/>
      <c r="E126" s="694" t="n"/>
      <c r="F126" s="695" t="n"/>
      <c r="G126" s="696" t="n"/>
      <c r="H126" s="151" t="n"/>
      <c r="I126" s="152" t="n"/>
      <c r="J126" s="692" t="n"/>
    </row>
    <row r="127">
      <c r="A127" s="142" t="n"/>
      <c r="B127" s="691" t="n"/>
      <c r="C127" s="692" t="n"/>
      <c r="D127" s="693" t="n"/>
      <c r="E127" s="694" t="n"/>
      <c r="F127" s="695" t="n"/>
      <c r="G127" s="696" t="n"/>
      <c r="H127" s="151" t="n"/>
      <c r="I127" s="152" t="n"/>
      <c r="J127" s="692" t="n"/>
    </row>
    <row r="128" ht="20.1" customHeight="1">
      <c r="A128" s="142" t="n"/>
      <c r="B128" s="691" t="n"/>
      <c r="C128" s="692" t="n"/>
      <c r="D128" s="693" t="n"/>
      <c r="E128" s="694" t="n"/>
      <c r="F128" s="695" t="n"/>
      <c r="G128" s="696" t="n"/>
      <c r="H128" s="151" t="n"/>
      <c r="I128" s="152" t="n"/>
      <c r="J128" s="692" t="n"/>
    </row>
    <row r="129">
      <c r="A129" s="142" t="n"/>
      <c r="B129" s="691" t="n"/>
      <c r="C129" s="692" t="n"/>
      <c r="D129" s="693" t="n"/>
      <c r="E129" s="694" t="n"/>
      <c r="F129" s="695" t="n"/>
      <c r="G129" s="696" t="n"/>
      <c r="H129" s="151" t="n"/>
      <c r="I129" s="152" t="n"/>
      <c r="J129" s="692" t="n"/>
    </row>
    <row r="130">
      <c r="A130" s="142" t="n"/>
      <c r="B130" s="691" t="n"/>
      <c r="C130" s="692" t="n"/>
      <c r="D130" s="693" t="n"/>
      <c r="E130" s="694" t="n"/>
      <c r="F130" s="695" t="n"/>
      <c r="G130" s="696" t="n"/>
      <c r="H130" s="151" t="n"/>
      <c r="I130" s="152" t="n"/>
      <c r="J130" s="692" t="n"/>
    </row>
    <row r="131" ht="20.1" customHeight="1">
      <c r="A131" s="142" t="n"/>
      <c r="B131" s="691" t="n"/>
      <c r="C131" s="692" t="n"/>
      <c r="D131" s="693" t="n"/>
      <c r="E131" s="694" t="n"/>
      <c r="F131" s="695" t="n"/>
      <c r="G131" s="696" t="n"/>
      <c r="H131" s="151" t="n"/>
      <c r="I131" s="152" t="n"/>
      <c r="J131" s="692" t="n"/>
    </row>
    <row r="132">
      <c r="A132" s="142" t="n"/>
      <c r="B132" s="691" t="n"/>
      <c r="C132" s="692" t="n"/>
      <c r="D132" s="693" t="n"/>
      <c r="E132" s="694" t="n"/>
      <c r="F132" s="695" t="n"/>
      <c r="G132" s="696" t="n"/>
      <c r="H132" s="151" t="n"/>
      <c r="I132" s="152" t="n"/>
      <c r="J132" s="692" t="n"/>
    </row>
    <row r="133" ht="20.1" customHeight="1">
      <c r="A133" s="142" t="n"/>
      <c r="B133" s="691" t="n"/>
      <c r="C133" s="692" t="n"/>
      <c r="D133" s="693" t="n"/>
      <c r="E133" s="694" t="n"/>
      <c r="F133" s="695" t="n"/>
      <c r="G133" s="696" t="n"/>
      <c r="H133" s="151" t="n"/>
      <c r="I133" s="152" t="n"/>
      <c r="J133" s="692" t="n"/>
    </row>
    <row r="134" ht="20.1" customHeight="1">
      <c r="A134" s="142" t="n"/>
      <c r="B134" s="691" t="n"/>
      <c r="C134" s="692" t="n"/>
      <c r="D134" s="693" t="n"/>
      <c r="E134" s="694" t="n"/>
      <c r="F134" s="695" t="n"/>
      <c r="G134" s="696" t="n"/>
      <c r="H134" s="151" t="n"/>
      <c r="I134" s="152" t="n"/>
      <c r="J134" s="692" t="n"/>
    </row>
    <row r="135" ht="20.1" customHeight="1">
      <c r="A135" s="142" t="n"/>
      <c r="B135" s="691" t="n"/>
      <c r="C135" s="692" t="n"/>
      <c r="D135" s="693" t="n"/>
      <c r="E135" s="694" t="n"/>
      <c r="F135" s="695" t="n"/>
      <c r="G135" s="696" t="n"/>
      <c r="H135" s="151" t="n"/>
      <c r="I135" s="152" t="n"/>
      <c r="J135" s="692" t="n"/>
    </row>
    <row r="136" ht="20.1" customHeight="1">
      <c r="A136" s="142" t="n"/>
      <c r="B136" s="691" t="n"/>
      <c r="C136" s="692" t="n"/>
      <c r="D136" s="693" t="n"/>
      <c r="E136" s="694" t="n"/>
      <c r="F136" s="695" t="n"/>
      <c r="G136" s="696" t="n"/>
      <c r="H136" s="151" t="n"/>
      <c r="I136" s="152" t="n"/>
      <c r="J136" s="692" t="n"/>
    </row>
    <row r="137">
      <c r="A137" s="142" t="n"/>
      <c r="B137" s="691" t="n"/>
      <c r="C137" s="692" t="n"/>
      <c r="D137" s="693" t="n"/>
      <c r="E137" s="694" t="n"/>
      <c r="F137" s="695" t="n"/>
      <c r="G137" s="696" t="n"/>
      <c r="H137" s="151" t="n"/>
      <c r="I137" s="152" t="n"/>
      <c r="J137" s="692" t="n"/>
    </row>
    <row r="138" ht="20.1" customHeight="1">
      <c r="A138" s="142" t="n"/>
      <c r="B138" s="691" t="n"/>
      <c r="C138" s="692" t="n"/>
      <c r="D138" s="693" t="n"/>
      <c r="E138" s="694" t="n"/>
      <c r="F138" s="695" t="n"/>
      <c r="G138" s="696" t="n"/>
      <c r="H138" s="151" t="n"/>
      <c r="I138" s="152" t="n"/>
      <c r="J138" s="692" t="n"/>
    </row>
    <row r="139" ht="20.1" customHeight="1">
      <c r="A139" s="142" t="n"/>
      <c r="B139" s="691" t="n"/>
      <c r="C139" s="692" t="n"/>
      <c r="D139" s="693" t="n"/>
      <c r="E139" s="694" t="n"/>
      <c r="F139" s="695" t="n"/>
      <c r="G139" s="696" t="n"/>
      <c r="H139" s="151" t="n"/>
      <c r="I139" s="152" t="n"/>
      <c r="J139" s="692" t="n"/>
    </row>
    <row r="140" ht="20.1" customHeight="1">
      <c r="A140" s="142" t="n"/>
      <c r="B140" s="691" t="n"/>
      <c r="C140" s="692" t="n"/>
      <c r="D140" s="693" t="n"/>
      <c r="E140" s="694" t="n"/>
      <c r="F140" s="695" t="n"/>
      <c r="G140" s="696" t="n"/>
      <c r="H140" s="151" t="n"/>
      <c r="I140" s="152" t="n"/>
      <c r="J140" s="692" t="n"/>
    </row>
    <row r="141" ht="20.1" customHeight="1">
      <c r="A141" s="142" t="n"/>
      <c r="B141" s="691" t="n"/>
      <c r="C141" s="692" t="n"/>
      <c r="D141" s="693" t="n"/>
      <c r="E141" s="694" t="n"/>
      <c r="F141" s="695" t="n"/>
      <c r="G141" s="696" t="n"/>
      <c r="H141" s="151" t="n"/>
      <c r="I141" s="152" t="n"/>
      <c r="J141" s="692" t="n"/>
    </row>
    <row r="142" ht="20.1" customHeight="1">
      <c r="A142" s="142" t="n"/>
      <c r="B142" s="691" t="n"/>
      <c r="C142" s="692" t="n"/>
      <c r="D142" s="693" t="n"/>
      <c r="E142" s="694" t="n"/>
      <c r="F142" s="695" t="n"/>
      <c r="G142" s="696" t="n"/>
      <c r="H142" s="151" t="n"/>
      <c r="I142" s="152" t="n"/>
      <c r="J142" s="692" t="n"/>
    </row>
    <row r="143" ht="20.1" customHeight="1">
      <c r="A143" s="142" t="n"/>
      <c r="B143" s="691" t="n"/>
      <c r="C143" s="692" t="n"/>
      <c r="D143" s="693" t="n"/>
      <c r="E143" s="694" t="n"/>
      <c r="F143" s="695" t="n"/>
      <c r="G143" s="696" t="n"/>
      <c r="H143" s="151" t="n"/>
      <c r="I143" s="152" t="n"/>
      <c r="J143" s="692" t="n"/>
    </row>
    <row r="144" ht="20.1" customHeight="1">
      <c r="A144" s="142" t="n"/>
      <c r="B144" s="691" t="n"/>
      <c r="C144" s="692" t="n"/>
      <c r="D144" s="693" t="n"/>
      <c r="E144" s="694" t="n"/>
      <c r="F144" s="695" t="n"/>
      <c r="G144" s="696" t="n"/>
      <c r="H144" s="151" t="n"/>
      <c r="I144" s="152" t="n"/>
      <c r="J144" s="692" t="n"/>
    </row>
    <row r="145" ht="20.1" customHeight="1">
      <c r="A145" s="142" t="n"/>
      <c r="B145" s="691" t="n"/>
      <c r="C145" s="692" t="n"/>
      <c r="D145" s="693" t="n"/>
      <c r="E145" s="694" t="n"/>
      <c r="F145" s="695" t="n"/>
      <c r="G145" s="696" t="n"/>
      <c r="H145" s="151" t="n"/>
      <c r="I145" s="152" t="n"/>
      <c r="J145" s="692" t="n"/>
    </row>
    <row r="146" ht="20.1" customHeight="1">
      <c r="A146" s="142" t="n"/>
      <c r="B146" s="691" t="n"/>
      <c r="C146" s="692" t="n"/>
      <c r="D146" s="693" t="n"/>
      <c r="E146" s="694" t="n"/>
      <c r="F146" s="695" t="n"/>
      <c r="G146" s="696" t="n"/>
      <c r="H146" s="151" t="n"/>
      <c r="I146" s="152" t="n"/>
      <c r="J146" s="692" t="n"/>
    </row>
    <row r="147" ht="20.1" customHeight="1">
      <c r="A147" s="142" t="n"/>
      <c r="B147" s="691" t="n"/>
      <c r="C147" s="692" t="n"/>
      <c r="D147" s="693" t="n"/>
      <c r="E147" s="694" t="n"/>
      <c r="F147" s="695" t="n"/>
      <c r="G147" s="696" t="n"/>
      <c r="H147" s="151" t="n"/>
      <c r="I147" s="152" t="n"/>
      <c r="J147" s="692" t="n"/>
    </row>
    <row r="148" ht="20.1" customHeight="1">
      <c r="A148" s="142" t="n"/>
      <c r="B148" s="691" t="n"/>
      <c r="C148" s="692" t="n"/>
      <c r="D148" s="693" t="n"/>
      <c r="E148" s="694" t="n"/>
      <c r="F148" s="695" t="n"/>
      <c r="G148" s="696" t="n"/>
      <c r="H148" s="151" t="n"/>
      <c r="I148" s="152" t="n"/>
      <c r="J148" s="692" t="n"/>
    </row>
    <row r="149" ht="20.1" customHeight="1">
      <c r="A149" s="142" t="n"/>
      <c r="B149" s="691" t="n"/>
      <c r="C149" s="692" t="n"/>
      <c r="D149" s="693" t="n"/>
      <c r="E149" s="694" t="n"/>
      <c r="F149" s="695" t="n"/>
      <c r="G149" s="696" t="n"/>
      <c r="H149" s="151" t="n"/>
      <c r="I149" s="152" t="n"/>
      <c r="J149" s="692" t="n"/>
    </row>
    <row r="150" ht="20.1" customHeight="1">
      <c r="A150" s="142" t="n"/>
      <c r="B150" s="691" t="n"/>
      <c r="C150" s="692" t="n"/>
      <c r="D150" s="693" t="n"/>
      <c r="E150" s="694" t="n"/>
      <c r="F150" s="695" t="n"/>
      <c r="G150" s="696" t="n"/>
      <c r="H150" s="151" t="n"/>
      <c r="I150" s="152" t="n"/>
      <c r="J150" s="692" t="n"/>
    </row>
    <row r="151" ht="20.1" customHeight="1">
      <c r="A151" s="142" t="n"/>
      <c r="B151" s="691" t="n"/>
      <c r="C151" s="692" t="n"/>
      <c r="D151" s="693" t="n"/>
      <c r="E151" s="694" t="n"/>
      <c r="F151" s="695" t="n"/>
      <c r="G151" s="696" t="n"/>
      <c r="H151" s="151" t="n"/>
      <c r="I151" s="152" t="n"/>
      <c r="J151" s="692" t="n"/>
    </row>
    <row r="152" ht="20.1" customHeight="1">
      <c r="A152" s="142" t="n"/>
      <c r="B152" s="691" t="n"/>
      <c r="C152" s="692" t="n"/>
      <c r="D152" s="693" t="n"/>
      <c r="E152" s="694" t="n"/>
      <c r="F152" s="695" t="n"/>
      <c r="G152" s="696" t="n"/>
      <c r="H152" s="151" t="n"/>
      <c r="I152" s="152" t="n"/>
      <c r="J152" s="692" t="n"/>
    </row>
    <row r="153" ht="20.1" customHeight="1">
      <c r="A153" s="142" t="n"/>
      <c r="B153" s="691" t="n"/>
      <c r="C153" s="692" t="n"/>
      <c r="D153" s="693" t="n"/>
      <c r="E153" s="694" t="n"/>
      <c r="F153" s="695" t="n"/>
      <c r="G153" s="696" t="n"/>
      <c r="H153" s="151" t="n"/>
      <c r="I153" s="152" t="n"/>
      <c r="J153" s="692" t="n"/>
    </row>
    <row r="154" ht="20.1" customHeight="1">
      <c r="A154" s="142" t="n"/>
      <c r="B154" s="691" t="n"/>
      <c r="C154" s="692" t="n"/>
      <c r="D154" s="693" t="n"/>
      <c r="E154" s="694" t="n"/>
      <c r="F154" s="695" t="n"/>
      <c r="G154" s="696" t="n"/>
      <c r="H154" s="151" t="n"/>
      <c r="I154" s="152" t="n"/>
      <c r="J154" s="692" t="n"/>
    </row>
    <row r="155" ht="20.1" customHeight="1">
      <c r="A155" s="142" t="n"/>
      <c r="B155" s="691" t="n"/>
      <c r="C155" s="692" t="n"/>
      <c r="D155" s="693" t="n"/>
      <c r="E155" s="694" t="n"/>
      <c r="F155" s="695" t="n"/>
      <c r="G155" s="696" t="n"/>
      <c r="H155" s="151" t="n"/>
      <c r="I155" s="152" t="n"/>
      <c r="J155" s="692" t="n"/>
    </row>
    <row r="156" ht="20.1" customHeight="1">
      <c r="A156" s="142" t="n"/>
      <c r="B156" s="691" t="n"/>
      <c r="C156" s="692" t="n"/>
      <c r="D156" s="693" t="n"/>
      <c r="E156" s="694" t="n"/>
      <c r="F156" s="695" t="n"/>
      <c r="G156" s="696" t="n"/>
      <c r="H156" s="151" t="n"/>
      <c r="I156" s="152" t="n"/>
      <c r="J156" s="692" t="n"/>
    </row>
    <row r="157" ht="20.1" customHeight="1">
      <c r="A157" s="142" t="n"/>
      <c r="B157" s="691" t="n"/>
      <c r="C157" s="692" t="n"/>
      <c r="D157" s="693" t="n"/>
      <c r="E157" s="694" t="n"/>
      <c r="F157" s="695" t="n"/>
      <c r="G157" s="696" t="n"/>
      <c r="H157" s="151" t="n"/>
      <c r="I157" s="152" t="n"/>
      <c r="J157" s="692" t="n"/>
    </row>
    <row r="158">
      <c r="A158" s="142" t="n"/>
      <c r="B158" s="691" t="n"/>
      <c r="C158" s="692" t="n"/>
      <c r="D158" s="693" t="n"/>
      <c r="E158" s="694" t="n"/>
      <c r="F158" s="695" t="n"/>
      <c r="G158" s="696" t="n"/>
      <c r="H158" s="151" t="n"/>
      <c r="I158" s="152" t="n"/>
      <c r="J158" s="692" t="n"/>
    </row>
    <row r="159">
      <c r="A159" s="142" t="n"/>
      <c r="B159" s="691" t="n"/>
      <c r="C159" s="692" t="n"/>
      <c r="D159" s="693" t="n"/>
      <c r="E159" s="694" t="n"/>
      <c r="F159" s="695" t="n"/>
      <c r="G159" s="696" t="n"/>
      <c r="H159" s="151" t="n"/>
      <c r="I159" s="152" t="n"/>
      <c r="J159" s="692" t="n"/>
    </row>
    <row r="160" ht="20.1" customHeight="1">
      <c r="A160" s="142" t="n"/>
      <c r="B160" s="691" t="n"/>
      <c r="C160" s="692" t="n"/>
      <c r="D160" s="693" t="n"/>
      <c r="E160" s="694" t="n"/>
      <c r="F160" s="695" t="n"/>
      <c r="G160" s="696" t="n"/>
      <c r="H160" s="151" t="n"/>
      <c r="I160" s="152" t="n"/>
      <c r="J160" s="692" t="n"/>
    </row>
    <row r="161" ht="20.1" customHeight="1">
      <c r="A161" s="142" t="n"/>
      <c r="B161" s="691" t="n"/>
      <c r="C161" s="692" t="n"/>
      <c r="D161" s="693" t="n"/>
      <c r="E161" s="694" t="n"/>
      <c r="F161" s="695" t="n"/>
      <c r="G161" s="696" t="n"/>
      <c r="H161" s="151" t="n"/>
      <c r="I161" s="152" t="n"/>
      <c r="J161" s="692" t="n"/>
    </row>
    <row r="162" ht="20.1" customHeight="1">
      <c r="A162" s="142" t="n"/>
      <c r="B162" s="691" t="n"/>
      <c r="C162" s="692" t="n"/>
      <c r="D162" s="693" t="n"/>
      <c r="E162" s="694" t="n"/>
      <c r="F162" s="695" t="n"/>
      <c r="G162" s="696" t="n"/>
      <c r="H162" s="151" t="n"/>
      <c r="I162" s="152" t="n"/>
      <c r="J162" s="692" t="n"/>
    </row>
    <row r="163" ht="20.1" customHeight="1">
      <c r="A163" s="142" t="n"/>
      <c r="B163" s="691" t="n"/>
      <c r="C163" s="692" t="n"/>
      <c r="D163" s="693" t="n"/>
      <c r="E163" s="694" t="n"/>
      <c r="F163" s="695" t="n"/>
      <c r="G163" s="696" t="n"/>
      <c r="H163" s="151" t="n"/>
      <c r="I163" s="152" t="n"/>
      <c r="J163" s="692" t="n"/>
    </row>
    <row r="164" ht="20.1" customHeight="1">
      <c r="A164" s="142" t="n"/>
      <c r="B164" s="691" t="n"/>
      <c r="C164" s="692" t="n"/>
      <c r="D164" s="693" t="n"/>
      <c r="E164" s="694" t="n"/>
      <c r="F164" s="695" t="n"/>
      <c r="G164" s="696" t="n"/>
      <c r="H164" s="151" t="n"/>
      <c r="I164" s="152" t="n"/>
      <c r="J164" s="692" t="n"/>
    </row>
    <row r="165" ht="20.1" customHeight="1">
      <c r="A165" s="142" t="n"/>
      <c r="B165" s="691" t="n"/>
      <c r="C165" s="692" t="n"/>
      <c r="D165" s="693" t="n"/>
      <c r="E165" s="694" t="n"/>
      <c r="F165" s="695" t="n"/>
      <c r="G165" s="696" t="n"/>
      <c r="H165" s="151" t="n"/>
      <c r="I165" s="152" t="n"/>
      <c r="J165" s="692" t="n"/>
    </row>
    <row r="166" ht="20.1" customHeight="1">
      <c r="A166" s="142" t="n"/>
      <c r="B166" s="691" t="n"/>
      <c r="C166" s="692" t="n"/>
      <c r="D166" s="693" t="n"/>
      <c r="E166" s="694" t="n"/>
      <c r="F166" s="695" t="n"/>
      <c r="G166" s="696" t="n"/>
      <c r="H166" s="151" t="n"/>
      <c r="I166" s="152" t="n"/>
      <c r="J166" s="692" t="n"/>
    </row>
    <row r="167" ht="20.1" customHeight="1">
      <c r="A167" s="142" t="n"/>
      <c r="B167" s="691" t="n"/>
      <c r="C167" s="692" t="n"/>
      <c r="D167" s="693" t="n"/>
      <c r="E167" s="694" t="n"/>
      <c r="F167" s="695" t="n"/>
      <c r="G167" s="696" t="n"/>
      <c r="H167" s="151" t="n"/>
      <c r="I167" s="152" t="n"/>
      <c r="J167" s="692" t="n"/>
    </row>
    <row r="168" ht="20.1" customHeight="1">
      <c r="A168" s="142" t="n"/>
      <c r="B168" s="691" t="n"/>
      <c r="C168" s="692" t="n"/>
      <c r="D168" s="693" t="n"/>
      <c r="E168" s="694" t="n"/>
      <c r="F168" s="695" t="n"/>
      <c r="G168" s="696" t="n"/>
      <c r="H168" s="151" t="n"/>
      <c r="I168" s="152" t="n"/>
      <c r="J168" s="692" t="n"/>
    </row>
    <row r="169" ht="20.1" customHeight="1">
      <c r="A169" s="142" t="n"/>
      <c r="B169" s="691" t="n"/>
      <c r="C169" s="692" t="n"/>
      <c r="D169" s="693" t="n"/>
      <c r="E169" s="694" t="n"/>
      <c r="F169" s="695" t="n"/>
      <c r="G169" s="696" t="n"/>
      <c r="H169" s="151" t="n"/>
      <c r="I169" s="152" t="n"/>
      <c r="J169" s="692" t="n"/>
    </row>
    <row r="170" ht="20.1" customHeight="1">
      <c r="A170" s="142" t="n"/>
      <c r="B170" s="691" t="n"/>
      <c r="C170" s="692" t="n"/>
      <c r="D170" s="693" t="n"/>
      <c r="E170" s="694" t="n"/>
      <c r="F170" s="695" t="n"/>
      <c r="G170" s="696" t="n"/>
      <c r="H170" s="151" t="n"/>
      <c r="I170" s="152" t="n"/>
      <c r="J170" s="692" t="n"/>
    </row>
    <row r="171" ht="20.1" customHeight="1">
      <c r="A171" s="142" t="n"/>
      <c r="B171" s="691" t="n"/>
      <c r="C171" s="692" t="n"/>
      <c r="D171" s="693" t="n"/>
      <c r="E171" s="694" t="n"/>
      <c r="F171" s="695" t="n"/>
      <c r="G171" s="696" t="n"/>
      <c r="H171" s="151" t="n"/>
      <c r="I171" s="152" t="n"/>
      <c r="J171" s="692" t="n"/>
    </row>
    <row r="172" ht="20.1" customHeight="1">
      <c r="A172" s="142" t="n"/>
      <c r="B172" s="691" t="n"/>
      <c r="C172" s="692" t="n"/>
      <c r="D172" s="693" t="n"/>
      <c r="E172" s="694" t="n"/>
      <c r="F172" s="695" t="n"/>
      <c r="G172" s="696" t="n"/>
      <c r="H172" s="151" t="n"/>
      <c r="I172" s="152" t="n"/>
      <c r="J172" s="692" t="n"/>
    </row>
    <row r="173" ht="20.1" customHeight="1">
      <c r="A173" s="142" t="n"/>
      <c r="B173" s="691" t="n"/>
      <c r="C173" s="692" t="n"/>
      <c r="D173" s="693" t="n"/>
      <c r="E173" s="694" t="n"/>
      <c r="F173" s="695" t="n"/>
      <c r="G173" s="696" t="n"/>
      <c r="H173" s="151" t="n"/>
      <c r="I173" s="152" t="n"/>
      <c r="J173" s="692" t="n"/>
    </row>
    <row r="174" ht="20.1" customHeight="1">
      <c r="A174" s="142" t="n"/>
      <c r="B174" s="691" t="n"/>
      <c r="C174" s="692" t="n"/>
      <c r="D174" s="693" t="n"/>
      <c r="E174" s="694" t="n"/>
      <c r="F174" s="695" t="n"/>
      <c r="G174" s="696" t="n"/>
      <c r="H174" s="151" t="n"/>
      <c r="I174" s="152" t="n"/>
      <c r="J174" s="692" t="n"/>
    </row>
    <row r="175" ht="20.1" customHeight="1">
      <c r="A175" s="142" t="n"/>
      <c r="B175" s="691" t="n"/>
      <c r="C175" s="692" t="n"/>
      <c r="D175" s="693" t="n"/>
      <c r="E175" s="694" t="n"/>
      <c r="F175" s="695" t="n"/>
      <c r="G175" s="696" t="n"/>
      <c r="H175" s="151" t="n"/>
      <c r="I175" s="152" t="n"/>
      <c r="J175" s="692" t="n"/>
    </row>
    <row r="176" ht="20.1" customHeight="1">
      <c r="A176" s="142" t="n"/>
      <c r="B176" s="691" t="n"/>
      <c r="C176" s="692" t="n"/>
      <c r="D176" s="693" t="n"/>
      <c r="E176" s="694" t="n"/>
      <c r="F176" s="695" t="n"/>
      <c r="G176" s="696" t="n"/>
      <c r="H176" s="151" t="n"/>
      <c r="I176" s="152" t="n"/>
      <c r="J176" s="692" t="n"/>
    </row>
    <row r="177" ht="20.1" customHeight="1">
      <c r="A177" s="142" t="n"/>
      <c r="B177" s="691" t="n"/>
      <c r="C177" s="692" t="n"/>
      <c r="D177" s="693" t="n"/>
      <c r="E177" s="694" t="n"/>
      <c r="F177" s="695" t="n"/>
      <c r="G177" s="696" t="n"/>
      <c r="H177" s="151" t="n"/>
      <c r="I177" s="152" t="n"/>
      <c r="J177" s="692" t="n"/>
    </row>
    <row r="178" ht="20.1" customHeight="1">
      <c r="A178" s="142" t="n"/>
      <c r="B178" s="691" t="n"/>
      <c r="C178" s="692" t="n"/>
      <c r="D178" s="693" t="n"/>
      <c r="E178" s="694" t="n"/>
      <c r="F178" s="695" t="n"/>
      <c r="G178" s="696" t="n"/>
      <c r="H178" s="151" t="n"/>
      <c r="I178" s="152" t="n"/>
      <c r="J178" s="692" t="n"/>
    </row>
    <row r="179" ht="20.1" customHeight="1">
      <c r="A179" s="142" t="n"/>
      <c r="B179" s="691" t="n"/>
      <c r="C179" s="692" t="n"/>
      <c r="D179" s="693" t="n"/>
      <c r="E179" s="694" t="n"/>
      <c r="F179" s="695" t="n"/>
      <c r="G179" s="696" t="n"/>
      <c r="H179" s="151" t="n"/>
      <c r="I179" s="152" t="n"/>
      <c r="J179" s="692" t="n"/>
    </row>
    <row r="180" ht="20.1" customHeight="1">
      <c r="A180" s="142" t="n"/>
      <c r="B180" s="691" t="n"/>
      <c r="C180" s="692" t="n"/>
      <c r="D180" s="693" t="n"/>
      <c r="E180" s="694" t="n"/>
      <c r="F180" s="695" t="n"/>
      <c r="G180" s="696" t="n"/>
      <c r="H180" s="151" t="n"/>
      <c r="I180" s="152" t="n"/>
      <c r="J180" s="692" t="n"/>
    </row>
    <row r="181" ht="20.1" customHeight="1">
      <c r="A181" s="142" t="n"/>
      <c r="B181" s="691" t="n"/>
      <c r="C181" s="692" t="n"/>
      <c r="D181" s="693" t="n"/>
      <c r="E181" s="694" t="n"/>
      <c r="F181" s="695" t="n"/>
      <c r="G181" s="696" t="n"/>
      <c r="H181" s="151" t="n"/>
      <c r="I181" s="152" t="n"/>
      <c r="J181" s="692" t="n"/>
    </row>
    <row r="182" ht="20.1" customHeight="1">
      <c r="A182" s="142" t="n"/>
      <c r="B182" s="691" t="n"/>
      <c r="C182" s="692" t="n"/>
      <c r="D182" s="693" t="n"/>
      <c r="E182" s="694" t="n"/>
      <c r="F182" s="695" t="n"/>
      <c r="G182" s="696" t="n"/>
      <c r="H182" s="151" t="n"/>
      <c r="I182" s="152" t="n"/>
      <c r="J182" s="692" t="n"/>
    </row>
    <row r="183" ht="20.1" customHeight="1">
      <c r="A183" s="142" t="n"/>
      <c r="B183" s="691" t="n"/>
      <c r="C183" s="692" t="n"/>
      <c r="D183" s="693" t="n"/>
      <c r="E183" s="694" t="n"/>
      <c r="F183" s="695" t="n"/>
      <c r="G183" s="696" t="n"/>
      <c r="H183" s="151" t="n"/>
      <c r="I183" s="152" t="n"/>
      <c r="J183" s="692" t="n"/>
    </row>
    <row r="184" ht="20.1" customHeight="1">
      <c r="A184" s="142" t="n"/>
      <c r="B184" s="691" t="n"/>
      <c r="C184" s="692" t="n"/>
      <c r="D184" s="693" t="n"/>
      <c r="E184" s="694" t="n"/>
      <c r="F184" s="695" t="n"/>
      <c r="G184" s="696" t="n"/>
      <c r="H184" s="151" t="n"/>
      <c r="I184" s="152" t="n"/>
      <c r="J184" s="692" t="n"/>
    </row>
    <row r="185" ht="20.1" customHeight="1">
      <c r="A185" s="142" t="n"/>
      <c r="B185" s="691" t="n"/>
      <c r="C185" s="692" t="n"/>
      <c r="D185" s="693" t="n"/>
      <c r="E185" s="694" t="n"/>
      <c r="F185" s="695" t="n"/>
      <c r="G185" s="696" t="n"/>
      <c r="H185" s="151" t="n"/>
      <c r="I185" s="152" t="n"/>
      <c r="J185" s="692" t="n"/>
    </row>
    <row r="186" ht="20.1" customHeight="1">
      <c r="A186" s="142" t="n"/>
      <c r="B186" s="691" t="n"/>
      <c r="C186" s="692" t="n"/>
      <c r="D186" s="693" t="n"/>
      <c r="E186" s="694" t="n"/>
      <c r="F186" s="695" t="n"/>
      <c r="G186" s="696" t="n"/>
      <c r="H186" s="151" t="n"/>
      <c r="I186" s="152" t="n"/>
      <c r="J186" s="692" t="n"/>
    </row>
    <row r="187" ht="20.1" customHeight="1">
      <c r="A187" s="142" t="n"/>
      <c r="B187" s="691" t="n"/>
      <c r="C187" s="692" t="n"/>
      <c r="D187" s="693" t="n"/>
      <c r="E187" s="694" t="n"/>
      <c r="F187" s="695" t="n"/>
      <c r="G187" s="696" t="n"/>
      <c r="H187" s="151" t="n"/>
      <c r="I187" s="152" t="n"/>
      <c r="J187" s="692" t="n"/>
    </row>
    <row r="188" ht="20.1" customHeight="1">
      <c r="A188" s="142" t="n"/>
      <c r="B188" s="691" t="n"/>
      <c r="C188" s="692" t="n"/>
      <c r="D188" s="693" t="n"/>
      <c r="E188" s="694" t="n"/>
      <c r="F188" s="695" t="n"/>
      <c r="G188" s="696" t="n"/>
      <c r="H188" s="151" t="n"/>
      <c r="I188" s="152" t="n"/>
      <c r="J188" s="692" t="n"/>
    </row>
    <row r="189" ht="20.1" customHeight="1">
      <c r="A189" s="142" t="n"/>
      <c r="B189" s="691" t="n"/>
      <c r="C189" s="692" t="n"/>
      <c r="D189" s="693" t="n"/>
      <c r="E189" s="694" t="n"/>
      <c r="F189" s="695" t="n"/>
      <c r="G189" s="696" t="n"/>
      <c r="H189" s="151" t="n"/>
      <c r="I189" s="152" t="n"/>
      <c r="J189" s="692" t="n"/>
    </row>
    <row r="190" ht="20.1" customHeight="1">
      <c r="A190" s="142" t="n"/>
      <c r="B190" s="691" t="n"/>
      <c r="C190" s="692" t="n"/>
      <c r="D190" s="693" t="n"/>
      <c r="E190" s="694" t="n"/>
      <c r="F190" s="695" t="n"/>
      <c r="G190" s="696" t="n"/>
      <c r="H190" s="151" t="n"/>
      <c r="I190" s="152" t="n"/>
      <c r="J190" s="692" t="n"/>
    </row>
    <row r="191" ht="20.1" customHeight="1">
      <c r="A191" s="142" t="n"/>
      <c r="B191" s="691" t="n"/>
      <c r="C191" s="692" t="n"/>
      <c r="D191" s="693" t="n"/>
      <c r="E191" s="694" t="n"/>
      <c r="F191" s="695" t="n"/>
      <c r="G191" s="696" t="n"/>
      <c r="H191" s="151" t="n"/>
      <c r="I191" s="152" t="n"/>
      <c r="J191" s="692" t="n"/>
    </row>
    <row r="192" ht="20.1" customHeight="1">
      <c r="A192" s="142" t="n"/>
      <c r="B192" s="691" t="n"/>
      <c r="C192" s="692" t="n"/>
      <c r="D192" s="693" t="n"/>
      <c r="E192" s="694" t="n"/>
      <c r="F192" s="695" t="n"/>
      <c r="G192" s="696" t="n"/>
      <c r="H192" s="151" t="n"/>
      <c r="I192" s="152" t="n"/>
      <c r="J192" s="692" t="n"/>
    </row>
    <row r="193" ht="20.1" customHeight="1">
      <c r="A193" s="142" t="n"/>
      <c r="B193" s="691" t="n"/>
      <c r="C193" s="692" t="n"/>
      <c r="D193" s="693" t="n"/>
      <c r="E193" s="694" t="n"/>
      <c r="F193" s="695" t="n"/>
      <c r="G193" s="696" t="n"/>
      <c r="H193" s="151" t="n"/>
      <c r="I193" s="152" t="n"/>
      <c r="J193" s="692" t="n"/>
    </row>
    <row r="194" ht="20.1" customHeight="1">
      <c r="A194" s="142" t="n"/>
      <c r="B194" s="691" t="n"/>
      <c r="C194" s="692" t="n"/>
      <c r="D194" s="693" t="n"/>
      <c r="E194" s="694" t="n"/>
      <c r="F194" s="695" t="n"/>
      <c r="G194" s="696" t="n"/>
      <c r="H194" s="151" t="n"/>
      <c r="I194" s="152" t="n"/>
      <c r="J194" s="692" t="n"/>
    </row>
    <row r="195" ht="20.1" customHeight="1">
      <c r="A195" s="142" t="n"/>
      <c r="B195" s="691" t="n"/>
      <c r="C195" s="692" t="n"/>
      <c r="D195" s="693" t="n"/>
      <c r="E195" s="694" t="n"/>
      <c r="F195" s="695" t="n"/>
      <c r="G195" s="696" t="n"/>
      <c r="H195" s="151" t="n"/>
      <c r="I195" s="152" t="n"/>
      <c r="J195" s="692" t="n"/>
    </row>
    <row r="196" ht="20.1" customHeight="1">
      <c r="A196" s="142" t="n"/>
      <c r="B196" s="691" t="n"/>
      <c r="C196" s="692" t="n"/>
      <c r="D196" s="693" t="n"/>
      <c r="E196" s="694" t="n"/>
      <c r="F196" s="695" t="n"/>
      <c r="G196" s="696" t="n"/>
      <c r="H196" s="151" t="n"/>
      <c r="I196" s="152" t="n"/>
      <c r="J196" s="692" t="n"/>
    </row>
    <row r="197" ht="20.1" customHeight="1">
      <c r="A197" s="142" t="n"/>
      <c r="B197" s="691" t="n"/>
      <c r="C197" s="692" t="n"/>
      <c r="D197" s="693" t="n"/>
      <c r="E197" s="694" t="n"/>
      <c r="F197" s="695" t="n"/>
      <c r="G197" s="696" t="n"/>
      <c r="H197" s="151" t="n"/>
      <c r="I197" s="152" t="n"/>
      <c r="J197" s="692" t="n"/>
    </row>
    <row r="198" ht="20.1" customHeight="1">
      <c r="A198" s="142" t="n"/>
      <c r="B198" s="691" t="n"/>
      <c r="C198" s="692" t="n"/>
      <c r="D198" s="693" t="n"/>
      <c r="E198" s="694" t="n"/>
      <c r="F198" s="695" t="n"/>
      <c r="G198" s="696" t="n"/>
      <c r="H198" s="151" t="n"/>
      <c r="I198" s="152" t="n"/>
      <c r="J198" s="692" t="n"/>
    </row>
    <row r="199" ht="20.1" customHeight="1">
      <c r="A199" s="142" t="n"/>
      <c r="B199" s="691" t="n"/>
      <c r="C199" s="692" t="n"/>
      <c r="D199" s="693" t="n"/>
      <c r="E199" s="694" t="n"/>
      <c r="F199" s="695" t="n"/>
      <c r="G199" s="696" t="n"/>
      <c r="H199" s="151" t="n"/>
      <c r="I199" s="152" t="n"/>
      <c r="J199" s="692" t="n"/>
    </row>
    <row r="200" ht="20.1" customHeight="1">
      <c r="A200" s="142" t="n"/>
      <c r="B200" s="691" t="n"/>
      <c r="C200" s="692" t="n"/>
      <c r="D200" s="693" t="n"/>
      <c r="E200" s="694" t="n"/>
      <c r="F200" s="695" t="n"/>
      <c r="G200" s="696" t="n"/>
      <c r="H200" s="151" t="n"/>
      <c r="I200" s="152" t="n"/>
      <c r="J200" s="692" t="n"/>
    </row>
    <row r="201" ht="20.1" customHeight="1">
      <c r="A201" s="142" t="n"/>
      <c r="B201" s="691" t="n"/>
      <c r="C201" s="692" t="n"/>
      <c r="D201" s="693" t="n"/>
      <c r="E201" s="694" t="n"/>
      <c r="F201" s="695" t="n"/>
      <c r="G201" s="696" t="n"/>
      <c r="H201" s="151" t="n"/>
      <c r="I201" s="152" t="n"/>
      <c r="J201" s="692" t="n"/>
    </row>
    <row r="202" ht="20.1" customHeight="1">
      <c r="A202" s="142" t="n"/>
      <c r="B202" s="691" t="n"/>
      <c r="C202" s="692" t="n"/>
      <c r="D202" s="693" t="n"/>
      <c r="E202" s="694" t="n"/>
      <c r="F202" s="695" t="n"/>
      <c r="G202" s="696" t="n"/>
      <c r="H202" s="151" t="n"/>
      <c r="I202" s="152" t="n"/>
      <c r="J202" s="692" t="n"/>
    </row>
    <row r="203" ht="20.1" customHeight="1">
      <c r="A203" s="142" t="n"/>
      <c r="B203" s="691" t="n"/>
      <c r="C203" s="692" t="n"/>
      <c r="D203" s="693" t="n"/>
      <c r="E203" s="694" t="n"/>
      <c r="F203" s="695" t="n"/>
      <c r="G203" s="696" t="n"/>
      <c r="H203" s="151" t="n"/>
      <c r="I203" s="152" t="n"/>
      <c r="J203" s="692" t="n"/>
    </row>
    <row r="204" ht="20.1" customHeight="1">
      <c r="A204" s="142" t="n"/>
      <c r="B204" s="691" t="n"/>
      <c r="C204" s="692" t="n"/>
      <c r="D204" s="693" t="n"/>
      <c r="E204" s="694" t="n"/>
      <c r="F204" s="695" t="n"/>
      <c r="G204" s="696" t="n"/>
      <c r="H204" s="151" t="n"/>
      <c r="I204" s="152" t="n"/>
      <c r="J204" s="692" t="n"/>
    </row>
    <row r="205" ht="20.1" customHeight="1">
      <c r="A205" s="142" t="n"/>
      <c r="B205" s="691" t="n"/>
      <c r="C205" s="692" t="n"/>
      <c r="D205" s="693" t="n"/>
      <c r="E205" s="694" t="n"/>
      <c r="F205" s="695" t="n"/>
      <c r="G205" s="696" t="n"/>
      <c r="H205" s="151" t="n"/>
      <c r="I205" s="152" t="n"/>
      <c r="J205" s="692" t="n"/>
    </row>
    <row r="206" ht="20.1" customHeight="1">
      <c r="A206" s="142" t="n"/>
      <c r="B206" s="691" t="n"/>
      <c r="C206" s="692" t="n"/>
      <c r="D206" s="693" t="n"/>
      <c r="E206" s="694" t="n"/>
      <c r="F206" s="695" t="n"/>
      <c r="G206" s="696" t="n"/>
      <c r="H206" s="151" t="n"/>
      <c r="I206" s="152" t="n"/>
      <c r="J206" s="692" t="n"/>
    </row>
    <row r="207" ht="20.1" customHeight="1">
      <c r="A207" s="142" t="n"/>
      <c r="B207" s="691" t="n"/>
      <c r="C207" s="692" t="n"/>
      <c r="D207" s="693" t="n"/>
      <c r="E207" s="694" t="n"/>
      <c r="F207" s="695" t="n"/>
      <c r="G207" s="696" t="n"/>
      <c r="H207" s="151" t="n"/>
      <c r="I207" s="152" t="n"/>
      <c r="J207" s="692" t="n"/>
    </row>
    <row r="208" ht="20.1" customHeight="1">
      <c r="A208" s="142" t="n"/>
      <c r="B208" s="691" t="n"/>
      <c r="C208" s="692" t="n"/>
      <c r="D208" s="693" t="n"/>
      <c r="E208" s="694" t="n"/>
      <c r="F208" s="695" t="n"/>
      <c r="G208" s="696" t="n"/>
      <c r="H208" s="151" t="n"/>
      <c r="I208" s="152" t="n"/>
      <c r="J208" s="692" t="n"/>
    </row>
    <row r="209" ht="20.1" customHeight="1">
      <c r="A209" s="142" t="n"/>
      <c r="B209" s="691" t="n"/>
      <c r="C209" s="692" t="n"/>
      <c r="D209" s="693" t="n"/>
      <c r="E209" s="694" t="n"/>
      <c r="F209" s="695" t="n"/>
      <c r="G209" s="696" t="n"/>
      <c r="H209" s="151" t="n"/>
      <c r="I209" s="152" t="n"/>
      <c r="J209" s="692" t="n"/>
    </row>
    <row r="210">
      <c r="A210" s="142" t="n"/>
      <c r="B210" s="691" t="n"/>
      <c r="C210" s="692" t="n"/>
      <c r="D210" s="693" t="n"/>
      <c r="E210" s="694" t="n"/>
      <c r="F210" s="695" t="n"/>
      <c r="G210" s="696" t="n"/>
      <c r="H210" s="151" t="n"/>
      <c r="I210" s="152" t="n"/>
      <c r="J210" s="692" t="n"/>
    </row>
    <row r="211">
      <c r="A211" s="142" t="n"/>
      <c r="B211" s="691" t="n"/>
      <c r="C211" s="692" t="n"/>
      <c r="D211" s="693" t="n"/>
      <c r="E211" s="694" t="n"/>
      <c r="F211" s="695" t="n"/>
      <c r="G211" s="696" t="n"/>
      <c r="H211" s="151" t="n"/>
      <c r="I211" s="152" t="n"/>
      <c r="J211" s="692" t="n"/>
    </row>
    <row r="212">
      <c r="A212" s="142" t="n"/>
      <c r="B212" s="691" t="n"/>
      <c r="C212" s="692" t="n"/>
      <c r="D212" s="693" t="n"/>
      <c r="E212" s="694" t="n"/>
      <c r="F212" s="695" t="n"/>
      <c r="G212" s="696" t="n"/>
      <c r="H212" s="151" t="n"/>
      <c r="I212" s="152" t="n"/>
      <c r="J212" s="692" t="n"/>
    </row>
    <row r="213" ht="20.1" customHeight="1">
      <c r="A213" s="142" t="n"/>
      <c r="B213" s="691" t="n"/>
      <c r="C213" s="692" t="n"/>
      <c r="D213" s="693" t="n"/>
      <c r="E213" s="694" t="n"/>
      <c r="F213" s="695" t="n"/>
      <c r="G213" s="696" t="n"/>
      <c r="H213" s="151" t="n"/>
      <c r="I213" s="152" t="n"/>
      <c r="J213" s="692" t="n"/>
    </row>
    <row r="214" ht="20.1" customHeight="1">
      <c r="A214" s="142" t="n"/>
      <c r="B214" s="691" t="n"/>
      <c r="C214" s="692" t="n"/>
      <c r="D214" s="693" t="n"/>
      <c r="E214" s="694" t="n"/>
      <c r="F214" s="695" t="n"/>
      <c r="G214" s="696" t="n"/>
      <c r="H214" s="151" t="n"/>
      <c r="I214" s="152" t="n"/>
      <c r="J214" s="692" t="n"/>
    </row>
    <row r="215" ht="20.1" customHeight="1">
      <c r="A215" s="142" t="n"/>
      <c r="B215" s="691" t="n"/>
      <c r="C215" s="692" t="n"/>
      <c r="D215" s="693" t="n"/>
      <c r="E215" s="694" t="n"/>
      <c r="F215" s="695" t="n"/>
      <c r="G215" s="696" t="n"/>
      <c r="H215" s="151" t="n"/>
      <c r="I215" s="152" t="n"/>
      <c r="J215" s="692" t="n"/>
    </row>
    <row r="216" ht="20.1" customHeight="1">
      <c r="A216" s="142" t="n"/>
      <c r="B216" s="691" t="n"/>
      <c r="C216" s="692" t="n"/>
      <c r="D216" s="693" t="n"/>
      <c r="E216" s="694" t="n"/>
      <c r="F216" s="695" t="n"/>
      <c r="G216" s="696" t="n"/>
      <c r="H216" s="151" t="n"/>
      <c r="I216" s="152" t="n"/>
      <c r="J216" s="692" t="n"/>
    </row>
    <row r="217" ht="20.1" customHeight="1">
      <c r="A217" s="142" t="n"/>
      <c r="B217" s="691" t="n"/>
      <c r="C217" s="692" t="n"/>
      <c r="D217" s="693" t="n"/>
      <c r="E217" s="694" t="n"/>
      <c r="F217" s="695" t="n"/>
      <c r="G217" s="696" t="n"/>
      <c r="H217" s="151" t="n"/>
      <c r="I217" s="152" t="n"/>
      <c r="J217" s="692" t="n"/>
    </row>
    <row r="218" ht="20.1" customHeight="1">
      <c r="A218" s="142" t="n"/>
      <c r="B218" s="691" t="n"/>
      <c r="C218" s="692" t="n"/>
      <c r="D218" s="693" t="n"/>
      <c r="E218" s="694" t="n"/>
      <c r="F218" s="695" t="n"/>
      <c r="G218" s="696" t="n"/>
      <c r="H218" s="151" t="n"/>
      <c r="I218" s="152" t="n"/>
      <c r="J218" s="692" t="n"/>
    </row>
    <row r="219" ht="20.1" customHeight="1">
      <c r="A219" s="142" t="n"/>
      <c r="B219" s="691" t="n"/>
      <c r="C219" s="692" t="n"/>
      <c r="D219" s="693" t="n"/>
      <c r="E219" s="694" t="n"/>
      <c r="F219" s="695" t="n"/>
      <c r="G219" s="696" t="n"/>
      <c r="H219" s="151" t="n"/>
      <c r="I219" s="152" t="n"/>
      <c r="J219" s="692" t="n"/>
    </row>
    <row r="220" ht="20.1" customHeight="1">
      <c r="A220" s="142" t="n"/>
      <c r="B220" s="691" t="n"/>
      <c r="C220" s="692" t="n"/>
      <c r="D220" s="693" t="n"/>
      <c r="E220" s="694" t="n"/>
      <c r="F220" s="695" t="n"/>
      <c r="G220" s="696" t="n"/>
      <c r="H220" s="151" t="n"/>
      <c r="I220" s="152" t="n"/>
      <c r="J220" s="692" t="n"/>
    </row>
    <row r="221" ht="20.1" customHeight="1">
      <c r="A221" s="142" t="n"/>
      <c r="B221" s="691" t="n"/>
      <c r="C221" s="692" t="n"/>
      <c r="D221" s="693" t="n"/>
      <c r="E221" s="694" t="n"/>
      <c r="F221" s="695" t="n"/>
      <c r="G221" s="696" t="n"/>
      <c r="H221" s="151" t="n"/>
      <c r="I221" s="152" t="n"/>
      <c r="J221" s="692" t="n"/>
    </row>
    <row r="222" ht="20.1" customHeight="1">
      <c r="A222" s="142" t="n"/>
      <c r="B222" s="691" t="n"/>
      <c r="C222" s="692" t="n"/>
      <c r="D222" s="693" t="n"/>
      <c r="E222" s="694" t="n"/>
      <c r="F222" s="695" t="n"/>
      <c r="G222" s="696" t="n"/>
      <c r="H222" s="151" t="n"/>
      <c r="I222" s="152" t="n"/>
      <c r="J222" s="692" t="n"/>
    </row>
    <row r="223" ht="20.1" customHeight="1">
      <c r="A223" s="142" t="n"/>
      <c r="B223" s="691" t="n"/>
      <c r="C223" s="692" t="n"/>
      <c r="D223" s="693" t="n"/>
      <c r="E223" s="694" t="n"/>
      <c r="F223" s="695" t="n"/>
      <c r="G223" s="696" t="n"/>
      <c r="H223" s="151" t="n"/>
      <c r="I223" s="152" t="n"/>
      <c r="J223" s="692" t="n"/>
    </row>
    <row r="224" ht="20.1" customHeight="1">
      <c r="A224" s="142" t="n"/>
      <c r="B224" s="691" t="n"/>
      <c r="C224" s="692" t="n"/>
      <c r="D224" s="693" t="n"/>
      <c r="E224" s="694" t="n"/>
      <c r="F224" s="695" t="n"/>
      <c r="G224" s="696" t="n"/>
      <c r="H224" s="151" t="n"/>
      <c r="I224" s="152" t="n"/>
      <c r="J224" s="692" t="n"/>
    </row>
    <row r="225" ht="20.1" customHeight="1">
      <c r="A225" s="142" t="n"/>
      <c r="B225" s="691" t="n"/>
      <c r="C225" s="692" t="n"/>
      <c r="D225" s="693" t="n"/>
      <c r="E225" s="694" t="n"/>
      <c r="F225" s="695" t="n"/>
      <c r="G225" s="696" t="n"/>
      <c r="H225" s="151" t="n"/>
      <c r="I225" s="152" t="n"/>
      <c r="J225" s="692" t="n"/>
    </row>
    <row r="226" ht="20.1" customHeight="1">
      <c r="A226" s="142" t="n"/>
      <c r="B226" s="691" t="n"/>
      <c r="C226" s="692" t="n"/>
      <c r="D226" s="693" t="n"/>
      <c r="E226" s="694" t="n"/>
      <c r="F226" s="695" t="n"/>
      <c r="G226" s="696" t="n"/>
      <c r="H226" s="151" t="n"/>
      <c r="I226" s="152" t="n"/>
      <c r="J226" s="692" t="n"/>
    </row>
    <row r="227" ht="20.1" customHeight="1">
      <c r="A227" s="142" t="n"/>
      <c r="B227" s="691" t="n"/>
      <c r="C227" s="692" t="n"/>
      <c r="D227" s="693" t="n"/>
      <c r="E227" s="694" t="n"/>
      <c r="F227" s="695" t="n"/>
      <c r="G227" s="696" t="n"/>
      <c r="H227" s="151" t="n"/>
      <c r="I227" s="152" t="n"/>
      <c r="J227" s="692" t="n"/>
    </row>
    <row r="228" ht="20.1" customHeight="1">
      <c r="A228" s="142" t="n"/>
      <c r="B228" s="691" t="n"/>
      <c r="C228" s="692" t="n"/>
      <c r="D228" s="693" t="n"/>
      <c r="E228" s="694" t="n"/>
      <c r="F228" s="695" t="n"/>
      <c r="G228" s="696" t="n"/>
      <c r="H228" s="151" t="n"/>
      <c r="I228" s="152" t="n"/>
      <c r="J228" s="692" t="n"/>
    </row>
    <row r="229" ht="20.1" customHeight="1">
      <c r="A229" s="142" t="n"/>
      <c r="B229" s="691" t="n"/>
      <c r="C229" s="692" t="n"/>
      <c r="D229" s="693" t="n"/>
      <c r="E229" s="694" t="n"/>
      <c r="F229" s="695" t="n"/>
      <c r="G229" s="696" t="n"/>
      <c r="H229" s="151" t="n"/>
      <c r="I229" s="152" t="n"/>
      <c r="J229" s="692" t="n"/>
    </row>
    <row r="230">
      <c r="A230" s="142" t="n"/>
      <c r="B230" s="691" t="n"/>
      <c r="C230" s="692" t="n"/>
      <c r="D230" s="693" t="n"/>
      <c r="E230" s="694" t="n"/>
      <c r="F230" s="695" t="n"/>
      <c r="G230" s="696" t="n"/>
      <c r="H230" s="151" t="n"/>
      <c r="I230" s="152" t="n"/>
      <c r="J230" s="692" t="n"/>
    </row>
    <row r="231" ht="20.1" customHeight="1">
      <c r="A231" s="142" t="n"/>
      <c r="B231" s="691" t="n"/>
      <c r="C231" s="692" t="n"/>
      <c r="D231" s="693" t="n"/>
      <c r="E231" s="694" t="n"/>
      <c r="F231" s="695" t="n"/>
      <c r="G231" s="696" t="n"/>
      <c r="H231" s="151" t="n"/>
      <c r="I231" s="152" t="n"/>
      <c r="J231" s="692" t="n"/>
    </row>
    <row r="232" ht="20.1" customHeight="1">
      <c r="A232" s="142" t="n"/>
      <c r="B232" s="691" t="n"/>
      <c r="C232" s="692" t="n"/>
      <c r="D232" s="693" t="n"/>
      <c r="E232" s="694" t="n"/>
      <c r="F232" s="695" t="n"/>
      <c r="G232" s="696" t="n"/>
      <c r="H232" s="151" t="n"/>
      <c r="I232" s="152" t="n"/>
      <c r="J232" s="692" t="n"/>
    </row>
    <row r="233" ht="20.1" customHeight="1">
      <c r="A233" s="142" t="n"/>
      <c r="B233" s="691" t="n"/>
      <c r="C233" s="692" t="n"/>
      <c r="D233" s="693" t="n"/>
      <c r="E233" s="694" t="n"/>
      <c r="F233" s="695" t="n"/>
      <c r="G233" s="696" t="n"/>
      <c r="H233" s="151" t="n"/>
      <c r="I233" s="152" t="n"/>
      <c r="J233" s="692" t="n"/>
    </row>
    <row r="234" ht="20.1" customHeight="1">
      <c r="A234" s="142" t="n"/>
      <c r="B234" s="691" t="n"/>
      <c r="C234" s="692" t="n"/>
      <c r="D234" s="693" t="n"/>
      <c r="E234" s="694" t="n"/>
      <c r="F234" s="695" t="n"/>
      <c r="G234" s="696" t="n"/>
      <c r="H234" s="151" t="n"/>
      <c r="I234" s="152" t="n"/>
      <c r="J234" s="692" t="n"/>
    </row>
    <row r="235" ht="20.1" customHeight="1">
      <c r="A235" s="142" t="n"/>
      <c r="B235" s="691" t="n"/>
      <c r="C235" s="692" t="n"/>
      <c r="D235" s="693" t="n"/>
      <c r="E235" s="694" t="n"/>
      <c r="F235" s="695" t="n"/>
      <c r="G235" s="696" t="n"/>
      <c r="H235" s="151" t="n"/>
      <c r="I235" s="152" t="n"/>
      <c r="J235" s="692" t="n"/>
    </row>
    <row r="236" ht="20.1" customHeight="1">
      <c r="A236" s="142" t="n"/>
      <c r="B236" s="691" t="n"/>
      <c r="C236" s="692" t="n"/>
      <c r="D236" s="693" t="n"/>
      <c r="E236" s="694" t="n"/>
      <c r="F236" s="695" t="n"/>
      <c r="G236" s="696" t="n"/>
      <c r="H236" s="151" t="n"/>
      <c r="I236" s="152" t="n"/>
      <c r="J236" s="692" t="n"/>
    </row>
    <row r="237">
      <c r="A237" s="142" t="n"/>
      <c r="B237" s="691" t="n"/>
      <c r="C237" s="692" t="n"/>
      <c r="D237" s="693" t="n"/>
      <c r="E237" s="694" t="n"/>
      <c r="F237" s="695" t="n"/>
      <c r="G237" s="696" t="n"/>
      <c r="H237" s="151" t="n"/>
      <c r="I237" s="152" t="n"/>
      <c r="J237" s="692" t="n"/>
    </row>
    <row r="238" ht="20.1" customHeight="1">
      <c r="A238" s="142" t="n"/>
      <c r="B238" s="691" t="n"/>
      <c r="C238" s="692" t="n"/>
      <c r="D238" s="693" t="n"/>
      <c r="E238" s="694" t="n"/>
      <c r="F238" s="695" t="n"/>
      <c r="G238" s="696" t="n"/>
      <c r="H238" s="151" t="n"/>
      <c r="I238" s="152" t="n"/>
      <c r="J238" s="692" t="n"/>
    </row>
    <row r="239" ht="20.1" customHeight="1">
      <c r="A239" s="142" t="n"/>
      <c r="B239" s="691" t="n"/>
      <c r="C239" s="692" t="n"/>
      <c r="D239" s="693" t="n"/>
      <c r="E239" s="694" t="n"/>
      <c r="F239" s="695" t="n"/>
      <c r="G239" s="696" t="n"/>
      <c r="H239" s="151" t="n"/>
      <c r="I239" s="152" t="n"/>
      <c r="J239" s="692" t="n"/>
    </row>
    <row r="240" ht="20.1" customHeight="1">
      <c r="A240" s="142" t="n"/>
      <c r="B240" s="691" t="n"/>
      <c r="C240" s="692" t="n"/>
      <c r="D240" s="693" t="n"/>
      <c r="E240" s="694" t="n"/>
      <c r="F240" s="695" t="n"/>
      <c r="G240" s="696" t="n"/>
      <c r="H240" s="151" t="n"/>
      <c r="I240" s="152" t="n"/>
      <c r="J240" s="692" t="n"/>
    </row>
    <row r="241" ht="20.1" customHeight="1">
      <c r="A241" s="142" t="n"/>
      <c r="B241" s="691" t="n"/>
      <c r="C241" s="692" t="n"/>
      <c r="D241" s="693" t="n"/>
      <c r="E241" s="694" t="n"/>
      <c r="F241" s="695" t="n"/>
      <c r="G241" s="696" t="n"/>
      <c r="H241" s="151" t="n"/>
      <c r="I241" s="152" t="n"/>
      <c r="J241" s="692" t="n"/>
    </row>
    <row r="242">
      <c r="A242" s="142" t="n"/>
      <c r="B242" s="691" t="n"/>
      <c r="C242" s="692" t="n"/>
      <c r="D242" s="693" t="n"/>
      <c r="E242" s="694" t="n"/>
      <c r="F242" s="695" t="n"/>
      <c r="G242" s="696" t="n"/>
      <c r="H242" s="151" t="n"/>
      <c r="I242" s="152" t="n"/>
      <c r="J242" s="692" t="n"/>
    </row>
    <row r="243">
      <c r="A243" s="142" t="n"/>
      <c r="B243" s="691" t="n"/>
      <c r="C243" s="692" t="n"/>
      <c r="D243" s="693" t="n"/>
      <c r="E243" s="694" t="n"/>
      <c r="F243" s="695" t="n"/>
      <c r="G243" s="696" t="n"/>
      <c r="H243" s="151" t="n"/>
      <c r="I243" s="152" t="n"/>
      <c r="J243" s="692" t="n"/>
    </row>
    <row r="244" ht="20.1" customHeight="1">
      <c r="A244" s="142" t="n"/>
      <c r="B244" s="691" t="n"/>
      <c r="C244" s="692" t="n"/>
      <c r="D244" s="693" t="n"/>
      <c r="E244" s="694" t="n"/>
      <c r="F244" s="695" t="n"/>
      <c r="G244" s="696" t="n"/>
      <c r="H244" s="151" t="n"/>
      <c r="I244" s="152" t="n"/>
      <c r="J244" s="692" t="n"/>
    </row>
    <row r="245" ht="20.1" customHeight="1">
      <c r="A245" s="142" t="n"/>
      <c r="B245" s="691" t="n"/>
      <c r="C245" s="692" t="n"/>
      <c r="D245" s="693" t="n"/>
      <c r="E245" s="694" t="n"/>
      <c r="F245" s="695" t="n"/>
      <c r="G245" s="696" t="n"/>
      <c r="H245" s="151" t="n"/>
      <c r="I245" s="152" t="n"/>
      <c r="J245" s="692" t="n"/>
    </row>
    <row r="246" ht="20.1" customHeight="1">
      <c r="A246" s="142" t="n"/>
      <c r="B246" s="691" t="n"/>
      <c r="C246" s="692" t="n"/>
      <c r="D246" s="693" t="n"/>
      <c r="E246" s="694" t="n"/>
      <c r="F246" s="695" t="n"/>
      <c r="G246" s="696" t="n"/>
      <c r="H246" s="151" t="n"/>
      <c r="I246" s="152" t="n"/>
      <c r="J246" s="692" t="n"/>
    </row>
    <row r="247" ht="20.1" customHeight="1">
      <c r="A247" s="142" t="n"/>
      <c r="B247" s="697" t="n"/>
      <c r="C247" s="692" t="n"/>
      <c r="D247" s="698" t="n"/>
      <c r="E247" s="699" t="n"/>
      <c r="F247" s="695" t="n"/>
      <c r="G247" s="696" t="n"/>
      <c r="H247" s="151" t="n"/>
      <c r="I247" s="152" t="n"/>
      <c r="J247" s="692" t="n"/>
    </row>
    <row r="248" ht="20.1" customHeight="1">
      <c r="A248" s="142" t="n"/>
      <c r="B248" s="697" t="n"/>
      <c r="C248" s="692" t="n"/>
      <c r="D248" s="698" t="n"/>
      <c r="E248" s="699" t="n"/>
      <c r="F248" s="695" t="n"/>
      <c r="G248" s="696" t="n"/>
      <c r="H248" s="151" t="n"/>
      <c r="I248" s="152" t="n"/>
      <c r="J248" s="692" t="n"/>
    </row>
    <row r="249" ht="20.1" customHeight="1">
      <c r="A249" s="142" t="n"/>
      <c r="B249" s="691" t="n"/>
      <c r="C249" s="692" t="n"/>
      <c r="D249" s="693" t="n"/>
      <c r="E249" s="694" t="n"/>
      <c r="F249" s="695" t="n"/>
      <c r="G249" s="696" t="n"/>
      <c r="H249" s="151" t="n"/>
      <c r="I249" s="152" t="n"/>
      <c r="J249" s="692" t="n"/>
    </row>
    <row r="250" ht="20.1" customHeight="1">
      <c r="A250" s="142" t="n"/>
      <c r="B250" s="691" t="n"/>
      <c r="C250" s="692" t="n"/>
      <c r="D250" s="693" t="n"/>
      <c r="E250" s="694" t="n"/>
      <c r="F250" s="695" t="n"/>
      <c r="G250" s="696" t="n"/>
      <c r="H250" s="151" t="n"/>
      <c r="I250" s="152" t="n"/>
      <c r="J250" s="692" t="n"/>
    </row>
    <row r="251" ht="20.1" customHeight="1">
      <c r="A251" s="142" t="n"/>
      <c r="B251" s="691" t="n"/>
      <c r="C251" s="692" t="n"/>
      <c r="D251" s="693" t="n"/>
      <c r="E251" s="694" t="n"/>
      <c r="F251" s="695" t="n"/>
      <c r="G251" s="696" t="n"/>
      <c r="H251" s="151" t="n"/>
      <c r="I251" s="152" t="n"/>
      <c r="J251" s="692" t="n"/>
    </row>
    <row r="252" ht="20.1" customHeight="1">
      <c r="A252" s="142" t="n"/>
      <c r="B252" s="691" t="n"/>
      <c r="C252" s="692" t="n"/>
      <c r="D252" s="693" t="n"/>
      <c r="E252" s="694" t="n"/>
      <c r="F252" s="695" t="n"/>
      <c r="G252" s="696" t="n"/>
      <c r="H252" s="151" t="n"/>
      <c r="I252" s="152" t="n"/>
      <c r="J252" s="692" t="n"/>
    </row>
    <row r="253" ht="20.1" customHeight="1">
      <c r="A253" s="142" t="n"/>
      <c r="B253" s="691" t="n"/>
      <c r="C253" s="692" t="n"/>
      <c r="D253" s="693" t="n"/>
      <c r="E253" s="694" t="n"/>
      <c r="F253" s="695" t="n"/>
      <c r="G253" s="696" t="n"/>
      <c r="H253" s="151" t="n"/>
      <c r="I253" s="152" t="n"/>
      <c r="J253" s="692" t="n"/>
    </row>
    <row r="254" ht="20.1" customHeight="1">
      <c r="A254" s="142" t="n"/>
      <c r="B254" s="691" t="n"/>
      <c r="C254" s="692" t="n"/>
      <c r="D254" s="693" t="n"/>
      <c r="E254" s="694" t="n"/>
      <c r="F254" s="695" t="n"/>
      <c r="G254" s="696" t="n"/>
      <c r="H254" s="151" t="n"/>
      <c r="I254" s="152" t="n"/>
      <c r="J254" s="692" t="n"/>
    </row>
    <row r="255" ht="20.1" customHeight="1">
      <c r="A255" s="142" t="n"/>
      <c r="B255" s="691" t="n"/>
      <c r="C255" s="692" t="n"/>
      <c r="D255" s="693" t="n"/>
      <c r="E255" s="694" t="n"/>
      <c r="F255" s="695" t="n"/>
      <c r="G255" s="696" t="n"/>
      <c r="H255" s="151" t="n"/>
      <c r="I255" s="152" t="n"/>
      <c r="J255" s="692" t="n"/>
    </row>
    <row r="256" ht="20.1" customHeight="1">
      <c r="A256" s="142" t="n"/>
      <c r="B256" s="691" t="n"/>
      <c r="C256" s="692" t="n"/>
      <c r="D256" s="693" t="n"/>
      <c r="E256" s="694" t="n"/>
      <c r="F256" s="695" t="n"/>
      <c r="G256" s="696" t="n"/>
      <c r="H256" s="151" t="n"/>
      <c r="I256" s="152" t="n"/>
      <c r="J256" s="692" t="n"/>
    </row>
    <row r="257" ht="20.1" customHeight="1">
      <c r="A257" s="142" t="n"/>
      <c r="B257" s="691" t="n"/>
      <c r="C257" s="692" t="n"/>
      <c r="D257" s="693" t="n"/>
      <c r="E257" s="694" t="n"/>
      <c r="F257" s="695" t="n"/>
      <c r="G257" s="696" t="n"/>
      <c r="H257" s="151" t="n"/>
      <c r="I257" s="152" t="n"/>
      <c r="J257" s="692" t="n"/>
    </row>
    <row r="258" ht="20.1" customHeight="1">
      <c r="A258" s="142" t="n"/>
      <c r="B258" s="691" t="n"/>
      <c r="C258" s="692" t="n"/>
      <c r="D258" s="693" t="n"/>
      <c r="E258" s="694" t="n"/>
      <c r="F258" s="695" t="n"/>
      <c r="G258" s="696" t="n"/>
      <c r="H258" s="151" t="n"/>
      <c r="I258" s="152" t="n"/>
      <c r="J258" s="692" t="n"/>
    </row>
    <row r="259" ht="20.1" customHeight="1">
      <c r="A259" s="142" t="n"/>
      <c r="B259" s="691" t="n"/>
      <c r="C259" s="692" t="n"/>
      <c r="D259" s="693" t="n"/>
      <c r="E259" s="694" t="n"/>
      <c r="F259" s="695" t="n"/>
      <c r="G259" s="696" t="n"/>
      <c r="H259" s="151" t="n"/>
      <c r="I259" s="152" t="n"/>
      <c r="J259" s="692" t="n"/>
    </row>
    <row r="260" ht="20.1" customHeight="1">
      <c r="A260" s="142" t="n"/>
      <c r="B260" s="691" t="n"/>
      <c r="C260" s="692" t="n"/>
      <c r="D260" s="693" t="n"/>
      <c r="E260" s="694" t="n"/>
      <c r="F260" s="695" t="n"/>
      <c r="G260" s="696" t="n"/>
      <c r="H260" s="151" t="n"/>
      <c r="I260" s="152" t="n"/>
      <c r="J260" s="692" t="n"/>
    </row>
    <row r="261" ht="20.1" customHeight="1">
      <c r="A261" s="142" t="n"/>
      <c r="B261" s="691" t="n"/>
      <c r="C261" s="692" t="n"/>
      <c r="D261" s="693" t="n"/>
      <c r="E261" s="694" t="n"/>
      <c r="F261" s="695" t="n"/>
      <c r="G261" s="696" t="n"/>
      <c r="H261" s="151" t="n"/>
      <c r="I261" s="152" t="n"/>
      <c r="J261" s="692" t="n"/>
    </row>
    <row r="262" ht="20.1" customHeight="1">
      <c r="A262" s="142" t="n"/>
      <c r="B262" s="691" t="n"/>
      <c r="C262" s="692" t="n"/>
      <c r="D262" s="693" t="n"/>
      <c r="E262" s="694" t="n"/>
      <c r="F262" s="695" t="n"/>
      <c r="G262" s="696" t="n"/>
      <c r="H262" s="151" t="n"/>
      <c r="I262" s="152" t="n"/>
      <c r="J262" s="692" t="n"/>
    </row>
    <row r="263" ht="20.1" customHeight="1">
      <c r="A263" s="142" t="n"/>
      <c r="B263" s="691" t="n"/>
      <c r="C263" s="692" t="n"/>
      <c r="D263" s="693" t="n"/>
      <c r="E263" s="694" t="n"/>
      <c r="F263" s="695" t="n"/>
      <c r="G263" s="696" t="n"/>
      <c r="H263" s="151" t="n"/>
      <c r="I263" s="152" t="n"/>
      <c r="J263" s="692" t="n"/>
    </row>
    <row r="264" ht="20.1" customHeight="1">
      <c r="A264" s="142" t="n"/>
      <c r="B264" s="691" t="n"/>
      <c r="C264" s="692" t="n"/>
      <c r="D264" s="693" t="n"/>
      <c r="E264" s="694" t="n"/>
      <c r="F264" s="695" t="n"/>
      <c r="G264" s="696" t="n"/>
      <c r="H264" s="151" t="n"/>
      <c r="I264" s="152" t="n"/>
      <c r="J264" s="692" t="n"/>
    </row>
    <row r="265" ht="20.1" customHeight="1">
      <c r="A265" s="142" t="n"/>
      <c r="B265" s="691" t="n"/>
      <c r="C265" s="692" t="n"/>
      <c r="D265" s="693" t="n"/>
      <c r="E265" s="694" t="n"/>
      <c r="F265" s="695" t="n"/>
      <c r="G265" s="696" t="n"/>
      <c r="H265" s="151" t="n"/>
      <c r="I265" s="152" t="n"/>
      <c r="J265" s="692" t="n"/>
    </row>
    <row r="266" ht="20.1" customHeight="1">
      <c r="A266" s="142" t="n"/>
      <c r="B266" s="691" t="n"/>
      <c r="C266" s="692" t="n"/>
      <c r="D266" s="693" t="n"/>
      <c r="E266" s="694" t="n"/>
      <c r="F266" s="695" t="n"/>
      <c r="G266" s="696" t="n"/>
      <c r="H266" s="151" t="n"/>
      <c r="I266" s="152" t="n"/>
      <c r="J266" s="692" t="n"/>
    </row>
    <row r="267" ht="20.1" customHeight="1">
      <c r="A267" s="142" t="n"/>
      <c r="B267" s="691" t="n"/>
      <c r="C267" s="692" t="n"/>
      <c r="D267" s="693" t="n"/>
      <c r="E267" s="694" t="n"/>
      <c r="F267" s="695" t="n"/>
      <c r="G267" s="696" t="n"/>
      <c r="H267" s="151" t="n"/>
      <c r="I267" s="152" t="n"/>
      <c r="J267" s="692" t="n"/>
    </row>
    <row r="268" ht="20.1" customHeight="1">
      <c r="A268" s="142" t="n"/>
      <c r="B268" s="691" t="n"/>
      <c r="C268" s="692" t="n"/>
      <c r="D268" s="693" t="n"/>
      <c r="E268" s="694" t="n"/>
      <c r="F268" s="695" t="n"/>
      <c r="G268" s="696" t="n"/>
      <c r="H268" s="151" t="n"/>
      <c r="I268" s="152" t="n"/>
      <c r="J268" s="692" t="n"/>
    </row>
    <row r="269" ht="20.1" customHeight="1">
      <c r="A269" s="142" t="n"/>
      <c r="B269" s="691" t="n"/>
      <c r="C269" s="692" t="n"/>
      <c r="D269" s="693" t="n"/>
      <c r="E269" s="694" t="n"/>
      <c r="F269" s="695" t="n"/>
      <c r="G269" s="696" t="n"/>
      <c r="H269" s="151" t="n"/>
      <c r="I269" s="152" t="n"/>
      <c r="J269" s="692" t="n"/>
    </row>
    <row r="270" ht="20.1" customHeight="1">
      <c r="A270" s="142" t="n"/>
      <c r="B270" s="691" t="n"/>
      <c r="C270" s="692" t="n"/>
      <c r="D270" s="693" t="n"/>
      <c r="E270" s="694" t="n"/>
      <c r="F270" s="695" t="n"/>
      <c r="G270" s="696" t="n"/>
      <c r="H270" s="151" t="n"/>
      <c r="I270" s="152" t="n"/>
      <c r="J270" s="692" t="n"/>
    </row>
    <row r="271" ht="20.1" customHeight="1">
      <c r="A271" s="142" t="n"/>
      <c r="B271" s="691" t="n"/>
      <c r="C271" s="692" t="n"/>
      <c r="D271" s="693" t="n"/>
      <c r="E271" s="694" t="n"/>
      <c r="F271" s="695" t="n"/>
      <c r="G271" s="696" t="n"/>
      <c r="H271" s="151" t="n"/>
      <c r="I271" s="152" t="n"/>
      <c r="J271" s="692" t="n"/>
    </row>
    <row r="272" ht="20.1" customHeight="1">
      <c r="A272" s="142" t="n"/>
      <c r="B272" s="691" t="n"/>
      <c r="C272" s="692" t="n"/>
      <c r="D272" s="693" t="n"/>
      <c r="E272" s="694" t="n"/>
      <c r="F272" s="695" t="n"/>
      <c r="G272" s="696" t="n"/>
      <c r="H272" s="151" t="n"/>
      <c r="I272" s="152" t="n"/>
      <c r="J272" s="692" t="n"/>
    </row>
    <row r="273" ht="20.1" customHeight="1">
      <c r="A273" s="142" t="n"/>
      <c r="B273" s="691" t="n"/>
      <c r="C273" s="692" t="n"/>
      <c r="D273" s="693" t="n"/>
      <c r="E273" s="694" t="n"/>
      <c r="F273" s="695" t="n"/>
      <c r="G273" s="696" t="n"/>
      <c r="H273" s="151" t="n"/>
      <c r="I273" s="152" t="n"/>
      <c r="J273" s="692" t="n"/>
    </row>
    <row r="274" ht="20.1" customHeight="1">
      <c r="A274" s="142" t="n"/>
      <c r="B274" s="691" t="n"/>
      <c r="C274" s="692" t="n"/>
      <c r="D274" s="693" t="n"/>
      <c r="E274" s="694" t="n"/>
      <c r="F274" s="695" t="n"/>
      <c r="G274" s="696" t="n"/>
      <c r="H274" s="151" t="n"/>
      <c r="I274" s="152" t="n"/>
      <c r="J274" s="692" t="n"/>
    </row>
    <row r="275" ht="20.1" customHeight="1">
      <c r="A275" s="142" t="n"/>
      <c r="B275" s="691" t="n"/>
      <c r="C275" s="692" t="n"/>
      <c r="D275" s="693" t="n"/>
      <c r="E275" s="694" t="n"/>
      <c r="F275" s="695" t="n"/>
      <c r="G275" s="696" t="n"/>
      <c r="H275" s="151" t="n"/>
      <c r="I275" s="152" t="n"/>
      <c r="J275" s="692" t="n"/>
    </row>
    <row r="276" ht="20.1" customHeight="1">
      <c r="A276" s="142" t="n"/>
      <c r="B276" s="691" t="n"/>
      <c r="C276" s="692" t="n"/>
      <c r="D276" s="693" t="n"/>
      <c r="E276" s="694" t="n"/>
      <c r="F276" s="695" t="n"/>
      <c r="G276" s="696" t="n"/>
      <c r="H276" s="151" t="n"/>
      <c r="I276" s="152" t="n"/>
      <c r="J276" s="692" t="n"/>
    </row>
    <row r="277" ht="20.1" customHeight="1">
      <c r="A277" s="142" t="n"/>
      <c r="B277" s="691" t="n"/>
      <c r="C277" s="692" t="n"/>
      <c r="D277" s="693" t="n"/>
      <c r="E277" s="694" t="n"/>
      <c r="F277" s="695" t="n"/>
      <c r="G277" s="696" t="n"/>
      <c r="H277" s="151" t="n"/>
      <c r="I277" s="152" t="n"/>
      <c r="J277" s="692" t="n"/>
    </row>
    <row r="278" ht="20.1" customHeight="1">
      <c r="A278" s="142" t="n"/>
      <c r="B278" s="691" t="n"/>
      <c r="C278" s="692" t="n"/>
      <c r="D278" s="693" t="n"/>
      <c r="E278" s="694" t="n"/>
      <c r="F278" s="695" t="n"/>
      <c r="G278" s="696" t="n"/>
      <c r="H278" s="151" t="n"/>
      <c r="I278" s="152" t="n"/>
      <c r="J278" s="692" t="n"/>
    </row>
    <row r="279" ht="20.1" customHeight="1">
      <c r="A279" s="142" t="n"/>
      <c r="B279" s="691" t="n"/>
      <c r="C279" s="692" t="n"/>
      <c r="D279" s="693" t="n"/>
      <c r="E279" s="694" t="n"/>
      <c r="F279" s="695" t="n"/>
      <c r="G279" s="696" t="n"/>
      <c r="H279" s="151" t="n"/>
      <c r="I279" s="152" t="n"/>
      <c r="J279" s="692" t="n"/>
    </row>
    <row r="280" ht="20.1" customHeight="1">
      <c r="A280" s="142" t="n"/>
      <c r="B280" s="691" t="n"/>
      <c r="C280" s="692" t="n"/>
      <c r="D280" s="693" t="n"/>
      <c r="E280" s="694" t="n"/>
      <c r="F280" s="695" t="n"/>
      <c r="G280" s="696" t="n"/>
      <c r="H280" s="151" t="n"/>
      <c r="I280" s="152" t="n"/>
      <c r="J280" s="692" t="n"/>
    </row>
    <row r="281" ht="30" customHeight="1">
      <c r="A281" s="142" t="n"/>
      <c r="B281" s="691" t="n"/>
      <c r="C281" s="692" t="n"/>
      <c r="D281" s="693" t="n"/>
      <c r="E281" s="694" t="n"/>
      <c r="F281" s="695" t="n"/>
      <c r="G281" s="696" t="n"/>
      <c r="H281" s="151" t="n"/>
      <c r="I281" s="152" t="n"/>
      <c r="J281" s="692" t="n"/>
    </row>
    <row r="282" ht="20.1" customHeight="1">
      <c r="A282" s="142" t="n"/>
      <c r="B282" s="691" t="n"/>
      <c r="C282" s="692" t="n"/>
      <c r="D282" s="693" t="n"/>
      <c r="E282" s="694" t="n"/>
      <c r="F282" s="695" t="n"/>
      <c r="G282" s="696" t="n"/>
      <c r="H282" s="151" t="n"/>
      <c r="I282" s="152" t="n"/>
      <c r="J282" s="692" t="n"/>
    </row>
    <row r="283" ht="20.1" customHeight="1">
      <c r="A283" s="142" t="n"/>
      <c r="B283" s="691" t="n"/>
      <c r="C283" s="692" t="n"/>
      <c r="D283" s="693" t="n"/>
      <c r="E283" s="694" t="n"/>
      <c r="F283" s="695" t="n"/>
      <c r="G283" s="696" t="n"/>
      <c r="H283" s="151" t="n"/>
      <c r="I283" s="152" t="n"/>
      <c r="J283" s="692" t="n"/>
    </row>
    <row r="284" ht="20.1" customHeight="1">
      <c r="A284" s="142" t="n"/>
      <c r="B284" s="691" t="n"/>
      <c r="C284" s="692" t="n"/>
      <c r="D284" s="693" t="n"/>
      <c r="E284" s="694" t="n"/>
      <c r="F284" s="695" t="n"/>
      <c r="G284" s="696" t="n"/>
      <c r="H284" s="151" t="n"/>
      <c r="I284" s="152" t="n"/>
      <c r="J284" s="692" t="n"/>
    </row>
    <row r="285" ht="20.1" customHeight="1">
      <c r="A285" s="142" t="n"/>
      <c r="B285" s="691" t="n"/>
      <c r="C285" s="692" t="n"/>
      <c r="D285" s="693" t="n"/>
      <c r="E285" s="694" t="n"/>
      <c r="F285" s="695" t="n"/>
      <c r="G285" s="696" t="n"/>
      <c r="H285" s="151" t="n"/>
      <c r="I285" s="152" t="n"/>
      <c r="J285" s="692" t="n"/>
    </row>
    <row r="286" ht="20.1" customHeight="1">
      <c r="A286" s="142" t="n"/>
      <c r="B286" s="691" t="n"/>
      <c r="C286" s="692" t="n"/>
      <c r="D286" s="693" t="n"/>
      <c r="E286" s="694" t="n"/>
      <c r="F286" s="695" t="n"/>
      <c r="G286" s="696" t="n"/>
      <c r="H286" s="151" t="n"/>
      <c r="I286" s="152" t="n"/>
      <c r="J286" s="692" t="n"/>
    </row>
    <row r="287" ht="20.1" customHeight="1">
      <c r="A287" s="142" t="n"/>
      <c r="B287" s="691" t="n"/>
      <c r="C287" s="692" t="n"/>
      <c r="D287" s="693" t="n"/>
      <c r="E287" s="694" t="n"/>
      <c r="F287" s="695" t="n"/>
      <c r="G287" s="696" t="n"/>
      <c r="H287" s="151" t="n"/>
      <c r="I287" s="152" t="n"/>
      <c r="J287" s="692" t="n"/>
    </row>
    <row r="288" ht="20.1" customHeight="1">
      <c r="A288" s="142" t="n"/>
      <c r="B288" s="691" t="n"/>
      <c r="C288" s="692" t="n"/>
      <c r="D288" s="693" t="n"/>
      <c r="E288" s="694" t="n"/>
      <c r="F288" s="695" t="n"/>
      <c r="G288" s="696" t="n"/>
      <c r="H288" s="151" t="n"/>
      <c r="I288" s="152" t="n"/>
      <c r="J288" s="692" t="n"/>
    </row>
    <row r="289" ht="20.1" customHeight="1">
      <c r="A289" s="142" t="n"/>
      <c r="B289" s="691" t="n"/>
      <c r="C289" s="692" t="n"/>
      <c r="D289" s="693" t="n"/>
      <c r="E289" s="694" t="n"/>
      <c r="F289" s="695" t="n"/>
      <c r="G289" s="696" t="n"/>
      <c r="H289" s="151" t="n"/>
      <c r="I289" s="152" t="n"/>
      <c r="J289" s="692" t="n"/>
    </row>
    <row r="290" ht="20.1" customHeight="1">
      <c r="A290" s="142" t="n"/>
      <c r="B290" s="691" t="n"/>
      <c r="C290" s="692" t="n"/>
      <c r="D290" s="693" t="n"/>
      <c r="E290" s="694" t="n"/>
      <c r="F290" s="695" t="n"/>
      <c r="G290" s="696" t="n"/>
      <c r="H290" s="151" t="n"/>
      <c r="I290" s="152" t="n"/>
      <c r="J290" s="692" t="n"/>
    </row>
    <row r="291" ht="20.1" customHeight="1">
      <c r="A291" s="142" t="n"/>
      <c r="B291" s="691" t="n"/>
      <c r="C291" s="692" t="n"/>
      <c r="D291" s="693" t="n"/>
      <c r="E291" s="694" t="n"/>
      <c r="F291" s="695" t="n"/>
      <c r="G291" s="696" t="n"/>
      <c r="H291" s="151" t="n"/>
      <c r="I291" s="152" t="n"/>
      <c r="J291" s="692" t="n"/>
    </row>
    <row r="292" ht="20.1" customHeight="1">
      <c r="A292" s="142" t="n"/>
      <c r="B292" s="691" t="n"/>
      <c r="C292" s="692" t="n"/>
      <c r="D292" s="693" t="n"/>
      <c r="E292" s="694" t="n"/>
      <c r="F292" s="695" t="n"/>
      <c r="G292" s="696" t="n"/>
      <c r="H292" s="151" t="n"/>
      <c r="I292" s="152" t="n"/>
      <c r="J292" s="692" t="n"/>
    </row>
    <row r="293" ht="20.1" customHeight="1">
      <c r="A293" s="142" t="n"/>
      <c r="B293" s="691" t="n"/>
      <c r="C293" s="692" t="n"/>
      <c r="D293" s="693" t="n"/>
      <c r="E293" s="694" t="n"/>
      <c r="F293" s="695" t="n"/>
      <c r="G293" s="696" t="n"/>
      <c r="H293" s="151" t="n"/>
      <c r="I293" s="152" t="n"/>
      <c r="J293" s="692" t="n"/>
    </row>
    <row r="294" ht="20.1" customHeight="1">
      <c r="A294" s="142" t="n"/>
      <c r="B294" s="691" t="n"/>
      <c r="C294" s="692" t="n"/>
      <c r="D294" s="693" t="n"/>
      <c r="E294" s="694" t="n"/>
      <c r="F294" s="695" t="n"/>
      <c r="G294" s="696" t="n"/>
      <c r="H294" s="151" t="n"/>
      <c r="I294" s="152" t="n"/>
      <c r="J294" s="692" t="n"/>
    </row>
    <row r="295" ht="20.1" customHeight="1">
      <c r="A295" s="142" t="n"/>
      <c r="B295" s="691" t="n"/>
      <c r="C295" s="692" t="n"/>
      <c r="D295" s="693" t="n"/>
      <c r="E295" s="694" t="n"/>
      <c r="F295" s="695" t="n"/>
      <c r="G295" s="696" t="n"/>
      <c r="H295" s="151" t="n"/>
      <c r="I295" s="152" t="n"/>
      <c r="J295" s="692" t="n"/>
    </row>
    <row r="296" ht="20.1" customHeight="1">
      <c r="A296" s="142" t="n"/>
      <c r="B296" s="691" t="n"/>
      <c r="C296" s="692" t="n"/>
      <c r="D296" s="693" t="n"/>
      <c r="E296" s="694" t="n"/>
      <c r="F296" s="695" t="n"/>
      <c r="G296" s="696" t="n"/>
      <c r="H296" s="151" t="n"/>
      <c r="I296" s="152" t="n"/>
      <c r="J296" s="692" t="n"/>
    </row>
    <row r="297" ht="20.1" customHeight="1">
      <c r="A297" s="142" t="n"/>
      <c r="B297" s="691" t="n"/>
      <c r="C297" s="692" t="n"/>
      <c r="D297" s="693" t="n"/>
      <c r="E297" s="694" t="n"/>
      <c r="F297" s="695" t="n"/>
      <c r="G297" s="696" t="n"/>
      <c r="H297" s="151" t="n"/>
      <c r="I297" s="152" t="n"/>
      <c r="J297" s="692" t="n"/>
    </row>
    <row r="298" ht="20.1" customHeight="1">
      <c r="A298" s="142" t="n"/>
      <c r="B298" s="691" t="n"/>
      <c r="C298" s="692" t="n"/>
      <c r="D298" s="693" t="n"/>
      <c r="E298" s="694" t="n"/>
      <c r="F298" s="695" t="n"/>
      <c r="G298" s="696" t="n"/>
      <c r="H298" s="151" t="n"/>
      <c r="I298" s="152" t="n"/>
      <c r="J298" s="692" t="n"/>
    </row>
    <row r="299" ht="20.1" customHeight="1">
      <c r="A299" s="142" t="n"/>
      <c r="B299" s="691" t="n"/>
      <c r="C299" s="692" t="n"/>
      <c r="D299" s="693" t="n"/>
      <c r="E299" s="694" t="n"/>
      <c r="F299" s="695" t="n"/>
      <c r="G299" s="696" t="n"/>
      <c r="H299" s="151" t="n"/>
      <c r="I299" s="152" t="n"/>
      <c r="J299" s="692" t="n"/>
    </row>
    <row r="300" ht="20.1" customHeight="1">
      <c r="A300" s="142" t="n"/>
      <c r="B300" s="691" t="n"/>
      <c r="C300" s="692" t="n"/>
      <c r="D300" s="693" t="n"/>
      <c r="E300" s="694" t="n"/>
      <c r="F300" s="695" t="n"/>
      <c r="G300" s="696" t="n"/>
      <c r="H300" s="151" t="n"/>
      <c r="I300" s="152" t="n"/>
      <c r="J300" s="692" t="n"/>
    </row>
    <row r="301" ht="20.1" customHeight="1">
      <c r="A301" s="142" t="n"/>
      <c r="B301" s="691" t="n"/>
      <c r="C301" s="692" t="n"/>
      <c r="D301" s="693" t="n"/>
      <c r="E301" s="694" t="n"/>
      <c r="F301" s="695" t="n"/>
      <c r="G301" s="696" t="n"/>
      <c r="H301" s="151" t="n"/>
      <c r="I301" s="152" t="n"/>
      <c r="J301" s="692" t="n"/>
    </row>
    <row r="302" ht="20.1" customHeight="1">
      <c r="A302" s="142" t="n"/>
      <c r="B302" s="691" t="n"/>
      <c r="C302" s="692" t="n"/>
      <c r="D302" s="693" t="n"/>
      <c r="E302" s="694" t="n"/>
      <c r="F302" s="695" t="n"/>
      <c r="G302" s="696" t="n"/>
      <c r="H302" s="151" t="n"/>
      <c r="I302" s="152" t="n"/>
      <c r="J302" s="692" t="n"/>
    </row>
    <row r="303" ht="20.1" customHeight="1">
      <c r="A303" s="142" t="n"/>
      <c r="B303" s="691" t="n"/>
      <c r="C303" s="692" t="n"/>
      <c r="D303" s="693" t="n"/>
      <c r="E303" s="694" t="n"/>
      <c r="F303" s="695" t="n"/>
      <c r="G303" s="696" t="n"/>
      <c r="H303" s="151" t="n"/>
      <c r="I303" s="152" t="n"/>
      <c r="J303" s="692" t="n"/>
    </row>
    <row r="304" ht="20.1" customHeight="1">
      <c r="A304" s="142" t="n"/>
      <c r="B304" s="691" t="n"/>
      <c r="C304" s="692" t="n"/>
      <c r="D304" s="693" t="n"/>
      <c r="E304" s="694" t="n"/>
      <c r="F304" s="695" t="n"/>
      <c r="G304" s="696" t="n"/>
      <c r="H304" s="151" t="n"/>
      <c r="I304" s="152" t="n"/>
      <c r="J304" s="692" t="n"/>
    </row>
    <row r="305" ht="20.1" customHeight="1">
      <c r="A305" s="142" t="n"/>
      <c r="B305" s="691" t="n"/>
      <c r="C305" s="692" t="n"/>
      <c r="D305" s="693" t="n"/>
      <c r="E305" s="694" t="n"/>
      <c r="F305" s="695" t="n"/>
      <c r="G305" s="696" t="n"/>
      <c r="H305" s="151" t="n"/>
      <c r="I305" s="152" t="n"/>
      <c r="J305" s="692" t="n"/>
    </row>
    <row r="306" ht="20.1" customHeight="1">
      <c r="A306" s="142" t="n"/>
      <c r="B306" s="691" t="n"/>
      <c r="C306" s="692" t="n"/>
      <c r="D306" s="693" t="n"/>
      <c r="E306" s="694" t="n"/>
      <c r="F306" s="695" t="n"/>
      <c r="G306" s="696" t="n"/>
      <c r="H306" s="151" t="n"/>
      <c r="I306" s="152" t="n"/>
      <c r="J306" s="692" t="n"/>
    </row>
    <row r="307" ht="20.1" customHeight="1">
      <c r="A307" s="142" t="n"/>
      <c r="B307" s="691" t="n"/>
      <c r="C307" s="692" t="n"/>
      <c r="D307" s="693" t="n"/>
      <c r="E307" s="694" t="n"/>
      <c r="F307" s="695" t="n"/>
      <c r="G307" s="696" t="n"/>
      <c r="H307" s="151" t="n"/>
      <c r="I307" s="152" t="n"/>
      <c r="J307" s="692" t="n"/>
    </row>
    <row r="308" ht="20.1" customHeight="1">
      <c r="A308" s="142" t="n"/>
      <c r="B308" s="691" t="n"/>
      <c r="C308" s="692" t="n"/>
      <c r="D308" s="693" t="n"/>
      <c r="E308" s="694" t="n"/>
      <c r="F308" s="695" t="n"/>
      <c r="G308" s="696" t="n"/>
      <c r="H308" s="151" t="n"/>
      <c r="I308" s="152" t="n"/>
      <c r="J308" s="692" t="n"/>
    </row>
    <row r="309" ht="20.1" customHeight="1">
      <c r="A309" s="142" t="n"/>
      <c r="B309" s="691" t="n"/>
      <c r="C309" s="692" t="n"/>
      <c r="D309" s="693" t="n"/>
      <c r="E309" s="694" t="n"/>
      <c r="F309" s="695" t="n"/>
      <c r="G309" s="696" t="n"/>
      <c r="H309" s="151" t="n"/>
      <c r="I309" s="152" t="n"/>
      <c r="J309" s="692" t="n"/>
    </row>
    <row r="310" ht="20.1" customHeight="1">
      <c r="A310" s="142" t="n"/>
      <c r="B310" s="691" t="n"/>
      <c r="C310" s="692" t="n"/>
      <c r="D310" s="693" t="n"/>
      <c r="E310" s="694" t="n"/>
      <c r="F310" s="695" t="n"/>
      <c r="G310" s="696" t="n"/>
      <c r="H310" s="151" t="n"/>
      <c r="I310" s="152" t="n"/>
      <c r="J310" s="692" t="n"/>
    </row>
    <row r="311" ht="20.1" customHeight="1">
      <c r="A311" s="142" t="n"/>
      <c r="B311" s="691" t="n"/>
      <c r="C311" s="692" t="n"/>
      <c r="D311" s="693" t="n"/>
      <c r="E311" s="694" t="n"/>
      <c r="F311" s="695" t="n"/>
      <c r="G311" s="696" t="n"/>
      <c r="H311" s="151" t="n"/>
      <c r="I311" s="152" t="n"/>
      <c r="J311" s="692" t="n"/>
    </row>
    <row r="312" ht="20.1" customHeight="1">
      <c r="A312" s="142" t="n"/>
      <c r="B312" s="691" t="n"/>
      <c r="C312" s="692" t="n"/>
      <c r="D312" s="693" t="n"/>
      <c r="E312" s="694" t="n"/>
      <c r="F312" s="695" t="n"/>
      <c r="G312" s="696" t="n"/>
      <c r="H312" s="151" t="n"/>
      <c r="I312" s="152" t="n"/>
      <c r="J312" s="692" t="n"/>
    </row>
    <row r="313" ht="20.1" customHeight="1">
      <c r="A313" s="142" t="n"/>
      <c r="B313" s="691" t="n"/>
      <c r="C313" s="692" t="n"/>
      <c r="D313" s="693" t="n"/>
      <c r="E313" s="694" t="n"/>
      <c r="F313" s="695" t="n"/>
      <c r="G313" s="696" t="n"/>
      <c r="H313" s="151" t="n"/>
      <c r="I313" s="152" t="n"/>
      <c r="J313" s="692" t="n"/>
    </row>
    <row r="314" ht="20.1" customHeight="1">
      <c r="A314" s="142" t="n"/>
      <c r="B314" s="691" t="n"/>
      <c r="C314" s="692" t="n"/>
      <c r="D314" s="693" t="n"/>
      <c r="E314" s="694" t="n"/>
      <c r="F314" s="695" t="n"/>
      <c r="G314" s="696" t="n"/>
      <c r="H314" s="151" t="n"/>
      <c r="I314" s="152" t="n"/>
      <c r="J314" s="692" t="n"/>
    </row>
    <row r="315" ht="20.1" customHeight="1">
      <c r="A315" s="142" t="n"/>
      <c r="B315" s="691" t="n"/>
      <c r="C315" s="692" t="n"/>
      <c r="D315" s="693" t="n"/>
      <c r="E315" s="694" t="n"/>
      <c r="F315" s="695" t="n"/>
      <c r="G315" s="696" t="n"/>
      <c r="H315" s="151" t="n"/>
      <c r="I315" s="152" t="n"/>
      <c r="J315" s="692" t="n"/>
    </row>
    <row r="316" ht="20.1" customHeight="1">
      <c r="A316" s="142" t="n"/>
      <c r="B316" s="691" t="n"/>
      <c r="C316" s="692" t="n"/>
      <c r="D316" s="693" t="n"/>
      <c r="E316" s="694" t="n"/>
      <c r="F316" s="695" t="n"/>
      <c r="G316" s="696" t="n"/>
      <c r="H316" s="151" t="n"/>
      <c r="I316" s="152" t="n"/>
      <c r="J316" s="692" t="n"/>
    </row>
    <row r="317" ht="20.1" customHeight="1">
      <c r="A317" s="142" t="n"/>
      <c r="B317" s="691" t="n"/>
      <c r="C317" s="692" t="n"/>
      <c r="D317" s="693" t="n"/>
      <c r="E317" s="694" t="n"/>
      <c r="F317" s="695" t="n"/>
      <c r="G317" s="696" t="n"/>
      <c r="H317" s="151" t="n"/>
      <c r="I317" s="152" t="n"/>
      <c r="J317" s="692" t="n"/>
    </row>
    <row r="318" ht="20.1" customHeight="1">
      <c r="A318" s="142" t="n"/>
      <c r="B318" s="691" t="n"/>
      <c r="C318" s="692" t="n"/>
      <c r="D318" s="693" t="n"/>
      <c r="E318" s="694" t="n"/>
      <c r="F318" s="695" t="n"/>
      <c r="G318" s="696" t="n"/>
      <c r="H318" s="151" t="n"/>
      <c r="I318" s="152" t="n"/>
      <c r="J318" s="692" t="n"/>
    </row>
    <row r="319" ht="20.1" customHeight="1">
      <c r="A319" s="142" t="n"/>
      <c r="B319" s="691" t="n"/>
      <c r="C319" s="692" t="n"/>
      <c r="D319" s="693" t="n"/>
      <c r="E319" s="694" t="n"/>
      <c r="F319" s="695" t="n"/>
      <c r="G319" s="696" t="n"/>
      <c r="H319" s="151" t="n"/>
      <c r="I319" s="152" t="n"/>
      <c r="J319" s="692" t="n"/>
    </row>
    <row r="320" ht="20.1" customHeight="1">
      <c r="A320" s="142" t="n"/>
      <c r="B320" s="691" t="n"/>
      <c r="C320" s="692" t="n"/>
      <c r="D320" s="693" t="n"/>
      <c r="E320" s="694" t="n"/>
      <c r="F320" s="695" t="n"/>
      <c r="G320" s="696" t="n"/>
      <c r="H320" s="151" t="n"/>
      <c r="I320" s="152" t="n"/>
      <c r="J320" s="692" t="n"/>
    </row>
    <row r="321" ht="20.1" customHeight="1">
      <c r="A321" s="142" t="n"/>
      <c r="B321" s="691" t="n"/>
      <c r="C321" s="692" t="n"/>
      <c r="D321" s="693" t="n"/>
      <c r="E321" s="694" t="n"/>
      <c r="F321" s="695" t="n"/>
      <c r="G321" s="696" t="n"/>
      <c r="H321" s="151" t="n"/>
      <c r="I321" s="152" t="n"/>
      <c r="J321" s="692" t="n"/>
    </row>
    <row r="322" ht="20.1" customHeight="1">
      <c r="A322" s="142" t="n"/>
      <c r="B322" s="691" t="n"/>
      <c r="C322" s="692" t="n"/>
      <c r="D322" s="693" t="n"/>
      <c r="E322" s="694" t="n"/>
      <c r="F322" s="695" t="n"/>
      <c r="G322" s="696" t="n"/>
      <c r="H322" s="151" t="n"/>
      <c r="I322" s="152" t="n"/>
      <c r="J322" s="692" t="n"/>
    </row>
    <row r="323" ht="20.1" customHeight="1">
      <c r="A323" s="142" t="n"/>
      <c r="B323" s="691" t="n"/>
      <c r="C323" s="692" t="n"/>
      <c r="D323" s="693" t="n"/>
      <c r="E323" s="694" t="n"/>
      <c r="F323" s="695" t="n"/>
      <c r="G323" s="696" t="n"/>
      <c r="H323" s="151" t="n"/>
      <c r="I323" s="152" t="n"/>
      <c r="J323" s="692" t="n"/>
    </row>
    <row r="324" ht="20.1" customHeight="1">
      <c r="A324" s="142" t="n"/>
      <c r="B324" s="691" t="n"/>
      <c r="C324" s="692" t="n"/>
      <c r="D324" s="693" t="n"/>
      <c r="E324" s="694" t="n"/>
      <c r="F324" s="695" t="n"/>
      <c r="G324" s="696" t="n"/>
      <c r="H324" s="151" t="n"/>
      <c r="I324" s="152" t="n"/>
      <c r="J324" s="692" t="n"/>
    </row>
    <row r="325" ht="20.1" customHeight="1">
      <c r="A325" s="142" t="n"/>
      <c r="B325" s="691" t="n"/>
      <c r="C325" s="692" t="n"/>
      <c r="D325" s="693" t="n"/>
      <c r="E325" s="694" t="n"/>
      <c r="F325" s="695" t="n"/>
      <c r="G325" s="696" t="n"/>
      <c r="H325" s="151" t="n"/>
      <c r="I325" s="152" t="n"/>
      <c r="J325" s="692" t="n"/>
    </row>
    <row r="326" ht="20.1" customHeight="1">
      <c r="A326" s="142" t="n"/>
      <c r="B326" s="691" t="n"/>
      <c r="C326" s="692" t="n"/>
      <c r="D326" s="693" t="n"/>
      <c r="E326" s="694" t="n"/>
      <c r="F326" s="695" t="n"/>
      <c r="G326" s="696" t="n"/>
      <c r="H326" s="151" t="n"/>
      <c r="I326" s="152" t="n"/>
      <c r="J326" s="692" t="n"/>
    </row>
    <row r="327" ht="20.1" customHeight="1">
      <c r="A327" s="142" t="n"/>
      <c r="B327" s="691" t="n"/>
      <c r="C327" s="692" t="n"/>
      <c r="D327" s="693" t="n"/>
      <c r="E327" s="694" t="n"/>
      <c r="F327" s="695" t="n"/>
      <c r="G327" s="696" t="n"/>
      <c r="H327" s="151" t="n"/>
      <c r="I327" s="152" t="n"/>
      <c r="J327" s="692" t="n"/>
    </row>
    <row r="328" ht="20.1" customHeight="1">
      <c r="A328" s="142" t="n"/>
      <c r="B328" s="691" t="n"/>
      <c r="C328" s="692" t="n"/>
      <c r="D328" s="693" t="n"/>
      <c r="E328" s="694" t="n"/>
      <c r="F328" s="695" t="n"/>
      <c r="G328" s="696" t="n"/>
      <c r="H328" s="151" t="n"/>
      <c r="I328" s="152" t="n"/>
      <c r="J328" s="692" t="n"/>
    </row>
    <row r="329" ht="20.1" customHeight="1">
      <c r="A329" s="142" t="n"/>
      <c r="B329" s="691" t="n"/>
      <c r="C329" s="692" t="n"/>
      <c r="D329" s="693" t="n"/>
      <c r="E329" s="694" t="n"/>
      <c r="F329" s="695" t="n"/>
      <c r="G329" s="696" t="n"/>
      <c r="H329" s="151" t="n"/>
      <c r="I329" s="152" t="n"/>
      <c r="J329" s="692" t="n"/>
    </row>
    <row r="330" ht="20.1" customHeight="1">
      <c r="A330" s="142" t="n"/>
      <c r="B330" s="691" t="n"/>
      <c r="C330" s="692" t="n"/>
      <c r="D330" s="693" t="n"/>
      <c r="E330" s="694" t="n"/>
      <c r="F330" s="695" t="n"/>
      <c r="G330" s="696" t="n"/>
      <c r="H330" s="151" t="n"/>
      <c r="I330" s="152" t="n"/>
      <c r="J330" s="692" t="n"/>
    </row>
    <row r="331" ht="20.1" customHeight="1">
      <c r="A331" s="142" t="n"/>
      <c r="B331" s="691" t="n"/>
      <c r="C331" s="692" t="n"/>
      <c r="D331" s="693" t="n"/>
      <c r="E331" s="694" t="n"/>
      <c r="F331" s="695" t="n"/>
      <c r="G331" s="696" t="n"/>
      <c r="H331" s="151" t="n"/>
      <c r="I331" s="152" t="n"/>
      <c r="J331" s="692" t="n"/>
    </row>
    <row r="332" ht="20.1" customHeight="1">
      <c r="A332" s="142" t="n"/>
      <c r="B332" s="691" t="n"/>
      <c r="C332" s="692" t="n"/>
      <c r="D332" s="693" t="n"/>
      <c r="E332" s="694" t="n"/>
      <c r="F332" s="695" t="n"/>
      <c r="G332" s="696" t="n"/>
      <c r="H332" s="151" t="n"/>
      <c r="I332" s="152" t="n"/>
      <c r="J332" s="692" t="n"/>
    </row>
    <row r="333" ht="20.1" customHeight="1">
      <c r="A333" s="142" t="n"/>
      <c r="B333" s="691" t="n"/>
      <c r="C333" s="692" t="n"/>
      <c r="D333" s="693" t="n"/>
      <c r="E333" s="694" t="n"/>
      <c r="F333" s="695" t="n"/>
      <c r="G333" s="696" t="n"/>
      <c r="H333" s="151" t="n"/>
      <c r="I333" s="152" t="n"/>
      <c r="J333" s="692" t="n"/>
    </row>
    <row r="334" ht="20.1" customHeight="1">
      <c r="A334" s="142" t="n"/>
      <c r="B334" s="691" t="n"/>
      <c r="C334" s="692" t="n"/>
      <c r="D334" s="693" t="n"/>
      <c r="E334" s="694" t="n"/>
      <c r="F334" s="695" t="n"/>
      <c r="G334" s="696" t="n"/>
      <c r="H334" s="151" t="n"/>
      <c r="I334" s="152" t="n"/>
      <c r="J334" s="692" t="n"/>
    </row>
    <row r="335" ht="20.1" customHeight="1">
      <c r="A335" s="142" t="n"/>
      <c r="B335" s="691" t="n"/>
      <c r="C335" s="692" t="n"/>
      <c r="D335" s="693" t="n"/>
      <c r="E335" s="694" t="n"/>
      <c r="F335" s="695" t="n"/>
      <c r="G335" s="696" t="n"/>
      <c r="H335" s="151" t="n"/>
      <c r="I335" s="152" t="n"/>
      <c r="J335" s="692" t="n"/>
    </row>
    <row r="336" ht="20.1" customHeight="1">
      <c r="A336" s="142" t="n"/>
      <c r="B336" s="691" t="n"/>
      <c r="C336" s="692" t="n"/>
      <c r="D336" s="693" t="n"/>
      <c r="E336" s="694" t="n"/>
      <c r="F336" s="695" t="n"/>
      <c r="G336" s="696" t="n"/>
      <c r="H336" s="151" t="n"/>
      <c r="I336" s="152" t="n"/>
      <c r="J336" s="692" t="n"/>
    </row>
    <row r="337" ht="20.1" customHeight="1">
      <c r="A337" s="142" t="n"/>
      <c r="B337" s="691" t="n"/>
      <c r="C337" s="692" t="n"/>
      <c r="D337" s="693" t="n"/>
      <c r="E337" s="694" t="n"/>
      <c r="F337" s="695" t="n"/>
      <c r="G337" s="696" t="n"/>
      <c r="H337" s="151" t="n"/>
      <c r="I337" s="152" t="n"/>
      <c r="J337" s="692" t="n"/>
    </row>
    <row r="338" ht="20.1" customHeight="1">
      <c r="A338" s="142" t="n"/>
      <c r="B338" s="691" t="n"/>
      <c r="C338" s="692" t="n"/>
      <c r="D338" s="693" t="n"/>
      <c r="E338" s="694" t="n"/>
      <c r="F338" s="695" t="n"/>
      <c r="G338" s="696" t="n"/>
      <c r="H338" s="151" t="n"/>
      <c r="I338" s="152" t="n"/>
      <c r="J338" s="692" t="n"/>
    </row>
    <row r="339" ht="20.1" customHeight="1">
      <c r="A339" s="142" t="n"/>
      <c r="B339" s="691" t="n"/>
      <c r="C339" s="692" t="n"/>
      <c r="D339" s="693" t="n"/>
      <c r="E339" s="694" t="n"/>
      <c r="F339" s="695" t="n"/>
      <c r="G339" s="696" t="n"/>
      <c r="H339" s="151" t="n"/>
      <c r="I339" s="152" t="n"/>
      <c r="J339" s="692" t="n"/>
    </row>
    <row r="340" ht="20.1" customHeight="1">
      <c r="A340" s="142" t="n"/>
      <c r="B340" s="691" t="n"/>
      <c r="C340" s="692" t="n"/>
      <c r="D340" s="693" t="n"/>
      <c r="E340" s="694" t="n"/>
      <c r="F340" s="695" t="n"/>
      <c r="G340" s="696" t="n"/>
      <c r="H340" s="151" t="n"/>
      <c r="I340" s="152" t="n"/>
      <c r="J340" s="692" t="n"/>
    </row>
    <row r="341" ht="20.1" customHeight="1">
      <c r="A341" s="142" t="n"/>
      <c r="B341" s="691" t="n"/>
      <c r="C341" s="692" t="n"/>
      <c r="D341" s="693" t="n"/>
      <c r="E341" s="694" t="n"/>
      <c r="F341" s="695" t="n"/>
      <c r="G341" s="696" t="n"/>
      <c r="H341" s="151" t="n"/>
      <c r="I341" s="152" t="n"/>
      <c r="J341" s="692" t="n"/>
    </row>
    <row r="342" ht="20.1" customHeight="1">
      <c r="A342" s="142" t="n"/>
      <c r="B342" s="691" t="n"/>
      <c r="C342" s="692" t="n"/>
      <c r="D342" s="693" t="n"/>
      <c r="E342" s="694" t="n"/>
      <c r="F342" s="695" t="n"/>
      <c r="G342" s="696" t="n"/>
      <c r="H342" s="151" t="n"/>
      <c r="I342" s="152" t="n"/>
      <c r="J342" s="692" t="n"/>
    </row>
    <row r="343" ht="20.1" customHeight="1">
      <c r="A343" s="142" t="n"/>
      <c r="B343" s="691" t="n"/>
      <c r="C343" s="692" t="n"/>
      <c r="D343" s="693" t="n"/>
      <c r="E343" s="694" t="n"/>
      <c r="F343" s="695" t="n"/>
      <c r="G343" s="696" t="n"/>
      <c r="H343" s="151" t="n"/>
      <c r="I343" s="152" t="n"/>
      <c r="J343" s="692" t="n"/>
    </row>
    <row r="344" ht="20.1" customHeight="1">
      <c r="A344" s="142" t="n"/>
      <c r="B344" s="691" t="n"/>
      <c r="C344" s="692" t="n"/>
      <c r="D344" s="693" t="n"/>
      <c r="E344" s="694" t="n"/>
      <c r="F344" s="695" t="n"/>
      <c r="G344" s="696" t="n"/>
      <c r="H344" s="151" t="n"/>
      <c r="I344" s="152" t="n"/>
      <c r="J344" s="692" t="n"/>
    </row>
    <row r="345" ht="20.1" customHeight="1">
      <c r="A345" s="142" t="n"/>
      <c r="B345" s="691" t="n"/>
      <c r="C345" s="692" t="n"/>
      <c r="D345" s="693" t="n"/>
      <c r="E345" s="694" t="n"/>
      <c r="F345" s="695" t="n"/>
      <c r="G345" s="696" t="n"/>
      <c r="H345" s="151" t="n"/>
      <c r="I345" s="152" t="n"/>
      <c r="J345" s="692" t="n"/>
    </row>
    <row r="346" ht="20.1" customHeight="1">
      <c r="A346" s="142" t="n"/>
      <c r="B346" s="691" t="n"/>
      <c r="C346" s="692" t="n"/>
      <c r="D346" s="693" t="n"/>
      <c r="E346" s="694" t="n"/>
      <c r="F346" s="695" t="n"/>
      <c r="G346" s="696" t="n"/>
      <c r="H346" s="151" t="n"/>
      <c r="I346" s="152" t="n"/>
      <c r="J346" s="692" t="n"/>
    </row>
    <row r="347" ht="20.1" customHeight="1">
      <c r="A347" s="142" t="n"/>
      <c r="B347" s="691" t="n"/>
      <c r="C347" s="692" t="n"/>
      <c r="D347" s="693" t="n"/>
      <c r="E347" s="694" t="n"/>
      <c r="F347" s="695" t="n"/>
      <c r="G347" s="696" t="n"/>
      <c r="H347" s="151" t="n"/>
      <c r="I347" s="152" t="n"/>
      <c r="J347" s="692" t="n"/>
    </row>
    <row r="348" ht="20.1" customHeight="1">
      <c r="A348" s="142" t="n"/>
      <c r="B348" s="691" t="n"/>
      <c r="C348" s="692" t="n"/>
      <c r="D348" s="693" t="n"/>
      <c r="E348" s="694" t="n"/>
      <c r="F348" s="695" t="n"/>
      <c r="G348" s="696" t="n"/>
      <c r="H348" s="151" t="n"/>
      <c r="I348" s="152" t="n"/>
      <c r="J348" s="692" t="n"/>
    </row>
    <row r="349" ht="20.1" customHeight="1">
      <c r="A349" s="142" t="n"/>
      <c r="B349" s="691" t="n"/>
      <c r="C349" s="692" t="n"/>
      <c r="D349" s="693" t="n"/>
      <c r="E349" s="694" t="n"/>
      <c r="F349" s="695" t="n"/>
      <c r="G349" s="696" t="n"/>
      <c r="H349" s="151" t="n"/>
      <c r="I349" s="152" t="n"/>
      <c r="J349" s="692" t="n"/>
    </row>
    <row r="350" ht="20.1" customHeight="1">
      <c r="A350" s="142" t="n"/>
      <c r="B350" s="691" t="n"/>
      <c r="C350" s="692" t="n"/>
      <c r="D350" s="693" t="n"/>
      <c r="E350" s="694" t="n"/>
      <c r="F350" s="695" t="n"/>
      <c r="G350" s="696" t="n"/>
      <c r="H350" s="151" t="n"/>
      <c r="I350" s="152" t="n"/>
      <c r="J350" s="692" t="n"/>
    </row>
    <row r="351" ht="20.1" customHeight="1">
      <c r="A351" s="142" t="n"/>
      <c r="B351" s="691" t="n"/>
      <c r="C351" s="692" t="n"/>
      <c r="D351" s="693" t="n"/>
      <c r="E351" s="694" t="n"/>
      <c r="F351" s="695" t="n"/>
      <c r="G351" s="696" t="n"/>
      <c r="H351" s="151" t="n"/>
      <c r="I351" s="152" t="n"/>
      <c r="J351" s="692" t="n"/>
    </row>
    <row r="352" ht="20.1" customHeight="1">
      <c r="A352" s="142" t="n"/>
      <c r="B352" s="691" t="n"/>
      <c r="C352" s="692" t="n"/>
      <c r="D352" s="693" t="n"/>
      <c r="E352" s="694" t="n"/>
      <c r="F352" s="695" t="n"/>
      <c r="G352" s="696" t="n"/>
      <c r="H352" s="151" t="n"/>
      <c r="I352" s="152" t="n"/>
      <c r="J352" s="692" t="n"/>
    </row>
    <row r="353" ht="20.1" customHeight="1">
      <c r="A353" s="142" t="n"/>
      <c r="B353" s="691" t="n"/>
      <c r="C353" s="692" t="n"/>
      <c r="D353" s="693" t="n"/>
      <c r="E353" s="694" t="n"/>
      <c r="F353" s="695" t="n"/>
      <c r="G353" s="696" t="n"/>
      <c r="H353" s="151" t="n"/>
      <c r="I353" s="152" t="n"/>
      <c r="J353" s="692" t="n"/>
    </row>
    <row r="354" ht="20.1" customHeight="1">
      <c r="A354" s="142" t="n"/>
      <c r="B354" s="691" t="n"/>
      <c r="C354" s="692" t="n"/>
      <c r="D354" s="693" t="n"/>
      <c r="E354" s="694" t="n"/>
      <c r="F354" s="695" t="n"/>
      <c r="G354" s="696" t="n"/>
      <c r="H354" s="151" t="n"/>
      <c r="I354" s="152" t="n"/>
      <c r="J354" s="692" t="n"/>
    </row>
    <row r="355" ht="20.1" customHeight="1">
      <c r="A355" s="142" t="n"/>
      <c r="B355" s="691" t="n"/>
      <c r="C355" s="692" t="n"/>
      <c r="D355" s="693" t="n"/>
      <c r="E355" s="694" t="n"/>
      <c r="F355" s="695" t="n"/>
      <c r="G355" s="696" t="n"/>
      <c r="H355" s="151" t="n"/>
      <c r="I355" s="152" t="n"/>
      <c r="J355" s="692" t="n"/>
    </row>
    <row r="356" ht="20.1" customHeight="1">
      <c r="A356" s="142" t="n"/>
      <c r="B356" s="691" t="n"/>
      <c r="C356" s="692" t="n"/>
      <c r="D356" s="693" t="n"/>
      <c r="E356" s="694" t="n"/>
      <c r="F356" s="695" t="n"/>
      <c r="G356" s="696" t="n"/>
      <c r="H356" s="151" t="n"/>
      <c r="I356" s="152" t="n"/>
      <c r="J356" s="692" t="n"/>
    </row>
    <row r="357" ht="20.1" customHeight="1">
      <c r="A357" s="142" t="n"/>
      <c r="B357" s="691" t="n"/>
      <c r="C357" s="692" t="n"/>
      <c r="D357" s="693" t="n"/>
      <c r="E357" s="694" t="n"/>
      <c r="F357" s="695" t="n"/>
      <c r="G357" s="696" t="n"/>
      <c r="H357" s="151" t="n"/>
      <c r="I357" s="152" t="n"/>
      <c r="J357" s="692" t="n"/>
    </row>
    <row r="358">
      <c r="A358" s="142" t="n"/>
      <c r="B358" s="691" t="n"/>
      <c r="C358" s="692" t="n"/>
      <c r="D358" s="693" t="n"/>
      <c r="E358" s="694" t="n"/>
      <c r="F358" s="695" t="n"/>
      <c r="G358" s="696" t="n"/>
      <c r="H358" s="151" t="n"/>
      <c r="I358" s="152" t="n"/>
      <c r="J358" s="692" t="n"/>
    </row>
    <row r="359" ht="20.1" customHeight="1">
      <c r="A359" s="142" t="n"/>
      <c r="B359" s="691" t="n"/>
      <c r="C359" s="692" t="n"/>
      <c r="D359" s="693" t="n"/>
      <c r="E359" s="694" t="n"/>
      <c r="F359" s="695" t="n"/>
      <c r="G359" s="696" t="n"/>
      <c r="H359" s="151" t="n"/>
      <c r="I359" s="152" t="n"/>
      <c r="J359" s="692" t="n"/>
    </row>
    <row r="360" ht="20.1" customHeight="1">
      <c r="A360" s="142" t="n"/>
      <c r="B360" s="691" t="n"/>
      <c r="C360" s="692" t="n"/>
      <c r="D360" s="693" t="n"/>
      <c r="E360" s="694" t="n"/>
      <c r="F360" s="695" t="n"/>
      <c r="G360" s="696" t="n"/>
      <c r="H360" s="151" t="n"/>
      <c r="I360" s="152" t="n"/>
      <c r="J360" s="692" t="n"/>
    </row>
    <row r="361" ht="20.1" customHeight="1">
      <c r="A361" s="142" t="n"/>
      <c r="B361" s="691" t="n"/>
      <c r="C361" s="692" t="n"/>
      <c r="D361" s="693" t="n"/>
      <c r="E361" s="694" t="n"/>
      <c r="F361" s="695" t="n"/>
      <c r="G361" s="696" t="n"/>
      <c r="H361" s="151" t="n"/>
      <c r="I361" s="152" t="n"/>
      <c r="J361" s="692" t="n"/>
    </row>
    <row r="362" ht="20.1" customHeight="1">
      <c r="A362" s="142" t="n"/>
      <c r="B362" s="691" t="n"/>
      <c r="C362" s="692" t="n"/>
      <c r="D362" s="693" t="n"/>
      <c r="E362" s="694" t="n"/>
      <c r="F362" s="695" t="n"/>
      <c r="G362" s="696" t="n"/>
      <c r="H362" s="151" t="n"/>
      <c r="I362" s="152" t="n"/>
      <c r="J362" s="692" t="n"/>
    </row>
    <row r="363" ht="20.1" customHeight="1">
      <c r="A363" s="142" t="n"/>
      <c r="B363" s="691" t="n"/>
      <c r="C363" s="692" t="n"/>
      <c r="D363" s="693" t="n"/>
      <c r="E363" s="694" t="n"/>
      <c r="F363" s="695" t="n"/>
      <c r="G363" s="696" t="n"/>
      <c r="H363" s="151" t="n"/>
      <c r="I363" s="152" t="n"/>
      <c r="J363" s="692" t="n"/>
    </row>
    <row r="364" ht="20.1" customHeight="1">
      <c r="A364" s="142" t="n"/>
      <c r="B364" s="691" t="n"/>
      <c r="C364" s="692" t="n"/>
      <c r="D364" s="693" t="n"/>
      <c r="E364" s="694" t="n"/>
      <c r="F364" s="695" t="n"/>
      <c r="G364" s="696" t="n"/>
      <c r="H364" s="151" t="n"/>
      <c r="I364" s="152" t="n"/>
      <c r="J364" s="692" t="n"/>
    </row>
    <row r="365" ht="20.1" customHeight="1">
      <c r="A365" s="142" t="n"/>
      <c r="B365" s="691" t="n"/>
      <c r="C365" s="692" t="n"/>
      <c r="D365" s="693" t="n"/>
      <c r="E365" s="694" t="n"/>
      <c r="F365" s="695" t="n"/>
      <c r="G365" s="696" t="n"/>
      <c r="H365" s="151" t="n"/>
      <c r="I365" s="152" t="n"/>
      <c r="J365" s="692" t="n"/>
    </row>
    <row r="366" ht="20.1" customHeight="1">
      <c r="A366" s="142" t="n"/>
      <c r="B366" s="691" t="n"/>
      <c r="C366" s="692" t="n"/>
      <c r="D366" s="693" t="n"/>
      <c r="E366" s="694" t="n"/>
      <c r="F366" s="695" t="n"/>
      <c r="G366" s="696" t="n"/>
      <c r="H366" s="151" t="n"/>
      <c r="I366" s="152" t="n"/>
      <c r="J366" s="692" t="n"/>
    </row>
    <row r="367" ht="20.1" customHeight="1">
      <c r="A367" s="142" t="n"/>
      <c r="B367" s="691" t="n"/>
      <c r="C367" s="692" t="n"/>
      <c r="D367" s="693" t="n"/>
      <c r="E367" s="694" t="n"/>
      <c r="F367" s="695" t="n"/>
      <c r="G367" s="696" t="n"/>
      <c r="H367" s="151" t="n"/>
      <c r="I367" s="152" t="n"/>
      <c r="J367" s="692" t="n"/>
    </row>
    <row r="368" ht="20.1" customHeight="1">
      <c r="A368" s="142" t="n"/>
      <c r="B368" s="691" t="n"/>
      <c r="C368" s="692" t="n"/>
      <c r="D368" s="693" t="n"/>
      <c r="E368" s="694" t="n"/>
      <c r="F368" s="695" t="n"/>
      <c r="G368" s="696" t="n"/>
      <c r="H368" s="151" t="n"/>
      <c r="I368" s="152" t="n"/>
      <c r="J368" s="692" t="n"/>
    </row>
    <row r="369" ht="20.1" customHeight="1">
      <c r="A369" s="142" t="n"/>
      <c r="B369" s="691" t="n"/>
      <c r="C369" s="692" t="n"/>
      <c r="D369" s="693" t="n"/>
      <c r="E369" s="694" t="n"/>
      <c r="F369" s="695" t="n"/>
      <c r="G369" s="696" t="n"/>
      <c r="H369" s="151" t="n"/>
      <c r="I369" s="152" t="n"/>
      <c r="J369" s="692" t="n"/>
    </row>
    <row r="370" ht="20.1" customHeight="1">
      <c r="A370" s="142" t="n"/>
      <c r="B370" s="691" t="n"/>
      <c r="C370" s="692" t="n"/>
      <c r="D370" s="693" t="n"/>
      <c r="E370" s="694" t="n"/>
      <c r="F370" s="695" t="n"/>
      <c r="G370" s="696" t="n"/>
      <c r="H370" s="151" t="n"/>
      <c r="I370" s="152" t="n"/>
      <c r="J370" s="692" t="n"/>
    </row>
    <row r="371" ht="20.1" customHeight="1">
      <c r="A371" s="142" t="n"/>
      <c r="B371" s="691" t="n"/>
      <c r="C371" s="692" t="n"/>
      <c r="D371" s="693" t="n"/>
      <c r="E371" s="694" t="n"/>
      <c r="F371" s="695" t="n"/>
      <c r="G371" s="696" t="n"/>
      <c r="H371" s="151" t="n"/>
      <c r="I371" s="152" t="n"/>
      <c r="J371" s="692" t="n"/>
    </row>
    <row r="372" ht="20.1" customHeight="1">
      <c r="A372" s="142" t="n"/>
      <c r="B372" s="691" t="n"/>
      <c r="C372" s="692" t="n"/>
      <c r="D372" s="693" t="n"/>
      <c r="E372" s="694" t="n"/>
      <c r="F372" s="695" t="n"/>
      <c r="G372" s="696" t="n"/>
      <c r="H372" s="151" t="n"/>
      <c r="I372" s="152" t="n"/>
      <c r="J372" s="692" t="n"/>
    </row>
    <row r="373">
      <c r="A373" s="142" t="n"/>
      <c r="B373" s="691" t="n"/>
      <c r="C373" s="692" t="n"/>
      <c r="D373" s="693" t="n"/>
      <c r="E373" s="694" t="n"/>
      <c r="F373" s="695" t="n"/>
      <c r="G373" s="696" t="n"/>
      <c r="H373" s="151" t="n"/>
      <c r="I373" s="152" t="n"/>
      <c r="J373" s="692" t="n"/>
    </row>
    <row r="374" ht="20.1" customHeight="1">
      <c r="A374" s="142" t="n"/>
      <c r="B374" s="691" t="n"/>
      <c r="C374" s="692" t="n"/>
      <c r="D374" s="693" t="n"/>
      <c r="E374" s="694" t="n"/>
      <c r="F374" s="695" t="n"/>
      <c r="G374" s="696" t="n"/>
      <c r="H374" s="151" t="n"/>
      <c r="I374" s="152" t="n"/>
      <c r="J374" s="692" t="n"/>
    </row>
    <row r="375" ht="20.1" customHeight="1">
      <c r="A375" s="142" t="n"/>
      <c r="B375" s="691" t="n"/>
      <c r="C375" s="692" t="n"/>
      <c r="D375" s="693" t="n"/>
      <c r="E375" s="694" t="n"/>
      <c r="F375" s="695" t="n"/>
      <c r="G375" s="696" t="n"/>
      <c r="H375" s="151" t="n"/>
      <c r="I375" s="152" t="n"/>
      <c r="J375" s="692" t="n"/>
    </row>
    <row r="376" ht="20.1" customHeight="1">
      <c r="A376" s="142" t="n"/>
      <c r="B376" s="691" t="n"/>
      <c r="C376" s="692" t="n"/>
      <c r="D376" s="693" t="n"/>
      <c r="E376" s="694" t="n"/>
      <c r="F376" s="695" t="n"/>
      <c r="G376" s="696" t="n"/>
      <c r="H376" s="151" t="n"/>
      <c r="I376" s="152" t="n"/>
      <c r="J376" s="692" t="n"/>
    </row>
    <row r="377" ht="20.1" customHeight="1">
      <c r="A377" s="142" t="n"/>
      <c r="B377" s="691" t="n"/>
      <c r="C377" s="692" t="n"/>
      <c r="D377" s="693" t="n"/>
      <c r="E377" s="694" t="n"/>
      <c r="F377" s="695" t="n"/>
      <c r="G377" s="696" t="n"/>
      <c r="H377" s="151" t="n"/>
      <c r="I377" s="152" t="n"/>
      <c r="J377" s="692" t="n"/>
    </row>
    <row r="378" ht="20.1" customHeight="1">
      <c r="A378" s="142" t="n"/>
      <c r="B378" s="691" t="n"/>
      <c r="C378" s="692" t="n"/>
      <c r="D378" s="693" t="n"/>
      <c r="E378" s="694" t="n"/>
      <c r="F378" s="695" t="n"/>
      <c r="G378" s="696" t="n"/>
      <c r="H378" s="151" t="n"/>
      <c r="I378" s="152" t="n"/>
      <c r="J378" s="692" t="n"/>
    </row>
    <row r="379">
      <c r="A379" s="142" t="n"/>
      <c r="B379" s="691" t="n"/>
      <c r="C379" s="692" t="n"/>
      <c r="D379" s="693" t="n"/>
      <c r="E379" s="694" t="n"/>
      <c r="F379" s="695" t="n"/>
      <c r="G379" s="696" t="n"/>
      <c r="H379" s="151" t="n"/>
      <c r="I379" s="152" t="n"/>
      <c r="J379" s="692" t="n"/>
    </row>
    <row r="380">
      <c r="A380" s="142" t="n"/>
      <c r="B380" s="691" t="n"/>
      <c r="C380" s="692" t="n"/>
      <c r="D380" s="693" t="n"/>
      <c r="E380" s="694" t="n"/>
      <c r="F380" s="695" t="n"/>
      <c r="G380" s="696" t="n"/>
      <c r="H380" s="151" t="n"/>
      <c r="I380" s="152" t="n"/>
      <c r="J380" s="692" t="n"/>
    </row>
    <row r="381" ht="20.1" customHeight="1">
      <c r="A381" s="142" t="n"/>
      <c r="B381" s="691" t="n"/>
      <c r="C381" s="692" t="n"/>
      <c r="D381" s="693" t="n"/>
      <c r="E381" s="694" t="n"/>
      <c r="F381" s="695" t="n"/>
      <c r="G381" s="696" t="n"/>
      <c r="H381" s="151" t="n"/>
      <c r="I381" s="152" t="n"/>
      <c r="J381" s="692" t="n"/>
    </row>
    <row r="382" ht="20.1" customHeight="1">
      <c r="A382" s="142" t="n"/>
      <c r="B382" s="691" t="n"/>
      <c r="C382" s="692" t="n"/>
      <c r="D382" s="693" t="n"/>
      <c r="E382" s="694" t="n"/>
      <c r="F382" s="695" t="n"/>
      <c r="G382" s="696" t="n"/>
      <c r="H382" s="151" t="n"/>
      <c r="I382" s="152" t="n"/>
      <c r="J382" s="692" t="n"/>
    </row>
    <row r="383" ht="20.1" customHeight="1">
      <c r="A383" s="142" t="n"/>
      <c r="B383" s="691" t="n"/>
      <c r="C383" s="692" t="n"/>
      <c r="D383" s="693" t="n"/>
      <c r="E383" s="694" t="n"/>
      <c r="F383" s="695" t="n"/>
      <c r="G383" s="696" t="n"/>
      <c r="H383" s="151" t="n"/>
      <c r="I383" s="152" t="n"/>
      <c r="J383" s="692" t="n"/>
    </row>
    <row r="384" ht="20.1" customHeight="1">
      <c r="A384" s="142" t="n"/>
      <c r="B384" s="691" t="n"/>
      <c r="C384" s="692" t="n"/>
      <c r="D384" s="693" t="n"/>
      <c r="E384" s="694" t="n"/>
      <c r="F384" s="695" t="n"/>
      <c r="G384" s="696" t="n"/>
      <c r="H384" s="151" t="n"/>
      <c r="I384" s="152" t="n"/>
      <c r="J384" s="692" t="n"/>
    </row>
    <row r="385" ht="20.1" customHeight="1">
      <c r="A385" s="142" t="n"/>
      <c r="B385" s="691" t="n"/>
      <c r="C385" s="692" t="n"/>
      <c r="D385" s="693" t="n"/>
      <c r="E385" s="694" t="n"/>
      <c r="F385" s="695" t="n"/>
      <c r="G385" s="696" t="n"/>
      <c r="H385" s="151" t="n"/>
      <c r="I385" s="152" t="n"/>
      <c r="J385" s="692" t="n"/>
    </row>
    <row r="386" ht="20.1" customHeight="1">
      <c r="A386" s="142" t="n"/>
      <c r="B386" s="691" t="n"/>
      <c r="C386" s="692" t="n"/>
      <c r="D386" s="693" t="n"/>
      <c r="E386" s="694" t="n"/>
      <c r="F386" s="695" t="n"/>
      <c r="G386" s="696" t="n"/>
      <c r="H386" s="151" t="n"/>
      <c r="I386" s="152" t="n"/>
      <c r="J386" s="692" t="n"/>
    </row>
    <row r="387" ht="20.1" customHeight="1">
      <c r="A387" s="142" t="n"/>
      <c r="B387" s="691" t="n"/>
      <c r="C387" s="692" t="n"/>
      <c r="D387" s="693" t="n"/>
      <c r="E387" s="694" t="n"/>
      <c r="F387" s="695" t="n"/>
      <c r="G387" s="696" t="n"/>
      <c r="H387" s="151" t="n"/>
      <c r="I387" s="152" t="n"/>
      <c r="J387" s="692" t="n"/>
    </row>
    <row r="388" ht="20.1" customHeight="1">
      <c r="A388" s="142" t="n"/>
      <c r="B388" s="691" t="n"/>
      <c r="C388" s="692" t="n"/>
      <c r="D388" s="693" t="n"/>
      <c r="E388" s="694" t="n"/>
      <c r="F388" s="695" t="n"/>
      <c r="G388" s="696" t="n"/>
      <c r="H388" s="151" t="n"/>
      <c r="I388" s="152" t="n"/>
      <c r="J388" s="692" t="n"/>
    </row>
    <row r="389" ht="20.1" customHeight="1">
      <c r="A389" s="142" t="n"/>
      <c r="B389" s="691" t="n"/>
      <c r="C389" s="692" t="n"/>
      <c r="D389" s="693" t="n"/>
      <c r="E389" s="694" t="n"/>
      <c r="F389" s="695" t="n"/>
      <c r="G389" s="696" t="n"/>
      <c r="H389" s="151" t="n"/>
      <c r="I389" s="152" t="n"/>
      <c r="J389" s="692" t="n"/>
    </row>
    <row r="390" ht="20.1" customHeight="1">
      <c r="A390" s="142" t="n"/>
      <c r="B390" s="691" t="n"/>
      <c r="C390" s="692" t="n"/>
      <c r="D390" s="693" t="n"/>
      <c r="E390" s="694" t="n"/>
      <c r="F390" s="695" t="n"/>
      <c r="G390" s="696" t="n"/>
      <c r="H390" s="151" t="n"/>
      <c r="I390" s="152" t="n"/>
      <c r="J390" s="692" t="n"/>
    </row>
    <row r="391" ht="20.1" customHeight="1">
      <c r="A391" s="142" t="n"/>
      <c r="B391" s="691" t="n"/>
      <c r="C391" s="692" t="n"/>
      <c r="D391" s="693" t="n"/>
      <c r="E391" s="694" t="n"/>
      <c r="F391" s="695" t="n"/>
      <c r="G391" s="696" t="n"/>
      <c r="H391" s="151" t="n"/>
      <c r="I391" s="152" t="n"/>
      <c r="J391" s="692" t="n"/>
    </row>
    <row r="392" ht="20.1" customHeight="1">
      <c r="A392" s="142" t="n"/>
      <c r="B392" s="691" t="n"/>
      <c r="C392" s="692" t="n"/>
      <c r="D392" s="693" t="n"/>
      <c r="E392" s="694" t="n"/>
      <c r="F392" s="695" t="n"/>
      <c r="G392" s="696" t="n"/>
      <c r="H392" s="151" t="n"/>
      <c r="I392" s="152" t="n"/>
      <c r="J392" s="692" t="n"/>
    </row>
    <row r="393" ht="20.1" customHeight="1">
      <c r="A393" s="142" t="n"/>
      <c r="B393" s="691" t="n"/>
      <c r="C393" s="692" t="n"/>
      <c r="D393" s="693" t="n"/>
      <c r="E393" s="694" t="n"/>
      <c r="F393" s="695" t="n"/>
      <c r="G393" s="696" t="n"/>
      <c r="H393" s="151" t="n"/>
      <c r="I393" s="152" t="n"/>
      <c r="J393" s="692" t="n"/>
    </row>
    <row r="394" ht="20.1" customHeight="1">
      <c r="A394" s="142" t="n"/>
      <c r="B394" s="691" t="n"/>
      <c r="C394" s="692" t="n"/>
      <c r="D394" s="693" t="n"/>
      <c r="E394" s="694" t="n"/>
      <c r="F394" s="695" t="n"/>
      <c r="G394" s="696" t="n"/>
      <c r="H394" s="151" t="n"/>
      <c r="I394" s="152" t="n"/>
      <c r="J394" s="692" t="n"/>
    </row>
    <row r="395" ht="20.1" customHeight="1">
      <c r="A395" s="142" t="n"/>
      <c r="B395" s="691" t="n"/>
      <c r="C395" s="692" t="n"/>
      <c r="D395" s="693" t="n"/>
      <c r="E395" s="694" t="n"/>
      <c r="F395" s="695" t="n"/>
      <c r="G395" s="696" t="n"/>
      <c r="H395" s="151" t="n"/>
      <c r="I395" s="152" t="n"/>
      <c r="J395" s="692" t="n"/>
    </row>
    <row r="396" ht="20.1" customHeight="1">
      <c r="A396" s="142" t="n"/>
      <c r="B396" s="691" t="n"/>
      <c r="C396" s="692" t="n"/>
      <c r="D396" s="693" t="n"/>
      <c r="E396" s="694" t="n"/>
      <c r="F396" s="695" t="n"/>
      <c r="G396" s="696" t="n"/>
      <c r="H396" s="151" t="n"/>
      <c r="I396" s="152" t="n"/>
      <c r="J396" s="692" t="n"/>
    </row>
    <row r="397" ht="20.1" customHeight="1">
      <c r="A397" s="142" t="n"/>
      <c r="B397" s="691" t="n"/>
      <c r="C397" s="692" t="n"/>
      <c r="D397" s="693" t="n"/>
      <c r="E397" s="694" t="n"/>
      <c r="F397" s="695" t="n"/>
      <c r="G397" s="696" t="n"/>
      <c r="H397" s="151" t="n"/>
      <c r="I397" s="152" t="n"/>
      <c r="J397" s="692" t="n"/>
    </row>
    <row r="398" ht="20.1" customHeight="1">
      <c r="A398" s="142" t="n"/>
      <c r="B398" s="691" t="n"/>
      <c r="C398" s="692" t="n"/>
      <c r="D398" s="693" t="n"/>
      <c r="E398" s="694" t="n"/>
      <c r="F398" s="695" t="n"/>
      <c r="G398" s="696" t="n"/>
      <c r="H398" s="151" t="n"/>
      <c r="I398" s="152" t="n"/>
      <c r="J398" s="692" t="n"/>
    </row>
    <row r="399" ht="20.1" customHeight="1">
      <c r="A399" s="142" t="n"/>
      <c r="B399" s="691" t="n"/>
      <c r="C399" s="692" t="n"/>
      <c r="D399" s="693" t="n"/>
      <c r="E399" s="694" t="n"/>
      <c r="F399" s="695" t="n"/>
      <c r="G399" s="696" t="n"/>
      <c r="H399" s="151" t="n"/>
      <c r="I399" s="152" t="n"/>
      <c r="J399" s="692" t="n"/>
    </row>
    <row r="400" ht="20.1" customHeight="1">
      <c r="A400" s="142" t="n"/>
      <c r="B400" s="691" t="n"/>
      <c r="C400" s="692" t="n"/>
      <c r="D400" s="693" t="n"/>
      <c r="E400" s="694" t="n"/>
      <c r="F400" s="695" t="n"/>
      <c r="G400" s="696" t="n"/>
      <c r="H400" s="151" t="n"/>
      <c r="I400" s="152" t="n"/>
      <c r="J400" s="692" t="n"/>
    </row>
    <row r="401" ht="20.1" customHeight="1">
      <c r="A401" s="142" t="n"/>
      <c r="B401" s="691" t="n"/>
      <c r="C401" s="692" t="n"/>
      <c r="D401" s="693" t="n"/>
      <c r="E401" s="694" t="n"/>
      <c r="F401" s="695" t="n"/>
      <c r="G401" s="696" t="n"/>
      <c r="H401" s="151" t="n"/>
      <c r="I401" s="152" t="n"/>
      <c r="J401" s="692" t="n"/>
    </row>
    <row r="402" ht="20.1" customHeight="1">
      <c r="A402" s="142" t="n"/>
      <c r="B402" s="691" t="n"/>
      <c r="C402" s="692" t="n"/>
      <c r="D402" s="693" t="n"/>
      <c r="E402" s="694" t="n"/>
      <c r="F402" s="695" t="n"/>
      <c r="G402" s="696" t="n"/>
      <c r="H402" s="151" t="n"/>
      <c r="I402" s="152" t="n"/>
      <c r="J402" s="692" t="n"/>
    </row>
    <row r="403" ht="20.1" customHeight="1">
      <c r="A403" s="142" t="n"/>
      <c r="B403" s="691" t="n"/>
      <c r="C403" s="692" t="n"/>
      <c r="D403" s="693" t="n"/>
      <c r="E403" s="694" t="n"/>
      <c r="F403" s="695" t="n"/>
      <c r="G403" s="696" t="n"/>
      <c r="H403" s="151" t="n"/>
      <c r="I403" s="152" t="n"/>
      <c r="J403" s="692" t="n"/>
    </row>
    <row r="404" ht="20.1" customHeight="1">
      <c r="A404" s="142" t="n"/>
      <c r="B404" s="691" t="n"/>
      <c r="C404" s="692" t="n"/>
      <c r="D404" s="693" t="n"/>
      <c r="E404" s="694" t="n"/>
      <c r="F404" s="695" t="n"/>
      <c r="G404" s="696" t="n"/>
      <c r="H404" s="151" t="n"/>
      <c r="I404" s="152" t="n"/>
      <c r="J404" s="692" t="n"/>
    </row>
    <row r="405" ht="20.1" customHeight="1">
      <c r="A405" s="142" t="n"/>
      <c r="B405" s="691" t="n"/>
      <c r="C405" s="692" t="n"/>
      <c r="D405" s="693" t="n"/>
      <c r="E405" s="694" t="n"/>
      <c r="F405" s="695" t="n"/>
      <c r="G405" s="696" t="n"/>
      <c r="H405" s="151" t="n"/>
      <c r="I405" s="152" t="n"/>
      <c r="J405" s="692" t="n"/>
    </row>
    <row r="406" ht="20.1" customHeight="1">
      <c r="A406" s="142" t="n"/>
      <c r="B406" s="691" t="n"/>
      <c r="C406" s="692" t="n"/>
      <c r="D406" s="693" t="n"/>
      <c r="E406" s="694" t="n"/>
      <c r="F406" s="695" t="n"/>
      <c r="G406" s="696" t="n"/>
      <c r="H406" s="151" t="n"/>
      <c r="I406" s="152" t="n"/>
      <c r="J406" s="692" t="n"/>
    </row>
    <row r="407" ht="20.1" customHeight="1">
      <c r="A407" s="142" t="n"/>
      <c r="B407" s="691" t="n"/>
      <c r="C407" s="692" t="n"/>
      <c r="D407" s="693" t="n"/>
      <c r="E407" s="694" t="n"/>
      <c r="F407" s="695" t="n"/>
      <c r="G407" s="696" t="n"/>
      <c r="H407" s="151" t="n"/>
      <c r="I407" s="152" t="n"/>
      <c r="J407" s="692" t="n"/>
    </row>
    <row r="408" ht="20.1" customHeight="1">
      <c r="A408" s="142" t="n"/>
      <c r="B408" s="691" t="n"/>
      <c r="C408" s="692" t="n"/>
      <c r="D408" s="693" t="n"/>
      <c r="E408" s="694" t="n"/>
      <c r="F408" s="695" t="n"/>
      <c r="G408" s="696" t="n"/>
      <c r="H408" s="151" t="n"/>
      <c r="I408" s="152" t="n"/>
      <c r="J408" s="692" t="n"/>
    </row>
    <row r="409" ht="20.1" customHeight="1">
      <c r="A409" s="142" t="n"/>
      <c r="B409" s="691" t="n"/>
      <c r="C409" s="692" t="n"/>
      <c r="D409" s="693" t="n"/>
      <c r="E409" s="694" t="n"/>
      <c r="F409" s="695" t="n"/>
      <c r="G409" s="696" t="n"/>
      <c r="H409" s="151" t="n"/>
      <c r="I409" s="152" t="n"/>
      <c r="J409" s="692" t="n"/>
    </row>
    <row r="410" ht="20.1" customHeight="1">
      <c r="A410" s="142" t="n"/>
      <c r="B410" s="691" t="n"/>
      <c r="C410" s="692" t="n"/>
      <c r="D410" s="693" t="n"/>
      <c r="E410" s="694" t="n"/>
      <c r="F410" s="695" t="n"/>
      <c r="G410" s="696" t="n"/>
      <c r="H410" s="151" t="n"/>
      <c r="I410" s="152" t="n"/>
      <c r="J410" s="692" t="n"/>
    </row>
    <row r="411" ht="20.1" customHeight="1">
      <c r="A411" s="142" t="n"/>
      <c r="B411" s="691" t="n"/>
      <c r="C411" s="692" t="n"/>
      <c r="D411" s="693" t="n"/>
      <c r="E411" s="694" t="n"/>
      <c r="F411" s="695" t="n"/>
      <c r="G411" s="696" t="n"/>
      <c r="H411" s="151" t="n"/>
      <c r="I411" s="152" t="n"/>
      <c r="J411" s="692" t="n"/>
    </row>
    <row r="412" ht="20.1" customHeight="1">
      <c r="A412" s="142" t="n"/>
      <c r="B412" s="691" t="n"/>
      <c r="C412" s="692" t="n"/>
      <c r="D412" s="693" t="n"/>
      <c r="E412" s="694" t="n"/>
      <c r="F412" s="695" t="n"/>
      <c r="G412" s="696" t="n"/>
      <c r="H412" s="151" t="n"/>
      <c r="I412" s="152" t="n"/>
      <c r="J412" s="692" t="n"/>
    </row>
    <row r="413" ht="20.1" customHeight="1">
      <c r="A413" s="142" t="n"/>
      <c r="B413" s="691" t="n"/>
      <c r="C413" s="692" t="n"/>
      <c r="D413" s="693" t="n"/>
      <c r="E413" s="694" t="n"/>
      <c r="F413" s="695" t="n"/>
      <c r="G413" s="696" t="n"/>
      <c r="H413" s="151" t="n"/>
      <c r="I413" s="152" t="n"/>
      <c r="J413" s="692" t="n"/>
    </row>
    <row r="414" ht="20.1" customHeight="1">
      <c r="A414" s="142" t="n"/>
      <c r="B414" s="691" t="n"/>
      <c r="C414" s="692" t="n"/>
      <c r="D414" s="693" t="n"/>
      <c r="E414" s="694" t="n"/>
      <c r="F414" s="695" t="n"/>
      <c r="G414" s="696" t="n"/>
      <c r="H414" s="151" t="n"/>
      <c r="I414" s="152" t="n"/>
      <c r="J414" s="692" t="n"/>
    </row>
    <row r="415" ht="20.1" customHeight="1">
      <c r="A415" s="142" t="n"/>
      <c r="B415" s="691" t="n"/>
      <c r="C415" s="692" t="n"/>
      <c r="D415" s="693" t="n"/>
      <c r="E415" s="694" t="n"/>
      <c r="F415" s="695" t="n"/>
      <c r="G415" s="696" t="n"/>
      <c r="H415" s="151" t="n"/>
      <c r="I415" s="152" t="n"/>
      <c r="J415" s="692" t="n"/>
    </row>
    <row r="416" ht="20.1" customHeight="1">
      <c r="A416" s="142" t="n"/>
      <c r="B416" s="691" t="n"/>
      <c r="C416" s="692" t="n"/>
      <c r="D416" s="693" t="n"/>
      <c r="E416" s="694" t="n"/>
      <c r="F416" s="695" t="n"/>
      <c r="G416" s="696" t="n"/>
      <c r="H416" s="151" t="n"/>
      <c r="I416" s="152" t="n"/>
      <c r="J416" s="692" t="n"/>
    </row>
    <row r="417" ht="20.1" customHeight="1">
      <c r="A417" s="142" t="n"/>
      <c r="B417" s="691" t="n"/>
      <c r="C417" s="692" t="n"/>
      <c r="D417" s="693" t="n"/>
      <c r="E417" s="694" t="n"/>
      <c r="F417" s="695" t="n"/>
      <c r="G417" s="696" t="n"/>
      <c r="H417" s="151" t="n"/>
      <c r="I417" s="152" t="n"/>
      <c r="J417" s="692" t="n"/>
    </row>
    <row r="418" ht="20.1" customHeight="1">
      <c r="A418" s="142" t="n"/>
      <c r="B418" s="691" t="n"/>
      <c r="C418" s="692" t="n"/>
      <c r="D418" s="693" t="n"/>
      <c r="E418" s="694" t="n"/>
      <c r="F418" s="695" t="n"/>
      <c r="G418" s="696" t="n"/>
      <c r="H418" s="151" t="n"/>
      <c r="I418" s="152" t="n"/>
      <c r="J418" s="692" t="n"/>
    </row>
    <row r="419" ht="20.1" customHeight="1">
      <c r="A419" s="142" t="n"/>
      <c r="B419" s="691" t="n"/>
      <c r="C419" s="692" t="n"/>
      <c r="D419" s="693" t="n"/>
      <c r="E419" s="694" t="n"/>
      <c r="F419" s="695" t="n"/>
      <c r="G419" s="696" t="n"/>
      <c r="H419" s="151" t="n"/>
      <c r="I419" s="152" t="n"/>
      <c r="J419" s="692" t="n"/>
    </row>
    <row r="420" ht="20.1" customHeight="1">
      <c r="A420" s="142" t="n"/>
      <c r="B420" s="691" t="n"/>
      <c r="C420" s="692" t="n"/>
      <c r="D420" s="693" t="n"/>
      <c r="E420" s="694" t="n"/>
      <c r="F420" s="695" t="n"/>
      <c r="G420" s="696" t="n"/>
      <c r="H420" s="151" t="n"/>
      <c r="I420" s="152" t="n"/>
      <c r="J420" s="692" t="n"/>
    </row>
    <row r="421" ht="20.1" customHeight="1">
      <c r="A421" s="142" t="n"/>
      <c r="B421" s="691" t="n"/>
      <c r="C421" s="692" t="n"/>
      <c r="D421" s="693" t="n"/>
      <c r="E421" s="694" t="n"/>
      <c r="F421" s="695" t="n"/>
      <c r="G421" s="696" t="n"/>
      <c r="H421" s="151" t="n"/>
      <c r="I421" s="152" t="n"/>
      <c r="J421" s="692" t="n"/>
    </row>
    <row r="422" ht="20.1" customHeight="1">
      <c r="A422" s="142" t="n"/>
      <c r="B422" s="691" t="n"/>
      <c r="C422" s="692" t="n"/>
      <c r="D422" s="693" t="n"/>
      <c r="E422" s="694" t="n"/>
      <c r="F422" s="695" t="n"/>
      <c r="G422" s="696" t="n"/>
      <c r="H422" s="151" t="n"/>
      <c r="I422" s="152" t="n"/>
      <c r="J422" s="692" t="n"/>
    </row>
    <row r="423" ht="20.1" customHeight="1">
      <c r="A423" s="142" t="n"/>
      <c r="B423" s="691" t="n"/>
      <c r="C423" s="692" t="n"/>
      <c r="D423" s="693" t="n"/>
      <c r="E423" s="694" t="n"/>
      <c r="F423" s="695" t="n"/>
      <c r="G423" s="696" t="n"/>
      <c r="H423" s="151" t="n"/>
      <c r="I423" s="152" t="n"/>
      <c r="J423" s="692" t="n"/>
    </row>
    <row r="424" ht="20.1" customHeight="1">
      <c r="A424" s="142" t="n"/>
      <c r="B424" s="691" t="n"/>
      <c r="C424" s="692" t="n"/>
      <c r="D424" s="693" t="n"/>
      <c r="E424" s="694" t="n"/>
      <c r="F424" s="695" t="n"/>
      <c r="G424" s="696" t="n"/>
      <c r="H424" s="151" t="n"/>
      <c r="I424" s="152" t="n"/>
      <c r="J424" s="692" t="n"/>
    </row>
    <row r="425" ht="20.1" customHeight="1">
      <c r="A425" s="142" t="n"/>
      <c r="B425" s="691" t="n"/>
      <c r="C425" s="692" t="n"/>
      <c r="D425" s="693" t="n"/>
      <c r="E425" s="694" t="n"/>
      <c r="F425" s="695" t="n"/>
      <c r="G425" s="696" t="n"/>
      <c r="H425" s="151" t="n"/>
      <c r="I425" s="152" t="n"/>
      <c r="J425" s="692" t="n"/>
    </row>
    <row r="426" ht="20.1" customHeight="1">
      <c r="A426" s="142" t="n"/>
      <c r="B426" s="691" t="n"/>
      <c r="C426" s="692" t="n"/>
      <c r="D426" s="693" t="n"/>
      <c r="E426" s="694" t="n"/>
      <c r="F426" s="695" t="n"/>
      <c r="G426" s="696" t="n"/>
      <c r="H426" s="151" t="n"/>
      <c r="I426" s="152" t="n"/>
      <c r="J426" s="692" t="n"/>
    </row>
    <row r="427" ht="20.1" customHeight="1">
      <c r="A427" s="142" t="n"/>
      <c r="B427" s="691" t="n"/>
      <c r="C427" s="692" t="n"/>
      <c r="D427" s="693" t="n"/>
      <c r="E427" s="694" t="n"/>
      <c r="F427" s="695" t="n"/>
      <c r="G427" s="696" t="n"/>
      <c r="H427" s="151" t="n"/>
      <c r="I427" s="152" t="n"/>
      <c r="J427" s="692" t="n"/>
    </row>
    <row r="428" ht="20.1" customHeight="1">
      <c r="A428" s="142" t="n"/>
      <c r="B428" s="691" t="n"/>
      <c r="C428" s="692" t="n"/>
      <c r="D428" s="693" t="n"/>
      <c r="E428" s="694" t="n"/>
      <c r="F428" s="695" t="n"/>
      <c r="G428" s="696" t="n"/>
      <c r="H428" s="151" t="n"/>
      <c r="I428" s="152" t="n"/>
      <c r="J428" s="692" t="n"/>
    </row>
    <row r="429" ht="20.1" customHeight="1">
      <c r="A429" s="142" t="n"/>
      <c r="B429" s="691" t="n"/>
      <c r="C429" s="692" t="n"/>
      <c r="D429" s="693" t="n"/>
      <c r="E429" s="694" t="n"/>
      <c r="F429" s="695" t="n"/>
      <c r="G429" s="696" t="n"/>
      <c r="H429" s="151" t="n"/>
      <c r="I429" s="152" t="n"/>
      <c r="J429" s="692" t="n"/>
    </row>
    <row r="430" ht="20.1" customHeight="1">
      <c r="A430" s="142" t="n"/>
      <c r="B430" s="691" t="n"/>
      <c r="C430" s="692" t="n"/>
      <c r="D430" s="693" t="n"/>
      <c r="E430" s="694" t="n"/>
      <c r="F430" s="695" t="n"/>
      <c r="G430" s="696" t="n"/>
      <c r="H430" s="151" t="n"/>
      <c r="I430" s="152" t="n"/>
      <c r="J430" s="692" t="n"/>
    </row>
    <row r="431" ht="20.1" customHeight="1">
      <c r="A431" s="142" t="n"/>
      <c r="B431" s="691" t="n"/>
      <c r="C431" s="692" t="n"/>
      <c r="D431" s="693" t="n"/>
      <c r="E431" s="694" t="n"/>
      <c r="F431" s="695" t="n"/>
      <c r="G431" s="696" t="n"/>
      <c r="H431" s="151" t="n"/>
      <c r="I431" s="152" t="n"/>
      <c r="J431" s="692" t="n"/>
    </row>
    <row r="432" ht="20.1" customHeight="1">
      <c r="A432" s="142" t="n"/>
      <c r="B432" s="691" t="n"/>
      <c r="C432" s="692" t="n"/>
      <c r="D432" s="693" t="n"/>
      <c r="E432" s="694" t="n"/>
      <c r="F432" s="695" t="n"/>
      <c r="G432" s="696" t="n"/>
      <c r="H432" s="151" t="n"/>
      <c r="I432" s="152" t="n"/>
      <c r="J432" s="692" t="n"/>
    </row>
    <row r="433" ht="20.1" customHeight="1">
      <c r="A433" s="142" t="n"/>
      <c r="B433" s="691" t="n"/>
      <c r="C433" s="692" t="n"/>
      <c r="D433" s="693" t="n"/>
      <c r="E433" s="694" t="n"/>
      <c r="F433" s="695" t="n"/>
      <c r="G433" s="696" t="n"/>
      <c r="H433" s="151" t="n"/>
      <c r="I433" s="152" t="n"/>
      <c r="J433" s="692" t="n"/>
    </row>
    <row r="434" ht="20.1" customHeight="1">
      <c r="A434" s="142" t="n"/>
      <c r="B434" s="691" t="n"/>
      <c r="C434" s="692" t="n"/>
      <c r="D434" s="693" t="n"/>
      <c r="E434" s="694" t="n"/>
      <c r="F434" s="695" t="n"/>
      <c r="G434" s="696" t="n"/>
      <c r="H434" s="151" t="n"/>
      <c r="I434" s="152" t="n"/>
      <c r="J434" s="692" t="n"/>
    </row>
    <row r="435" ht="20.1" customHeight="1">
      <c r="A435" s="142" t="n"/>
      <c r="B435" s="691" t="n"/>
      <c r="C435" s="692" t="n"/>
      <c r="D435" s="693" t="n"/>
      <c r="E435" s="694" t="n"/>
      <c r="F435" s="695" t="n"/>
      <c r="G435" s="696" t="n"/>
      <c r="H435" s="151" t="n"/>
      <c r="I435" s="152" t="n"/>
      <c r="J435" s="692" t="n"/>
    </row>
    <row r="436" ht="20.1" customHeight="1">
      <c r="A436" s="142" t="n"/>
      <c r="B436" s="691" t="n"/>
      <c r="C436" s="692" t="n"/>
      <c r="D436" s="693" t="n"/>
      <c r="E436" s="694" t="n"/>
      <c r="F436" s="695" t="n"/>
      <c r="G436" s="696" t="n"/>
      <c r="H436" s="151" t="n"/>
      <c r="I436" s="152" t="n"/>
      <c r="J436" s="692" t="n"/>
    </row>
    <row r="437" ht="20.1" customHeight="1">
      <c r="A437" s="142" t="n"/>
      <c r="B437" s="691" t="n"/>
      <c r="C437" s="692" t="n"/>
      <c r="D437" s="693" t="n"/>
      <c r="E437" s="694" t="n"/>
      <c r="F437" s="695" t="n"/>
      <c r="G437" s="696" t="n"/>
      <c r="H437" s="151" t="n"/>
      <c r="I437" s="152" t="n"/>
      <c r="J437" s="692" t="n"/>
    </row>
    <row r="438" ht="20.1" customHeight="1">
      <c r="A438" s="142" t="n"/>
      <c r="B438" s="691" t="n"/>
      <c r="C438" s="692" t="n"/>
      <c r="D438" s="693" t="n"/>
      <c r="E438" s="694" t="n"/>
      <c r="F438" s="695" t="n"/>
      <c r="G438" s="696" t="n"/>
      <c r="H438" s="151" t="n"/>
      <c r="I438" s="152" t="n"/>
      <c r="J438" s="692" t="n"/>
    </row>
    <row r="439" ht="20.1" customHeight="1">
      <c r="A439" s="142" t="n"/>
      <c r="B439" s="691" t="n"/>
      <c r="C439" s="692" t="n"/>
      <c r="D439" s="693" t="n"/>
      <c r="E439" s="694" t="n"/>
      <c r="F439" s="695" t="n"/>
      <c r="G439" s="696" t="n"/>
      <c r="H439" s="151" t="n"/>
      <c r="I439" s="152" t="n"/>
      <c r="J439" s="692" t="n"/>
    </row>
    <row r="440" ht="20.1" customHeight="1">
      <c r="A440" s="142" t="n"/>
      <c r="B440" s="691" t="n"/>
      <c r="C440" s="692" t="n"/>
      <c r="D440" s="693" t="n"/>
      <c r="E440" s="694" t="n"/>
      <c r="F440" s="695" t="n"/>
      <c r="G440" s="696" t="n"/>
      <c r="H440" s="151" t="n"/>
      <c r="I440" s="152" t="n"/>
      <c r="J440" s="692" t="n"/>
    </row>
    <row r="441" ht="20.1" customHeight="1">
      <c r="A441" s="142" t="n"/>
      <c r="B441" s="697" t="n"/>
      <c r="C441" s="692" t="n"/>
      <c r="D441" s="698" t="n"/>
      <c r="E441" s="699" t="n"/>
      <c r="F441" s="695" t="n"/>
      <c r="G441" s="696" t="n"/>
      <c r="H441" s="151" t="n"/>
      <c r="I441" s="152" t="n"/>
      <c r="J441" s="692" t="n"/>
    </row>
    <row r="442" ht="20.1" customHeight="1">
      <c r="A442" s="142" t="n"/>
      <c r="B442" s="697" t="n"/>
      <c r="C442" s="692" t="n"/>
      <c r="D442" s="698" t="n"/>
      <c r="E442" s="699" t="n"/>
      <c r="F442" s="695" t="n"/>
      <c r="G442" s="696" t="n"/>
      <c r="H442" s="151" t="n"/>
      <c r="I442" s="152" t="n"/>
      <c r="J442" s="692" t="n"/>
    </row>
    <row r="443" ht="20.1" customHeight="1">
      <c r="A443" s="142" t="n"/>
      <c r="B443" s="691" t="n"/>
      <c r="C443" s="692" t="n"/>
      <c r="D443" s="693" t="n"/>
      <c r="E443" s="694" t="n"/>
      <c r="F443" s="695" t="n"/>
      <c r="G443" s="696" t="n"/>
      <c r="H443" s="151" t="n"/>
      <c r="I443" s="152" t="n"/>
      <c r="J443" s="692" t="n"/>
    </row>
    <row r="444" ht="20.1" customHeight="1">
      <c r="A444" s="142" t="n"/>
      <c r="B444" s="691" t="n"/>
      <c r="C444" s="692" t="n"/>
      <c r="D444" s="693" t="n"/>
      <c r="E444" s="694" t="n"/>
      <c r="F444" s="695" t="n"/>
      <c r="G444" s="696" t="n"/>
      <c r="H444" s="151" t="n"/>
      <c r="I444" s="152" t="n"/>
      <c r="J444" s="692" t="n"/>
    </row>
    <row r="445" ht="20.1" customHeight="1">
      <c r="A445" s="142" t="n"/>
      <c r="B445" s="691" t="n"/>
      <c r="C445" s="692" t="n"/>
      <c r="D445" s="693" t="n"/>
      <c r="E445" s="694" t="n"/>
      <c r="F445" s="695" t="n"/>
      <c r="G445" s="696" t="n"/>
      <c r="H445" s="151" t="n"/>
      <c r="I445" s="152" t="n"/>
      <c r="J445" s="692" t="n"/>
    </row>
    <row r="446" ht="20.1" customHeight="1">
      <c r="A446" s="142" t="n"/>
      <c r="B446" s="691" t="n"/>
      <c r="C446" s="692" t="n"/>
      <c r="D446" s="693" t="n"/>
      <c r="E446" s="694" t="n"/>
      <c r="F446" s="695" t="n"/>
      <c r="G446" s="696" t="n"/>
      <c r="H446" s="151" t="n"/>
      <c r="I446" s="152" t="n"/>
      <c r="J446" s="692" t="n"/>
    </row>
    <row r="447" ht="20.1" customHeight="1">
      <c r="A447" s="142" t="n"/>
      <c r="B447" s="691" t="n"/>
      <c r="C447" s="692" t="n"/>
      <c r="D447" s="693" t="n"/>
      <c r="E447" s="694" t="n"/>
      <c r="F447" s="695" t="n"/>
      <c r="G447" s="696" t="n"/>
      <c r="H447" s="151" t="n"/>
      <c r="I447" s="152" t="n"/>
      <c r="J447" s="692" t="n"/>
    </row>
    <row r="448" ht="20.1" customHeight="1">
      <c r="A448" s="142" t="n"/>
      <c r="B448" s="691" t="n"/>
      <c r="C448" s="692" t="n"/>
      <c r="D448" s="693" t="n"/>
      <c r="E448" s="694" t="n"/>
      <c r="F448" s="695" t="n"/>
      <c r="G448" s="696" t="n"/>
      <c r="H448" s="151" t="n"/>
      <c r="I448" s="152" t="n"/>
      <c r="J448" s="692" t="n"/>
    </row>
    <row r="449" ht="20.1" customHeight="1">
      <c r="A449" s="142" t="n"/>
      <c r="B449" s="691" t="n"/>
      <c r="C449" s="692" t="n"/>
      <c r="D449" s="693" t="n"/>
      <c r="E449" s="694" t="n"/>
      <c r="F449" s="695" t="n"/>
      <c r="G449" s="696" t="n"/>
      <c r="H449" s="151" t="n"/>
      <c r="I449" s="152" t="n"/>
      <c r="J449" s="692" t="n"/>
    </row>
    <row r="450" ht="20.1" customHeight="1">
      <c r="A450" s="142" t="n"/>
      <c r="B450" s="691" t="n"/>
      <c r="C450" s="692" t="n"/>
      <c r="D450" s="693" t="n"/>
      <c r="E450" s="694" t="n"/>
      <c r="F450" s="695" t="n"/>
      <c r="G450" s="696" t="n"/>
      <c r="H450" s="151" t="n"/>
      <c r="I450" s="152" t="n"/>
      <c r="J450" s="692" t="n"/>
    </row>
    <row r="451" ht="20.1" customHeight="1">
      <c r="A451" s="142" t="n"/>
      <c r="B451" s="691" t="n"/>
      <c r="C451" s="692" t="n"/>
      <c r="D451" s="693" t="n"/>
      <c r="E451" s="694" t="n"/>
      <c r="F451" s="695" t="n"/>
      <c r="G451" s="696" t="n"/>
      <c r="H451" s="151" t="n"/>
      <c r="I451" s="152" t="n"/>
      <c r="J451" s="692" t="n"/>
    </row>
    <row r="452" ht="20.1" customHeight="1">
      <c r="A452" s="142" t="n"/>
      <c r="B452" s="691" t="n"/>
      <c r="C452" s="692" t="n"/>
      <c r="D452" s="693" t="n"/>
      <c r="E452" s="694" t="n"/>
      <c r="F452" s="695" t="n"/>
      <c r="G452" s="696" t="n"/>
      <c r="H452" s="151" t="n"/>
      <c r="I452" s="152" t="n"/>
      <c r="J452" s="692" t="n"/>
    </row>
    <row r="453" ht="20.1" customHeight="1">
      <c r="A453" s="142" t="n"/>
      <c r="B453" s="691" t="n"/>
      <c r="C453" s="692" t="n"/>
      <c r="D453" s="693" t="n"/>
      <c r="E453" s="694" t="n"/>
      <c r="F453" s="695" t="n"/>
      <c r="G453" s="696" t="n"/>
      <c r="H453" s="151" t="n"/>
      <c r="I453" s="152" t="n"/>
      <c r="J453" s="692" t="n"/>
    </row>
    <row r="454" ht="20.1" customHeight="1">
      <c r="A454" s="142" t="n"/>
      <c r="B454" s="691" t="n"/>
      <c r="C454" s="692" t="n"/>
      <c r="D454" s="693" t="n"/>
      <c r="E454" s="694" t="n"/>
      <c r="F454" s="695" t="n"/>
      <c r="G454" s="696" t="n"/>
      <c r="H454" s="151" t="n"/>
      <c r="I454" s="152" t="n"/>
      <c r="J454" s="692" t="n"/>
    </row>
    <row r="455" ht="20.1" customHeight="1">
      <c r="A455" s="142" t="n"/>
      <c r="B455" s="691" t="n"/>
      <c r="C455" s="692" t="n"/>
      <c r="D455" s="693" t="n"/>
      <c r="E455" s="694" t="n"/>
      <c r="F455" s="695" t="n"/>
      <c r="G455" s="696" t="n"/>
      <c r="H455" s="151" t="n"/>
      <c r="I455" s="152" t="n"/>
      <c r="J455" s="692" t="n"/>
    </row>
    <row r="456" ht="20.1" customHeight="1">
      <c r="A456" s="142" t="n"/>
      <c r="B456" s="691" t="n"/>
      <c r="C456" s="692" t="n"/>
      <c r="D456" s="693" t="n"/>
      <c r="E456" s="694" t="n"/>
      <c r="F456" s="695" t="n"/>
      <c r="G456" s="696" t="n"/>
      <c r="H456" s="151" t="n"/>
      <c r="I456" s="152" t="n"/>
      <c r="J456" s="692" t="n"/>
    </row>
    <row r="457" ht="20.1" customHeight="1">
      <c r="A457" s="142" t="n"/>
      <c r="B457" s="691" t="n"/>
      <c r="C457" s="692" t="n"/>
      <c r="D457" s="693" t="n"/>
      <c r="E457" s="694" t="n"/>
      <c r="F457" s="695" t="n"/>
      <c r="G457" s="696" t="n"/>
      <c r="H457" s="151" t="n"/>
      <c r="I457" s="152" t="n"/>
      <c r="J457" s="692" t="n"/>
    </row>
    <row r="458" ht="20.1" customHeight="1">
      <c r="A458" s="142" t="n"/>
      <c r="B458" s="691" t="n"/>
      <c r="C458" s="692" t="n"/>
      <c r="D458" s="693" t="n"/>
      <c r="E458" s="694" t="n"/>
      <c r="F458" s="695" t="n"/>
      <c r="G458" s="696" t="n"/>
      <c r="H458" s="151" t="n"/>
      <c r="I458" s="152" t="n"/>
      <c r="J458" s="692" t="n"/>
    </row>
    <row r="459" ht="20.1" customHeight="1">
      <c r="A459" s="142" t="n"/>
      <c r="B459" s="691" t="n"/>
      <c r="C459" s="692" t="n"/>
      <c r="D459" s="693" t="n"/>
      <c r="E459" s="694" t="n"/>
      <c r="F459" s="695" t="n"/>
      <c r="G459" s="696" t="n"/>
      <c r="H459" s="151" t="n"/>
      <c r="I459" s="152" t="n"/>
      <c r="J459" s="692" t="n"/>
    </row>
    <row r="460" ht="20.1" customHeight="1">
      <c r="A460" s="142" t="n"/>
      <c r="B460" s="691" t="n"/>
      <c r="C460" s="692" t="n"/>
      <c r="D460" s="693" t="n"/>
      <c r="E460" s="694" t="n"/>
      <c r="F460" s="695" t="n"/>
      <c r="G460" s="696" t="n"/>
      <c r="H460" s="151" t="n"/>
      <c r="I460" s="152" t="n"/>
      <c r="J460" s="692" t="n"/>
    </row>
    <row r="461" ht="20.1" customHeight="1">
      <c r="A461" s="142" t="n"/>
      <c r="B461" s="691" t="n"/>
      <c r="C461" s="692" t="n"/>
      <c r="D461" s="693" t="n"/>
      <c r="E461" s="694" t="n"/>
      <c r="F461" s="695" t="n"/>
      <c r="G461" s="696" t="n"/>
      <c r="H461" s="151" t="n"/>
      <c r="I461" s="152" t="n"/>
      <c r="J461" s="692" t="n"/>
    </row>
    <row r="462" ht="20.1" customHeight="1">
      <c r="A462" s="142" t="n"/>
      <c r="B462" s="691" t="n"/>
      <c r="C462" s="692" t="n"/>
      <c r="D462" s="693" t="n"/>
      <c r="E462" s="694" t="n"/>
      <c r="F462" s="695" t="n"/>
      <c r="G462" s="696" t="n"/>
      <c r="H462" s="151" t="n"/>
      <c r="I462" s="152" t="n"/>
      <c r="J462" s="692" t="n"/>
    </row>
    <row r="463" ht="20.1" customHeight="1">
      <c r="A463" s="142" t="n"/>
      <c r="B463" s="691" t="n"/>
      <c r="C463" s="692" t="n"/>
      <c r="D463" s="693" t="n"/>
      <c r="E463" s="694" t="n"/>
      <c r="F463" s="695" t="n"/>
      <c r="G463" s="696" t="n"/>
      <c r="H463" s="151" t="n"/>
      <c r="I463" s="152" t="n"/>
      <c r="J463" s="692" t="n"/>
    </row>
    <row r="464" ht="20.1" customHeight="1">
      <c r="A464" s="142" t="n"/>
      <c r="B464" s="691" t="n"/>
      <c r="C464" s="692" t="n"/>
      <c r="D464" s="693" t="n"/>
      <c r="E464" s="694" t="n"/>
      <c r="F464" s="695" t="n"/>
      <c r="G464" s="696" t="n"/>
      <c r="H464" s="151" t="n"/>
      <c r="I464" s="152" t="n"/>
      <c r="J464" s="692" t="n"/>
    </row>
    <row r="465" ht="20.1" customHeight="1">
      <c r="A465" s="142" t="n"/>
      <c r="B465" s="691" t="n"/>
      <c r="C465" s="692" t="n"/>
      <c r="D465" s="693" t="n"/>
      <c r="E465" s="694" t="n"/>
      <c r="F465" s="695" t="n"/>
      <c r="G465" s="696" t="n"/>
      <c r="H465" s="151" t="n"/>
      <c r="I465" s="152" t="n"/>
      <c r="J465" s="692" t="n"/>
    </row>
    <row r="466" ht="20.1" customHeight="1">
      <c r="A466" s="142" t="n"/>
      <c r="B466" s="691" t="n"/>
      <c r="C466" s="692" t="n"/>
      <c r="D466" s="693" t="n"/>
      <c r="E466" s="694" t="n"/>
      <c r="F466" s="695" t="n"/>
      <c r="G466" s="696" t="n"/>
      <c r="H466" s="151" t="n"/>
      <c r="I466" s="152" t="n"/>
      <c r="J466" s="692" t="n"/>
    </row>
    <row r="467" ht="20.1" customHeight="1">
      <c r="A467" s="142" t="n"/>
      <c r="B467" s="691" t="n"/>
      <c r="C467" s="692" t="n"/>
      <c r="D467" s="693" t="n"/>
      <c r="E467" s="694" t="n"/>
      <c r="F467" s="695" t="n"/>
      <c r="G467" s="696" t="n"/>
      <c r="H467" s="151" t="n"/>
      <c r="I467" s="152" t="n"/>
      <c r="J467" s="692" t="n"/>
    </row>
    <row r="468" ht="20.1" customHeight="1">
      <c r="A468" s="142" t="n"/>
      <c r="B468" s="691" t="n"/>
      <c r="C468" s="692" t="n"/>
      <c r="D468" s="693" t="n"/>
      <c r="E468" s="694" t="n"/>
      <c r="F468" s="695" t="n"/>
      <c r="G468" s="696" t="n"/>
      <c r="H468" s="151" t="n"/>
      <c r="I468" s="152" t="n"/>
      <c r="J468" s="692" t="n"/>
    </row>
    <row r="469" ht="20.1" customHeight="1">
      <c r="A469" s="142" t="n"/>
      <c r="B469" s="691" t="n"/>
      <c r="C469" s="692" t="n"/>
      <c r="D469" s="693" t="n"/>
      <c r="E469" s="694" t="n"/>
      <c r="F469" s="695" t="n"/>
      <c r="G469" s="696" t="n"/>
      <c r="H469" s="151" t="n"/>
      <c r="I469" s="152" t="n"/>
      <c r="J469" s="692" t="n"/>
    </row>
    <row r="470" ht="20.1" customHeight="1">
      <c r="A470" s="142" t="n"/>
      <c r="B470" s="691" t="n"/>
      <c r="C470" s="692" t="n"/>
      <c r="D470" s="693" t="n"/>
      <c r="E470" s="694" t="n"/>
      <c r="F470" s="695" t="n"/>
      <c r="G470" s="696" t="n"/>
      <c r="H470" s="151" t="n"/>
      <c r="I470" s="152" t="n"/>
      <c r="J470" s="692" t="n"/>
    </row>
    <row r="471" ht="20.1" customHeight="1">
      <c r="A471" s="142" t="n"/>
      <c r="B471" s="691" t="n"/>
      <c r="C471" s="692" t="n"/>
      <c r="D471" s="693" t="n"/>
      <c r="E471" s="694" t="n"/>
      <c r="F471" s="695" t="n"/>
      <c r="G471" s="696" t="n"/>
      <c r="H471" s="151" t="n"/>
      <c r="I471" s="152" t="n"/>
      <c r="J471" s="692" t="n"/>
    </row>
    <row r="472" ht="20.1" customHeight="1">
      <c r="A472" s="142" t="n"/>
      <c r="B472" s="691" t="n"/>
      <c r="C472" s="692" t="n"/>
      <c r="D472" s="693" t="n"/>
      <c r="E472" s="694" t="n"/>
      <c r="F472" s="695" t="n"/>
      <c r="G472" s="696" t="n"/>
      <c r="H472" s="151" t="n"/>
      <c r="I472" s="152" t="n"/>
      <c r="J472" s="692" t="n"/>
    </row>
    <row r="473" ht="20.1" customHeight="1">
      <c r="A473" s="142" t="n"/>
      <c r="B473" s="691" t="n"/>
      <c r="C473" s="692" t="n"/>
      <c r="D473" s="693" t="n"/>
      <c r="E473" s="694" t="n"/>
      <c r="F473" s="695" t="n"/>
      <c r="G473" s="696" t="n"/>
      <c r="H473" s="151" t="n"/>
      <c r="I473" s="152" t="n"/>
      <c r="J473" s="692" t="n"/>
    </row>
    <row r="474" ht="20.1" customHeight="1">
      <c r="A474" s="142" t="n"/>
      <c r="B474" s="691" t="n"/>
      <c r="C474" s="692" t="n"/>
      <c r="D474" s="693" t="n"/>
      <c r="E474" s="694" t="n"/>
      <c r="F474" s="695" t="n"/>
      <c r="G474" s="696" t="n"/>
      <c r="H474" s="151" t="n"/>
      <c r="I474" s="152" t="n"/>
      <c r="J474" s="692" t="n"/>
    </row>
    <row r="475" ht="20.1" customHeight="1">
      <c r="A475" s="142" t="n"/>
      <c r="B475" s="691" t="n"/>
      <c r="C475" s="692" t="n"/>
      <c r="D475" s="693" t="n"/>
      <c r="E475" s="694" t="n"/>
      <c r="F475" s="695" t="n"/>
      <c r="G475" s="696" t="n"/>
      <c r="H475" s="151" t="n"/>
      <c r="I475" s="152" t="n"/>
      <c r="J475" s="692" t="n"/>
    </row>
    <row r="476" ht="20.1" customHeight="1">
      <c r="A476" s="142" t="n"/>
      <c r="B476" s="691" t="n"/>
      <c r="C476" s="692" t="n"/>
      <c r="D476" s="693" t="n"/>
      <c r="E476" s="694" t="n"/>
      <c r="F476" s="695" t="n"/>
      <c r="G476" s="696" t="n"/>
      <c r="H476" s="151" t="n"/>
      <c r="I476" s="152" t="n"/>
      <c r="J476" s="692" t="n"/>
    </row>
    <row r="477" ht="20.1" customHeight="1">
      <c r="A477" s="142" t="n"/>
      <c r="B477" s="691" t="n"/>
      <c r="C477" s="692" t="n"/>
      <c r="D477" s="693" t="n"/>
      <c r="E477" s="694" t="n"/>
      <c r="F477" s="695" t="n"/>
      <c r="G477" s="696" t="n"/>
      <c r="H477" s="151" t="n"/>
      <c r="I477" s="152" t="n"/>
      <c r="J477" s="692" t="n"/>
    </row>
    <row r="478" ht="20.1" customHeight="1">
      <c r="A478" s="142" t="n"/>
      <c r="B478" s="691" t="n"/>
      <c r="C478" s="692" t="n"/>
      <c r="D478" s="693" t="n"/>
      <c r="E478" s="694" t="n"/>
      <c r="F478" s="695" t="n"/>
      <c r="G478" s="696" t="n"/>
      <c r="H478" s="151" t="n"/>
      <c r="I478" s="152" t="n"/>
      <c r="J478" s="692" t="n"/>
    </row>
    <row r="479" ht="20.1" customHeight="1">
      <c r="A479" s="142" t="n"/>
      <c r="B479" s="691" t="n"/>
      <c r="C479" s="692" t="n"/>
      <c r="D479" s="693" t="n"/>
      <c r="E479" s="694" t="n"/>
      <c r="F479" s="695" t="n"/>
      <c r="G479" s="696" t="n"/>
      <c r="H479" s="151" t="n"/>
      <c r="I479" s="152" t="n"/>
      <c r="J479" s="692" t="n"/>
    </row>
    <row r="480" ht="20.1" customHeight="1">
      <c r="A480" s="142" t="n"/>
      <c r="B480" s="691" t="n"/>
      <c r="C480" s="692" t="n"/>
      <c r="D480" s="693" t="n"/>
      <c r="E480" s="694" t="n"/>
      <c r="F480" s="695" t="n"/>
      <c r="G480" s="696" t="n"/>
      <c r="H480" s="151" t="n"/>
      <c r="I480" s="152" t="n"/>
      <c r="J480" s="692" t="n"/>
    </row>
    <row r="481" ht="20.1" customHeight="1">
      <c r="A481" s="142" t="n"/>
      <c r="B481" s="691" t="n"/>
      <c r="C481" s="692" t="n"/>
      <c r="D481" s="693" t="n"/>
      <c r="E481" s="694" t="n"/>
      <c r="F481" s="695" t="n"/>
      <c r="G481" s="696" t="n"/>
      <c r="H481" s="151" t="n"/>
      <c r="I481" s="152" t="n"/>
      <c r="J481" s="692" t="n"/>
    </row>
    <row r="482" ht="20.1" customHeight="1">
      <c r="A482" s="142" t="n"/>
      <c r="B482" s="691" t="n"/>
      <c r="C482" s="692" t="n"/>
      <c r="D482" s="693" t="n"/>
      <c r="E482" s="694" t="n"/>
      <c r="F482" s="695" t="n"/>
      <c r="G482" s="696" t="n"/>
      <c r="H482" s="151" t="n"/>
      <c r="I482" s="152" t="n"/>
      <c r="J482" s="692" t="n"/>
    </row>
    <row r="483" ht="20.1" customHeight="1">
      <c r="A483" s="142" t="n"/>
      <c r="B483" s="691" t="n"/>
      <c r="C483" s="692" t="n"/>
      <c r="D483" s="693" t="n"/>
      <c r="E483" s="694" t="n"/>
      <c r="F483" s="695" t="n"/>
      <c r="G483" s="696" t="n"/>
      <c r="H483" s="151" t="n"/>
      <c r="I483" s="152" t="n"/>
      <c r="J483" s="692" t="n"/>
    </row>
    <row r="484" ht="20.1" customHeight="1">
      <c r="A484" s="142" t="n"/>
      <c r="B484" s="691" t="n"/>
      <c r="C484" s="692" t="n"/>
      <c r="D484" s="693" t="n"/>
      <c r="E484" s="694" t="n"/>
      <c r="F484" s="695" t="n"/>
      <c r="G484" s="696" t="n"/>
      <c r="H484" s="151" t="n"/>
      <c r="I484" s="152" t="n"/>
      <c r="J484" s="692" t="n"/>
    </row>
    <row r="485" ht="20.1" customHeight="1">
      <c r="A485" s="142" t="n"/>
      <c r="B485" s="691" t="n"/>
      <c r="C485" s="692" t="n"/>
      <c r="D485" s="693" t="n"/>
      <c r="E485" s="694" t="n"/>
      <c r="F485" s="695" t="n"/>
      <c r="G485" s="696" t="n"/>
      <c r="H485" s="151" t="n"/>
      <c r="I485" s="152" t="n"/>
      <c r="J485" s="692" t="n"/>
    </row>
    <row r="486" ht="20.1" customHeight="1">
      <c r="A486" s="142" t="n"/>
      <c r="B486" s="691" t="n"/>
      <c r="C486" s="692" t="n"/>
      <c r="D486" s="693" t="n"/>
      <c r="E486" s="694" t="n"/>
      <c r="F486" s="695" t="n"/>
      <c r="G486" s="696" t="n"/>
      <c r="H486" s="151" t="n"/>
      <c r="I486" s="152" t="n"/>
      <c r="J486" s="692" t="n"/>
    </row>
    <row r="487" ht="20.1" customHeight="1">
      <c r="A487" s="142" t="n"/>
      <c r="B487" s="691" t="n"/>
      <c r="C487" s="692" t="n"/>
      <c r="D487" s="693" t="n"/>
      <c r="E487" s="694" t="n"/>
      <c r="F487" s="695" t="n"/>
      <c r="G487" s="696" t="n"/>
      <c r="H487" s="151" t="n"/>
      <c r="I487" s="152" t="n"/>
      <c r="J487" s="692" t="n"/>
    </row>
    <row r="488" ht="20.1" customHeight="1">
      <c r="A488" s="142" t="n"/>
      <c r="B488" s="691" t="n"/>
      <c r="C488" s="692" t="n"/>
      <c r="D488" s="693" t="n"/>
      <c r="E488" s="694" t="n"/>
      <c r="F488" s="695" t="n"/>
      <c r="G488" s="696" t="n"/>
      <c r="H488" s="151" t="n"/>
      <c r="I488" s="152" t="n"/>
      <c r="J488" s="692" t="n"/>
    </row>
    <row r="489" ht="20.1" customHeight="1">
      <c r="A489" s="142" t="n"/>
      <c r="B489" s="691" t="n"/>
      <c r="C489" s="692" t="n"/>
      <c r="D489" s="693" t="n"/>
      <c r="E489" s="694" t="n"/>
      <c r="F489" s="695" t="n"/>
      <c r="G489" s="696" t="n"/>
      <c r="H489" s="151" t="n"/>
      <c r="I489" s="152" t="n"/>
      <c r="J489" s="692" t="n"/>
    </row>
    <row r="490" ht="20.1" customHeight="1">
      <c r="A490" s="142" t="n"/>
      <c r="B490" s="691" t="n"/>
      <c r="C490" s="692" t="n"/>
      <c r="D490" s="693" t="n"/>
      <c r="E490" s="694" t="n"/>
      <c r="F490" s="695" t="n"/>
      <c r="G490" s="696" t="n"/>
      <c r="H490" s="151" t="n"/>
      <c r="I490" s="152" t="n"/>
      <c r="J490" s="692" t="n"/>
    </row>
    <row r="491" ht="20.1" customHeight="1">
      <c r="A491" s="142" t="n"/>
      <c r="B491" s="691" t="n"/>
      <c r="C491" s="692" t="n"/>
      <c r="D491" s="693" t="n"/>
      <c r="E491" s="694" t="n"/>
      <c r="F491" s="695" t="n"/>
      <c r="G491" s="696" t="n"/>
      <c r="H491" s="151" t="n"/>
      <c r="I491" s="152" t="n"/>
      <c r="J491" s="692" t="n"/>
    </row>
    <row r="492" ht="20.1" customHeight="1">
      <c r="A492" s="142" t="n"/>
      <c r="B492" s="691" t="n"/>
      <c r="C492" s="692" t="n"/>
      <c r="D492" s="693" t="n"/>
      <c r="E492" s="694" t="n"/>
      <c r="F492" s="695" t="n"/>
      <c r="G492" s="696" t="n"/>
      <c r="H492" s="151" t="n"/>
      <c r="I492" s="152" t="n"/>
      <c r="J492" s="692" t="n"/>
    </row>
    <row r="493" ht="20.1" customHeight="1">
      <c r="A493" s="142" t="n"/>
      <c r="B493" s="691" t="n"/>
      <c r="C493" s="692" t="n"/>
      <c r="D493" s="693" t="n"/>
      <c r="E493" s="694" t="n"/>
      <c r="F493" s="695" t="n"/>
      <c r="G493" s="696" t="n"/>
      <c r="H493" s="151" t="n"/>
      <c r="I493" s="152" t="n"/>
      <c r="J493" s="692" t="n"/>
    </row>
    <row r="494" ht="20.1" customHeight="1">
      <c r="A494" s="142" t="n"/>
      <c r="B494" s="691" t="n"/>
      <c r="C494" s="692" t="n"/>
      <c r="D494" s="693" t="n"/>
      <c r="E494" s="694" t="n"/>
      <c r="F494" s="695" t="n"/>
      <c r="G494" s="696" t="n"/>
      <c r="H494" s="151" t="n"/>
      <c r="I494" s="152" t="n"/>
      <c r="J494" s="692" t="n"/>
    </row>
    <row r="495" ht="20.1" customHeight="1">
      <c r="A495" s="142" t="n"/>
      <c r="B495" s="691" t="n"/>
      <c r="C495" s="692" t="n"/>
      <c r="D495" s="693" t="n"/>
      <c r="E495" s="694" t="n"/>
      <c r="F495" s="695" t="n"/>
      <c r="G495" s="696" t="n"/>
      <c r="H495" s="151" t="n"/>
      <c r="I495" s="152" t="n"/>
      <c r="J495" s="692" t="n"/>
    </row>
    <row r="496" ht="20.1" customHeight="1">
      <c r="A496" s="142" t="n"/>
      <c r="B496" s="691" t="n"/>
      <c r="C496" s="692" t="n"/>
      <c r="D496" s="693" t="n"/>
      <c r="E496" s="694" t="n"/>
      <c r="F496" s="695" t="n"/>
      <c r="G496" s="696" t="n"/>
      <c r="H496" s="151" t="n"/>
      <c r="I496" s="152" t="n"/>
      <c r="J496" s="692" t="n"/>
    </row>
    <row r="497" ht="20.1" customHeight="1">
      <c r="A497" s="142" t="n"/>
      <c r="B497" s="691" t="n"/>
      <c r="C497" s="692" t="n"/>
      <c r="D497" s="693" t="n"/>
      <c r="E497" s="694" t="n"/>
      <c r="F497" s="695" t="n"/>
      <c r="G497" s="696" t="n"/>
      <c r="H497" s="151" t="n"/>
      <c r="I497" s="152" t="n"/>
      <c r="J497" s="692" t="n"/>
    </row>
    <row r="498" ht="20.1" customHeight="1">
      <c r="A498" s="142" t="n"/>
      <c r="B498" s="691" t="n"/>
      <c r="C498" s="692" t="n"/>
      <c r="D498" s="693" t="n"/>
      <c r="E498" s="694" t="n"/>
      <c r="F498" s="695" t="n"/>
      <c r="G498" s="696" t="n"/>
      <c r="H498" s="151" t="n"/>
      <c r="I498" s="152" t="n"/>
      <c r="J498" s="692" t="n"/>
    </row>
    <row r="499" ht="20.1" customHeight="1">
      <c r="A499" s="142" t="n"/>
      <c r="B499" s="691" t="n"/>
      <c r="C499" s="692" t="n"/>
      <c r="D499" s="693" t="n"/>
      <c r="E499" s="694" t="n"/>
      <c r="F499" s="695" t="n"/>
      <c r="G499" s="696" t="n"/>
      <c r="H499" s="151" t="n"/>
      <c r="I499" s="152" t="n"/>
      <c r="J499" s="692" t="n"/>
    </row>
    <row r="500" ht="20.1" customHeight="1">
      <c r="A500" s="142" t="n"/>
      <c r="B500" s="691" t="n"/>
      <c r="C500" s="692" t="n"/>
      <c r="D500" s="693" t="n"/>
      <c r="E500" s="694" t="n"/>
      <c r="F500" s="695" t="n"/>
      <c r="G500" s="696" t="n"/>
      <c r="H500" s="151" t="n"/>
      <c r="I500" s="152" t="n"/>
      <c r="J500" s="692" t="n"/>
    </row>
    <row r="501" ht="20.1" customHeight="1">
      <c r="A501" s="142" t="n"/>
      <c r="B501" s="691" t="n"/>
      <c r="C501" s="692" t="n"/>
      <c r="D501" s="693" t="n"/>
      <c r="E501" s="694" t="n"/>
      <c r="F501" s="695" t="n"/>
      <c r="G501" s="696" t="n"/>
      <c r="H501" s="151" t="n"/>
      <c r="I501" s="152" t="n"/>
      <c r="J501" s="692" t="n"/>
    </row>
    <row r="502" ht="20.1" customHeight="1">
      <c r="A502" s="142" t="n"/>
      <c r="B502" s="691" t="n"/>
      <c r="C502" s="692" t="n"/>
      <c r="D502" s="693" t="n"/>
      <c r="E502" s="694" t="n"/>
      <c r="F502" s="695" t="n"/>
      <c r="G502" s="696" t="n"/>
      <c r="H502" s="151" t="n"/>
      <c r="I502" s="152" t="n"/>
      <c r="J502" s="692" t="n"/>
    </row>
    <row r="503" ht="20.1" customHeight="1">
      <c r="A503" s="142" t="n"/>
      <c r="B503" s="691" t="n"/>
      <c r="C503" s="692" t="n"/>
      <c r="D503" s="693" t="n"/>
      <c r="E503" s="694" t="n"/>
      <c r="F503" s="695" t="n"/>
      <c r="G503" s="696" t="n"/>
      <c r="H503" s="151" t="n"/>
      <c r="I503" s="152" t="n"/>
      <c r="J503" s="692" t="n"/>
    </row>
    <row r="504" ht="20.1" customHeight="1">
      <c r="A504" s="142" t="n"/>
      <c r="B504" s="691" t="n"/>
      <c r="C504" s="692" t="n"/>
      <c r="D504" s="693" t="n"/>
      <c r="E504" s="694" t="n"/>
      <c r="F504" s="695" t="n"/>
      <c r="G504" s="696" t="n"/>
      <c r="H504" s="151" t="n"/>
      <c r="I504" s="152" t="n"/>
      <c r="J504" s="692" t="n"/>
    </row>
    <row r="505" ht="20.1" customHeight="1">
      <c r="A505" s="142" t="n"/>
      <c r="B505" s="691" t="n"/>
      <c r="C505" s="692" t="n"/>
      <c r="D505" s="693" t="n"/>
      <c r="E505" s="694" t="n"/>
      <c r="F505" s="695" t="n"/>
      <c r="G505" s="696" t="n"/>
      <c r="H505" s="151" t="n"/>
      <c r="I505" s="152" t="n"/>
      <c r="J505" s="692" t="n"/>
    </row>
    <row r="506" ht="20.1" customHeight="1">
      <c r="A506" s="142" t="n"/>
      <c r="B506" s="691" t="n"/>
      <c r="C506" s="692" t="n"/>
      <c r="D506" s="693" t="n"/>
      <c r="E506" s="694" t="n"/>
      <c r="F506" s="695" t="n"/>
      <c r="G506" s="696" t="n"/>
      <c r="H506" s="151" t="n"/>
      <c r="I506" s="152" t="n"/>
      <c r="J506" s="692" t="n"/>
    </row>
    <row r="507" ht="20.1" customHeight="1">
      <c r="A507" s="142" t="n"/>
      <c r="B507" s="691" t="n"/>
      <c r="C507" s="692" t="n"/>
      <c r="D507" s="693" t="n"/>
      <c r="E507" s="694" t="n"/>
      <c r="F507" s="695" t="n"/>
      <c r="G507" s="696" t="n"/>
      <c r="H507" s="151" t="n"/>
      <c r="I507" s="152" t="n"/>
      <c r="J507" s="692" t="n"/>
    </row>
    <row r="508" ht="20.1" customHeight="1">
      <c r="A508" s="142" t="n"/>
      <c r="B508" s="691" t="n"/>
      <c r="C508" s="692" t="n"/>
      <c r="D508" s="693" t="n"/>
      <c r="E508" s="694" t="n"/>
      <c r="F508" s="695" t="n"/>
      <c r="G508" s="696" t="n"/>
      <c r="H508" s="151" t="n"/>
      <c r="I508" s="152" t="n"/>
      <c r="J508" s="692" t="n"/>
    </row>
    <row r="509" ht="20.1" customHeight="1">
      <c r="A509" s="142" t="n"/>
      <c r="B509" s="691" t="n"/>
      <c r="C509" s="692" t="n"/>
      <c r="D509" s="693" t="n"/>
      <c r="E509" s="694" t="n"/>
      <c r="F509" s="695" t="n"/>
      <c r="G509" s="696" t="n"/>
      <c r="H509" s="151" t="n"/>
      <c r="I509" s="152" t="n"/>
      <c r="J509" s="692" t="n"/>
    </row>
    <row r="510" ht="20.1" customHeight="1">
      <c r="A510" s="142" t="n"/>
      <c r="B510" s="691" t="n"/>
      <c r="C510" s="692" t="n"/>
      <c r="D510" s="693" t="n"/>
      <c r="E510" s="694" t="n"/>
      <c r="F510" s="695" t="n"/>
      <c r="G510" s="696" t="n"/>
      <c r="H510" s="151" t="n"/>
      <c r="I510" s="152" t="n"/>
      <c r="J510" s="692" t="n"/>
    </row>
    <row r="511" ht="20.1" customHeight="1">
      <c r="A511" s="142" t="n"/>
      <c r="B511" s="691" t="n"/>
      <c r="C511" s="692" t="n"/>
      <c r="D511" s="693" t="n"/>
      <c r="E511" s="694" t="n"/>
      <c r="F511" s="695" t="n"/>
      <c r="G511" s="696" t="n"/>
      <c r="H511" s="151" t="n"/>
      <c r="I511" s="152" t="n"/>
      <c r="J511" s="692" t="n"/>
    </row>
    <row r="512" ht="20.1" customHeight="1">
      <c r="A512" s="142" t="n"/>
      <c r="B512" s="691" t="n"/>
      <c r="C512" s="692" t="n"/>
      <c r="D512" s="693" t="n"/>
      <c r="E512" s="694" t="n"/>
      <c r="F512" s="695" t="n"/>
      <c r="G512" s="696" t="n"/>
      <c r="H512" s="151" t="n"/>
      <c r="I512" s="152" t="n"/>
      <c r="J512" s="692" t="n"/>
    </row>
    <row r="513" ht="20.1" customHeight="1">
      <c r="A513" s="142" t="n"/>
      <c r="B513" s="691" t="n"/>
      <c r="C513" s="692" t="n"/>
      <c r="D513" s="693" t="n"/>
      <c r="E513" s="694" t="n"/>
      <c r="F513" s="695" t="n"/>
      <c r="G513" s="696" t="n"/>
      <c r="H513" s="151" t="n"/>
      <c r="I513" s="152" t="n"/>
      <c r="J513" s="692" t="n"/>
    </row>
    <row r="514" ht="20.1" customHeight="1">
      <c r="A514" s="142" t="n"/>
      <c r="B514" s="691" t="n"/>
      <c r="C514" s="692" t="n"/>
      <c r="D514" s="693" t="n"/>
      <c r="E514" s="694" t="n"/>
      <c r="F514" s="695" t="n"/>
      <c r="G514" s="696" t="n"/>
      <c r="H514" s="151" t="n"/>
      <c r="I514" s="152" t="n"/>
      <c r="J514" s="692" t="n"/>
    </row>
    <row r="515" ht="20.1" customHeight="1">
      <c r="A515" s="142" t="n"/>
      <c r="B515" s="691" t="n"/>
      <c r="C515" s="692" t="n"/>
      <c r="D515" s="693" t="n"/>
      <c r="E515" s="694" t="n"/>
      <c r="F515" s="695" t="n"/>
      <c r="G515" s="696" t="n"/>
      <c r="H515" s="151" t="n"/>
      <c r="I515" s="152" t="n"/>
      <c r="J515" s="692" t="n"/>
    </row>
    <row r="516" ht="20.1" customHeight="1">
      <c r="A516" s="142" t="n"/>
      <c r="B516" s="691" t="n"/>
      <c r="C516" s="692" t="n"/>
      <c r="D516" s="693" t="n"/>
      <c r="E516" s="694" t="n"/>
      <c r="F516" s="695" t="n"/>
      <c r="G516" s="696" t="n"/>
      <c r="H516" s="151" t="n"/>
      <c r="I516" s="152" t="n"/>
      <c r="J516" s="692" t="n"/>
    </row>
    <row r="517" ht="20.1" customHeight="1">
      <c r="A517" s="142" t="n"/>
      <c r="B517" s="691" t="n"/>
      <c r="C517" s="692" t="n"/>
      <c r="D517" s="693" t="n"/>
      <c r="E517" s="694" t="n"/>
      <c r="F517" s="695" t="n"/>
      <c r="G517" s="696" t="n"/>
      <c r="H517" s="151" t="n"/>
      <c r="I517" s="152" t="n"/>
      <c r="J517" s="692" t="n"/>
    </row>
    <row r="518" ht="20.1" customHeight="1">
      <c r="A518" s="142" t="n"/>
      <c r="B518" s="691" t="n"/>
      <c r="C518" s="692" t="n"/>
      <c r="D518" s="693" t="n"/>
      <c r="E518" s="694" t="n"/>
      <c r="F518" s="695" t="n"/>
      <c r="G518" s="696" t="n"/>
      <c r="H518" s="151" t="n"/>
      <c r="I518" s="152" t="n"/>
      <c r="J518" s="692" t="n"/>
    </row>
    <row r="519" ht="20.1" customHeight="1">
      <c r="A519" s="142" t="n"/>
      <c r="B519" s="691" t="n"/>
      <c r="C519" s="692" t="n"/>
      <c r="D519" s="693" t="n"/>
      <c r="E519" s="694" t="n"/>
      <c r="F519" s="695" t="n"/>
      <c r="G519" s="696" t="n"/>
      <c r="H519" s="151" t="n"/>
      <c r="I519" s="152" t="n"/>
      <c r="J519" s="692" t="n"/>
    </row>
    <row r="520" ht="20.1" customHeight="1">
      <c r="A520" s="142" t="n"/>
      <c r="B520" s="691" t="n"/>
      <c r="C520" s="692" t="n"/>
      <c r="D520" s="693" t="n"/>
      <c r="E520" s="694" t="n"/>
      <c r="F520" s="695" t="n"/>
      <c r="G520" s="696" t="n"/>
      <c r="H520" s="151" t="n"/>
      <c r="I520" s="152" t="n"/>
      <c r="J520" s="692" t="n"/>
    </row>
    <row r="521" ht="20.1" customHeight="1">
      <c r="A521" s="142" t="n"/>
      <c r="B521" s="691" t="n"/>
      <c r="C521" s="692" t="n"/>
      <c r="D521" s="693" t="n"/>
      <c r="E521" s="694" t="n"/>
      <c r="F521" s="695" t="n"/>
      <c r="G521" s="696" t="n"/>
      <c r="H521" s="151" t="n"/>
      <c r="I521" s="152" t="n"/>
      <c r="J521" s="692" t="n"/>
    </row>
    <row r="522" ht="20.1" customHeight="1">
      <c r="A522" s="142" t="n"/>
      <c r="B522" s="691" t="n"/>
      <c r="C522" s="692" t="n"/>
      <c r="D522" s="693" t="n"/>
      <c r="E522" s="694" t="n"/>
      <c r="F522" s="695" t="n"/>
      <c r="G522" s="696" t="n"/>
      <c r="H522" s="151" t="n"/>
      <c r="I522" s="152" t="n"/>
      <c r="J522" s="692" t="n"/>
    </row>
    <row r="523" ht="20.1" customHeight="1">
      <c r="A523" s="142" t="n"/>
      <c r="B523" s="691" t="n"/>
      <c r="C523" s="692" t="n"/>
      <c r="D523" s="693" t="n"/>
      <c r="E523" s="694" t="n"/>
      <c r="F523" s="695" t="n"/>
      <c r="G523" s="696" t="n"/>
      <c r="H523" s="151" t="n"/>
      <c r="I523" s="152" t="n"/>
      <c r="J523" s="692" t="n"/>
    </row>
    <row r="524" ht="20.1" customHeight="1">
      <c r="A524" s="142" t="n"/>
      <c r="B524" s="691" t="n"/>
      <c r="C524" s="692" t="n"/>
      <c r="D524" s="693" t="n"/>
      <c r="E524" s="694" t="n"/>
      <c r="F524" s="695" t="n"/>
      <c r="G524" s="696" t="n"/>
      <c r="H524" s="151" t="n"/>
      <c r="I524" s="152" t="n"/>
      <c r="J524" s="692" t="n"/>
    </row>
    <row r="525" ht="20.1" customHeight="1">
      <c r="A525" s="142" t="n"/>
      <c r="B525" s="691" t="n"/>
      <c r="C525" s="692" t="n"/>
      <c r="D525" s="693" t="n"/>
      <c r="E525" s="694" t="n"/>
      <c r="F525" s="695" t="n"/>
      <c r="G525" s="696" t="n"/>
      <c r="H525" s="151" t="n"/>
      <c r="I525" s="152" t="n"/>
      <c r="J525" s="692" t="n"/>
    </row>
    <row r="526" ht="20.1" customHeight="1">
      <c r="A526" s="142" t="n"/>
      <c r="B526" s="691" t="n"/>
      <c r="C526" s="692" t="n"/>
      <c r="D526" s="693" t="n"/>
      <c r="E526" s="694" t="n"/>
      <c r="F526" s="695" t="n"/>
      <c r="G526" s="696" t="n"/>
      <c r="H526" s="151" t="n"/>
      <c r="I526" s="152" t="n"/>
      <c r="J526" s="692" t="n"/>
    </row>
    <row r="527" ht="20.1" customHeight="1">
      <c r="A527" s="142" t="n"/>
      <c r="B527" s="691" t="n"/>
      <c r="C527" s="692" t="n"/>
      <c r="D527" s="693" t="n"/>
      <c r="E527" s="694" t="n"/>
      <c r="F527" s="695" t="n"/>
      <c r="G527" s="696" t="n"/>
      <c r="H527" s="151" t="n"/>
      <c r="I527" s="152" t="n"/>
      <c r="J527" s="692" t="n"/>
    </row>
    <row r="528" ht="20.1" customHeight="1">
      <c r="A528" s="142" t="n"/>
      <c r="B528" s="691" t="n"/>
      <c r="C528" s="692" t="n"/>
      <c r="D528" s="693" t="n"/>
      <c r="E528" s="694" t="n"/>
      <c r="F528" s="695" t="n"/>
      <c r="G528" s="696" t="n"/>
      <c r="H528" s="151" t="n"/>
      <c r="I528" s="152" t="n"/>
      <c r="J528" s="692" t="n"/>
    </row>
    <row r="529" ht="20.1" customHeight="1">
      <c r="A529" s="142" t="n"/>
      <c r="B529" s="691" t="n"/>
      <c r="C529" s="692" t="n"/>
      <c r="D529" s="693" t="n"/>
      <c r="E529" s="694" t="n"/>
      <c r="F529" s="695" t="n"/>
      <c r="G529" s="696" t="n"/>
      <c r="H529" s="151" t="n"/>
      <c r="I529" s="152" t="n"/>
      <c r="J529" s="692" t="n"/>
    </row>
    <row r="530" ht="20.1" customHeight="1">
      <c r="A530" s="142" t="n"/>
      <c r="B530" s="691" t="n"/>
      <c r="C530" s="692" t="n"/>
      <c r="D530" s="693" t="n"/>
      <c r="E530" s="694" t="n"/>
      <c r="F530" s="695" t="n"/>
      <c r="G530" s="696" t="n"/>
      <c r="H530" s="151" t="n"/>
      <c r="I530" s="152" t="n"/>
      <c r="J530" s="692" t="n"/>
    </row>
    <row r="531" ht="20.1" customHeight="1">
      <c r="A531" s="142" t="n"/>
      <c r="B531" s="691" t="n"/>
      <c r="C531" s="692" t="n"/>
      <c r="D531" s="693" t="n"/>
      <c r="E531" s="694" t="n"/>
      <c r="F531" s="695" t="n"/>
      <c r="G531" s="696" t="n"/>
      <c r="H531" s="151" t="n"/>
      <c r="I531" s="152" t="n"/>
      <c r="J531" s="692" t="n"/>
    </row>
    <row r="532" ht="20.1" customHeight="1">
      <c r="A532" s="142" t="n"/>
      <c r="B532" s="691" t="n"/>
      <c r="C532" s="692" t="n"/>
      <c r="D532" s="693" t="n"/>
      <c r="E532" s="694" t="n"/>
      <c r="F532" s="695" t="n"/>
      <c r="G532" s="696" t="n"/>
      <c r="H532" s="151" t="n"/>
      <c r="I532" s="152" t="n"/>
      <c r="J532" s="692" t="n"/>
    </row>
    <row r="533" ht="20.1" customHeight="1">
      <c r="A533" s="142" t="n"/>
      <c r="B533" s="691" t="n"/>
      <c r="C533" s="692" t="n"/>
      <c r="D533" s="693" t="n"/>
      <c r="E533" s="694" t="n"/>
      <c r="F533" s="695" t="n"/>
      <c r="G533" s="696" t="n"/>
      <c r="H533" s="151" t="n"/>
      <c r="I533" s="152" t="n"/>
      <c r="J533" s="692" t="n"/>
    </row>
    <row r="534" ht="20.1" customHeight="1">
      <c r="A534" s="142" t="n"/>
      <c r="B534" s="691" t="n"/>
      <c r="C534" s="692" t="n"/>
      <c r="D534" s="693" t="n"/>
      <c r="E534" s="694" t="n"/>
      <c r="F534" s="695" t="n"/>
      <c r="G534" s="696" t="n"/>
      <c r="H534" s="151" t="n"/>
      <c r="I534" s="152" t="n"/>
      <c r="J534" s="692" t="n"/>
    </row>
    <row r="535" ht="20.1" customHeight="1">
      <c r="A535" s="142" t="n"/>
      <c r="B535" s="691" t="n"/>
      <c r="C535" s="692" t="n"/>
      <c r="D535" s="693" t="n"/>
      <c r="E535" s="694" t="n"/>
      <c r="F535" s="695" t="n"/>
      <c r="G535" s="696" t="n"/>
      <c r="H535" s="151" t="n"/>
      <c r="I535" s="152" t="n"/>
      <c r="J535" s="692" t="n"/>
    </row>
    <row r="536" ht="20.1" customHeight="1">
      <c r="A536" s="142" t="n"/>
      <c r="B536" s="691" t="n"/>
      <c r="C536" s="692" t="n"/>
      <c r="D536" s="693" t="n"/>
      <c r="E536" s="694" t="n"/>
      <c r="F536" s="695" t="n"/>
      <c r="G536" s="696" t="n"/>
      <c r="H536" s="151" t="n"/>
      <c r="I536" s="152" t="n"/>
      <c r="J536" s="692" t="n"/>
    </row>
    <row r="537" ht="20.1" customHeight="1">
      <c r="A537" s="142" t="n"/>
      <c r="B537" s="691" t="n"/>
      <c r="C537" s="692" t="n"/>
      <c r="D537" s="693" t="n"/>
      <c r="E537" s="694" t="n"/>
      <c r="F537" s="695" t="n"/>
      <c r="G537" s="696" t="n"/>
      <c r="H537" s="151" t="n"/>
      <c r="I537" s="152" t="n"/>
      <c r="J537" s="692" t="n"/>
    </row>
    <row r="538" ht="20.1" customHeight="1">
      <c r="A538" s="142" t="n"/>
      <c r="B538" s="691" t="n"/>
      <c r="C538" s="692" t="n"/>
      <c r="D538" s="693" t="n"/>
      <c r="E538" s="694" t="n"/>
      <c r="F538" s="695" t="n"/>
      <c r="G538" s="696" t="n"/>
      <c r="H538" s="151" t="n"/>
      <c r="I538" s="152" t="n"/>
      <c r="J538" s="692" t="n"/>
    </row>
    <row r="539" ht="20.1" customHeight="1">
      <c r="A539" s="142" t="n"/>
      <c r="B539" s="691" t="n"/>
      <c r="C539" s="692" t="n"/>
      <c r="D539" s="693" t="n"/>
      <c r="E539" s="694" t="n"/>
      <c r="F539" s="695" t="n"/>
      <c r="G539" s="696" t="n"/>
      <c r="H539" s="151" t="n"/>
      <c r="I539" s="152" t="n"/>
      <c r="J539" s="692" t="n"/>
    </row>
    <row r="540" ht="20.1" customHeight="1">
      <c r="A540" s="142" t="n"/>
      <c r="B540" s="691" t="n"/>
      <c r="C540" s="692" t="n"/>
      <c r="D540" s="693" t="n"/>
      <c r="E540" s="694" t="n"/>
      <c r="F540" s="695" t="n"/>
      <c r="G540" s="696" t="n"/>
      <c r="H540" s="151" t="n"/>
      <c r="I540" s="152" t="n"/>
      <c r="J540" s="692" t="n"/>
    </row>
    <row r="541" ht="20.1" customHeight="1">
      <c r="A541" s="142" t="n"/>
      <c r="B541" s="691" t="n"/>
      <c r="C541" s="692" t="n"/>
      <c r="D541" s="693" t="n"/>
      <c r="E541" s="694" t="n"/>
      <c r="F541" s="695" t="n"/>
      <c r="G541" s="696" t="n"/>
      <c r="H541" s="151" t="n"/>
      <c r="I541" s="152" t="n"/>
      <c r="J541" s="692" t="n"/>
    </row>
    <row r="542" ht="20.1" customHeight="1">
      <c r="A542" s="142" t="n"/>
      <c r="B542" s="691" t="n"/>
      <c r="C542" s="692" t="n"/>
      <c r="D542" s="693" t="n"/>
      <c r="E542" s="694" t="n"/>
      <c r="F542" s="695" t="n"/>
      <c r="G542" s="696" t="n"/>
      <c r="H542" s="151" t="n"/>
      <c r="I542" s="152" t="n"/>
      <c r="J542" s="692" t="n"/>
    </row>
    <row r="543" ht="20.1" customHeight="1">
      <c r="A543" s="142" t="n"/>
      <c r="B543" s="691" t="n"/>
      <c r="C543" s="692" t="n"/>
      <c r="D543" s="693" t="n"/>
      <c r="E543" s="694" t="n"/>
      <c r="F543" s="695" t="n"/>
      <c r="G543" s="696" t="n"/>
      <c r="H543" s="151" t="n"/>
      <c r="I543" s="152" t="n"/>
      <c r="J543" s="692" t="n"/>
    </row>
    <row r="544" ht="20.1" customHeight="1">
      <c r="A544" s="142" t="n"/>
      <c r="B544" s="691" t="n"/>
      <c r="C544" s="692" t="n"/>
      <c r="D544" s="693" t="n"/>
      <c r="E544" s="694" t="n"/>
      <c r="F544" s="695" t="n"/>
      <c r="G544" s="696" t="n"/>
      <c r="H544" s="151" t="n"/>
      <c r="I544" s="152" t="n"/>
      <c r="J544" s="692" t="n"/>
    </row>
    <row r="545" ht="20.1" customHeight="1">
      <c r="A545" s="142" t="n"/>
      <c r="B545" s="691" t="n"/>
      <c r="C545" s="692" t="n"/>
      <c r="D545" s="693" t="n"/>
      <c r="E545" s="694" t="n"/>
      <c r="F545" s="695" t="n"/>
      <c r="G545" s="696" t="n"/>
      <c r="H545" s="151" t="n"/>
      <c r="I545" s="152" t="n"/>
      <c r="J545" s="692" t="n"/>
    </row>
    <row r="546" ht="20.1" customHeight="1">
      <c r="A546" s="142" t="n"/>
      <c r="B546" s="691" t="n"/>
      <c r="C546" s="692" t="n"/>
      <c r="D546" s="693" t="n"/>
      <c r="E546" s="694" t="n"/>
      <c r="F546" s="695" t="n"/>
      <c r="G546" s="696" t="n"/>
      <c r="H546" s="151" t="n"/>
      <c r="I546" s="152" t="n"/>
      <c r="J546" s="692" t="n"/>
    </row>
    <row r="547" ht="20.1" customHeight="1">
      <c r="A547" s="142" t="n"/>
      <c r="B547" s="691" t="n"/>
      <c r="C547" s="692" t="n"/>
      <c r="D547" s="693" t="n"/>
      <c r="E547" s="694" t="n"/>
      <c r="F547" s="695" t="n"/>
      <c r="G547" s="696" t="n"/>
      <c r="H547" s="151" t="n"/>
      <c r="I547" s="152" t="n"/>
      <c r="J547" s="692" t="n"/>
    </row>
    <row r="548" ht="20.1" customHeight="1">
      <c r="A548" s="142" t="n"/>
      <c r="B548" s="691" t="n"/>
      <c r="C548" s="692" t="n"/>
      <c r="D548" s="693" t="n"/>
      <c r="E548" s="694" t="n"/>
      <c r="F548" s="695" t="n"/>
      <c r="G548" s="696" t="n"/>
      <c r="H548" s="151" t="n"/>
      <c r="I548" s="152" t="n"/>
      <c r="J548" s="692" t="n"/>
    </row>
    <row r="549" ht="20.1" customHeight="1">
      <c r="A549" s="142" t="n"/>
      <c r="B549" s="691" t="n"/>
      <c r="C549" s="692" t="n"/>
      <c r="D549" s="693" t="n"/>
      <c r="E549" s="694" t="n"/>
      <c r="F549" s="695" t="n"/>
      <c r="G549" s="696" t="n"/>
      <c r="H549" s="151" t="n"/>
      <c r="I549" s="152" t="n"/>
      <c r="J549" s="692" t="n"/>
    </row>
    <row r="550" ht="20.1" customHeight="1">
      <c r="A550" s="142" t="n"/>
      <c r="B550" s="691" t="n"/>
      <c r="C550" s="692" t="n"/>
      <c r="D550" s="693" t="n"/>
      <c r="E550" s="694" t="n"/>
      <c r="F550" s="695" t="n"/>
      <c r="G550" s="696" t="n"/>
      <c r="H550" s="151" t="n"/>
      <c r="I550" s="152" t="n"/>
      <c r="J550" s="692" t="n"/>
    </row>
    <row r="551" ht="20.1" customHeight="1">
      <c r="A551" s="142" t="n"/>
      <c r="B551" s="691" t="n"/>
      <c r="C551" s="692" t="n"/>
      <c r="D551" s="693" t="n"/>
      <c r="E551" s="694" t="n"/>
      <c r="F551" s="695" t="n"/>
      <c r="G551" s="696" t="n"/>
      <c r="H551" s="151" t="n"/>
      <c r="I551" s="152" t="n"/>
      <c r="J551" s="692" t="n"/>
    </row>
    <row r="552" ht="20.1" customHeight="1">
      <c r="A552" s="142" t="n"/>
      <c r="B552" s="691" t="n"/>
      <c r="C552" s="692" t="n"/>
      <c r="D552" s="693" t="n"/>
      <c r="E552" s="694" t="n"/>
      <c r="F552" s="695" t="n"/>
      <c r="G552" s="696" t="n"/>
      <c r="H552" s="151" t="n"/>
      <c r="I552" s="152" t="n"/>
      <c r="J552" s="692" t="n"/>
    </row>
    <row r="553" ht="20.1" customHeight="1">
      <c r="A553" s="142" t="n"/>
      <c r="B553" s="691" t="n"/>
      <c r="C553" s="692" t="n"/>
      <c r="D553" s="693" t="n"/>
      <c r="E553" s="694" t="n"/>
      <c r="F553" s="695" t="n"/>
      <c r="G553" s="696" t="n"/>
      <c r="H553" s="151" t="n"/>
      <c r="I553" s="152" t="n"/>
      <c r="J553" s="692" t="n"/>
    </row>
    <row r="554" ht="20.1" customHeight="1">
      <c r="A554" s="142" t="n"/>
      <c r="B554" s="691" t="n"/>
      <c r="C554" s="692" t="n"/>
      <c r="D554" s="693" t="n"/>
      <c r="E554" s="694" t="n"/>
      <c r="F554" s="695" t="n"/>
      <c r="G554" s="696" t="n"/>
      <c r="H554" s="151" t="n"/>
      <c r="I554" s="152" t="n"/>
      <c r="J554" s="692" t="n"/>
    </row>
    <row r="555" ht="20.1" customHeight="1">
      <c r="A555" s="142" t="n"/>
      <c r="B555" s="691" t="n"/>
      <c r="C555" s="692" t="n"/>
      <c r="D555" s="693" t="n"/>
      <c r="E555" s="694" t="n"/>
      <c r="F555" s="695" t="n"/>
      <c r="G555" s="696" t="n"/>
      <c r="H555" s="151" t="n"/>
      <c r="I555" s="152" t="n"/>
      <c r="J555" s="692" t="n"/>
    </row>
    <row r="556" ht="20.1" customHeight="1">
      <c r="A556" s="142" t="n"/>
      <c r="B556" s="691" t="n"/>
      <c r="C556" s="692" t="n"/>
      <c r="D556" s="693" t="n"/>
      <c r="E556" s="694" t="n"/>
      <c r="F556" s="695" t="n"/>
      <c r="G556" s="696" t="n"/>
      <c r="H556" s="151" t="n"/>
      <c r="I556" s="152" t="n"/>
      <c r="J556" s="692" t="n"/>
    </row>
    <row r="557" ht="20.1" customHeight="1">
      <c r="A557" s="142" t="n"/>
      <c r="B557" s="691" t="n"/>
      <c r="C557" s="692" t="n"/>
      <c r="D557" s="693" t="n"/>
      <c r="E557" s="694" t="n"/>
      <c r="F557" s="695" t="n"/>
      <c r="G557" s="696" t="n"/>
      <c r="H557" s="151" t="n"/>
      <c r="I557" s="152" t="n"/>
      <c r="J557" s="692" t="n"/>
    </row>
    <row r="558" ht="20.1" customHeight="1">
      <c r="A558" s="142" t="n"/>
      <c r="B558" s="691" t="n"/>
      <c r="C558" s="692" t="n"/>
      <c r="D558" s="693" t="n"/>
      <c r="E558" s="694" t="n"/>
      <c r="F558" s="695" t="n"/>
      <c r="G558" s="696" t="n"/>
      <c r="H558" s="151" t="n"/>
      <c r="I558" s="152" t="n"/>
      <c r="J558" s="692" t="n"/>
    </row>
    <row r="559" ht="20.1" customHeight="1">
      <c r="A559" s="142" t="n"/>
      <c r="B559" s="691" t="n"/>
      <c r="C559" s="692" t="n"/>
      <c r="D559" s="693" t="n"/>
      <c r="E559" s="694" t="n"/>
      <c r="F559" s="695" t="n"/>
      <c r="G559" s="696" t="n"/>
      <c r="H559" s="151" t="n"/>
      <c r="I559" s="152" t="n"/>
      <c r="J559" s="692" t="n"/>
    </row>
    <row r="560" ht="20.1" customHeight="1">
      <c r="A560" s="142" t="n"/>
      <c r="B560" s="691" t="n"/>
      <c r="C560" s="692" t="n"/>
      <c r="D560" s="693" t="n"/>
      <c r="E560" s="694" t="n"/>
      <c r="F560" s="695" t="n"/>
      <c r="G560" s="696" t="n"/>
      <c r="H560" s="151" t="n"/>
      <c r="I560" s="152" t="n"/>
      <c r="J560" s="692" t="n"/>
    </row>
    <row r="561" ht="20.1" customHeight="1">
      <c r="A561" s="142" t="n"/>
      <c r="B561" s="691" t="n"/>
      <c r="C561" s="692" t="n"/>
      <c r="D561" s="693" t="n"/>
      <c r="E561" s="694" t="n"/>
      <c r="F561" s="695" t="n"/>
      <c r="G561" s="696" t="n"/>
      <c r="H561" s="151" t="n"/>
      <c r="I561" s="152" t="n"/>
      <c r="J561" s="692" t="n"/>
    </row>
    <row r="562" ht="20.1" customHeight="1">
      <c r="A562" s="142" t="n"/>
      <c r="B562" s="691" t="n"/>
      <c r="C562" s="692" t="n"/>
      <c r="D562" s="693" t="n"/>
      <c r="E562" s="694" t="n"/>
      <c r="F562" s="695" t="n"/>
      <c r="G562" s="696" t="n"/>
      <c r="H562" s="151" t="n"/>
      <c r="I562" s="152" t="n"/>
      <c r="J562" s="692" t="n"/>
    </row>
    <row r="563" ht="20.1" customHeight="1">
      <c r="A563" s="142" t="n"/>
      <c r="B563" s="691" t="n"/>
      <c r="C563" s="692" t="n"/>
      <c r="D563" s="693" t="n"/>
      <c r="E563" s="694" t="n"/>
      <c r="F563" s="695" t="n"/>
      <c r="G563" s="696" t="n"/>
      <c r="H563" s="151" t="n"/>
      <c r="I563" s="152" t="n"/>
      <c r="J563" s="692" t="n"/>
    </row>
    <row r="564" ht="20.1" customHeight="1">
      <c r="A564" s="142" t="n"/>
      <c r="B564" s="691" t="n"/>
      <c r="C564" s="692" t="n"/>
      <c r="D564" s="693" t="n"/>
      <c r="E564" s="694" t="n"/>
      <c r="F564" s="695" t="n"/>
      <c r="G564" s="696" t="n"/>
      <c r="H564" s="151" t="n"/>
      <c r="I564" s="152" t="n"/>
      <c r="J564" s="692" t="n"/>
    </row>
    <row r="565" ht="20.1" customHeight="1">
      <c r="A565" s="142" t="n"/>
      <c r="B565" s="691" t="n"/>
      <c r="C565" s="692" t="n"/>
      <c r="D565" s="693" t="n"/>
      <c r="E565" s="694" t="n"/>
      <c r="F565" s="695" t="n"/>
      <c r="G565" s="696" t="n"/>
      <c r="H565" s="151" t="n"/>
      <c r="I565" s="152" t="n"/>
      <c r="J565" s="692" t="n"/>
    </row>
    <row r="566" ht="20.1" customHeight="1">
      <c r="A566" s="142" t="n"/>
      <c r="B566" s="691" t="n"/>
      <c r="C566" s="692" t="n"/>
      <c r="D566" s="693" t="n"/>
      <c r="E566" s="694" t="n"/>
      <c r="F566" s="695" t="n"/>
      <c r="G566" s="696" t="n"/>
      <c r="H566" s="151" t="n"/>
      <c r="I566" s="152" t="n"/>
      <c r="J566" s="692" t="n"/>
    </row>
    <row r="567" ht="20.1" customHeight="1">
      <c r="A567" s="142" t="n"/>
      <c r="B567" s="691" t="n"/>
      <c r="C567" s="692" t="n"/>
      <c r="D567" s="693" t="n"/>
      <c r="E567" s="694" t="n"/>
      <c r="F567" s="695" t="n"/>
      <c r="G567" s="696" t="n"/>
      <c r="H567" s="151" t="n"/>
      <c r="I567" s="152" t="n"/>
      <c r="J567" s="692" t="n"/>
    </row>
    <row r="568" ht="20.1" customHeight="1">
      <c r="A568" s="142" t="n"/>
      <c r="B568" s="691" t="n"/>
      <c r="C568" s="692" t="n"/>
      <c r="D568" s="693" t="n"/>
      <c r="E568" s="694" t="n"/>
      <c r="F568" s="695" t="n"/>
      <c r="G568" s="696" t="n"/>
      <c r="H568" s="151" t="n"/>
      <c r="I568" s="152" t="n"/>
      <c r="J568" s="692" t="n"/>
    </row>
    <row r="569" ht="20.1" customHeight="1">
      <c r="A569" s="142" t="n"/>
      <c r="B569" s="691" t="n"/>
      <c r="C569" s="692" t="n"/>
      <c r="D569" s="693" t="n"/>
      <c r="E569" s="694" t="n"/>
      <c r="F569" s="695" t="n"/>
      <c r="G569" s="696" t="n"/>
      <c r="H569" s="151" t="n"/>
      <c r="I569" s="152" t="n"/>
      <c r="J569" s="692" t="n"/>
    </row>
    <row r="570" ht="20.1" customHeight="1">
      <c r="A570" s="142" t="n"/>
      <c r="B570" s="691" t="n"/>
      <c r="C570" s="692" t="n"/>
      <c r="D570" s="693" t="n"/>
      <c r="E570" s="694" t="n"/>
      <c r="F570" s="695" t="n"/>
      <c r="G570" s="696" t="n"/>
      <c r="H570" s="151" t="n"/>
      <c r="I570" s="152" t="n"/>
      <c r="J570" s="692" t="n"/>
    </row>
    <row r="571" ht="20.1" customHeight="1">
      <c r="A571" s="142" t="n"/>
      <c r="B571" s="691" t="n"/>
      <c r="C571" s="692" t="n"/>
      <c r="D571" s="693" t="n"/>
      <c r="E571" s="694" t="n"/>
      <c r="F571" s="695" t="n"/>
      <c r="G571" s="696" t="n"/>
      <c r="H571" s="151" t="n"/>
      <c r="I571" s="152" t="n"/>
      <c r="J571" s="692" t="n"/>
    </row>
    <row r="572" ht="20.1" customHeight="1">
      <c r="A572" s="142" t="n"/>
      <c r="B572" s="691" t="n"/>
      <c r="C572" s="692" t="n"/>
      <c r="D572" s="693" t="n"/>
      <c r="E572" s="694" t="n"/>
      <c r="F572" s="695" t="n"/>
      <c r="G572" s="696" t="n"/>
      <c r="H572" s="151" t="n"/>
      <c r="I572" s="152" t="n"/>
      <c r="J572" s="692" t="n"/>
    </row>
    <row r="573" ht="20.1" customHeight="1">
      <c r="A573" s="142" t="n"/>
      <c r="B573" s="691" t="n"/>
      <c r="C573" s="692" t="n"/>
      <c r="D573" s="693" t="n"/>
      <c r="E573" s="694" t="n"/>
      <c r="F573" s="695" t="n"/>
      <c r="G573" s="696" t="n"/>
      <c r="H573" s="151" t="n"/>
      <c r="I573" s="152" t="n"/>
      <c r="J573" s="692" t="n"/>
    </row>
    <row r="574" ht="20.1" customHeight="1">
      <c r="A574" s="142" t="n"/>
      <c r="B574" s="691" t="n"/>
      <c r="C574" s="692" t="n"/>
      <c r="D574" s="693" t="n"/>
      <c r="E574" s="694" t="n"/>
      <c r="F574" s="695" t="n"/>
      <c r="G574" s="696" t="n"/>
      <c r="H574" s="151" t="n"/>
      <c r="I574" s="152" t="n"/>
      <c r="J574" s="692" t="n"/>
    </row>
    <row r="575" ht="20.1" customHeight="1">
      <c r="A575" s="142" t="n"/>
      <c r="B575" s="691" t="n"/>
      <c r="C575" s="692" t="n"/>
      <c r="D575" s="693" t="n"/>
      <c r="E575" s="694" t="n"/>
      <c r="F575" s="695" t="n"/>
      <c r="G575" s="696" t="n"/>
      <c r="H575" s="151" t="n"/>
      <c r="I575" s="152" t="n"/>
      <c r="J575" s="692" t="n"/>
    </row>
    <row r="576" ht="20.1" customHeight="1">
      <c r="A576" s="142" t="n"/>
      <c r="B576" s="691" t="n"/>
      <c r="C576" s="692" t="n"/>
      <c r="D576" s="693" t="n"/>
      <c r="E576" s="694" t="n"/>
      <c r="F576" s="695" t="n"/>
      <c r="G576" s="696" t="n"/>
      <c r="H576" s="151" t="n"/>
      <c r="I576" s="152" t="n"/>
      <c r="J576" s="692" t="n"/>
    </row>
    <row r="577" ht="20.1" customHeight="1">
      <c r="A577" s="142" t="n"/>
      <c r="B577" s="691" t="n"/>
      <c r="C577" s="692" t="n"/>
      <c r="D577" s="693" t="n"/>
      <c r="E577" s="694" t="n"/>
      <c r="F577" s="695" t="n"/>
      <c r="G577" s="696" t="n"/>
      <c r="H577" s="151" t="n"/>
      <c r="I577" s="152" t="n"/>
      <c r="J577" s="692" t="n"/>
    </row>
    <row r="578" ht="20.1" customHeight="1">
      <c r="A578" s="142" t="n"/>
      <c r="B578" s="691" t="n"/>
      <c r="C578" s="692" t="n"/>
      <c r="D578" s="693" t="n"/>
      <c r="E578" s="694" t="n"/>
      <c r="F578" s="695" t="n"/>
      <c r="G578" s="696" t="n"/>
      <c r="H578" s="151" t="n"/>
      <c r="I578" s="152" t="n"/>
      <c r="J578" s="692" t="n"/>
    </row>
    <row r="579" ht="20.1" customHeight="1">
      <c r="A579" s="142" t="n"/>
      <c r="B579" s="691" t="n"/>
      <c r="C579" s="692" t="n"/>
      <c r="D579" s="693" t="n"/>
      <c r="E579" s="694" t="n"/>
      <c r="F579" s="695" t="n"/>
      <c r="G579" s="696" t="n"/>
      <c r="H579" s="151" t="n"/>
      <c r="I579" s="152" t="n"/>
      <c r="J579" s="692" t="n"/>
    </row>
    <row r="580" ht="20.1" customHeight="1">
      <c r="A580" s="142" t="n"/>
      <c r="B580" s="691" t="n"/>
      <c r="C580" s="692" t="n"/>
      <c r="D580" s="693" t="n"/>
      <c r="E580" s="694" t="n"/>
      <c r="F580" s="695" t="n"/>
      <c r="G580" s="696" t="n"/>
      <c r="H580" s="151" t="n"/>
      <c r="I580" s="152" t="n"/>
      <c r="J580" s="692" t="n"/>
    </row>
    <row r="581" ht="20.1" customHeight="1">
      <c r="A581" s="142" t="n"/>
      <c r="B581" s="691" t="n"/>
      <c r="C581" s="692" t="n"/>
      <c r="D581" s="693" t="n"/>
      <c r="E581" s="694" t="n"/>
      <c r="F581" s="695" t="n"/>
      <c r="G581" s="696" t="n"/>
      <c r="H581" s="151" t="n"/>
      <c r="I581" s="152" t="n"/>
      <c r="J581" s="692" t="n"/>
    </row>
    <row r="582" ht="20.1" customHeight="1">
      <c r="A582" s="142" t="n"/>
      <c r="B582" s="691" t="n"/>
      <c r="C582" s="692" t="n"/>
      <c r="D582" s="693" t="n"/>
      <c r="E582" s="694" t="n"/>
      <c r="F582" s="695" t="n"/>
      <c r="G582" s="696" t="n"/>
      <c r="H582" s="151" t="n"/>
      <c r="I582" s="152" t="n"/>
      <c r="J582" s="692" t="n"/>
    </row>
    <row r="583" ht="20.1" customHeight="1">
      <c r="A583" s="142" t="n"/>
      <c r="B583" s="691" t="n"/>
      <c r="C583" s="692" t="n"/>
      <c r="D583" s="693" t="n"/>
      <c r="E583" s="694" t="n"/>
      <c r="F583" s="695" t="n"/>
      <c r="G583" s="696" t="n"/>
      <c r="H583" s="151" t="n"/>
      <c r="I583" s="152" t="n"/>
      <c r="J583" s="692" t="n"/>
    </row>
    <row r="584" ht="20.1" customHeight="1">
      <c r="A584" s="142" t="n"/>
      <c r="B584" s="691" t="n"/>
      <c r="C584" s="692" t="n"/>
      <c r="D584" s="693" t="n"/>
      <c r="E584" s="694" t="n"/>
      <c r="F584" s="695" t="n"/>
      <c r="G584" s="696" t="n"/>
      <c r="H584" s="151" t="n"/>
      <c r="I584" s="152" t="n"/>
      <c r="J584" s="692" t="n"/>
    </row>
    <row r="585" ht="20.1" customHeight="1">
      <c r="A585" s="142" t="n"/>
      <c r="B585" s="691" t="n"/>
      <c r="C585" s="692" t="n"/>
      <c r="D585" s="693" t="n"/>
      <c r="E585" s="694" t="n"/>
      <c r="F585" s="695" t="n"/>
      <c r="G585" s="696" t="n"/>
      <c r="H585" s="151" t="n"/>
      <c r="I585" s="152" t="n"/>
      <c r="J585" s="692" t="n"/>
    </row>
    <row r="586" ht="20.1" customHeight="1">
      <c r="A586" s="142" t="n"/>
      <c r="B586" s="691" t="n"/>
      <c r="C586" s="692" t="n"/>
      <c r="D586" s="693" t="n"/>
      <c r="E586" s="694" t="n"/>
      <c r="F586" s="695" t="n"/>
      <c r="G586" s="696" t="n"/>
      <c r="H586" s="151" t="n"/>
      <c r="I586" s="152" t="n"/>
      <c r="J586" s="692" t="n"/>
    </row>
    <row r="587" ht="20.1" customHeight="1">
      <c r="A587" s="142" t="n"/>
      <c r="B587" s="691" t="n"/>
      <c r="C587" s="692" t="n"/>
      <c r="D587" s="693" t="n"/>
      <c r="E587" s="694" t="n"/>
      <c r="F587" s="695" t="n"/>
      <c r="G587" s="696" t="n"/>
      <c r="H587" s="151" t="n"/>
      <c r="I587" s="152" t="n"/>
      <c r="J587" s="692" t="n"/>
    </row>
    <row r="588" ht="20.1" customHeight="1">
      <c r="A588" s="142" t="n"/>
      <c r="B588" s="691" t="n"/>
      <c r="C588" s="692" t="n"/>
      <c r="D588" s="693" t="n"/>
      <c r="E588" s="694" t="n"/>
      <c r="F588" s="695" t="n"/>
      <c r="G588" s="696" t="n"/>
      <c r="H588" s="151" t="n"/>
      <c r="I588" s="152" t="n"/>
      <c r="J588" s="692" t="n"/>
    </row>
    <row r="589" ht="20.1" customHeight="1">
      <c r="A589" s="142" t="n"/>
      <c r="B589" s="691" t="n"/>
      <c r="C589" s="692" t="n"/>
      <c r="D589" s="693" t="n"/>
      <c r="E589" s="694" t="n"/>
      <c r="F589" s="695" t="n"/>
      <c r="G589" s="696" t="n"/>
      <c r="H589" s="151" t="n"/>
      <c r="I589" s="152" t="n"/>
      <c r="J589" s="692" t="n"/>
    </row>
    <row r="590" ht="20.1" customHeight="1">
      <c r="A590" s="142" t="n"/>
      <c r="B590" s="691" t="n"/>
      <c r="C590" s="692" t="n"/>
      <c r="D590" s="693" t="n"/>
      <c r="E590" s="694" t="n"/>
      <c r="F590" s="695" t="n"/>
      <c r="G590" s="696" t="n"/>
      <c r="H590" s="151" t="n"/>
      <c r="I590" s="152" t="n"/>
      <c r="J590" s="692" t="n"/>
    </row>
    <row r="591" ht="20.1" customHeight="1">
      <c r="A591" s="142" t="n"/>
      <c r="B591" s="691" t="n"/>
      <c r="C591" s="692" t="n"/>
      <c r="D591" s="693" t="n"/>
      <c r="E591" s="694" t="n"/>
      <c r="F591" s="695" t="n"/>
      <c r="G591" s="696" t="n"/>
      <c r="H591" s="151" t="n"/>
      <c r="I591" s="152" t="n"/>
      <c r="J591" s="692" t="n"/>
    </row>
    <row r="592" ht="20.1" customHeight="1">
      <c r="A592" s="142" t="n"/>
      <c r="B592" s="691" t="n"/>
      <c r="C592" s="692" t="n"/>
      <c r="D592" s="693" t="n"/>
      <c r="E592" s="694" t="n"/>
      <c r="F592" s="695" t="n"/>
      <c r="G592" s="696" t="n"/>
      <c r="H592" s="151" t="n"/>
      <c r="I592" s="152" t="n"/>
      <c r="J592" s="692" t="n"/>
    </row>
    <row r="593" ht="20.1" customHeight="1">
      <c r="A593" s="142" t="n"/>
      <c r="B593" s="691" t="n"/>
      <c r="C593" s="692" t="n"/>
      <c r="D593" s="693" t="n"/>
      <c r="E593" s="694" t="n"/>
      <c r="F593" s="695" t="n"/>
      <c r="G593" s="696" t="n"/>
      <c r="H593" s="151" t="n"/>
      <c r="I593" s="152" t="n"/>
      <c r="J593" s="692" t="n"/>
    </row>
    <row r="594" ht="20.1" customHeight="1">
      <c r="A594" s="142" t="n"/>
      <c r="B594" s="691" t="n"/>
      <c r="C594" s="692" t="n"/>
      <c r="D594" s="693" t="n"/>
      <c r="E594" s="694" t="n"/>
      <c r="F594" s="695" t="n"/>
      <c r="G594" s="696" t="n"/>
      <c r="H594" s="151" t="n"/>
      <c r="I594" s="152" t="n"/>
      <c r="J594" s="692" t="n"/>
    </row>
    <row r="595" ht="20.1" customHeight="1">
      <c r="A595" s="142" t="n"/>
      <c r="B595" s="691" t="n"/>
      <c r="C595" s="692" t="n"/>
      <c r="D595" s="693" t="n"/>
      <c r="E595" s="694" t="n"/>
      <c r="F595" s="695" t="n"/>
      <c r="G595" s="696" t="n"/>
      <c r="H595" s="151" t="n"/>
      <c r="I595" s="152" t="n"/>
      <c r="J595" s="692" t="n"/>
    </row>
    <row r="596" ht="20.1" customHeight="1">
      <c r="A596" s="142" t="n"/>
      <c r="B596" s="691" t="n"/>
      <c r="C596" s="692" t="n"/>
      <c r="D596" s="693" t="n"/>
      <c r="E596" s="694" t="n"/>
      <c r="F596" s="695" t="n"/>
      <c r="G596" s="696" t="n"/>
      <c r="H596" s="151" t="n"/>
      <c r="I596" s="152" t="n"/>
      <c r="J596" s="692" t="n"/>
    </row>
    <row r="597" ht="20.1" customHeight="1">
      <c r="A597" s="142" t="n"/>
      <c r="B597" s="691" t="n"/>
      <c r="C597" s="692" t="n"/>
      <c r="D597" s="693" t="n"/>
      <c r="E597" s="694" t="n"/>
      <c r="F597" s="695" t="n"/>
      <c r="G597" s="696" t="n"/>
      <c r="H597" s="151" t="n"/>
      <c r="I597" s="152" t="n"/>
      <c r="J597" s="692" t="n"/>
    </row>
    <row r="598" ht="20.1" customHeight="1">
      <c r="A598" s="142" t="n"/>
      <c r="B598" s="691" t="n"/>
      <c r="C598" s="692" t="n"/>
      <c r="D598" s="693" t="n"/>
      <c r="E598" s="694" t="n"/>
      <c r="F598" s="695" t="n"/>
      <c r="G598" s="696" t="n"/>
      <c r="H598" s="151" t="n"/>
      <c r="I598" s="152" t="n"/>
      <c r="J598" s="692" t="n"/>
    </row>
    <row r="599" ht="20.1" customHeight="1">
      <c r="A599" s="142" t="n"/>
      <c r="B599" s="691" t="n"/>
      <c r="C599" s="692" t="n"/>
      <c r="D599" s="693" t="n"/>
      <c r="E599" s="694" t="n"/>
      <c r="F599" s="695" t="n"/>
      <c r="G599" s="696" t="n"/>
      <c r="H599" s="151" t="n"/>
      <c r="I599" s="152" t="n"/>
      <c r="J599" s="692" t="n"/>
    </row>
    <row r="600" ht="20.1" customHeight="1">
      <c r="A600" s="142" t="n"/>
      <c r="B600" s="691" t="n"/>
      <c r="C600" s="692" t="n"/>
      <c r="D600" s="693" t="n"/>
      <c r="E600" s="694" t="n"/>
      <c r="F600" s="695" t="n"/>
      <c r="G600" s="696" t="n"/>
      <c r="H600" s="151" t="n"/>
      <c r="I600" s="152" t="n"/>
      <c r="J600" s="692" t="n"/>
    </row>
    <row r="601" ht="20.1" customHeight="1">
      <c r="A601" s="142" t="n"/>
      <c r="B601" s="691" t="n"/>
      <c r="C601" s="692" t="n"/>
      <c r="D601" s="693" t="n"/>
      <c r="E601" s="694" t="n"/>
      <c r="F601" s="695" t="n"/>
      <c r="G601" s="696" t="n"/>
      <c r="H601" s="151" t="n"/>
      <c r="I601" s="152" t="n"/>
      <c r="J601" s="692" t="n"/>
    </row>
    <row r="602" ht="20.1" customHeight="1">
      <c r="A602" s="142" t="n"/>
      <c r="B602" s="691" t="n"/>
      <c r="C602" s="692" t="n"/>
      <c r="D602" s="693" t="n"/>
      <c r="E602" s="694" t="n"/>
      <c r="F602" s="695" t="n"/>
      <c r="G602" s="696" t="n"/>
      <c r="H602" s="151" t="n"/>
      <c r="I602" s="152" t="n"/>
      <c r="J602" s="692" t="n"/>
    </row>
    <row r="603" ht="20.1" customHeight="1">
      <c r="A603" s="142" t="n"/>
      <c r="B603" s="691" t="n"/>
      <c r="C603" s="692" t="n"/>
      <c r="D603" s="693" t="n"/>
      <c r="E603" s="694" t="n"/>
      <c r="F603" s="695" t="n"/>
      <c r="G603" s="696" t="n"/>
      <c r="H603" s="151" t="n"/>
      <c r="I603" s="152" t="n"/>
      <c r="J603" s="692" t="n"/>
    </row>
    <row r="604" ht="20.1" customHeight="1">
      <c r="A604" s="142" t="n"/>
      <c r="B604" s="691" t="n"/>
      <c r="C604" s="692" t="n"/>
      <c r="D604" s="693" t="n"/>
      <c r="E604" s="694" t="n"/>
      <c r="F604" s="695" t="n"/>
      <c r="G604" s="696" t="n"/>
      <c r="H604" s="151" t="n"/>
      <c r="I604" s="152" t="n"/>
      <c r="J604" s="692" t="n"/>
    </row>
    <row r="605" ht="20.1" customHeight="1">
      <c r="A605" s="142" t="n"/>
      <c r="B605" s="700" t="n"/>
      <c r="C605" s="692" t="n"/>
      <c r="D605" s="701" t="n"/>
      <c r="E605" s="702" t="n"/>
      <c r="F605" s="695" t="n"/>
      <c r="G605" s="696" t="n"/>
      <c r="H605" s="151" t="n"/>
      <c r="I605" s="152" t="n"/>
      <c r="J605" s="692" t="n"/>
    </row>
    <row r="606" ht="20.1" customHeight="1">
      <c r="A606" s="142" t="n"/>
      <c r="B606" s="700" t="n"/>
      <c r="C606" s="692" t="n"/>
      <c r="D606" s="701" t="n"/>
      <c r="E606" s="702" t="n"/>
      <c r="F606" s="695" t="n"/>
      <c r="G606" s="696" t="n"/>
      <c r="H606" s="151" t="n"/>
      <c r="I606" s="152" t="n"/>
      <c r="J606" s="692" t="n"/>
    </row>
    <row r="607" ht="20.1" customHeight="1">
      <c r="A607" s="142" t="n"/>
      <c r="B607" s="700" t="n"/>
      <c r="C607" s="692" t="n"/>
      <c r="D607" s="701" t="n"/>
      <c r="E607" s="702" t="n"/>
      <c r="F607" s="695" t="n"/>
      <c r="G607" s="696" t="n"/>
      <c r="H607" s="151" t="n"/>
      <c r="I607" s="152" t="n"/>
      <c r="J607" s="692" t="n"/>
    </row>
    <row r="608" ht="20.1" customHeight="1">
      <c r="A608" s="142" t="n"/>
      <c r="B608" s="700" t="n"/>
      <c r="C608" s="692" t="n"/>
      <c r="D608" s="701" t="n"/>
      <c r="E608" s="702" t="n"/>
      <c r="F608" s="695" t="n"/>
      <c r="G608" s="696" t="n"/>
      <c r="H608" s="151" t="n"/>
      <c r="I608" s="152" t="n"/>
      <c r="J608" s="692" t="n"/>
    </row>
    <row r="609" ht="20.1" customHeight="1">
      <c r="A609" s="142" t="n"/>
      <c r="B609" s="700" t="n"/>
      <c r="C609" s="692" t="n"/>
      <c r="D609" s="701" t="n"/>
      <c r="E609" s="702" t="n"/>
      <c r="F609" s="695" t="n"/>
      <c r="G609" s="696" t="n"/>
      <c r="H609" s="151" t="n"/>
      <c r="I609" s="152" t="n"/>
      <c r="J609" s="692" t="n"/>
    </row>
    <row r="610" ht="20.1" customHeight="1">
      <c r="A610" s="142" t="n"/>
      <c r="B610" s="691" t="n"/>
      <c r="C610" s="692" t="n"/>
      <c r="D610" s="693" t="n"/>
      <c r="E610" s="694" t="n"/>
      <c r="F610" s="695" t="n"/>
      <c r="G610" s="696" t="n"/>
      <c r="H610" s="151" t="n"/>
      <c r="I610" s="152" t="n"/>
      <c r="J610" s="692" t="n"/>
    </row>
    <row r="611" ht="20.1" customHeight="1">
      <c r="A611" s="142" t="n"/>
      <c r="B611" s="700" t="n"/>
      <c r="C611" s="692" t="n"/>
      <c r="D611" s="701" t="n"/>
      <c r="E611" s="702" t="n"/>
      <c r="F611" s="695" t="n"/>
      <c r="G611" s="696" t="n"/>
      <c r="H611" s="151" t="n"/>
      <c r="I611" s="152" t="n"/>
      <c r="J611" s="692" t="n"/>
    </row>
    <row r="612" ht="20.1" customHeight="1">
      <c r="A612" s="142" t="n"/>
      <c r="B612" s="691" t="n"/>
      <c r="C612" s="692" t="n"/>
      <c r="D612" s="693" t="n"/>
      <c r="E612" s="694" t="n"/>
      <c r="F612" s="695" t="n"/>
      <c r="G612" s="696" t="n"/>
      <c r="H612" s="151" t="n"/>
      <c r="I612" s="152" t="n"/>
      <c r="J612" s="692" t="n"/>
    </row>
    <row r="613" ht="20.1" customHeight="1">
      <c r="A613" s="142" t="n"/>
      <c r="B613" s="691" t="n"/>
      <c r="C613" s="692" t="n"/>
      <c r="D613" s="693" t="n"/>
      <c r="E613" s="694" t="n"/>
      <c r="F613" s="695" t="n"/>
      <c r="G613" s="696" t="n"/>
      <c r="H613" s="151" t="n"/>
      <c r="I613" s="152" t="n"/>
      <c r="J613" s="692" t="n"/>
    </row>
    <row r="614" ht="20.1" customHeight="1">
      <c r="A614" s="142" t="n"/>
      <c r="B614" s="691" t="n"/>
      <c r="C614" s="692" t="n"/>
      <c r="D614" s="693" t="n"/>
      <c r="E614" s="694" t="n"/>
      <c r="F614" s="695" t="n"/>
      <c r="G614" s="696" t="n"/>
      <c r="H614" s="151" t="n"/>
      <c r="I614" s="152" t="n"/>
      <c r="J614" s="692" t="n"/>
    </row>
    <row r="615" ht="20.1" customHeight="1">
      <c r="A615" s="142" t="n"/>
      <c r="B615" s="691" t="n"/>
      <c r="C615" s="692" t="n"/>
      <c r="D615" s="693" t="n"/>
      <c r="E615" s="694" t="n"/>
      <c r="F615" s="695" t="n"/>
      <c r="G615" s="696" t="n"/>
      <c r="H615" s="151" t="n"/>
      <c r="I615" s="152" t="n"/>
      <c r="J615" s="692" t="n"/>
    </row>
    <row r="616" ht="20.1" customHeight="1">
      <c r="A616" s="142" t="n"/>
      <c r="B616" s="691" t="n"/>
      <c r="C616" s="692" t="n"/>
      <c r="D616" s="693" t="n"/>
      <c r="E616" s="694" t="n"/>
      <c r="F616" s="695" t="n"/>
      <c r="G616" s="696" t="n"/>
      <c r="H616" s="151" t="n"/>
      <c r="I616" s="152" t="n"/>
      <c r="J616" s="692" t="n"/>
    </row>
    <row r="617" ht="20.1" customHeight="1">
      <c r="A617" s="142" t="n"/>
      <c r="B617" s="691" t="n"/>
      <c r="C617" s="692" t="n"/>
      <c r="D617" s="693" t="n"/>
      <c r="E617" s="694" t="n"/>
      <c r="F617" s="695" t="n"/>
      <c r="G617" s="696" t="n"/>
      <c r="H617" s="151" t="n"/>
      <c r="I617" s="152" t="n"/>
      <c r="J617" s="692" t="n"/>
    </row>
    <row r="618" ht="20.1" customHeight="1">
      <c r="A618" s="142" t="n"/>
      <c r="B618" s="691" t="n"/>
      <c r="C618" s="692" t="n"/>
      <c r="D618" s="693" t="n"/>
      <c r="E618" s="694" t="n"/>
      <c r="F618" s="695" t="n"/>
      <c r="G618" s="696" t="n"/>
      <c r="H618" s="151" t="n"/>
      <c r="I618" s="152" t="n"/>
      <c r="J618" s="692" t="n"/>
    </row>
    <row r="619" ht="20.1" customHeight="1">
      <c r="A619" s="142" t="n"/>
      <c r="B619" s="691" t="n"/>
      <c r="C619" s="692" t="n"/>
      <c r="D619" s="693" t="n"/>
      <c r="E619" s="694" t="n"/>
      <c r="F619" s="695" t="n"/>
      <c r="G619" s="696" t="n"/>
      <c r="H619" s="151" t="n"/>
      <c r="I619" s="152" t="n"/>
      <c r="J619" s="692" t="n"/>
    </row>
    <row r="620" ht="20.1" customHeight="1">
      <c r="A620" s="142" t="n"/>
      <c r="B620" s="691" t="n"/>
      <c r="C620" s="692" t="n"/>
      <c r="D620" s="693" t="n"/>
      <c r="E620" s="694" t="n"/>
      <c r="F620" s="695" t="n"/>
      <c r="G620" s="696" t="n"/>
      <c r="H620" s="151" t="n"/>
      <c r="I620" s="152" t="n"/>
      <c r="J620" s="692" t="n"/>
    </row>
    <row r="621" ht="20.1" customHeight="1">
      <c r="A621" s="142" t="n"/>
      <c r="B621" s="691" t="n"/>
      <c r="C621" s="692" t="n"/>
      <c r="D621" s="693" t="n"/>
      <c r="E621" s="694" t="n"/>
      <c r="F621" s="695" t="n"/>
      <c r="G621" s="696" t="n"/>
      <c r="H621" s="151" t="n"/>
      <c r="I621" s="152" t="n"/>
      <c r="J621" s="692" t="n"/>
    </row>
    <row r="622" ht="20.1" customHeight="1">
      <c r="A622" s="142" t="n"/>
      <c r="B622" s="691" t="n"/>
      <c r="C622" s="692" t="n"/>
      <c r="D622" s="693" t="n"/>
      <c r="E622" s="694" t="n"/>
      <c r="F622" s="695" t="n"/>
      <c r="G622" s="696" t="n"/>
      <c r="H622" s="151" t="n"/>
      <c r="I622" s="152" t="n"/>
      <c r="J622" s="692" t="n"/>
    </row>
    <row r="623" ht="20.1" customHeight="1">
      <c r="A623" s="142" t="n"/>
      <c r="B623" s="691" t="n"/>
      <c r="C623" s="692" t="n"/>
      <c r="D623" s="693" t="n"/>
      <c r="E623" s="694" t="n"/>
      <c r="F623" s="695" t="n"/>
      <c r="G623" s="696" t="n"/>
      <c r="H623" s="151" t="n"/>
      <c r="I623" s="152" t="n"/>
      <c r="J623" s="692" t="n"/>
    </row>
    <row r="624" ht="20.1" customHeight="1">
      <c r="A624" s="142" t="n"/>
      <c r="B624" s="691" t="n"/>
      <c r="C624" s="692" t="n"/>
      <c r="D624" s="693" t="n"/>
      <c r="E624" s="694" t="n"/>
      <c r="F624" s="695" t="n"/>
      <c r="G624" s="696" t="n"/>
      <c r="H624" s="151" t="n"/>
      <c r="I624" s="152" t="n"/>
      <c r="J624" s="692" t="n"/>
    </row>
    <row r="625" ht="20.1" customHeight="1">
      <c r="A625" s="142" t="n"/>
      <c r="B625" s="691" t="n"/>
      <c r="C625" s="692" t="n"/>
      <c r="D625" s="693" t="n"/>
      <c r="E625" s="694" t="n"/>
      <c r="F625" s="695" t="n"/>
      <c r="G625" s="696" t="n"/>
      <c r="H625" s="151" t="n"/>
      <c r="I625" s="152" t="n"/>
      <c r="J625" s="692" t="n"/>
    </row>
    <row r="626" ht="20.1" customHeight="1">
      <c r="A626" s="142" t="n"/>
      <c r="B626" s="691" t="n"/>
      <c r="C626" s="692" t="n"/>
      <c r="D626" s="693" t="n"/>
      <c r="E626" s="694" t="n"/>
      <c r="F626" s="695" t="n"/>
      <c r="G626" s="696" t="n"/>
      <c r="H626" s="151" t="n"/>
      <c r="I626" s="152" t="n"/>
      <c r="J626" s="692" t="n"/>
    </row>
    <row r="627" ht="20.1" customHeight="1">
      <c r="A627" s="142" t="n"/>
      <c r="B627" s="691" t="n"/>
      <c r="C627" s="692" t="n"/>
      <c r="D627" s="693" t="n"/>
      <c r="E627" s="694" t="n"/>
      <c r="F627" s="695" t="n"/>
      <c r="G627" s="696" t="n"/>
      <c r="H627" s="151" t="n"/>
      <c r="I627" s="152" t="n"/>
      <c r="J627" s="692" t="n"/>
    </row>
    <row r="628" ht="20.1" customHeight="1">
      <c r="A628" s="142" t="n"/>
      <c r="B628" s="691" t="n"/>
      <c r="C628" s="692" t="n"/>
      <c r="D628" s="693" t="n"/>
      <c r="E628" s="694" t="n"/>
      <c r="F628" s="695" t="n"/>
      <c r="G628" s="696" t="n"/>
      <c r="H628" s="151" t="n"/>
      <c r="I628" s="152" t="n"/>
      <c r="J628" s="692" t="n"/>
    </row>
    <row r="629" ht="20.1" customHeight="1">
      <c r="A629" s="142" t="n"/>
      <c r="B629" s="691" t="n"/>
      <c r="C629" s="692" t="n"/>
      <c r="D629" s="693" t="n"/>
      <c r="E629" s="694" t="n"/>
      <c r="F629" s="695" t="n"/>
      <c r="G629" s="696" t="n"/>
      <c r="H629" s="151" t="n"/>
      <c r="I629" s="152" t="n"/>
      <c r="J629" s="692" t="n"/>
    </row>
    <row r="630" ht="20.1" customHeight="1">
      <c r="A630" s="142" t="n"/>
      <c r="B630" s="691" t="n"/>
      <c r="C630" s="692" t="n"/>
      <c r="D630" s="693" t="n"/>
      <c r="E630" s="694" t="n"/>
      <c r="F630" s="695" t="n"/>
      <c r="G630" s="696" t="n"/>
      <c r="H630" s="151" t="n"/>
      <c r="I630" s="152" t="n"/>
      <c r="J630" s="692" t="n"/>
    </row>
    <row r="631" ht="20.1" customHeight="1">
      <c r="A631" s="142" t="n"/>
      <c r="B631" s="691" t="n"/>
      <c r="C631" s="692" t="n"/>
      <c r="D631" s="693" t="n"/>
      <c r="E631" s="694" t="n"/>
      <c r="F631" s="695" t="n"/>
      <c r="G631" s="696" t="n"/>
      <c r="H631" s="151" t="n"/>
      <c r="I631" s="152" t="n"/>
      <c r="J631" s="692" t="n"/>
    </row>
    <row r="632" ht="20.1" customHeight="1">
      <c r="A632" s="142" t="n"/>
      <c r="B632" s="691" t="n"/>
      <c r="C632" s="692" t="n"/>
      <c r="D632" s="693" t="n"/>
      <c r="E632" s="694" t="n"/>
      <c r="F632" s="695" t="n"/>
      <c r="G632" s="696" t="n"/>
      <c r="H632" s="151" t="n"/>
      <c r="I632" s="152" t="n"/>
      <c r="J632" s="692" t="n"/>
    </row>
    <row r="633" ht="20.1" customHeight="1">
      <c r="A633" s="142" t="n"/>
      <c r="B633" s="691" t="n"/>
      <c r="C633" s="692" t="n"/>
      <c r="D633" s="693" t="n"/>
      <c r="E633" s="694" t="n"/>
      <c r="F633" s="695" t="n"/>
      <c r="G633" s="696" t="n"/>
      <c r="H633" s="151" t="n"/>
      <c r="I633" s="152" t="n"/>
      <c r="J633" s="692" t="n"/>
    </row>
    <row r="634" ht="20.1" customHeight="1">
      <c r="A634" s="142" t="n"/>
      <c r="B634" s="691" t="n"/>
      <c r="C634" s="692" t="n"/>
      <c r="D634" s="693" t="n"/>
      <c r="E634" s="694" t="n"/>
      <c r="F634" s="695" t="n"/>
      <c r="G634" s="696" t="n"/>
      <c r="H634" s="151" t="n"/>
      <c r="I634" s="152" t="n"/>
      <c r="J634" s="692" t="n"/>
    </row>
    <row r="635" ht="20.1" customHeight="1">
      <c r="A635" s="142" t="n"/>
      <c r="B635" s="691" t="n"/>
      <c r="C635" s="692" t="n"/>
      <c r="D635" s="693" t="n"/>
      <c r="E635" s="694" t="n"/>
      <c r="F635" s="695" t="n"/>
      <c r="G635" s="696" t="n"/>
      <c r="H635" s="151" t="n"/>
      <c r="I635" s="152" t="n"/>
      <c r="J635" s="692" t="n"/>
    </row>
    <row r="636" ht="20.1" customHeight="1">
      <c r="A636" s="142" t="n"/>
      <c r="B636" s="691" t="n"/>
      <c r="C636" s="692" t="n"/>
      <c r="D636" s="693" t="n"/>
      <c r="E636" s="694" t="n"/>
      <c r="F636" s="695" t="n"/>
      <c r="G636" s="696" t="n"/>
      <c r="H636" s="151" t="n"/>
      <c r="I636" s="152" t="n"/>
      <c r="J636" s="692" t="n"/>
    </row>
    <row r="637" ht="20.1" customHeight="1">
      <c r="A637" s="142" t="n"/>
      <c r="B637" s="691" t="n"/>
      <c r="C637" s="692" t="n"/>
      <c r="D637" s="693" t="n"/>
      <c r="E637" s="694" t="n"/>
      <c r="F637" s="695" t="n"/>
      <c r="G637" s="696" t="n"/>
      <c r="H637" s="151" t="n"/>
      <c r="I637" s="152" t="n"/>
      <c r="J637" s="692" t="n"/>
    </row>
    <row r="638" ht="20.1" customHeight="1">
      <c r="A638" s="142" t="n"/>
      <c r="B638" s="691" t="n"/>
      <c r="C638" s="692" t="n"/>
      <c r="D638" s="693" t="n"/>
      <c r="E638" s="694" t="n"/>
      <c r="F638" s="695" t="n"/>
      <c r="G638" s="696" t="n"/>
      <c r="H638" s="151" t="n"/>
      <c r="I638" s="152" t="n"/>
      <c r="J638" s="692" t="n"/>
    </row>
    <row r="639" ht="20.1" customHeight="1">
      <c r="A639" s="142" t="n"/>
      <c r="B639" s="691" t="n"/>
      <c r="C639" s="692" t="n"/>
      <c r="D639" s="693" t="n"/>
      <c r="E639" s="694" t="n"/>
      <c r="F639" s="695" t="n"/>
      <c r="G639" s="696" t="n"/>
      <c r="H639" s="151" t="n"/>
      <c r="I639" s="152" t="n"/>
      <c r="J639" s="692" t="n"/>
    </row>
    <row r="640" ht="20.1" customHeight="1">
      <c r="A640" s="142" t="n"/>
      <c r="B640" s="691" t="n"/>
      <c r="C640" s="692" t="n"/>
      <c r="D640" s="693" t="n"/>
      <c r="E640" s="694" t="n"/>
      <c r="F640" s="695" t="n"/>
      <c r="G640" s="696" t="n"/>
      <c r="H640" s="151" t="n"/>
      <c r="I640" s="152" t="n"/>
      <c r="J640" s="692" t="n"/>
    </row>
    <row r="641" ht="20.1" customHeight="1">
      <c r="A641" s="142" t="n"/>
      <c r="B641" s="691" t="n"/>
      <c r="C641" s="692" t="n"/>
      <c r="D641" s="693" t="n"/>
      <c r="E641" s="694" t="n"/>
      <c r="F641" s="695" t="n"/>
      <c r="G641" s="696" t="n"/>
      <c r="H641" s="151" t="n"/>
      <c r="I641" s="152" t="n"/>
      <c r="J641" s="692" t="n"/>
    </row>
    <row r="642" ht="20.1" customHeight="1">
      <c r="A642" s="142" t="n"/>
      <c r="B642" s="691" t="n"/>
      <c r="C642" s="692" t="n"/>
      <c r="D642" s="693" t="n"/>
      <c r="E642" s="694" t="n"/>
      <c r="F642" s="695" t="n"/>
      <c r="G642" s="696" t="n"/>
      <c r="H642" s="151" t="n"/>
      <c r="I642" s="152" t="n"/>
      <c r="J642" s="692" t="n"/>
    </row>
    <row r="643" ht="20.1" customHeight="1">
      <c r="A643" s="142" t="n"/>
      <c r="B643" s="691" t="n"/>
      <c r="C643" s="692" t="n"/>
      <c r="D643" s="693" t="n"/>
      <c r="E643" s="694" t="n"/>
      <c r="F643" s="695" t="n"/>
      <c r="G643" s="696" t="n"/>
      <c r="H643" s="151" t="n"/>
      <c r="I643" s="152" t="n"/>
      <c r="J643" s="692" t="n"/>
    </row>
    <row r="644" ht="20.1" customHeight="1">
      <c r="A644" s="142" t="n"/>
      <c r="B644" s="691" t="n"/>
      <c r="C644" s="692" t="n"/>
      <c r="D644" s="693" t="n"/>
      <c r="E644" s="694" t="n"/>
      <c r="F644" s="695" t="n"/>
      <c r="G644" s="696" t="n"/>
      <c r="H644" s="151" t="n"/>
      <c r="I644" s="152" t="n"/>
      <c r="J644" s="692" t="n"/>
    </row>
    <row r="645" ht="20.1" customHeight="1">
      <c r="A645" s="142" t="n"/>
      <c r="B645" s="691" t="n"/>
      <c r="C645" s="692" t="n"/>
      <c r="D645" s="693" t="n"/>
      <c r="E645" s="694" t="n"/>
      <c r="F645" s="695" t="n"/>
      <c r="G645" s="696" t="n"/>
      <c r="H645" s="151" t="n"/>
      <c r="I645" s="152" t="n"/>
      <c r="J645" s="692" t="n"/>
    </row>
    <row r="646" ht="20.1" customHeight="1">
      <c r="A646" s="142" t="n"/>
      <c r="B646" s="691" t="n"/>
      <c r="C646" s="692" t="n"/>
      <c r="D646" s="693" t="n"/>
      <c r="E646" s="694" t="n"/>
      <c r="F646" s="695" t="n"/>
      <c r="G646" s="696" t="n"/>
      <c r="H646" s="151" t="n"/>
      <c r="I646" s="152" t="n"/>
      <c r="J646" s="692" t="n"/>
    </row>
    <row r="647" ht="20.1" customHeight="1">
      <c r="A647" s="142" t="n"/>
      <c r="B647" s="691" t="n"/>
      <c r="C647" s="692" t="n"/>
      <c r="D647" s="693" t="n"/>
      <c r="E647" s="694" t="n"/>
      <c r="F647" s="695" t="n"/>
      <c r="G647" s="696" t="n"/>
      <c r="H647" s="151" t="n"/>
      <c r="I647" s="152" t="n"/>
      <c r="J647" s="692" t="n"/>
    </row>
    <row r="648" ht="20.1" customHeight="1">
      <c r="A648" s="142" t="n"/>
      <c r="B648" s="691" t="n"/>
      <c r="C648" s="692" t="n"/>
      <c r="D648" s="693" t="n"/>
      <c r="E648" s="694" t="n"/>
      <c r="F648" s="695" t="n"/>
      <c r="G648" s="696" t="n"/>
      <c r="H648" s="151" t="n"/>
      <c r="I648" s="152" t="n"/>
      <c r="J648" s="692" t="n"/>
    </row>
    <row r="649" ht="20.1" customHeight="1">
      <c r="A649" s="142" t="n"/>
      <c r="B649" s="691" t="n"/>
      <c r="C649" s="692" t="n"/>
      <c r="D649" s="693" t="n"/>
      <c r="E649" s="694" t="n"/>
      <c r="F649" s="695" t="n"/>
      <c r="G649" s="696" t="n"/>
      <c r="H649" s="151" t="n"/>
      <c r="I649" s="152" t="n"/>
      <c r="J649" s="692" t="n"/>
    </row>
    <row r="650" ht="20.1" customHeight="1">
      <c r="A650" s="142" t="n"/>
      <c r="B650" s="691" t="n"/>
      <c r="C650" s="692" t="n"/>
      <c r="D650" s="693" t="n"/>
      <c r="E650" s="694" t="n"/>
      <c r="F650" s="695" t="n"/>
      <c r="G650" s="696" t="n"/>
      <c r="H650" s="151" t="n"/>
      <c r="I650" s="152" t="n"/>
      <c r="J650" s="692" t="n"/>
    </row>
    <row r="651" ht="20.1" customHeight="1">
      <c r="A651" s="142" t="n"/>
      <c r="B651" s="691" t="n"/>
      <c r="C651" s="692" t="n"/>
      <c r="D651" s="693" t="n"/>
      <c r="E651" s="694" t="n"/>
      <c r="F651" s="695" t="n"/>
      <c r="G651" s="696" t="n"/>
      <c r="H651" s="151" t="n"/>
      <c r="I651" s="152" t="n"/>
      <c r="J651" s="692" t="n"/>
    </row>
    <row r="652" ht="20.1" customHeight="1">
      <c r="A652" s="142" t="n"/>
      <c r="B652" s="691" t="n"/>
      <c r="C652" s="692" t="n"/>
      <c r="D652" s="693" t="n"/>
      <c r="E652" s="694" t="n"/>
      <c r="F652" s="695" t="n"/>
      <c r="G652" s="696" t="n"/>
      <c r="H652" s="151" t="n"/>
      <c r="I652" s="152" t="n"/>
      <c r="J652" s="692" t="n"/>
    </row>
    <row r="653" ht="20.1" customHeight="1">
      <c r="A653" s="142" t="n"/>
      <c r="B653" s="691" t="n"/>
      <c r="C653" s="692" t="n"/>
      <c r="D653" s="693" t="n"/>
      <c r="E653" s="694" t="n"/>
      <c r="F653" s="695" t="n"/>
      <c r="G653" s="696" t="n"/>
      <c r="H653" s="151" t="n"/>
      <c r="I653" s="152" t="n"/>
      <c r="J653" s="692" t="n"/>
    </row>
    <row r="654" ht="20.1" customHeight="1">
      <c r="A654" s="142" t="n"/>
      <c r="B654" s="691" t="n"/>
      <c r="C654" s="692" t="n"/>
      <c r="D654" s="693" t="n"/>
      <c r="E654" s="694" t="n"/>
      <c r="F654" s="695" t="n"/>
      <c r="G654" s="696" t="n"/>
      <c r="H654" s="151" t="n"/>
      <c r="I654" s="152" t="n"/>
      <c r="J654" s="692" t="n"/>
    </row>
    <row r="655" ht="20.1" customHeight="1">
      <c r="A655" s="142" t="n"/>
      <c r="B655" s="691" t="n"/>
      <c r="C655" s="692" t="n"/>
      <c r="D655" s="693" t="n"/>
      <c r="E655" s="694" t="n"/>
      <c r="F655" s="695" t="n"/>
      <c r="G655" s="696" t="n"/>
      <c r="H655" s="151" t="n"/>
      <c r="I655" s="152" t="n"/>
      <c r="J655" s="692" t="n"/>
    </row>
    <row r="656" ht="20.1" customHeight="1">
      <c r="A656" s="142" t="n"/>
      <c r="B656" s="691" t="n"/>
      <c r="C656" s="692" t="n"/>
      <c r="D656" s="693" t="n"/>
      <c r="E656" s="694" t="n"/>
      <c r="F656" s="695" t="n"/>
      <c r="G656" s="696" t="n"/>
      <c r="H656" s="151" t="n"/>
      <c r="I656" s="152" t="n"/>
      <c r="J656" s="692" t="n"/>
    </row>
    <row r="657" ht="20.1" customHeight="1">
      <c r="A657" s="142" t="n"/>
      <c r="B657" s="691" t="n"/>
      <c r="C657" s="692" t="n"/>
      <c r="D657" s="693" t="n"/>
      <c r="E657" s="694" t="n"/>
      <c r="F657" s="695" t="n"/>
      <c r="G657" s="696" t="n"/>
      <c r="H657" s="151" t="n"/>
      <c r="I657" s="152" t="n"/>
      <c r="J657" s="692" t="n"/>
    </row>
    <row r="658" ht="20.1" customHeight="1">
      <c r="A658" s="142" t="n"/>
      <c r="B658" s="691" t="n"/>
      <c r="C658" s="692" t="n"/>
      <c r="D658" s="693" t="n"/>
      <c r="E658" s="694" t="n"/>
      <c r="F658" s="695" t="n"/>
      <c r="G658" s="696" t="n"/>
      <c r="H658" s="151" t="n"/>
      <c r="I658" s="152" t="n"/>
      <c r="J658" s="692" t="n"/>
    </row>
    <row r="659" ht="20.1" customHeight="1">
      <c r="A659" s="142" t="n"/>
      <c r="B659" s="691" t="n"/>
      <c r="C659" s="692" t="n"/>
      <c r="D659" s="693" t="n"/>
      <c r="E659" s="694" t="n"/>
      <c r="F659" s="695" t="n"/>
      <c r="G659" s="696" t="n"/>
      <c r="H659" s="151" t="n"/>
      <c r="I659" s="152" t="n"/>
      <c r="J659" s="692" t="n"/>
    </row>
    <row r="660" ht="20.1" customHeight="1">
      <c r="A660" s="142" t="n"/>
      <c r="B660" s="691" t="n"/>
      <c r="C660" s="692" t="n"/>
      <c r="D660" s="693" t="n"/>
      <c r="E660" s="694" t="n"/>
      <c r="F660" s="695" t="n"/>
      <c r="G660" s="696" t="n"/>
      <c r="H660" s="151" t="n"/>
      <c r="I660" s="152" t="n"/>
      <c r="J660" s="692" t="n"/>
    </row>
    <row r="661" ht="20.1" customHeight="1">
      <c r="A661" s="142" t="n"/>
      <c r="B661" s="691" t="n"/>
      <c r="C661" s="692" t="n"/>
      <c r="D661" s="693" t="n"/>
      <c r="E661" s="694" t="n"/>
      <c r="F661" s="695" t="n"/>
      <c r="G661" s="696" t="n"/>
      <c r="H661" s="151" t="n"/>
      <c r="I661" s="152" t="n"/>
      <c r="J661" s="692" t="n"/>
    </row>
    <row r="662" ht="20.1" customHeight="1">
      <c r="A662" s="142" t="n"/>
      <c r="B662" s="691" t="n"/>
      <c r="C662" s="692" t="n"/>
      <c r="D662" s="693" t="n"/>
      <c r="E662" s="694" t="n"/>
      <c r="F662" s="695" t="n"/>
      <c r="G662" s="696" t="n"/>
      <c r="H662" s="151" t="n"/>
      <c r="I662" s="152" t="n"/>
      <c r="J662" s="692" t="n"/>
    </row>
    <row r="663" ht="20.1" customHeight="1">
      <c r="A663" s="142" t="n"/>
      <c r="B663" s="691" t="n"/>
      <c r="C663" s="692" t="n"/>
      <c r="D663" s="693" t="n"/>
      <c r="E663" s="694" t="n"/>
      <c r="F663" s="695" t="n"/>
      <c r="G663" s="696" t="n"/>
      <c r="H663" s="151" t="n"/>
      <c r="I663" s="152" t="n"/>
      <c r="J663" s="692" t="n"/>
    </row>
    <row r="664" ht="20.1" customHeight="1">
      <c r="A664" s="142" t="n"/>
      <c r="B664" s="691" t="n"/>
      <c r="C664" s="692" t="n"/>
      <c r="D664" s="693" t="n"/>
      <c r="E664" s="694" t="n"/>
      <c r="F664" s="695" t="n"/>
      <c r="G664" s="696" t="n"/>
      <c r="H664" s="151" t="n"/>
      <c r="I664" s="152" t="n"/>
      <c r="J664" s="692" t="n"/>
    </row>
    <row r="665" ht="20.1" customHeight="1">
      <c r="A665" s="142" t="n"/>
      <c r="B665" s="691" t="n"/>
      <c r="C665" s="692" t="n"/>
      <c r="D665" s="693" t="n"/>
      <c r="E665" s="694" t="n"/>
      <c r="F665" s="695" t="n"/>
      <c r="G665" s="696" t="n"/>
      <c r="H665" s="151" t="n"/>
      <c r="I665" s="152" t="n"/>
      <c r="J665" s="692" t="n"/>
    </row>
    <row r="666" ht="20.1" customHeight="1">
      <c r="A666" s="142" t="n"/>
      <c r="B666" s="691" t="n"/>
      <c r="C666" s="692" t="n"/>
      <c r="D666" s="693" t="n"/>
      <c r="E666" s="694" t="n"/>
      <c r="F666" s="695" t="n"/>
      <c r="G666" s="696" t="n"/>
      <c r="H666" s="151" t="n"/>
      <c r="I666" s="152" t="n"/>
      <c r="J666" s="692" t="n"/>
    </row>
    <row r="667" ht="20.1" customHeight="1">
      <c r="A667" s="142" t="n"/>
      <c r="B667" s="700" t="n"/>
      <c r="C667" s="692" t="n"/>
      <c r="D667" s="701" t="n"/>
      <c r="E667" s="702" t="n"/>
      <c r="F667" s="695" t="n"/>
      <c r="G667" s="696" t="n"/>
      <c r="H667" s="151" t="n"/>
      <c r="I667" s="152" t="n"/>
      <c r="J667" s="692" t="n"/>
    </row>
    <row r="668" ht="20.1" customHeight="1">
      <c r="A668" s="142" t="n"/>
      <c r="B668" s="691" t="n"/>
      <c r="C668" s="692" t="n"/>
      <c r="D668" s="693" t="n"/>
      <c r="E668" s="694" t="n"/>
      <c r="F668" s="695" t="n"/>
      <c r="G668" s="696" t="n"/>
      <c r="H668" s="151" t="n"/>
      <c r="I668" s="152" t="n"/>
      <c r="J668" s="692" t="n"/>
    </row>
    <row r="669" ht="20.1" customHeight="1">
      <c r="A669" s="142" t="n"/>
      <c r="B669" s="691" t="n"/>
      <c r="C669" s="692" t="n"/>
      <c r="D669" s="693" t="n"/>
      <c r="E669" s="694" t="n"/>
      <c r="F669" s="695" t="n"/>
      <c r="G669" s="696" t="n"/>
      <c r="H669" s="151" t="n"/>
      <c r="I669" s="152" t="n"/>
      <c r="J669" s="692" t="n"/>
    </row>
    <row r="670" ht="20.1" customHeight="1">
      <c r="A670" s="142" t="n"/>
      <c r="B670" s="691" t="n"/>
      <c r="C670" s="692" t="n"/>
      <c r="D670" s="693" t="n"/>
      <c r="E670" s="694" t="n"/>
      <c r="F670" s="695" t="n"/>
      <c r="G670" s="696" t="n"/>
      <c r="H670" s="151" t="n"/>
      <c r="I670" s="152" t="n"/>
      <c r="J670" s="692" t="n"/>
    </row>
    <row r="671" ht="20.1" customHeight="1">
      <c r="A671" s="142" t="n"/>
      <c r="B671" s="691" t="n"/>
      <c r="C671" s="692" t="n"/>
      <c r="D671" s="693" t="n"/>
      <c r="E671" s="694" t="n"/>
      <c r="F671" s="695" t="n"/>
      <c r="G671" s="696" t="n"/>
      <c r="H671" s="151" t="n"/>
      <c r="I671" s="152" t="n"/>
      <c r="J671" s="692" t="n"/>
    </row>
    <row r="672" ht="20.1" customHeight="1">
      <c r="A672" s="142" t="n"/>
      <c r="B672" s="691" t="n"/>
      <c r="C672" s="692" t="n"/>
      <c r="D672" s="693" t="n"/>
      <c r="E672" s="694" t="n"/>
      <c r="F672" s="695" t="n"/>
      <c r="G672" s="696" t="n"/>
      <c r="H672" s="151" t="n"/>
      <c r="I672" s="152" t="n"/>
      <c r="J672" s="692" t="n"/>
    </row>
    <row r="673" ht="20.1" customHeight="1">
      <c r="A673" s="142" t="n"/>
      <c r="B673" s="691" t="n"/>
      <c r="C673" s="692" t="n"/>
      <c r="D673" s="693" t="n"/>
      <c r="E673" s="694" t="n"/>
      <c r="F673" s="695" t="n"/>
      <c r="G673" s="696" t="n"/>
      <c r="H673" s="151" t="n"/>
      <c r="I673" s="152" t="n"/>
      <c r="J673" s="692" t="n"/>
    </row>
    <row r="674" ht="20.1" customHeight="1">
      <c r="A674" s="142" t="n"/>
      <c r="B674" s="691" t="n"/>
      <c r="C674" s="692" t="n"/>
      <c r="D674" s="693" t="n"/>
      <c r="E674" s="694" t="n"/>
      <c r="F674" s="695" t="n"/>
      <c r="G674" s="696" t="n"/>
      <c r="H674" s="151" t="n"/>
      <c r="I674" s="152" t="n"/>
      <c r="J674" s="692" t="n"/>
    </row>
    <row r="675" ht="20.1" customHeight="1">
      <c r="A675" s="142" t="n"/>
      <c r="B675" s="691" t="n"/>
      <c r="C675" s="692" t="n"/>
      <c r="D675" s="693" t="n"/>
      <c r="E675" s="694" t="n"/>
      <c r="F675" s="695" t="n"/>
      <c r="G675" s="696" t="n"/>
      <c r="H675" s="151" t="n"/>
      <c r="I675" s="152" t="n"/>
      <c r="J675" s="692" t="n"/>
    </row>
    <row r="676" ht="20.1" customHeight="1">
      <c r="A676" s="142" t="n"/>
      <c r="B676" s="691" t="n"/>
      <c r="C676" s="692" t="n"/>
      <c r="D676" s="693" t="n"/>
      <c r="E676" s="694" t="n"/>
      <c r="F676" s="695" t="n"/>
      <c r="G676" s="696" t="n"/>
      <c r="H676" s="151" t="n"/>
      <c r="I676" s="152" t="n"/>
      <c r="J676" s="692" t="n"/>
    </row>
    <row r="677" ht="20.1" customHeight="1">
      <c r="A677" s="142" t="n"/>
      <c r="B677" s="691" t="n"/>
      <c r="C677" s="692" t="n"/>
      <c r="D677" s="693" t="n"/>
      <c r="E677" s="694" t="n"/>
      <c r="F677" s="695" t="n"/>
      <c r="G677" s="696" t="n"/>
      <c r="H677" s="151" t="n"/>
      <c r="I677" s="152" t="n"/>
      <c r="J677" s="692" t="n"/>
    </row>
    <row r="678" ht="20.1" customHeight="1">
      <c r="A678" s="142" t="n"/>
      <c r="B678" s="691" t="n"/>
      <c r="C678" s="692" t="n"/>
      <c r="D678" s="693" t="n"/>
      <c r="E678" s="694" t="n"/>
      <c r="F678" s="695" t="n"/>
      <c r="G678" s="696" t="n"/>
      <c r="H678" s="151" t="n"/>
      <c r="I678" s="152" t="n"/>
      <c r="J678" s="692" t="n"/>
    </row>
    <row r="679" ht="20.1" customHeight="1">
      <c r="A679" s="142" t="n"/>
      <c r="B679" s="691" t="n"/>
      <c r="C679" s="692" t="n"/>
      <c r="D679" s="693" t="n"/>
      <c r="E679" s="694" t="n"/>
      <c r="F679" s="695" t="n"/>
      <c r="G679" s="696" t="n"/>
      <c r="H679" s="151" t="n"/>
      <c r="I679" s="152" t="n"/>
      <c r="J679" s="692" t="n"/>
    </row>
    <row r="680">
      <c r="A680" s="142" t="n"/>
      <c r="B680" s="691" t="n"/>
      <c r="C680" s="692" t="n"/>
      <c r="D680" s="693" t="n"/>
      <c r="E680" s="694" t="n"/>
      <c r="F680" s="695" t="n"/>
      <c r="G680" s="696" t="n"/>
      <c r="H680" s="151" t="n"/>
      <c r="I680" s="152" t="n"/>
      <c r="J680" s="692" t="n"/>
      <c r="K680">
        <f>+(37168.41*1.13)/(0.93*5.45)</f>
        <v/>
      </c>
    </row>
    <row r="681">
      <c r="A681" s="142" t="n"/>
      <c r="B681" s="691" t="n"/>
      <c r="C681" s="692" t="n"/>
      <c r="D681" s="693" t="n"/>
      <c r="E681" s="694" t="n"/>
      <c r="F681" s="695" t="n"/>
      <c r="G681" s="696" t="n"/>
      <c r="H681" s="151" t="n"/>
      <c r="I681" s="152" t="n"/>
      <c r="J681" s="692" t="n"/>
    </row>
    <row r="682" ht="20.1" customHeight="1">
      <c r="A682" s="142" t="n"/>
      <c r="B682" s="691" t="n"/>
      <c r="C682" s="692" t="n"/>
      <c r="D682" s="693" t="n"/>
      <c r="E682" s="694" t="n"/>
      <c r="F682" s="695" t="n"/>
      <c r="G682" s="696" t="n"/>
      <c r="H682" s="151" t="n"/>
      <c r="I682" s="152" t="n"/>
      <c r="J682" s="692" t="n"/>
    </row>
    <row r="683" ht="20.1" customHeight="1">
      <c r="A683" s="142" t="n"/>
      <c r="B683" s="691" t="n"/>
      <c r="C683" s="692" t="n"/>
      <c r="D683" s="693" t="n"/>
      <c r="E683" s="694" t="n"/>
      <c r="F683" s="695" t="n"/>
      <c r="G683" s="696" t="n"/>
      <c r="H683" s="151" t="n"/>
      <c r="I683" s="152" t="n"/>
      <c r="J683" s="692" t="n"/>
    </row>
    <row r="684" ht="20.1" customHeight="1">
      <c r="A684" s="142" t="n"/>
      <c r="B684" s="691" t="n"/>
      <c r="C684" s="692" t="n"/>
      <c r="D684" s="693" t="n"/>
      <c r="E684" s="694" t="n"/>
      <c r="F684" s="695" t="n"/>
      <c r="G684" s="696" t="n"/>
      <c r="H684" s="151" t="n"/>
      <c r="I684" s="152" t="n"/>
      <c r="J684" s="692" t="n"/>
    </row>
    <row r="685" ht="20.1" customHeight="1">
      <c r="A685" s="142" t="n"/>
      <c r="B685" s="691" t="n"/>
      <c r="C685" s="692" t="n"/>
      <c r="D685" s="693" t="n"/>
      <c r="E685" s="694" t="n"/>
      <c r="F685" s="695" t="n"/>
      <c r="G685" s="696" t="n"/>
      <c r="H685" s="151" t="n"/>
      <c r="I685" s="152" t="n"/>
      <c r="J685" s="692" t="n"/>
    </row>
    <row r="686" ht="20.1" customHeight="1">
      <c r="A686" s="142" t="n"/>
      <c r="B686" s="691" t="n"/>
      <c r="C686" s="692" t="n"/>
      <c r="D686" s="693" t="n"/>
      <c r="E686" s="694" t="n"/>
      <c r="F686" s="695" t="n"/>
      <c r="G686" s="696" t="n"/>
      <c r="H686" s="151" t="n"/>
      <c r="I686" s="152" t="n"/>
      <c r="J686" s="692" t="n"/>
    </row>
    <row r="687" ht="20.1" customHeight="1">
      <c r="A687" s="142" t="n"/>
      <c r="B687" s="691" t="n"/>
      <c r="C687" s="692" t="n"/>
      <c r="D687" s="693" t="n"/>
      <c r="E687" s="694" t="n"/>
      <c r="F687" s="695" t="n"/>
      <c r="G687" s="696" t="n"/>
      <c r="H687" s="151" t="n"/>
      <c r="I687" s="152" t="n"/>
      <c r="J687" s="692" t="n"/>
    </row>
    <row r="688" ht="20.1" customHeight="1">
      <c r="A688" s="142" t="n"/>
      <c r="B688" s="691" t="n"/>
      <c r="C688" s="692" t="n"/>
      <c r="D688" s="693" t="n"/>
      <c r="E688" s="694" t="n"/>
      <c r="F688" s="695" t="n"/>
      <c r="G688" s="696" t="n"/>
      <c r="H688" s="151" t="n"/>
      <c r="I688" s="152" t="n"/>
      <c r="J688" s="692" t="n"/>
    </row>
    <row r="689" ht="20.1" customHeight="1">
      <c r="A689" s="142" t="n"/>
      <c r="B689" s="697" t="n"/>
      <c r="C689" s="692" t="n"/>
      <c r="D689" s="698" t="n"/>
      <c r="E689" s="699" t="n"/>
      <c r="F689" s="695" t="n"/>
      <c r="G689" s="696" t="n"/>
      <c r="H689" s="151" t="n"/>
      <c r="I689" s="152" t="n"/>
      <c r="J689" s="692" t="n"/>
    </row>
    <row r="690" ht="20.1" customHeight="1">
      <c r="A690" s="142" t="n"/>
      <c r="B690" s="697" t="n"/>
      <c r="C690" s="692" t="n"/>
      <c r="D690" s="698" t="n"/>
      <c r="E690" s="699" t="n"/>
      <c r="F690" s="695" t="n"/>
      <c r="G690" s="696" t="n"/>
      <c r="H690" s="151" t="n"/>
      <c r="I690" s="152" t="n"/>
      <c r="J690" s="692" t="n"/>
    </row>
    <row r="691" ht="20.1" customHeight="1">
      <c r="A691" s="142" t="n"/>
      <c r="B691" s="691" t="n"/>
      <c r="C691" s="692" t="n"/>
      <c r="D691" s="693" t="n"/>
      <c r="E691" s="694" t="n"/>
      <c r="F691" s="695" t="n"/>
      <c r="G691" s="696" t="n"/>
      <c r="H691" s="151" t="n"/>
      <c r="I691" s="152" t="n"/>
      <c r="J691" s="692" t="n"/>
    </row>
    <row r="692" ht="20.1" customHeight="1">
      <c r="A692" s="142" t="n"/>
      <c r="B692" s="691" t="n"/>
      <c r="C692" s="692" t="n"/>
      <c r="D692" s="693" t="n"/>
      <c r="E692" s="694" t="n"/>
      <c r="F692" s="695" t="n"/>
      <c r="G692" s="696" t="n"/>
      <c r="H692" s="151" t="n"/>
      <c r="I692" s="152" t="n"/>
      <c r="J692" s="692" t="n"/>
    </row>
    <row r="693" ht="20.1" customHeight="1">
      <c r="A693" s="142" t="n"/>
      <c r="B693" s="691" t="n"/>
      <c r="C693" s="692" t="n"/>
      <c r="D693" s="693" t="n"/>
      <c r="E693" s="694" t="n"/>
      <c r="F693" s="695" t="n"/>
      <c r="G693" s="696" t="n"/>
      <c r="H693" s="151" t="n"/>
      <c r="I693" s="152" t="n"/>
      <c r="J693" s="692" t="n"/>
    </row>
    <row r="694" ht="20.1" customHeight="1">
      <c r="A694" s="142" t="n"/>
      <c r="B694" s="691" t="n"/>
      <c r="C694" s="692" t="n"/>
      <c r="D694" s="693" t="n"/>
      <c r="E694" s="694" t="n"/>
      <c r="F694" s="695" t="n"/>
      <c r="G694" s="696" t="n"/>
      <c r="H694" s="151" t="n"/>
      <c r="I694" s="152" t="n"/>
      <c r="J694" s="692" t="n"/>
    </row>
    <row r="695" ht="20.1" customHeight="1">
      <c r="A695" s="142" t="n"/>
      <c r="B695" s="691" t="n"/>
      <c r="C695" s="692" t="n"/>
      <c r="D695" s="693" t="n"/>
      <c r="E695" s="694" t="n"/>
      <c r="F695" s="695" t="n"/>
      <c r="G695" s="696" t="n"/>
      <c r="H695" s="151" t="n"/>
      <c r="I695" s="152" t="n"/>
      <c r="J695" s="692" t="n"/>
    </row>
    <row r="696" ht="20.1" customHeight="1">
      <c r="A696" s="142" t="n"/>
      <c r="B696" s="691" t="n"/>
      <c r="C696" s="692" t="n"/>
      <c r="D696" s="693" t="n"/>
      <c r="E696" s="694" t="n"/>
      <c r="F696" s="695" t="n"/>
      <c r="G696" s="696" t="n"/>
      <c r="H696" s="151" t="n"/>
      <c r="I696" s="152" t="n"/>
      <c r="J696" s="692" t="n"/>
    </row>
    <row r="697" ht="20.1" customHeight="1">
      <c r="A697" s="142" t="n"/>
      <c r="B697" s="691" t="n"/>
      <c r="C697" s="692" t="n"/>
      <c r="D697" s="693" t="n"/>
      <c r="E697" s="694" t="n"/>
      <c r="F697" s="695" t="n"/>
      <c r="G697" s="696" t="n"/>
      <c r="H697" s="151" t="n"/>
      <c r="I697" s="152" t="n"/>
      <c r="J697" s="692" t="n"/>
    </row>
    <row r="698" ht="20.1" customHeight="1">
      <c r="A698" s="142" t="n"/>
      <c r="B698" s="691" t="n"/>
      <c r="C698" s="692" t="n"/>
      <c r="D698" s="693" t="n"/>
      <c r="E698" s="694" t="n"/>
      <c r="F698" s="695" t="n"/>
      <c r="G698" s="696" t="n"/>
      <c r="H698" s="151" t="n"/>
      <c r="I698" s="152" t="n"/>
      <c r="J698" s="692" t="n"/>
    </row>
    <row r="699" ht="20.1" customHeight="1">
      <c r="A699" s="142" t="n"/>
      <c r="B699" s="691" t="n"/>
      <c r="C699" s="692" t="n"/>
      <c r="D699" s="693" t="n"/>
      <c r="E699" s="694" t="n"/>
      <c r="F699" s="695" t="n"/>
      <c r="G699" s="696" t="n"/>
      <c r="H699" s="151" t="n"/>
      <c r="I699" s="152" t="n"/>
      <c r="J699" s="692" t="n"/>
    </row>
    <row r="700" ht="20.1" customHeight="1">
      <c r="A700" s="142" t="n"/>
      <c r="B700" s="691" t="n"/>
      <c r="C700" s="692" t="n"/>
      <c r="D700" s="693" t="n"/>
      <c r="E700" s="694" t="n"/>
      <c r="F700" s="695" t="n"/>
      <c r="G700" s="696" t="n"/>
      <c r="H700" s="151" t="n"/>
      <c r="I700" s="152" t="n"/>
      <c r="J700" s="692" t="n"/>
    </row>
    <row r="701" ht="20.1" customHeight="1">
      <c r="A701" s="142" t="n"/>
      <c r="B701" s="691" t="n"/>
      <c r="C701" s="692" t="n"/>
      <c r="D701" s="693" t="n"/>
      <c r="E701" s="694" t="n"/>
      <c r="F701" s="695" t="n"/>
      <c r="G701" s="696" t="n"/>
      <c r="H701" s="151" t="n"/>
      <c r="I701" s="152" t="n"/>
      <c r="J701" s="692" t="n"/>
    </row>
    <row r="702" ht="20.1" customHeight="1">
      <c r="A702" s="142" t="n"/>
      <c r="B702" s="691" t="n"/>
      <c r="C702" s="692" t="n"/>
      <c r="D702" s="693" t="n"/>
      <c r="E702" s="694" t="n"/>
      <c r="F702" s="695" t="n"/>
      <c r="G702" s="696" t="n"/>
      <c r="H702" s="151" t="n"/>
      <c r="I702" s="152" t="n"/>
      <c r="J702" s="692" t="n"/>
    </row>
    <row r="703" ht="20.1" customHeight="1">
      <c r="A703" s="142" t="n"/>
      <c r="B703" s="691" t="n"/>
      <c r="C703" s="692" t="n"/>
      <c r="D703" s="693" t="n"/>
      <c r="E703" s="694" t="n"/>
      <c r="F703" s="695" t="n"/>
      <c r="G703" s="696" t="n"/>
      <c r="H703" s="151" t="n"/>
      <c r="I703" s="152" t="n"/>
      <c r="J703" s="692" t="n"/>
    </row>
    <row r="704" ht="20.1" customHeight="1">
      <c r="A704" s="142" t="n"/>
      <c r="B704" s="691" t="n"/>
      <c r="C704" s="692" t="n"/>
      <c r="D704" s="693" t="n"/>
      <c r="E704" s="694" t="n"/>
      <c r="F704" s="695" t="n"/>
      <c r="G704" s="696" t="n"/>
      <c r="H704" s="151" t="n"/>
      <c r="I704" s="152" t="n"/>
      <c r="J704" s="692" t="n"/>
    </row>
    <row r="705" ht="20.1" customHeight="1">
      <c r="A705" s="142" t="n"/>
      <c r="B705" s="691" t="n"/>
      <c r="C705" s="692" t="n"/>
      <c r="D705" s="693" t="n"/>
      <c r="E705" s="694" t="n"/>
      <c r="F705" s="695" t="n"/>
      <c r="G705" s="696" t="n"/>
      <c r="H705" s="151" t="n"/>
      <c r="I705" s="152" t="n"/>
      <c r="J705" s="692" t="n"/>
    </row>
    <row r="706" ht="20.1" customHeight="1">
      <c r="A706" s="142" t="n"/>
      <c r="B706" s="691" t="n"/>
      <c r="C706" s="692" t="n"/>
      <c r="D706" s="693" t="n"/>
      <c r="E706" s="694" t="n"/>
      <c r="F706" s="695" t="n"/>
      <c r="G706" s="696" t="n"/>
      <c r="H706" s="151" t="n"/>
      <c r="I706" s="152" t="n"/>
      <c r="J706" s="692" t="n"/>
    </row>
    <row r="707" ht="20.1" customHeight="1">
      <c r="A707" s="142" t="n"/>
      <c r="B707" s="691" t="n"/>
      <c r="C707" s="692" t="n"/>
      <c r="D707" s="693" t="n"/>
      <c r="E707" s="694" t="n"/>
      <c r="F707" s="695" t="n"/>
      <c r="G707" s="696" t="n"/>
      <c r="H707" s="151" t="n"/>
      <c r="I707" s="152" t="n"/>
      <c r="J707" s="692" t="n"/>
    </row>
    <row r="708" ht="20.1" customHeight="1">
      <c r="A708" s="142" t="n"/>
      <c r="B708" s="691" t="n"/>
      <c r="C708" s="692" t="n"/>
      <c r="D708" s="693" t="n"/>
      <c r="E708" s="694" t="n"/>
      <c r="F708" s="695" t="n"/>
      <c r="G708" s="696" t="n"/>
      <c r="H708" s="151" t="n"/>
      <c r="I708" s="152" t="n"/>
      <c r="J708" s="692" t="n"/>
    </row>
    <row r="709" ht="20.1" customHeight="1">
      <c r="A709" s="142" t="n"/>
      <c r="B709" s="691" t="n"/>
      <c r="C709" s="692" t="n"/>
      <c r="D709" s="693" t="n"/>
      <c r="E709" s="694" t="n"/>
      <c r="F709" s="695" t="n"/>
      <c r="G709" s="696" t="n"/>
      <c r="H709" s="151" t="n"/>
      <c r="I709" s="152" t="n"/>
      <c r="J709" s="692" t="n"/>
    </row>
    <row r="710" ht="20.1" customHeight="1">
      <c r="A710" s="142" t="n"/>
      <c r="B710" s="691" t="n"/>
      <c r="C710" s="692" t="n"/>
      <c r="D710" s="693" t="n"/>
      <c r="E710" s="694" t="n"/>
      <c r="F710" s="695" t="n"/>
      <c r="G710" s="696" t="n"/>
      <c r="H710" s="151" t="n"/>
      <c r="I710" s="152" t="n"/>
      <c r="J710" s="692" t="n"/>
    </row>
    <row r="711" ht="20.1" customHeight="1">
      <c r="A711" s="142" t="n"/>
      <c r="B711" s="691" t="n"/>
      <c r="C711" s="692" t="n"/>
      <c r="D711" s="693" t="n"/>
      <c r="E711" s="694" t="n"/>
      <c r="F711" s="695" t="n"/>
      <c r="G711" s="696" t="n"/>
      <c r="H711" s="151" t="n"/>
      <c r="I711" s="152" t="n"/>
      <c r="J711" s="692" t="n"/>
    </row>
    <row r="712" ht="20.1" customHeight="1">
      <c r="A712" s="142" t="n"/>
      <c r="B712" s="697" t="n"/>
      <c r="C712" s="692" t="n"/>
      <c r="D712" s="698" t="n"/>
      <c r="E712" s="699" t="n"/>
      <c r="F712" s="695" t="n"/>
      <c r="G712" s="696" t="n"/>
      <c r="H712" s="151" t="n"/>
      <c r="I712" s="152" t="n"/>
      <c r="J712" s="692" t="n"/>
    </row>
    <row r="713" ht="20.1" customHeight="1">
      <c r="A713" s="142" t="n"/>
      <c r="B713" s="691" t="n"/>
      <c r="C713" s="692" t="n"/>
      <c r="D713" s="693" t="n"/>
      <c r="E713" s="694" t="n"/>
      <c r="F713" s="695" t="n"/>
      <c r="G713" s="696" t="n"/>
      <c r="H713" s="151" t="n"/>
      <c r="I713" s="152" t="n"/>
      <c r="J713" s="692" t="n"/>
    </row>
    <row r="714" ht="20.1" customHeight="1">
      <c r="A714" s="142" t="n"/>
      <c r="B714" s="691" t="n"/>
      <c r="C714" s="692" t="n"/>
      <c r="D714" s="693" t="n"/>
      <c r="E714" s="694" t="n"/>
      <c r="F714" s="695" t="n"/>
      <c r="G714" s="696" t="n"/>
      <c r="H714" s="151" t="n"/>
      <c r="I714" s="152" t="n"/>
      <c r="J714" s="692" t="n"/>
    </row>
    <row r="715" ht="20.1" customHeight="1">
      <c r="A715" s="142" t="n"/>
      <c r="B715" s="691" t="n"/>
      <c r="C715" s="692" t="n"/>
      <c r="D715" s="693" t="n"/>
      <c r="E715" s="694" t="n"/>
      <c r="F715" s="695" t="n"/>
      <c r="G715" s="696" t="n"/>
      <c r="H715" s="151" t="n"/>
      <c r="I715" s="152" t="n"/>
      <c r="J715" s="692" t="n"/>
    </row>
    <row r="716" ht="20.1" customHeight="1">
      <c r="A716" s="142" t="n"/>
      <c r="B716" s="691" t="n"/>
      <c r="C716" s="692" t="n"/>
      <c r="D716" s="693" t="n"/>
      <c r="E716" s="694" t="n"/>
      <c r="F716" s="695" t="n"/>
      <c r="G716" s="696" t="n"/>
      <c r="H716" s="151" t="n"/>
      <c r="I716" s="152" t="n"/>
      <c r="J716" s="692" t="n"/>
    </row>
    <row r="717" ht="20.1" customHeight="1">
      <c r="A717" s="142" t="n"/>
      <c r="B717" s="691" t="n"/>
      <c r="C717" s="692" t="n"/>
      <c r="D717" s="693" t="n"/>
      <c r="E717" s="694" t="n"/>
      <c r="F717" s="695" t="n"/>
      <c r="G717" s="696" t="n"/>
      <c r="H717" s="151" t="n"/>
      <c r="I717" s="152" t="n"/>
      <c r="J717" s="692" t="n"/>
    </row>
    <row r="718" ht="20.1" customHeight="1">
      <c r="A718" s="142" t="n"/>
      <c r="B718" s="691" t="n"/>
      <c r="C718" s="692" t="n"/>
      <c r="D718" s="693" t="n"/>
      <c r="E718" s="694" t="n"/>
      <c r="F718" s="695" t="n"/>
      <c r="G718" s="696" t="n"/>
      <c r="H718" s="151" t="n"/>
      <c r="I718" s="152" t="n"/>
      <c r="J718" s="692" t="n"/>
    </row>
    <row r="719" ht="20.1" customHeight="1">
      <c r="A719" s="142" t="n"/>
      <c r="B719" s="691" t="n"/>
      <c r="C719" s="692" t="n"/>
      <c r="D719" s="693" t="n"/>
      <c r="E719" s="694" t="n"/>
      <c r="F719" s="695" t="n"/>
      <c r="G719" s="696" t="n"/>
      <c r="H719" s="151" t="n"/>
      <c r="I719" s="152" t="n"/>
      <c r="J719" s="692" t="n"/>
    </row>
    <row r="720" ht="20.1" customHeight="1">
      <c r="A720" s="142" t="n"/>
      <c r="B720" s="691" t="n"/>
      <c r="C720" s="692" t="n"/>
      <c r="D720" s="693" t="n"/>
      <c r="E720" s="694" t="n"/>
      <c r="F720" s="695" t="n"/>
      <c r="G720" s="696" t="n"/>
      <c r="H720" s="151" t="n"/>
      <c r="I720" s="152" t="n"/>
      <c r="J720" s="692" t="n"/>
    </row>
    <row r="721" ht="20.1" customHeight="1">
      <c r="A721" s="142" t="n"/>
      <c r="B721" s="691" t="n"/>
      <c r="C721" s="692" t="n"/>
      <c r="D721" s="693" t="n"/>
      <c r="E721" s="694" t="n"/>
      <c r="F721" s="695" t="n"/>
      <c r="G721" s="696" t="n"/>
      <c r="H721" s="151" t="n"/>
      <c r="I721" s="152" t="n"/>
      <c r="J721" s="692" t="n"/>
    </row>
    <row r="722" ht="20.1" customHeight="1">
      <c r="A722" s="142" t="n"/>
      <c r="B722" s="691" t="n"/>
      <c r="C722" s="692" t="n"/>
      <c r="D722" s="693" t="n"/>
      <c r="E722" s="694" t="n"/>
      <c r="F722" s="695" t="n"/>
      <c r="G722" s="696" t="n"/>
      <c r="H722" s="151" t="n"/>
      <c r="I722" s="152" t="n"/>
      <c r="J722" s="692" t="n"/>
    </row>
    <row r="723">
      <c r="A723" s="142" t="n"/>
      <c r="B723" s="691" t="n"/>
      <c r="C723" s="692" t="n"/>
      <c r="D723" s="693" t="n"/>
      <c r="E723" s="694" t="n"/>
      <c r="F723" s="695" t="n"/>
      <c r="G723" s="696" t="n"/>
      <c r="H723" s="151" t="n"/>
      <c r="I723" s="152" t="n"/>
      <c r="J723" s="692" t="n"/>
    </row>
    <row r="724" ht="20.1" customHeight="1">
      <c r="A724" s="142" t="n"/>
      <c r="B724" s="691" t="n"/>
      <c r="C724" s="692" t="n"/>
      <c r="D724" s="693" t="n"/>
      <c r="E724" s="694" t="n"/>
      <c r="F724" s="695" t="n"/>
      <c r="G724" s="696" t="n"/>
      <c r="H724" s="151" t="n"/>
      <c r="I724" s="152" t="n"/>
      <c r="J724" s="692" t="n"/>
    </row>
    <row r="725" ht="20.1" customHeight="1">
      <c r="A725" s="142" t="n"/>
      <c r="B725" s="691" t="n"/>
      <c r="C725" s="692" t="n"/>
      <c r="D725" s="693" t="n"/>
      <c r="E725" s="694" t="n"/>
      <c r="F725" s="695" t="n"/>
      <c r="G725" s="696" t="n"/>
      <c r="H725" s="151" t="n"/>
      <c r="I725" s="152" t="n"/>
      <c r="J725" s="692" t="n"/>
    </row>
    <row r="726" ht="20.1" customHeight="1">
      <c r="A726" s="142" t="n"/>
      <c r="B726" s="691" t="n"/>
      <c r="C726" s="692" t="n"/>
      <c r="D726" s="693" t="n"/>
      <c r="E726" s="694" t="n"/>
      <c r="F726" s="695" t="n"/>
      <c r="G726" s="696" t="n"/>
      <c r="H726" s="151" t="n"/>
      <c r="I726" s="152" t="n"/>
      <c r="J726" s="692" t="n"/>
    </row>
    <row r="727" ht="20.1" customHeight="1">
      <c r="A727" s="142" t="n"/>
      <c r="B727" s="691" t="n"/>
      <c r="C727" s="692" t="n"/>
      <c r="D727" s="693" t="n"/>
      <c r="E727" s="694" t="n"/>
      <c r="F727" s="695" t="n"/>
      <c r="G727" s="696" t="n"/>
      <c r="H727" s="151" t="n"/>
      <c r="I727" s="152" t="n"/>
      <c r="J727" s="692" t="n"/>
    </row>
    <row r="728" ht="20.1" customHeight="1">
      <c r="A728" s="142" t="n"/>
      <c r="B728" s="691" t="n"/>
      <c r="C728" s="692" t="n"/>
      <c r="D728" s="693" t="n"/>
      <c r="E728" s="694" t="n"/>
      <c r="F728" s="695" t="n"/>
      <c r="G728" s="696" t="n"/>
      <c r="H728" s="151" t="n"/>
      <c r="I728" s="152" t="n"/>
      <c r="J728" s="692" t="n"/>
    </row>
    <row r="729" ht="20.1" customHeight="1">
      <c r="A729" s="142" t="n"/>
      <c r="B729" s="691" t="n"/>
      <c r="C729" s="692" t="n"/>
      <c r="D729" s="693" t="n"/>
      <c r="E729" s="694" t="n"/>
      <c r="F729" s="695" t="n"/>
      <c r="G729" s="696" t="n"/>
      <c r="H729" s="151" t="n"/>
      <c r="I729" s="152" t="n"/>
      <c r="J729" s="692" t="n"/>
    </row>
    <row r="730" ht="20.1" customHeight="1">
      <c r="A730" s="142" t="n"/>
      <c r="B730" s="691" t="n"/>
      <c r="C730" s="692" t="n"/>
      <c r="D730" s="693" t="n"/>
      <c r="E730" s="694" t="n"/>
      <c r="F730" s="695" t="n"/>
      <c r="G730" s="696" t="n"/>
      <c r="H730" s="151" t="n"/>
      <c r="I730" s="152" t="n"/>
      <c r="J730" s="692" t="n"/>
    </row>
    <row r="731" ht="20.1" customHeight="1">
      <c r="A731" s="142" t="n"/>
      <c r="B731" s="691" t="n"/>
      <c r="C731" s="692" t="n"/>
      <c r="D731" s="693" t="n"/>
      <c r="E731" s="694" t="n"/>
      <c r="F731" s="695" t="n"/>
      <c r="G731" s="696" t="n"/>
      <c r="H731" s="151" t="n"/>
      <c r="I731" s="152" t="n"/>
      <c r="J731" s="692" t="n"/>
    </row>
    <row r="732" ht="20.1" customHeight="1">
      <c r="A732" s="142" t="n"/>
      <c r="B732" s="691" t="n"/>
      <c r="C732" s="692" t="n"/>
      <c r="D732" s="693" t="n"/>
      <c r="E732" s="694" t="n"/>
      <c r="F732" s="695" t="n"/>
      <c r="G732" s="696" t="n"/>
      <c r="H732" s="151" t="n"/>
      <c r="I732" s="152" t="n"/>
      <c r="J732" s="692" t="n"/>
    </row>
    <row r="733" ht="20.1" customHeight="1">
      <c r="A733" s="142" t="n"/>
      <c r="B733" s="691" t="n"/>
      <c r="C733" s="692" t="n"/>
      <c r="D733" s="693" t="n"/>
      <c r="E733" s="694" t="n"/>
      <c r="F733" s="695" t="n"/>
      <c r="G733" s="696" t="n"/>
      <c r="H733" s="151" t="n"/>
      <c r="I733" s="152" t="n"/>
      <c r="J733" s="692" t="n"/>
    </row>
    <row r="734" ht="20.1" customHeight="1">
      <c r="A734" s="142" t="n"/>
      <c r="B734" s="691" t="n"/>
      <c r="C734" s="692" t="n"/>
      <c r="D734" s="693" t="n"/>
      <c r="E734" s="694" t="n"/>
      <c r="F734" s="695" t="n"/>
      <c r="G734" s="696" t="n"/>
      <c r="H734" s="151" t="n"/>
      <c r="I734" s="152" t="n"/>
      <c r="J734" s="692" t="n"/>
    </row>
    <row r="735" ht="20.1" customHeight="1">
      <c r="A735" s="142" t="n"/>
      <c r="B735" s="707" t="n"/>
      <c r="C735" s="692" t="n"/>
      <c r="D735" s="707" t="n"/>
      <c r="E735" s="679" t="n"/>
      <c r="F735" s="695" t="n"/>
      <c r="G735" s="695" t="n"/>
      <c r="H735" s="129" t="n"/>
      <c r="I735" s="166" t="n"/>
      <c r="J735" s="692" t="n"/>
    </row>
    <row r="736">
      <c r="B736" s="158" t="n"/>
      <c r="C736" s="726" t="n"/>
      <c r="I736" s="158" t="n"/>
      <c r="J736" s="159" t="n"/>
    </row>
    <row r="737">
      <c r="B737" s="158" t="n"/>
      <c r="C737" s="726" t="n"/>
      <c r="I737" s="158" t="n"/>
      <c r="J737" s="159" t="n"/>
    </row>
    <row r="738">
      <c r="B738" s="158" t="n"/>
      <c r="C738" s="726" t="n"/>
      <c r="I738" s="158" t="n"/>
      <c r="J738" s="159" t="n"/>
    </row>
    <row r="739">
      <c r="B739" s="158" t="n"/>
      <c r="C739" s="726" t="n"/>
      <c r="I739" s="158" t="n"/>
      <c r="J739" s="159" t="n"/>
    </row>
    <row r="740">
      <c r="B740" s="158" t="n"/>
      <c r="C740" s="726" t="n"/>
      <c r="I740" s="158" t="n"/>
      <c r="J740" s="159" t="n"/>
    </row>
    <row r="741">
      <c r="B741" s="158" t="n"/>
      <c r="C741" s="726" t="n"/>
      <c r="I741" s="158" t="n"/>
      <c r="J741" s="159" t="n"/>
    </row>
    <row r="742">
      <c r="B742" s="158" t="n"/>
      <c r="C742" s="726" t="n"/>
      <c r="I742" s="158" t="n"/>
      <c r="J742" s="159" t="n"/>
    </row>
    <row r="743">
      <c r="B743" s="158" t="n"/>
      <c r="C743" s="726" t="n"/>
      <c r="I743" s="158" t="n"/>
      <c r="J743" s="159" t="n"/>
    </row>
    <row r="744">
      <c r="B744" s="158" t="n"/>
      <c r="C744" s="726" t="n"/>
      <c r="I744" s="158" t="n"/>
      <c r="J744" s="159" t="n"/>
    </row>
    <row r="745">
      <c r="B745" s="158" t="n"/>
      <c r="C745" s="726" t="n"/>
      <c r="I745" s="158" t="n"/>
      <c r="J745" s="159" t="n"/>
    </row>
    <row r="746">
      <c r="B746" s="158" t="n"/>
      <c r="C746" s="726" t="n"/>
      <c r="I746" s="158" t="n"/>
      <c r="J746" s="159" t="n"/>
    </row>
    <row r="747">
      <c r="B747" s="158" t="n"/>
      <c r="C747" s="726" t="n"/>
      <c r="I747" s="158" t="n"/>
      <c r="J747" s="159" t="n"/>
    </row>
    <row r="748">
      <c r="B748" s="158" t="n"/>
      <c r="C748" s="726" t="n"/>
      <c r="I748" s="158" t="n"/>
      <c r="J748" s="159" t="n"/>
    </row>
    <row r="749">
      <c r="B749" s="158" t="n"/>
      <c r="C749" s="726" t="n"/>
      <c r="I749" s="158" t="n"/>
      <c r="J749" s="159" t="n"/>
    </row>
    <row r="750">
      <c r="B750" s="158" t="n"/>
      <c r="C750" s="726" t="n"/>
      <c r="I750" s="158" t="n"/>
      <c r="J750" s="159" t="n"/>
    </row>
    <row r="751">
      <c r="B751" s="158" t="n"/>
      <c r="C751" s="726" t="n"/>
      <c r="I751" s="158" t="n"/>
      <c r="J751" s="159" t="n"/>
    </row>
    <row r="752">
      <c r="B752" s="158" t="n"/>
      <c r="C752" s="726" t="n"/>
      <c r="I752" s="158" t="n"/>
      <c r="J752" s="159" t="n"/>
    </row>
    <row r="753">
      <c r="B753" s="158" t="n"/>
      <c r="C753" s="726" t="n"/>
      <c r="I753" s="158" t="n"/>
      <c r="J753" s="159" t="n"/>
    </row>
    <row r="754">
      <c r="B754" s="158" t="n"/>
      <c r="C754" s="726" t="n"/>
      <c r="I754" s="158" t="n"/>
      <c r="J754" s="159" t="n"/>
    </row>
    <row r="755">
      <c r="B755" s="158" t="n"/>
      <c r="C755" s="726" t="n"/>
      <c r="I755" s="158" t="n"/>
      <c r="J755" s="159" t="n"/>
    </row>
    <row r="756">
      <c r="B756" s="158" t="n"/>
      <c r="C756" s="726" t="n"/>
      <c r="I756" s="158" t="n"/>
      <c r="J756" s="159" t="n"/>
    </row>
    <row r="757">
      <c r="B757" s="158" t="n"/>
      <c r="C757" s="158" t="n"/>
      <c r="I757" s="158" t="n"/>
      <c r="J757" s="159" t="n"/>
    </row>
    <row r="758">
      <c r="B758" s="158" t="n"/>
      <c r="C758" s="158" t="n"/>
      <c r="I758" s="158" t="n"/>
      <c r="J758" s="159" t="n"/>
    </row>
    <row r="759">
      <c r="B759" s="158" t="n"/>
      <c r="C759" s="158" t="n"/>
      <c r="I759" s="158" t="n"/>
      <c r="J759" s="159" t="n"/>
    </row>
    <row r="760">
      <c r="B760" s="158" t="n"/>
      <c r="C760" s="158" t="n"/>
      <c r="I760" s="158" t="n"/>
      <c r="J760" s="159" t="n"/>
    </row>
    <row r="761">
      <c r="B761" s="158" t="n"/>
      <c r="C761" s="158" t="n"/>
      <c r="I761" s="158" t="n"/>
      <c r="J761" s="159" t="n"/>
    </row>
    <row r="762">
      <c r="B762" s="158" t="n"/>
      <c r="C762" s="158" t="n"/>
      <c r="I762" s="158" t="n"/>
      <c r="J762" s="159" t="n"/>
    </row>
    <row r="763">
      <c r="B763" s="158" t="n"/>
      <c r="C763" s="158" t="n"/>
      <c r="I763" s="158" t="n"/>
      <c r="J763" s="159" t="n"/>
    </row>
    <row r="764">
      <c r="B764" s="158" t="n"/>
      <c r="C764" s="158" t="n"/>
      <c r="I764" s="158" t="n"/>
      <c r="J764" s="159" t="n"/>
    </row>
    <row r="765">
      <c r="B765" s="158" t="n"/>
      <c r="C765" s="158" t="n"/>
      <c r="I765" s="158" t="n"/>
      <c r="J765" s="159" t="n"/>
    </row>
    <row r="766">
      <c r="B766" s="158" t="n"/>
      <c r="C766" s="158" t="n"/>
      <c r="I766" s="158" t="n"/>
      <c r="J766" s="159" t="n"/>
    </row>
    <row r="767">
      <c r="B767" s="158" t="n"/>
      <c r="C767" s="158" t="n"/>
      <c r="I767" s="158" t="n"/>
      <c r="J767" s="159" t="n"/>
    </row>
    <row r="768">
      <c r="B768" s="158" t="n"/>
      <c r="C768" s="158" t="n"/>
      <c r="I768" s="158" t="n"/>
      <c r="J768" s="159" t="n"/>
    </row>
    <row r="769">
      <c r="B769" s="158" t="n"/>
      <c r="C769" s="158" t="n"/>
      <c r="I769" s="158" t="n"/>
      <c r="J769" s="159" t="n"/>
    </row>
    <row r="770">
      <c r="B770" s="158" t="n"/>
      <c r="C770" s="158" t="n"/>
      <c r="I770" s="158" t="n"/>
      <c r="J770" s="159" t="n"/>
    </row>
    <row r="771">
      <c r="B771" s="158" t="n"/>
      <c r="C771" s="158" t="n"/>
      <c r="I771" s="158" t="n"/>
      <c r="J771" s="159" t="n"/>
    </row>
    <row r="772">
      <c r="B772" s="158" t="n"/>
      <c r="C772" s="158" t="n"/>
      <c r="I772" s="158" t="n"/>
      <c r="J772" s="159" t="n"/>
    </row>
    <row r="773">
      <c r="B773" s="158" t="n"/>
      <c r="C773" s="158" t="n"/>
      <c r="I773" s="158" t="n"/>
      <c r="J773" s="159" t="n"/>
    </row>
    <row r="774">
      <c r="B774" s="158" t="n"/>
      <c r="C774" s="158" t="n"/>
      <c r="I774" s="158" t="n"/>
      <c r="J774" s="159" t="n"/>
    </row>
    <row r="775">
      <c r="B775" s="158" t="n"/>
      <c r="C775" s="158" t="n"/>
      <c r="I775" s="158" t="n"/>
      <c r="J775" s="159" t="n"/>
    </row>
    <row r="776">
      <c r="B776" s="158" t="n"/>
      <c r="C776" s="158" t="n"/>
      <c r="I776" s="158" t="n"/>
      <c r="J776" s="159" t="n"/>
    </row>
    <row r="777">
      <c r="B777" s="158" t="n"/>
      <c r="C777" s="158" t="n"/>
      <c r="I777" s="158" t="n"/>
      <c r="J777" s="159" t="n"/>
    </row>
    <row r="778">
      <c r="B778" s="158" t="n"/>
      <c r="C778" s="158" t="n"/>
      <c r="I778" s="158" t="n"/>
      <c r="J778" s="159" t="n"/>
    </row>
    <row r="779">
      <c r="B779" s="158" t="n"/>
      <c r="C779" s="158" t="n"/>
      <c r="I779" s="158" t="n"/>
      <c r="J779" s="159" t="n"/>
    </row>
    <row r="780">
      <c r="B780" s="158" t="n"/>
      <c r="C780" s="158" t="n"/>
      <c r="I780" s="158" t="n"/>
      <c r="J780" s="159" t="n"/>
    </row>
    <row r="781">
      <c r="B781" s="158" t="n"/>
      <c r="C781" s="158" t="n"/>
      <c r="I781" s="158" t="n"/>
      <c r="J781" s="159" t="n"/>
    </row>
    <row r="782">
      <c r="B782" s="158" t="n"/>
      <c r="C782" s="158" t="n"/>
      <c r="I782" s="158" t="n"/>
      <c r="J782" s="159" t="n"/>
    </row>
    <row r="783">
      <c r="B783" s="158" t="n"/>
      <c r="C783" s="158" t="n"/>
      <c r="I783" s="158" t="n"/>
      <c r="J783" s="159" t="n"/>
    </row>
    <row r="784">
      <c r="B784" s="158" t="n"/>
      <c r="C784" s="158" t="n"/>
      <c r="I784" s="158" t="n"/>
      <c r="J784" s="159" t="n"/>
    </row>
    <row r="785">
      <c r="B785" s="158" t="n"/>
      <c r="C785" s="158" t="n"/>
      <c r="I785" s="158" t="n"/>
      <c r="J785" s="159" t="n"/>
    </row>
    <row r="786">
      <c r="B786" s="158" t="n"/>
      <c r="C786" s="158" t="n"/>
      <c r="I786" s="158" t="n"/>
      <c r="J786" s="159" t="n"/>
    </row>
    <row r="787">
      <c r="B787" s="158" t="n"/>
      <c r="C787" s="158" t="n"/>
      <c r="I787" s="158" t="n"/>
      <c r="J787" s="159" t="n"/>
    </row>
    <row r="788">
      <c r="B788" s="158" t="n"/>
      <c r="C788" s="158" t="n"/>
      <c r="I788" s="158" t="n"/>
      <c r="J788" s="159" t="n"/>
    </row>
    <row r="789">
      <c r="B789" s="158" t="n"/>
      <c r="C789" s="158" t="n"/>
      <c r="I789" s="158" t="n"/>
      <c r="J789" s="159" t="n"/>
    </row>
    <row r="790">
      <c r="B790" s="158" t="n"/>
      <c r="C790" s="158" t="n"/>
      <c r="I790" s="158" t="n"/>
      <c r="J790" s="159" t="n"/>
    </row>
    <row r="791">
      <c r="B791" s="158" t="n"/>
      <c r="C791" s="158" t="n"/>
      <c r="I791" s="158" t="n"/>
      <c r="J791" s="159" t="n"/>
    </row>
    <row r="792">
      <c r="B792" s="158" t="n"/>
      <c r="C792" s="158" t="n"/>
      <c r="I792" s="158" t="n"/>
      <c r="J792" s="159" t="n"/>
    </row>
    <row r="793">
      <c r="B793" s="158" t="n"/>
      <c r="C793" s="158" t="n"/>
      <c r="I793" s="158" t="n"/>
      <c r="J793" s="159" t="n"/>
    </row>
    <row r="794">
      <c r="B794" s="158" t="n"/>
      <c r="C794" s="158" t="n"/>
      <c r="I794" s="158" t="n"/>
      <c r="J794" s="159" t="n"/>
    </row>
    <row r="795">
      <c r="B795" s="158" t="n"/>
      <c r="C795" s="158" t="n"/>
      <c r="I795" s="158" t="n"/>
      <c r="J795" s="159" t="n"/>
    </row>
    <row r="796">
      <c r="B796" s="158" t="n"/>
      <c r="C796" s="158" t="n"/>
      <c r="I796" s="158" t="n"/>
      <c r="J796" s="159" t="n"/>
    </row>
    <row r="797">
      <c r="B797" s="158" t="n"/>
      <c r="C797" s="158" t="n"/>
      <c r="I797" s="158" t="n"/>
      <c r="J797" s="159" t="n"/>
    </row>
    <row r="798">
      <c r="B798" s="158" t="n"/>
      <c r="C798" s="158" t="n"/>
      <c r="I798" s="158" t="n"/>
      <c r="J798" s="159" t="n"/>
    </row>
    <row r="799">
      <c r="B799" s="158" t="n"/>
      <c r="C799" s="158" t="n"/>
      <c r="I799" s="158" t="n"/>
      <c r="J799" s="159" t="n"/>
    </row>
    <row r="800">
      <c r="B800" s="158" t="n"/>
      <c r="C800" s="158" t="n"/>
      <c r="I800" s="158" t="n"/>
      <c r="J800" s="159" t="n"/>
    </row>
    <row r="801">
      <c r="B801" s="158" t="n"/>
      <c r="C801" s="158" t="n"/>
      <c r="I801" s="158" t="n"/>
      <c r="J801" s="159" t="n"/>
    </row>
    <row r="802">
      <c r="B802" s="158" t="n"/>
      <c r="C802" s="158" t="n"/>
      <c r="I802" s="158" t="n"/>
      <c r="J802" s="159" t="n"/>
    </row>
    <row r="803">
      <c r="B803" s="158" t="n"/>
      <c r="C803" s="158" t="n"/>
      <c r="I803" s="158" t="n"/>
      <c r="J803" s="159" t="n"/>
    </row>
    <row r="804">
      <c r="B804" s="158" t="n"/>
      <c r="C804" s="158" t="n"/>
      <c r="I804" s="158" t="n"/>
      <c r="J804" s="159" t="n"/>
    </row>
    <row r="805">
      <c r="B805" s="158" t="n"/>
      <c r="C805" s="158" t="n"/>
      <c r="I805" s="158" t="n"/>
      <c r="J805" s="159" t="n"/>
    </row>
    <row r="806">
      <c r="B806" s="158" t="n"/>
      <c r="C806" s="158" t="n"/>
      <c r="I806" s="158" t="n"/>
      <c r="J806" s="159" t="n"/>
    </row>
    <row r="807">
      <c r="B807" s="158" t="n"/>
      <c r="C807" s="158" t="n"/>
      <c r="I807" s="158" t="n"/>
      <c r="J807" s="159" t="n"/>
    </row>
    <row r="808">
      <c r="B808" s="158" t="n"/>
      <c r="C808" s="158" t="n"/>
      <c r="I808" s="158" t="n"/>
      <c r="J808" s="159" t="n"/>
    </row>
    <row r="809">
      <c r="B809" s="158" t="n"/>
      <c r="C809" s="158" t="n"/>
      <c r="I809" s="158" t="n"/>
      <c r="J809" s="159" t="n"/>
    </row>
    <row r="810">
      <c r="B810" s="158" t="n"/>
      <c r="C810" s="158" t="n"/>
      <c r="I810" s="158" t="n"/>
      <c r="J810" s="159" t="n"/>
    </row>
    <row r="811">
      <c r="B811" s="158" t="n"/>
      <c r="C811" s="158" t="n"/>
      <c r="I811" s="158" t="n"/>
      <c r="J811" s="159" t="n"/>
    </row>
    <row r="812">
      <c r="B812" s="158" t="n"/>
      <c r="C812" s="158" t="n"/>
      <c r="I812" s="158" t="n"/>
      <c r="J812" s="159" t="n"/>
    </row>
    <row r="813">
      <c r="B813" s="158" t="n"/>
      <c r="C813" s="158" t="n"/>
      <c r="I813" s="158" t="n"/>
      <c r="J813" s="159" t="n"/>
    </row>
    <row r="814">
      <c r="B814" s="158" t="n"/>
      <c r="C814" s="158" t="n"/>
      <c r="I814" s="158" t="n"/>
      <c r="J814" s="159" t="n"/>
    </row>
    <row r="815">
      <c r="B815" s="158" t="n"/>
      <c r="C815" s="158" t="n"/>
      <c r="I815" s="158" t="n"/>
      <c r="J815" s="159" t="n"/>
    </row>
    <row r="816">
      <c r="B816" s="158" t="n"/>
      <c r="C816" s="158" t="n"/>
      <c r="I816" s="158" t="n"/>
      <c r="J816" s="159" t="n"/>
    </row>
    <row r="817">
      <c r="B817" s="158" t="n"/>
      <c r="C817" s="158" t="n"/>
      <c r="I817" s="158" t="n"/>
      <c r="J817" s="159" t="n"/>
    </row>
    <row r="818">
      <c r="B818" s="158" t="n"/>
      <c r="C818" s="158" t="n"/>
      <c r="I818" s="158" t="n"/>
      <c r="J818" s="159" t="n"/>
    </row>
    <row r="819">
      <c r="B819" s="158" t="n"/>
      <c r="C819" s="158" t="n"/>
      <c r="I819" s="158" t="n"/>
      <c r="J819" s="159" t="n"/>
    </row>
    <row r="820">
      <c r="B820" s="158" t="n"/>
      <c r="C820" s="158" t="n"/>
      <c r="I820" s="158" t="n"/>
      <c r="J820" s="159" t="n"/>
    </row>
    <row r="821">
      <c r="B821" s="158" t="n"/>
      <c r="C821" s="158" t="n"/>
      <c r="I821" s="158" t="n"/>
      <c r="J821" s="159" t="n"/>
    </row>
    <row r="822">
      <c r="B822" s="158" t="n"/>
      <c r="C822" s="158" t="n"/>
      <c r="I822" s="158" t="n"/>
      <c r="J822" s="159" t="n"/>
    </row>
    <row r="823">
      <c r="B823" s="158" t="n"/>
      <c r="C823" s="158" t="n"/>
      <c r="I823" s="158" t="n"/>
      <c r="J823" s="159" t="n"/>
    </row>
    <row r="824">
      <c r="B824" s="158" t="n"/>
      <c r="C824" s="158" t="n"/>
      <c r="I824" s="158" t="n"/>
      <c r="J824" s="159" t="n"/>
    </row>
    <row r="825">
      <c r="B825" s="158" t="n"/>
      <c r="C825" s="158" t="n"/>
      <c r="I825" s="158" t="n"/>
      <c r="J825" s="159" t="n"/>
    </row>
    <row r="826">
      <c r="B826" s="158" t="n"/>
      <c r="C826" s="158" t="n"/>
      <c r="I826" s="158" t="n"/>
      <c r="J826" s="159" t="n"/>
    </row>
    <row r="827">
      <c r="B827" s="158" t="n"/>
      <c r="C827" s="158" t="n"/>
      <c r="I827" s="158" t="n"/>
      <c r="J827" s="159" t="n"/>
    </row>
    <row r="828">
      <c r="B828" s="158" t="n"/>
      <c r="C828" s="158" t="n"/>
      <c r="I828" s="158" t="n"/>
      <c r="J828" s="159" t="n"/>
    </row>
    <row r="829">
      <c r="B829" s="158" t="n"/>
      <c r="C829" s="158" t="n"/>
      <c r="I829" s="158" t="n"/>
      <c r="J829" s="159" t="n"/>
    </row>
    <row r="830">
      <c r="B830" s="158" t="n"/>
      <c r="C830" s="158" t="n"/>
      <c r="I830" s="158" t="n"/>
      <c r="J830" s="159" t="n"/>
    </row>
    <row r="831">
      <c r="B831" s="158" t="n"/>
      <c r="C831" s="158" t="n"/>
      <c r="I831" s="158" t="n"/>
      <c r="J831" s="159" t="n"/>
    </row>
    <row r="832">
      <c r="B832" s="158" t="n"/>
      <c r="C832" s="158" t="n"/>
      <c r="I832" s="158" t="n"/>
      <c r="J832" s="159" t="n"/>
    </row>
    <row r="833">
      <c r="B833" s="158" t="n"/>
      <c r="C833" s="158" t="n"/>
      <c r="I833" s="158" t="n"/>
      <c r="J833" s="159" t="n"/>
    </row>
    <row r="834">
      <c r="B834" s="158" t="n"/>
      <c r="C834" s="158" t="n"/>
      <c r="I834" s="158" t="n"/>
      <c r="J834" s="159" t="n"/>
    </row>
    <row r="835">
      <c r="B835" s="158" t="n"/>
      <c r="C835" s="158" t="n"/>
      <c r="I835" s="158" t="n"/>
      <c r="J835" s="159" t="n"/>
    </row>
    <row r="836">
      <c r="B836" s="158" t="n"/>
      <c r="C836" s="158" t="n"/>
      <c r="I836" s="158" t="n"/>
      <c r="J836" s="159" t="n"/>
    </row>
    <row r="837">
      <c r="B837" s="158" t="n"/>
      <c r="C837" s="158" t="n"/>
      <c r="I837" s="158" t="n"/>
      <c r="J837" s="159" t="n"/>
    </row>
    <row r="838">
      <c r="B838" s="158" t="n"/>
      <c r="C838" s="158" t="n"/>
      <c r="I838" s="158" t="n"/>
      <c r="J838" s="159" t="n"/>
    </row>
    <row r="839">
      <c r="B839" s="158" t="n"/>
      <c r="C839" s="158" t="n"/>
      <c r="I839" s="158" t="n"/>
      <c r="J839" s="159" t="n"/>
    </row>
    <row r="840">
      <c r="B840" s="158" t="n"/>
      <c r="C840" s="158" t="n"/>
      <c r="I840" s="158" t="n"/>
      <c r="J840" s="159" t="n"/>
    </row>
    <row r="841">
      <c r="B841" s="158" t="n"/>
      <c r="C841" s="158" t="n"/>
      <c r="I841" s="158" t="n"/>
      <c r="J841" s="159" t="n"/>
    </row>
    <row r="842">
      <c r="B842" s="158" t="n"/>
      <c r="C842" s="158" t="n"/>
      <c r="I842" s="158" t="n"/>
      <c r="J842" s="159" t="n"/>
    </row>
    <row r="843">
      <c r="B843" s="158" t="n"/>
      <c r="C843" s="158" t="n"/>
      <c r="I843" s="158" t="n"/>
      <c r="J843" s="159" t="n"/>
    </row>
    <row r="844">
      <c r="B844" s="158" t="n"/>
      <c r="C844" s="158" t="n"/>
      <c r="I844" s="158" t="n"/>
      <c r="J844" s="159" t="n"/>
    </row>
    <row r="845">
      <c r="B845" s="158" t="n"/>
      <c r="C845" s="158" t="n"/>
      <c r="I845" s="158" t="n"/>
      <c r="J845" s="159" t="n"/>
    </row>
    <row r="846">
      <c r="B846" s="158" t="n"/>
      <c r="C846" s="158" t="n"/>
      <c r="I846" s="158" t="n"/>
      <c r="J846" s="159" t="n"/>
    </row>
    <row r="847">
      <c r="B847" s="158" t="n"/>
      <c r="C847" s="158" t="n"/>
      <c r="I847" s="158" t="n"/>
      <c r="J847" s="159" t="n"/>
    </row>
    <row r="848">
      <c r="B848" s="158" t="n"/>
      <c r="C848" s="158" t="n"/>
      <c r="I848" s="158" t="n"/>
      <c r="J848" s="159" t="n"/>
    </row>
    <row r="849">
      <c r="B849" s="158" t="n"/>
      <c r="C849" s="158" t="n"/>
      <c r="I849" s="158" t="n"/>
      <c r="J849" s="159" t="n"/>
    </row>
    <row r="850">
      <c r="B850" s="158" t="n"/>
      <c r="C850" s="158" t="n"/>
      <c r="I850" s="158" t="n"/>
      <c r="J850" s="159" t="n"/>
    </row>
    <row r="851">
      <c r="B851" s="158" t="n"/>
      <c r="C851" s="158" t="n"/>
      <c r="I851" s="158" t="n"/>
      <c r="J851" s="159" t="n"/>
    </row>
    <row r="852">
      <c r="B852" s="158" t="n"/>
      <c r="C852" s="158" t="n"/>
      <c r="I852" s="158" t="n"/>
      <c r="J852" s="159" t="n"/>
    </row>
    <row r="853">
      <c r="B853" s="158" t="n"/>
      <c r="C853" s="158" t="n"/>
      <c r="I853" s="158" t="n"/>
      <c r="J853" s="159" t="n"/>
    </row>
    <row r="854">
      <c r="B854" s="158" t="n"/>
      <c r="C854" s="158" t="n"/>
      <c r="I854" s="158" t="n"/>
      <c r="J854" s="159" t="n"/>
    </row>
    <row r="855">
      <c r="B855" s="158" t="n"/>
      <c r="C855" s="158" t="n"/>
      <c r="I855" s="158" t="n"/>
      <c r="J855" s="159" t="n"/>
    </row>
    <row r="856">
      <c r="B856" s="158" t="n"/>
      <c r="C856" s="158" t="n"/>
      <c r="I856" s="158" t="n"/>
      <c r="J856" s="159" t="n"/>
    </row>
    <row r="857">
      <c r="B857" s="158" t="n"/>
      <c r="C857" s="158" t="n"/>
      <c r="I857" s="158" t="n"/>
      <c r="J857" s="159" t="n"/>
    </row>
    <row r="858">
      <c r="B858" s="158" t="n"/>
      <c r="C858" s="158" t="n"/>
      <c r="I858" s="158" t="n"/>
      <c r="J858" s="159" t="n"/>
    </row>
    <row r="859">
      <c r="B859" s="158" t="n"/>
      <c r="C859" s="158" t="n"/>
      <c r="I859" s="158" t="n"/>
      <c r="J859" s="159" t="n"/>
    </row>
    <row r="860">
      <c r="B860" s="158" t="n"/>
      <c r="C860" s="158" t="n"/>
      <c r="I860" s="158" t="n"/>
      <c r="J860" s="159" t="n"/>
    </row>
    <row r="861">
      <c r="B861" s="158" t="n"/>
      <c r="C861" s="158" t="n"/>
      <c r="I861" s="158" t="n"/>
      <c r="J861" s="159" t="n"/>
    </row>
    <row r="862">
      <c r="B862" s="158" t="n"/>
      <c r="C862" s="158" t="n"/>
      <c r="I862" s="158" t="n"/>
      <c r="J862" s="159" t="n"/>
    </row>
    <row r="863">
      <c r="B863" s="158" t="n"/>
      <c r="C863" s="158" t="n"/>
      <c r="I863" s="158" t="n"/>
      <c r="J863" s="159" t="n"/>
    </row>
    <row r="864">
      <c r="B864" s="158" t="n"/>
      <c r="C864" s="158" t="n"/>
      <c r="I864" s="158" t="n"/>
      <c r="J864" s="159" t="n"/>
    </row>
    <row r="865">
      <c r="B865" s="158" t="n"/>
      <c r="C865" s="158" t="n"/>
      <c r="I865" s="158" t="n"/>
      <c r="J865" s="159" t="n"/>
    </row>
    <row r="866">
      <c r="B866" s="158" t="n"/>
      <c r="C866" s="158" t="n"/>
      <c r="I866" s="158" t="n"/>
      <c r="J866" s="159" t="n"/>
    </row>
    <row r="867">
      <c r="B867" s="158" t="n"/>
      <c r="C867" s="158" t="n"/>
      <c r="I867" s="158" t="n"/>
      <c r="J867" s="159" t="n"/>
    </row>
    <row r="868">
      <c r="B868" s="158" t="n"/>
      <c r="C868" s="158" t="n"/>
      <c r="I868" s="158" t="n"/>
      <c r="J868" s="159" t="n"/>
    </row>
    <row r="869">
      <c r="B869" s="158" t="n"/>
      <c r="C869" s="158" t="n"/>
      <c r="I869" s="158" t="n"/>
      <c r="J869" s="159" t="n"/>
    </row>
    <row r="870">
      <c r="B870" s="158" t="n"/>
      <c r="C870" s="158" t="n"/>
      <c r="I870" s="158" t="n"/>
      <c r="J870" s="159" t="n"/>
    </row>
    <row r="871">
      <c r="B871" s="158" t="n"/>
      <c r="C871" s="158" t="n"/>
      <c r="I871" s="158" t="n"/>
      <c r="J871" s="159" t="n"/>
    </row>
    <row r="872">
      <c r="B872" s="158" t="n"/>
      <c r="C872" s="158" t="n"/>
      <c r="I872" s="158" t="n"/>
      <c r="J872" s="159" t="n"/>
    </row>
    <row r="873">
      <c r="B873" s="158" t="n"/>
      <c r="C873" s="158" t="n"/>
      <c r="I873" s="158" t="n"/>
      <c r="J873" s="159" t="n"/>
    </row>
    <row r="874">
      <c r="B874" s="158" t="n"/>
      <c r="C874" s="158" t="n"/>
      <c r="I874" s="158" t="n"/>
      <c r="J874" s="159" t="n"/>
    </row>
    <row r="875">
      <c r="B875" s="158" t="n"/>
      <c r="C875" s="158" t="n"/>
      <c r="I875" s="158" t="n"/>
      <c r="J875" s="159" t="n"/>
    </row>
    <row r="876">
      <c r="B876" s="158" t="n"/>
      <c r="C876" s="158" t="n"/>
      <c r="I876" s="158" t="n"/>
      <c r="J876" s="159" t="n"/>
    </row>
    <row r="877">
      <c r="B877" s="158" t="n"/>
      <c r="C877" s="158" t="n"/>
      <c r="I877" s="158" t="n"/>
      <c r="J877" s="159" t="n"/>
    </row>
    <row r="878">
      <c r="B878" s="158" t="n"/>
      <c r="C878" s="158" t="n"/>
      <c r="I878" s="158" t="n"/>
      <c r="J878" s="159" t="n"/>
    </row>
    <row r="879">
      <c r="B879" s="158" t="n"/>
      <c r="C879" s="158" t="n"/>
      <c r="I879" s="158" t="n"/>
      <c r="J879" s="159" t="n"/>
    </row>
    <row r="880">
      <c r="B880" s="158" t="n"/>
      <c r="C880" s="158" t="n"/>
      <c r="I880" s="158" t="n"/>
      <c r="J880" s="159" t="n"/>
    </row>
    <row r="881">
      <c r="B881" s="158" t="n"/>
      <c r="C881" s="158" t="n"/>
      <c r="I881" s="158" t="n"/>
      <c r="J881" s="159" t="n"/>
    </row>
    <row r="882">
      <c r="B882" s="158" t="n"/>
      <c r="C882" s="158" t="n"/>
      <c r="I882" s="158" t="n"/>
      <c r="J882" s="159" t="n"/>
    </row>
    <row r="883">
      <c r="B883" s="158" t="n"/>
      <c r="C883" s="158" t="n"/>
      <c r="I883" s="158" t="n"/>
      <c r="J883" s="159" t="n"/>
    </row>
    <row r="884">
      <c r="B884" s="158" t="n"/>
      <c r="C884" s="158" t="n"/>
      <c r="I884" s="158" t="n"/>
      <c r="J884" s="159" t="n"/>
    </row>
    <row r="885">
      <c r="B885" s="158" t="n"/>
      <c r="C885" s="158" t="n"/>
      <c r="I885" s="158" t="n"/>
      <c r="J885" s="159" t="n"/>
    </row>
    <row r="886">
      <c r="B886" s="158" t="n"/>
      <c r="C886" s="158" t="n"/>
      <c r="I886" s="158" t="n"/>
      <c r="J886" s="159" t="n"/>
    </row>
    <row r="887">
      <c r="B887" s="158" t="n"/>
      <c r="C887" s="158" t="n"/>
      <c r="I887" s="158" t="n"/>
      <c r="J887" s="159" t="n"/>
    </row>
    <row r="888">
      <c r="B888" s="158" t="n"/>
      <c r="C888" s="158" t="n"/>
      <c r="I888" s="158" t="n"/>
      <c r="J888" s="159" t="n"/>
    </row>
    <row r="889">
      <c r="B889" s="158" t="n"/>
      <c r="C889" s="158" t="n"/>
      <c r="I889" s="158" t="n"/>
      <c r="J889" s="159" t="n"/>
    </row>
    <row r="890">
      <c r="B890" s="158" t="n"/>
      <c r="C890" s="158" t="n"/>
      <c r="I890" s="158" t="n"/>
      <c r="J890" s="159" t="n"/>
    </row>
    <row r="891">
      <c r="B891" s="158" t="n"/>
      <c r="C891" s="158" t="n"/>
      <c r="I891" s="158" t="n"/>
      <c r="J891" s="159" t="n"/>
    </row>
    <row r="892">
      <c r="B892" s="158" t="n"/>
      <c r="C892" s="158" t="n"/>
      <c r="I892" s="158" t="n"/>
      <c r="J892" s="159" t="n"/>
    </row>
    <row r="893">
      <c r="B893" s="158" t="n"/>
      <c r="C893" s="158" t="n"/>
      <c r="I893" s="158" t="n"/>
      <c r="J893" s="159" t="n"/>
    </row>
    <row r="894">
      <c r="B894" s="158" t="n"/>
      <c r="C894" s="158" t="n"/>
      <c r="I894" s="158" t="n"/>
      <c r="J894" s="159" t="n"/>
    </row>
    <row r="895">
      <c r="B895" s="158" t="n"/>
      <c r="C895" s="158" t="n"/>
      <c r="I895" s="158" t="n"/>
      <c r="J895" s="159" t="n"/>
    </row>
    <row r="896">
      <c r="B896" s="158" t="n"/>
      <c r="C896" s="158" t="n"/>
      <c r="I896" s="158" t="n"/>
      <c r="J896" s="159" t="n"/>
    </row>
    <row r="897">
      <c r="B897" s="158" t="n"/>
      <c r="C897" s="158" t="n"/>
      <c r="I897" s="158" t="n"/>
      <c r="J897" s="159" t="n"/>
    </row>
    <row r="898">
      <c r="B898" s="158" t="n"/>
      <c r="C898" s="158" t="n"/>
      <c r="I898" s="158" t="n"/>
      <c r="J898" s="159" t="n"/>
    </row>
    <row r="899">
      <c r="B899" s="158" t="n"/>
      <c r="C899" s="158" t="n"/>
      <c r="I899" s="158" t="n"/>
      <c r="J899" s="159" t="n"/>
    </row>
    <row r="900">
      <c r="B900" s="158" t="n"/>
      <c r="C900" s="158" t="n"/>
      <c r="I900" s="158" t="n"/>
      <c r="J900" s="159" t="n"/>
    </row>
    <row r="901">
      <c r="B901" s="158" t="n"/>
      <c r="C901" s="158" t="n"/>
      <c r="I901" s="158" t="n"/>
      <c r="J901" s="159" t="n"/>
    </row>
    <row r="902">
      <c r="B902" s="158" t="n"/>
      <c r="C902" s="158" t="n"/>
      <c r="I902" s="158" t="n"/>
      <c r="J902" s="159" t="n"/>
    </row>
    <row r="903">
      <c r="B903" s="158" t="n"/>
      <c r="C903" s="158" t="n"/>
      <c r="I903" s="158" t="n"/>
      <c r="J903" s="159" t="n"/>
    </row>
    <row r="904">
      <c r="B904" s="158" t="n"/>
      <c r="C904" s="158" t="n"/>
      <c r="I904" s="158" t="n"/>
      <c r="J904" s="159" t="n"/>
    </row>
    <row r="905">
      <c r="B905" s="158" t="n"/>
      <c r="C905" s="158" t="n"/>
      <c r="I905" s="158" t="n"/>
      <c r="J905" s="159" t="n"/>
    </row>
    <row r="906">
      <c r="B906" s="158" t="n"/>
      <c r="C906" s="158" t="n"/>
      <c r="I906" s="158" t="n"/>
      <c r="J906" s="159" t="n"/>
    </row>
    <row r="907">
      <c r="B907" s="158" t="n"/>
      <c r="C907" s="158" t="n"/>
      <c r="I907" s="158" t="n"/>
      <c r="J907" s="159" t="n"/>
    </row>
    <row r="908">
      <c r="B908" s="158" t="n"/>
      <c r="C908" s="158" t="n"/>
      <c r="I908" s="158" t="n"/>
      <c r="J908" s="159" t="n"/>
    </row>
    <row r="909">
      <c r="B909" s="158" t="n"/>
      <c r="C909" s="158" t="n"/>
      <c r="I909" s="158" t="n"/>
      <c r="J909" s="159" t="n"/>
    </row>
    <row r="910">
      <c r="B910" s="158" t="n"/>
      <c r="C910" s="158" t="n"/>
      <c r="I910" s="158" t="n"/>
      <c r="J910" s="159" t="n"/>
    </row>
    <row r="911">
      <c r="B911" s="158" t="n"/>
      <c r="C911" s="158" t="n"/>
      <c r="I911" s="158" t="n"/>
      <c r="J911" s="159" t="n"/>
    </row>
    <row r="912">
      <c r="B912" s="158" t="n"/>
      <c r="C912" s="158" t="n"/>
      <c r="I912" s="158" t="n"/>
      <c r="J912" s="159" t="n"/>
    </row>
    <row r="913">
      <c r="B913" s="158" t="n"/>
      <c r="C913" s="158" t="n"/>
      <c r="I913" s="158" t="n"/>
      <c r="J913" s="159" t="n"/>
    </row>
    <row r="914">
      <c r="B914" s="158" t="n"/>
      <c r="C914" s="158" t="n"/>
      <c r="I914" s="158" t="n"/>
      <c r="J914" s="159" t="n"/>
    </row>
    <row r="915">
      <c r="B915" s="158" t="n"/>
      <c r="C915" s="158" t="n"/>
      <c r="I915" s="158" t="n"/>
      <c r="J915" s="159" t="n"/>
    </row>
    <row r="916">
      <c r="B916" s="158" t="n"/>
      <c r="C916" s="158" t="n"/>
      <c r="I916" s="158" t="n"/>
      <c r="J916" s="159" t="n"/>
    </row>
    <row r="917">
      <c r="B917" s="158" t="n"/>
      <c r="C917" s="158" t="n"/>
      <c r="I917" s="158" t="n"/>
      <c r="J917" s="159" t="n"/>
    </row>
    <row r="918">
      <c r="B918" s="158" t="n"/>
      <c r="C918" s="158" t="n"/>
      <c r="I918" s="158" t="n"/>
      <c r="J918" s="159" t="n"/>
    </row>
    <row r="919">
      <c r="B919" s="158" t="n"/>
      <c r="C919" s="158" t="n"/>
      <c r="I919" s="158" t="n"/>
      <c r="J919" s="159" t="n"/>
    </row>
    <row r="920">
      <c r="B920" s="158" t="n"/>
      <c r="C920" s="158" t="n"/>
      <c r="I920" s="158" t="n"/>
      <c r="J920" s="159" t="n"/>
    </row>
    <row r="921">
      <c r="B921" s="158" t="n"/>
      <c r="C921" s="158" t="n"/>
      <c r="I921" s="158" t="n"/>
      <c r="J921" s="159" t="n"/>
    </row>
    <row r="922">
      <c r="B922" s="158" t="n"/>
      <c r="C922" s="158" t="n"/>
      <c r="I922" s="158" t="n"/>
      <c r="J922" s="159" t="n"/>
    </row>
    <row r="923">
      <c r="B923" s="158" t="n"/>
      <c r="C923" s="158" t="n"/>
      <c r="I923" s="158" t="n"/>
      <c r="J923" s="159" t="n"/>
    </row>
    <row r="924">
      <c r="B924" s="158" t="n"/>
      <c r="C924" s="158" t="n"/>
      <c r="I924" s="158" t="n"/>
      <c r="J924" s="159" t="n"/>
    </row>
    <row r="925">
      <c r="B925" s="158" t="n"/>
      <c r="C925" s="158" t="n"/>
      <c r="I925" s="158" t="n"/>
      <c r="J925" s="159" t="n"/>
    </row>
    <row r="926">
      <c r="B926" s="158" t="n"/>
      <c r="C926" s="158" t="n"/>
      <c r="I926" s="158" t="n"/>
      <c r="J926" s="159" t="n"/>
    </row>
    <row r="927">
      <c r="B927" s="158" t="n"/>
      <c r="C927" s="158" t="n"/>
      <c r="I927" s="158" t="n"/>
      <c r="J927" s="159" t="n"/>
    </row>
    <row r="928">
      <c r="B928" s="158" t="n"/>
      <c r="C928" s="158" t="n"/>
      <c r="I928" s="158" t="n"/>
      <c r="J928" s="159" t="n"/>
    </row>
    <row r="929">
      <c r="B929" s="158" t="n"/>
      <c r="C929" s="158" t="n"/>
      <c r="I929" s="158" t="n"/>
      <c r="J929" s="159" t="n"/>
    </row>
    <row r="930">
      <c r="B930" s="158" t="n"/>
      <c r="C930" s="158" t="n"/>
      <c r="I930" s="158" t="n"/>
      <c r="J930" s="159" t="n"/>
    </row>
    <row r="931">
      <c r="B931" s="158" t="n"/>
      <c r="C931" s="158" t="n"/>
      <c r="I931" s="158" t="n"/>
      <c r="J931" s="159" t="n"/>
    </row>
    <row r="932">
      <c r="B932" s="158" t="n"/>
      <c r="C932" s="158" t="n"/>
      <c r="I932" s="158" t="n"/>
      <c r="J932" s="159" t="n"/>
    </row>
    <row r="933">
      <c r="B933" s="158" t="n"/>
      <c r="C933" s="158" t="n"/>
      <c r="I933" s="158" t="n"/>
      <c r="J933" s="159" t="n"/>
    </row>
    <row r="934">
      <c r="B934" s="158" t="n"/>
      <c r="C934" s="158" t="n"/>
      <c r="I934" s="158" t="n"/>
      <c r="J934" s="159" t="n"/>
    </row>
    <row r="935">
      <c r="B935" s="158" t="n"/>
      <c r="C935" s="158" t="n"/>
      <c r="I935" s="158" t="n"/>
      <c r="J935" s="159" t="n"/>
    </row>
    <row r="936">
      <c r="B936" s="158" t="n"/>
      <c r="C936" s="158" t="n"/>
      <c r="I936" s="158" t="n"/>
      <c r="J936" s="159" t="n"/>
    </row>
    <row r="937">
      <c r="B937" s="158" t="n"/>
      <c r="C937" s="158" t="n"/>
      <c r="I937" s="158" t="n"/>
      <c r="J937" s="159" t="n"/>
    </row>
    <row r="938">
      <c r="B938" s="158" t="n"/>
      <c r="C938" s="158" t="n"/>
      <c r="I938" s="158" t="n"/>
      <c r="J938" s="159" t="n"/>
    </row>
    <row r="939">
      <c r="B939" s="158" t="n"/>
      <c r="C939" s="158" t="n"/>
      <c r="I939" s="158" t="n"/>
      <c r="J939" s="159" t="n"/>
    </row>
    <row r="940">
      <c r="B940" s="158" t="n"/>
      <c r="C940" s="158" t="n"/>
      <c r="I940" s="158" t="n"/>
      <c r="J940" s="159" t="n"/>
    </row>
    <row r="941">
      <c r="B941" s="158" t="n"/>
      <c r="C941" s="158" t="n"/>
      <c r="I941" s="158" t="n"/>
      <c r="J941" s="159" t="n"/>
    </row>
    <row r="942">
      <c r="B942" s="158" t="n"/>
      <c r="C942" s="158" t="n"/>
      <c r="I942" s="158" t="n"/>
      <c r="J942" s="159" t="n"/>
    </row>
    <row r="943">
      <c r="B943" s="158" t="n"/>
      <c r="C943" s="158" t="n"/>
      <c r="I943" s="158" t="n"/>
      <c r="J943" s="159" t="n"/>
    </row>
    <row r="944">
      <c r="B944" s="158" t="n"/>
      <c r="C944" s="158" t="n"/>
      <c r="I944" s="158" t="n"/>
      <c r="J944" s="159" t="n"/>
    </row>
    <row r="945">
      <c r="B945" s="158" t="n"/>
      <c r="C945" s="158" t="n"/>
      <c r="I945" s="158" t="n"/>
      <c r="J945" s="159" t="n"/>
    </row>
    <row r="946">
      <c r="B946" s="158" t="n"/>
      <c r="C946" s="158" t="n"/>
      <c r="I946" s="158" t="n"/>
      <c r="J946" s="159" t="n"/>
    </row>
    <row r="947">
      <c r="B947" s="158" t="n"/>
      <c r="C947" s="158" t="n"/>
      <c r="I947" s="158" t="n"/>
      <c r="J947" s="159" t="n"/>
    </row>
    <row r="948">
      <c r="B948" s="158" t="n"/>
      <c r="C948" s="158" t="n"/>
      <c r="I948" s="158" t="n"/>
      <c r="J948" s="159" t="n"/>
    </row>
    <row r="949">
      <c r="B949" s="158" t="n"/>
      <c r="C949" s="158" t="n"/>
      <c r="I949" s="158" t="n"/>
      <c r="J949" s="159" t="n"/>
    </row>
    <row r="950">
      <c r="B950" s="158" t="n"/>
      <c r="C950" s="158" t="n"/>
      <c r="I950" s="158" t="n"/>
      <c r="J950" s="159" t="n"/>
    </row>
    <row r="951">
      <c r="B951" s="158" t="n"/>
      <c r="C951" s="158" t="n"/>
      <c r="I951" s="158" t="n"/>
      <c r="J951" s="159" t="n"/>
    </row>
    <row r="952">
      <c r="B952" s="158" t="n"/>
      <c r="C952" s="158" t="n"/>
      <c r="I952" s="158" t="n"/>
      <c r="J952" s="159" t="n"/>
    </row>
    <row r="953">
      <c r="B953" s="158" t="n"/>
      <c r="C953" s="158" t="n"/>
      <c r="I953" s="158" t="n"/>
      <c r="J953" s="159" t="n"/>
    </row>
    <row r="954">
      <c r="B954" s="158" t="n"/>
      <c r="C954" s="158" t="n"/>
      <c r="I954" s="158" t="n"/>
      <c r="J954" s="159" t="n"/>
    </row>
    <row r="955">
      <c r="B955" s="158" t="n"/>
      <c r="C955" s="158" t="n"/>
      <c r="I955" s="158" t="n"/>
      <c r="J955" s="159" t="n"/>
    </row>
    <row r="956">
      <c r="B956" s="158" t="n"/>
      <c r="C956" s="158" t="n"/>
      <c r="I956" s="158" t="n"/>
      <c r="J956" s="159" t="n"/>
    </row>
    <row r="957">
      <c r="B957" s="158" t="n"/>
      <c r="C957" s="158" t="n"/>
      <c r="I957" s="158" t="n"/>
      <c r="J957" s="159" t="n"/>
    </row>
    <row r="958">
      <c r="B958" s="158" t="n"/>
      <c r="C958" s="158" t="n"/>
      <c r="I958" s="158" t="n"/>
      <c r="J958" s="159" t="n"/>
    </row>
    <row r="959">
      <c r="B959" s="158" t="n"/>
      <c r="C959" s="158" t="n"/>
      <c r="I959" s="158" t="n"/>
      <c r="J959" s="159" t="n"/>
    </row>
    <row r="960">
      <c r="B960" s="158" t="n"/>
      <c r="C960" s="158" t="n"/>
      <c r="I960" s="158" t="n"/>
      <c r="J960" s="159" t="n"/>
    </row>
    <row r="961">
      <c r="B961" s="158" t="n"/>
      <c r="C961" s="158" t="n"/>
      <c r="I961" s="158" t="n"/>
      <c r="J961" s="159" t="n"/>
    </row>
    <row r="962">
      <c r="B962" s="158" t="n"/>
      <c r="C962" s="158" t="n"/>
      <c r="I962" s="158" t="n"/>
      <c r="J962" s="159" t="n"/>
    </row>
    <row r="963">
      <c r="B963" s="158" t="n"/>
      <c r="C963" s="158" t="n"/>
      <c r="I963" s="158" t="n"/>
      <c r="J963" s="159" t="n"/>
    </row>
    <row r="964">
      <c r="B964" s="158" t="n"/>
      <c r="C964" s="158" t="n"/>
      <c r="I964" s="158" t="n"/>
      <c r="J964" s="159" t="n"/>
    </row>
    <row r="965">
      <c r="B965" s="158" t="n"/>
      <c r="C965" s="158" t="n"/>
      <c r="I965" s="158" t="n"/>
      <c r="J965" s="159" t="n"/>
    </row>
    <row r="966">
      <c r="B966" s="158" t="n"/>
      <c r="C966" s="158" t="n"/>
      <c r="I966" s="158" t="n"/>
      <c r="J966" s="159" t="n"/>
    </row>
    <row r="967">
      <c r="B967" s="158" t="n"/>
      <c r="C967" s="158" t="n"/>
      <c r="I967" s="158" t="n"/>
      <c r="J967" s="159" t="n"/>
    </row>
    <row r="968">
      <c r="B968" s="158" t="n"/>
      <c r="C968" s="158" t="n"/>
      <c r="I968" s="158" t="n"/>
      <c r="J968" s="159" t="n"/>
    </row>
    <row r="969">
      <c r="B969" s="158" t="n"/>
      <c r="C969" s="158" t="n"/>
      <c r="I969" s="158" t="n"/>
      <c r="J969" s="159" t="n"/>
    </row>
    <row r="970">
      <c r="B970" s="158" t="n"/>
      <c r="C970" s="158" t="n"/>
      <c r="I970" s="158" t="n"/>
      <c r="J970" s="159" t="n"/>
    </row>
    <row r="971">
      <c r="B971" s="158" t="n"/>
      <c r="C971" s="158" t="n"/>
      <c r="I971" s="158" t="n"/>
      <c r="J971" s="159" t="n"/>
    </row>
    <row r="972">
      <c r="B972" s="158" t="n"/>
      <c r="C972" s="158" t="n"/>
      <c r="I972" s="158" t="n"/>
      <c r="J972" s="159" t="n"/>
    </row>
    <row r="973">
      <c r="B973" s="158" t="n"/>
      <c r="C973" s="158" t="n"/>
      <c r="I973" s="158" t="n"/>
      <c r="J973" s="159" t="n"/>
    </row>
    <row r="974">
      <c r="B974" s="158" t="n"/>
      <c r="C974" s="158" t="n"/>
      <c r="I974" s="158" t="n"/>
      <c r="J974" s="159" t="n"/>
    </row>
    <row r="975">
      <c r="B975" s="158" t="n"/>
      <c r="C975" s="158" t="n"/>
      <c r="I975" s="158" t="n"/>
      <c r="J975" s="159" t="n"/>
    </row>
    <row r="976">
      <c r="B976" s="158" t="n"/>
      <c r="C976" s="158" t="n"/>
      <c r="I976" s="158" t="n"/>
      <c r="J976" s="159" t="n"/>
    </row>
    <row r="977">
      <c r="B977" s="158" t="n"/>
      <c r="C977" s="158" t="n"/>
      <c r="I977" s="158" t="n"/>
      <c r="J977" s="159" t="n"/>
    </row>
    <row r="978">
      <c r="B978" s="158" t="n"/>
      <c r="C978" s="158" t="n"/>
      <c r="I978" s="158" t="n"/>
      <c r="J978" s="159" t="n"/>
    </row>
    <row r="979">
      <c r="B979" s="158" t="n"/>
      <c r="C979" s="158" t="n"/>
      <c r="I979" s="158" t="n"/>
      <c r="J979" s="159" t="n"/>
    </row>
    <row r="980">
      <c r="B980" s="158" t="n"/>
      <c r="C980" s="158" t="n"/>
      <c r="I980" s="158" t="n"/>
      <c r="J980" s="159" t="n"/>
    </row>
    <row r="981">
      <c r="B981" s="158" t="n"/>
      <c r="C981" s="158" t="n"/>
      <c r="I981" s="158" t="n"/>
      <c r="J981" s="159" t="n"/>
    </row>
    <row r="982">
      <c r="B982" s="158" t="n"/>
      <c r="C982" s="158" t="n"/>
      <c r="I982" s="158" t="n"/>
      <c r="J982" s="159" t="n"/>
    </row>
    <row r="983">
      <c r="B983" s="158" t="n"/>
      <c r="C983" s="158" t="n"/>
      <c r="I983" s="158" t="n"/>
      <c r="J983" s="159" t="n"/>
    </row>
    <row r="984">
      <c r="B984" s="158" t="n"/>
      <c r="C984" s="158" t="n"/>
      <c r="I984" s="158" t="n"/>
      <c r="J984" s="159" t="n"/>
    </row>
    <row r="985">
      <c r="B985" s="158" t="n"/>
      <c r="C985" s="158" t="n"/>
      <c r="I985" s="158" t="n"/>
      <c r="J985" s="159" t="n"/>
    </row>
    <row r="986">
      <c r="B986" s="158" t="n"/>
      <c r="C986" s="158" t="n"/>
      <c r="I986" s="158" t="n"/>
      <c r="J986" s="159" t="n"/>
    </row>
    <row r="987">
      <c r="B987" s="158" t="n"/>
      <c r="C987" s="158" t="n"/>
      <c r="I987" s="158" t="n"/>
      <c r="J987" s="159" t="n"/>
    </row>
    <row r="988">
      <c r="B988" s="158" t="n"/>
      <c r="C988" s="158" t="n"/>
      <c r="I988" s="158" t="n"/>
      <c r="J988" s="159" t="n"/>
    </row>
    <row r="989">
      <c r="B989" s="158" t="n"/>
      <c r="C989" s="158" t="n"/>
      <c r="I989" s="158" t="n"/>
      <c r="J989" s="159" t="n"/>
    </row>
    <row r="990">
      <c r="B990" s="158" t="n"/>
      <c r="C990" s="158" t="n"/>
      <c r="I990" s="158" t="n"/>
      <c r="J990" s="159" t="n"/>
    </row>
    <row r="991">
      <c r="B991" s="158" t="n"/>
      <c r="C991" s="158" t="n"/>
      <c r="I991" s="158" t="n"/>
      <c r="J991" s="159" t="n"/>
    </row>
    <row r="992">
      <c r="B992" s="158" t="n"/>
      <c r="C992" s="158" t="n"/>
      <c r="I992" s="158" t="n"/>
      <c r="J992" s="159" t="n"/>
    </row>
    <row r="993">
      <c r="B993" s="158" t="n"/>
      <c r="C993" s="158" t="n"/>
      <c r="I993" s="158" t="n"/>
      <c r="J993" s="159" t="n"/>
    </row>
    <row r="994">
      <c r="B994" s="158" t="n"/>
      <c r="C994" s="158" t="n"/>
      <c r="I994" s="158" t="n"/>
      <c r="J994" s="159" t="n"/>
    </row>
    <row r="995">
      <c r="B995" s="158" t="n"/>
      <c r="C995" s="158" t="n"/>
      <c r="I995" s="158" t="n"/>
      <c r="J995" s="159" t="n"/>
    </row>
    <row r="996">
      <c r="B996" s="158" t="n"/>
      <c r="C996" s="158" t="n"/>
      <c r="I996" s="158" t="n"/>
      <c r="J996" s="159" t="n"/>
    </row>
    <row r="997">
      <c r="B997" s="158" t="n"/>
      <c r="C997" s="158" t="n"/>
      <c r="I997" s="158" t="n"/>
      <c r="J997" s="159" t="n"/>
    </row>
    <row r="998">
      <c r="B998" s="158" t="n"/>
      <c r="C998" s="158" t="n"/>
      <c r="I998" s="158" t="n"/>
      <c r="J998" s="159" t="n"/>
    </row>
    <row r="999">
      <c r="B999" s="158" t="n"/>
      <c r="C999" s="158" t="n"/>
      <c r="I999" s="158" t="n"/>
      <c r="J999" s="159" t="n"/>
    </row>
    <row r="1000">
      <c r="B1000" s="158" t="n"/>
      <c r="C1000" s="158" t="n"/>
      <c r="I1000" s="158" t="n"/>
      <c r="J1000" s="159" t="n"/>
    </row>
    <row r="1001">
      <c r="B1001" s="158" t="n"/>
      <c r="C1001" s="158" t="n"/>
      <c r="I1001" s="158" t="n"/>
      <c r="J1001" s="159" t="n"/>
    </row>
    <row r="1002">
      <c r="B1002" s="158" t="n"/>
      <c r="C1002" s="158" t="n"/>
      <c r="I1002" s="158" t="n"/>
      <c r="J1002" s="159" t="n"/>
    </row>
    <row r="1003">
      <c r="B1003" s="158" t="n"/>
      <c r="C1003" s="158" t="n"/>
      <c r="I1003" s="158" t="n"/>
      <c r="J1003" s="159" t="n"/>
    </row>
    <row r="1004">
      <c r="B1004" s="158" t="n"/>
      <c r="C1004" s="158" t="n"/>
      <c r="I1004" s="158" t="n"/>
      <c r="J1004" s="159" t="n"/>
    </row>
    <row r="1005">
      <c r="B1005" s="158" t="n"/>
      <c r="C1005" s="158" t="n"/>
      <c r="I1005" s="158" t="n"/>
      <c r="J1005" s="159" t="n"/>
    </row>
    <row r="1006">
      <c r="B1006" s="158" t="n"/>
      <c r="C1006" s="158" t="n"/>
      <c r="I1006" s="158" t="n"/>
      <c r="J1006" s="159" t="n"/>
    </row>
    <row r="1007">
      <c r="B1007" s="158" t="n"/>
      <c r="C1007" s="158" t="n"/>
      <c r="I1007" s="158" t="n"/>
      <c r="J1007" s="159" t="n"/>
    </row>
    <row r="1008">
      <c r="B1008" s="158" t="n"/>
      <c r="C1008" s="158" t="n"/>
      <c r="I1008" s="158" t="n"/>
      <c r="J1008" s="159" t="n"/>
    </row>
    <row r="1009">
      <c r="B1009" s="158" t="n"/>
      <c r="C1009" s="158" t="n"/>
      <c r="I1009" s="158" t="n"/>
      <c r="J1009" s="159" t="n"/>
    </row>
    <row r="1010">
      <c r="B1010" s="158" t="n"/>
      <c r="C1010" s="158" t="n"/>
      <c r="I1010" s="158" t="n"/>
      <c r="J1010" s="159" t="n"/>
    </row>
    <row r="1011">
      <c r="B1011" s="158" t="n"/>
      <c r="C1011" s="158" t="n"/>
      <c r="I1011" s="158" t="n"/>
      <c r="J1011" s="159" t="n"/>
    </row>
    <row r="1012">
      <c r="B1012" s="158" t="n"/>
      <c r="C1012" s="158" t="n"/>
      <c r="I1012" s="158" t="n"/>
      <c r="J1012" s="159" t="n"/>
    </row>
    <row r="1013">
      <c r="B1013" s="158" t="n"/>
      <c r="C1013" s="158" t="n"/>
      <c r="I1013" s="158" t="n"/>
      <c r="J1013" s="159" t="n"/>
    </row>
    <row r="1014">
      <c r="B1014" s="158" t="n"/>
      <c r="C1014" s="158" t="n"/>
      <c r="I1014" s="158" t="n"/>
      <c r="J1014" s="159" t="n"/>
    </row>
    <row r="1015">
      <c r="B1015" s="158" t="n"/>
      <c r="C1015" s="158" t="n"/>
      <c r="I1015" s="158" t="n"/>
      <c r="J1015" s="159" t="n"/>
    </row>
    <row r="1016">
      <c r="B1016" s="158" t="n"/>
      <c r="C1016" s="158" t="n"/>
      <c r="I1016" s="158" t="n"/>
      <c r="J1016" s="159" t="n"/>
    </row>
    <row r="1017">
      <c r="B1017" s="158" t="n"/>
      <c r="C1017" s="158" t="n"/>
      <c r="I1017" s="158" t="n"/>
      <c r="J1017" s="159" t="n"/>
    </row>
    <row r="1018">
      <c r="B1018" s="158" t="n"/>
      <c r="C1018" s="158" t="n"/>
      <c r="I1018" s="158" t="n"/>
      <c r="J1018" s="159" t="n"/>
    </row>
    <row r="1019">
      <c r="B1019" s="158" t="n"/>
      <c r="C1019" s="158" t="n"/>
      <c r="I1019" s="158" t="n"/>
      <c r="J1019" s="159" t="n"/>
    </row>
    <row r="1020">
      <c r="B1020" s="158" t="n"/>
      <c r="C1020" s="158" t="n"/>
      <c r="I1020" s="158" t="n"/>
      <c r="J1020" s="159" t="n"/>
    </row>
    <row r="1021">
      <c r="B1021" s="158" t="n"/>
      <c r="C1021" s="158" t="n"/>
      <c r="I1021" s="158" t="n"/>
      <c r="J1021" s="159" t="n"/>
    </row>
    <row r="1022">
      <c r="B1022" s="158" t="n"/>
      <c r="C1022" s="158" t="n"/>
      <c r="I1022" s="158" t="n"/>
      <c r="J1022" s="159" t="n"/>
    </row>
    <row r="1023">
      <c r="B1023" s="158" t="n"/>
      <c r="C1023" s="158" t="n"/>
      <c r="I1023" s="158" t="n"/>
      <c r="J1023" s="159" t="n"/>
    </row>
    <row r="1024">
      <c r="B1024" s="158" t="n"/>
      <c r="C1024" s="158" t="n"/>
      <c r="I1024" s="158" t="n"/>
      <c r="J1024" s="159" t="n"/>
    </row>
    <row r="1025">
      <c r="B1025" s="158" t="n"/>
      <c r="C1025" s="158" t="n"/>
      <c r="I1025" s="158" t="n"/>
      <c r="J1025" s="159" t="n"/>
    </row>
    <row r="1026">
      <c r="B1026" s="158" t="n"/>
      <c r="C1026" s="158" t="n"/>
      <c r="I1026" s="158" t="n"/>
      <c r="J1026" s="159" t="n"/>
    </row>
    <row r="1027">
      <c r="B1027" s="158" t="n"/>
      <c r="C1027" s="158" t="n"/>
      <c r="I1027" s="158" t="n"/>
      <c r="J1027" s="159" t="n"/>
    </row>
    <row r="1028">
      <c r="B1028" s="158" t="n"/>
      <c r="C1028" s="158" t="n"/>
      <c r="I1028" s="158" t="n"/>
      <c r="J1028" s="159" t="n"/>
    </row>
    <row r="1029">
      <c r="B1029" s="158" t="n"/>
      <c r="C1029" s="158" t="n"/>
      <c r="I1029" s="158" t="n"/>
      <c r="J1029" s="159" t="n"/>
    </row>
    <row r="1030">
      <c r="B1030" s="158" t="n"/>
      <c r="C1030" s="158" t="n"/>
      <c r="I1030" s="158" t="n"/>
      <c r="J1030" s="159" t="n"/>
    </row>
    <row r="1031">
      <c r="B1031" s="158" t="n"/>
      <c r="C1031" s="158" t="n"/>
      <c r="I1031" s="158" t="n"/>
      <c r="J1031" s="159" t="n"/>
    </row>
    <row r="1032">
      <c r="B1032" s="158" t="n"/>
      <c r="C1032" s="158" t="n"/>
      <c r="I1032" s="158" t="n"/>
      <c r="J1032" s="159" t="n"/>
    </row>
    <row r="1033">
      <c r="B1033" s="158" t="n"/>
      <c r="C1033" s="158" t="n"/>
      <c r="I1033" s="158" t="n"/>
      <c r="J1033" s="159" t="n"/>
    </row>
    <row r="1034">
      <c r="B1034" s="158" t="n"/>
      <c r="C1034" s="158" t="n"/>
      <c r="I1034" s="158" t="n"/>
      <c r="J1034" s="159" t="n"/>
    </row>
    <row r="1035">
      <c r="B1035" s="158" t="n"/>
      <c r="C1035" s="158" t="n"/>
      <c r="I1035" s="158" t="n"/>
      <c r="J1035" s="159" t="n"/>
    </row>
    <row r="1036">
      <c r="B1036" s="158" t="n"/>
      <c r="C1036" s="158" t="n"/>
      <c r="I1036" s="158" t="n"/>
      <c r="J1036" s="159" t="n"/>
    </row>
    <row r="1037">
      <c r="B1037" s="158" t="n"/>
      <c r="C1037" s="158" t="n"/>
      <c r="I1037" s="158" t="n"/>
      <c r="J1037" s="159" t="n"/>
    </row>
    <row r="1038">
      <c r="B1038" s="158" t="n"/>
      <c r="C1038" s="158" t="n"/>
      <c r="I1038" s="158" t="n"/>
      <c r="J1038" s="159" t="n"/>
    </row>
    <row r="1039">
      <c r="B1039" s="158" t="n"/>
      <c r="C1039" s="158" t="n"/>
      <c r="I1039" s="158" t="n"/>
      <c r="J1039" s="159" t="n"/>
    </row>
    <row r="1040">
      <c r="B1040" s="158" t="n"/>
      <c r="C1040" s="158" t="n"/>
      <c r="I1040" s="158" t="n"/>
      <c r="J1040" s="159" t="n"/>
    </row>
    <row r="1041">
      <c r="B1041" s="158" t="n"/>
      <c r="C1041" s="158" t="n"/>
      <c r="I1041" s="158" t="n"/>
      <c r="J1041" s="159" t="n"/>
    </row>
    <row r="1042">
      <c r="B1042" s="158" t="n"/>
      <c r="C1042" s="158" t="n"/>
      <c r="I1042" s="158" t="n"/>
      <c r="J1042" s="159" t="n"/>
    </row>
    <row r="1043">
      <c r="B1043" s="158" t="n"/>
      <c r="C1043" s="158" t="n"/>
      <c r="I1043" s="158" t="n"/>
      <c r="J1043" s="159" t="n"/>
    </row>
    <row r="1044">
      <c r="B1044" s="158" t="n"/>
      <c r="C1044" s="158" t="n"/>
      <c r="I1044" s="158" t="n"/>
      <c r="J1044" s="159" t="n"/>
    </row>
    <row r="1045">
      <c r="B1045" s="158" t="n"/>
      <c r="C1045" s="158" t="n"/>
      <c r="I1045" s="158" t="n"/>
      <c r="J1045" s="159" t="n"/>
    </row>
    <row r="1046">
      <c r="B1046" s="158" t="n"/>
      <c r="C1046" s="158" t="n"/>
      <c r="I1046" s="158" t="n"/>
      <c r="J1046" s="159" t="n"/>
    </row>
    <row r="1047">
      <c r="B1047" s="158" t="n"/>
      <c r="C1047" s="158" t="n"/>
      <c r="I1047" s="158" t="n"/>
      <c r="J1047" s="159" t="n"/>
    </row>
    <row r="1048">
      <c r="B1048" s="158" t="n"/>
      <c r="C1048" s="158" t="n"/>
      <c r="I1048" s="158" t="n"/>
      <c r="J1048" s="159" t="n"/>
    </row>
    <row r="1049">
      <c r="B1049" s="158" t="n"/>
      <c r="C1049" s="158" t="n"/>
      <c r="I1049" s="158" t="n"/>
      <c r="J1049" s="159" t="n"/>
    </row>
    <row r="1050">
      <c r="B1050" s="158" t="n"/>
      <c r="C1050" s="158" t="n"/>
      <c r="I1050" s="158" t="n"/>
      <c r="J1050" s="159" t="n"/>
    </row>
    <row r="1051">
      <c r="B1051" s="158" t="n"/>
      <c r="C1051" s="158" t="n"/>
      <c r="I1051" s="158" t="n"/>
      <c r="J1051" s="159" t="n"/>
    </row>
    <row r="1052">
      <c r="B1052" s="158" t="n"/>
      <c r="C1052" s="158" t="n"/>
      <c r="I1052" s="158" t="n"/>
      <c r="J1052" s="159" t="n"/>
    </row>
    <row r="1053">
      <c r="B1053" s="158" t="n"/>
      <c r="C1053" s="158" t="n"/>
      <c r="I1053" s="158" t="n"/>
      <c r="J1053" s="159" t="n"/>
    </row>
    <row r="1054">
      <c r="B1054" s="158" t="n"/>
      <c r="C1054" s="158" t="n"/>
      <c r="I1054" s="158" t="n"/>
      <c r="J1054" s="159" t="n"/>
    </row>
    <row r="1055">
      <c r="B1055" s="158" t="n"/>
      <c r="C1055" s="158" t="n"/>
      <c r="I1055" s="158" t="n"/>
      <c r="J1055" s="159" t="n"/>
    </row>
    <row r="1056">
      <c r="B1056" s="158" t="n"/>
      <c r="C1056" s="158" t="n"/>
      <c r="I1056" s="158" t="n"/>
      <c r="J1056" s="159" t="n"/>
    </row>
    <row r="1057">
      <c r="B1057" s="158" t="n"/>
      <c r="C1057" s="158" t="n"/>
      <c r="I1057" s="158" t="n"/>
      <c r="J1057" s="159" t="n"/>
    </row>
    <row r="1058">
      <c r="B1058" s="158" t="n"/>
      <c r="C1058" s="158" t="n"/>
      <c r="I1058" s="158" t="n"/>
      <c r="J1058" s="159" t="n"/>
    </row>
    <row r="1059">
      <c r="B1059" s="158" t="n"/>
      <c r="C1059" s="158" t="n"/>
      <c r="I1059" s="158" t="n"/>
      <c r="J1059" s="159" t="n"/>
    </row>
    <row r="1060">
      <c r="B1060" s="158" t="n"/>
      <c r="C1060" s="158" t="n"/>
      <c r="I1060" s="158" t="n"/>
      <c r="J1060" s="159" t="n"/>
    </row>
    <row r="1061">
      <c r="B1061" s="158" t="n"/>
      <c r="C1061" s="158" t="n"/>
      <c r="I1061" s="158" t="n"/>
      <c r="J1061" s="159" t="n"/>
    </row>
    <row r="1062">
      <c r="B1062" s="158" t="n"/>
      <c r="C1062" s="158" t="n"/>
      <c r="I1062" s="158" t="n"/>
      <c r="J1062" s="159" t="n"/>
    </row>
    <row r="1063">
      <c r="B1063" s="158" t="n"/>
      <c r="C1063" s="158" t="n"/>
      <c r="I1063" s="158" t="n"/>
      <c r="J1063" s="159" t="n"/>
    </row>
    <row r="1064">
      <c r="B1064" s="158" t="n"/>
      <c r="C1064" s="158" t="n"/>
      <c r="I1064" s="158" t="n"/>
      <c r="J1064" s="159" t="n"/>
    </row>
    <row r="1065">
      <c r="B1065" s="158" t="n"/>
      <c r="C1065" s="158" t="n"/>
      <c r="I1065" s="158" t="n"/>
      <c r="J1065" s="159" t="n"/>
    </row>
    <row r="1066">
      <c r="B1066" s="158" t="n"/>
      <c r="C1066" s="158" t="n"/>
      <c r="I1066" s="158" t="n"/>
      <c r="J1066" s="159" t="n"/>
    </row>
    <row r="1067">
      <c r="B1067" s="158" t="n"/>
      <c r="C1067" s="158" t="n"/>
      <c r="I1067" s="158" t="n"/>
      <c r="J1067" s="159" t="n"/>
    </row>
    <row r="1068">
      <c r="B1068" s="158" t="n"/>
      <c r="C1068" s="158" t="n"/>
      <c r="I1068" s="158" t="n"/>
      <c r="J1068" s="159" t="n"/>
    </row>
    <row r="1069">
      <c r="B1069" s="158" t="n"/>
      <c r="C1069" s="158" t="n"/>
      <c r="I1069" s="158" t="n"/>
      <c r="J1069" s="159" t="n"/>
    </row>
    <row r="1070">
      <c r="B1070" s="158" t="n"/>
      <c r="C1070" s="158" t="n"/>
      <c r="I1070" s="158" t="n"/>
      <c r="J1070" s="159" t="n"/>
    </row>
    <row r="1071">
      <c r="B1071" s="158" t="n"/>
      <c r="C1071" s="158" t="n"/>
      <c r="I1071" s="158" t="n"/>
      <c r="J1071" s="159" t="n"/>
    </row>
    <row r="1072">
      <c r="B1072" s="158" t="n"/>
      <c r="C1072" s="158" t="n"/>
      <c r="I1072" s="158" t="n"/>
      <c r="J1072" s="159" t="n"/>
    </row>
    <row r="1073">
      <c r="B1073" s="158" t="n"/>
      <c r="C1073" s="158" t="n"/>
      <c r="I1073" s="158" t="n"/>
      <c r="J1073" s="159" t="n"/>
    </row>
    <row r="1074">
      <c r="B1074" s="158" t="n"/>
      <c r="C1074" s="158" t="n"/>
      <c r="I1074" s="158" t="n"/>
      <c r="J1074" s="159" t="n"/>
    </row>
    <row r="1075">
      <c r="B1075" s="158" t="n"/>
      <c r="C1075" s="158" t="n"/>
      <c r="I1075" s="158" t="n"/>
      <c r="J1075" s="159" t="n"/>
    </row>
    <row r="1076">
      <c r="B1076" s="158" t="n"/>
      <c r="C1076" s="158" t="n"/>
      <c r="I1076" s="158" t="n"/>
      <c r="J1076" s="159" t="n"/>
    </row>
    <row r="1077">
      <c r="B1077" s="158" t="n"/>
      <c r="C1077" s="158" t="n"/>
      <c r="I1077" s="158" t="n"/>
      <c r="J1077" s="159" t="n"/>
    </row>
    <row r="1078">
      <c r="B1078" s="158" t="n"/>
      <c r="C1078" s="158" t="n"/>
      <c r="I1078" s="158" t="n"/>
      <c r="J1078" s="159" t="n"/>
    </row>
    <row r="1079">
      <c r="B1079" s="158" t="n"/>
      <c r="C1079" s="158" t="n"/>
      <c r="I1079" s="158" t="n"/>
      <c r="J1079" s="159" t="n"/>
    </row>
    <row r="1080">
      <c r="B1080" s="158" t="n"/>
      <c r="C1080" s="158" t="n"/>
      <c r="I1080" s="158" t="n"/>
      <c r="J1080" s="159" t="n"/>
    </row>
    <row r="1081">
      <c r="B1081" s="158" t="n"/>
      <c r="C1081" s="158" t="n"/>
      <c r="I1081" s="158" t="n"/>
      <c r="J1081" s="159" t="n"/>
    </row>
    <row r="1082">
      <c r="B1082" s="158" t="n"/>
      <c r="C1082" s="158" t="n"/>
      <c r="I1082" s="158" t="n"/>
      <c r="J1082" s="159" t="n"/>
    </row>
    <row r="1083">
      <c r="B1083" s="158" t="n"/>
      <c r="C1083" s="158" t="n"/>
      <c r="I1083" s="158" t="n"/>
      <c r="J1083" s="159" t="n"/>
    </row>
    <row r="1084">
      <c r="B1084" s="158" t="n"/>
      <c r="C1084" s="158" t="n"/>
      <c r="I1084" s="158" t="n"/>
      <c r="J1084" s="159" t="n"/>
    </row>
    <row r="1085">
      <c r="B1085" s="158" t="n"/>
      <c r="C1085" s="158" t="n"/>
      <c r="I1085" s="158" t="n"/>
      <c r="J1085" s="159" t="n"/>
    </row>
    <row r="1086">
      <c r="B1086" s="158" t="n"/>
      <c r="C1086" s="158" t="n"/>
      <c r="I1086" s="158" t="n"/>
      <c r="J1086" s="159" t="n"/>
    </row>
    <row r="1087">
      <c r="B1087" s="158" t="n"/>
      <c r="C1087" s="158" t="n"/>
      <c r="I1087" s="158" t="n"/>
      <c r="J1087" s="159" t="n"/>
    </row>
    <row r="1088">
      <c r="B1088" s="158" t="n"/>
      <c r="C1088" s="158" t="n"/>
      <c r="I1088" s="158" t="n"/>
      <c r="J1088" s="159" t="n"/>
    </row>
    <row r="1089">
      <c r="B1089" s="158" t="n"/>
      <c r="C1089" s="158" t="n"/>
      <c r="I1089" s="158" t="n"/>
      <c r="J1089" s="159" t="n"/>
    </row>
    <row r="1090">
      <c r="B1090" s="158" t="n"/>
      <c r="C1090" s="158" t="n"/>
      <c r="I1090" s="158" t="n"/>
      <c r="J1090" s="159" t="n"/>
    </row>
    <row r="1091">
      <c r="B1091" s="158" t="n"/>
      <c r="C1091" s="158" t="n"/>
      <c r="I1091" s="158" t="n"/>
      <c r="J1091" s="159" t="n"/>
    </row>
    <row r="1092">
      <c r="B1092" s="158" t="n"/>
      <c r="C1092" s="158" t="n"/>
      <c r="I1092" s="158" t="n"/>
      <c r="J1092" s="159" t="n"/>
    </row>
    <row r="1093">
      <c r="B1093" s="158" t="n"/>
      <c r="C1093" s="158" t="n"/>
      <c r="I1093" s="158" t="n"/>
      <c r="J1093" s="159" t="n"/>
    </row>
    <row r="1094">
      <c r="B1094" s="158" t="n"/>
      <c r="C1094" s="158" t="n"/>
      <c r="I1094" s="158" t="n"/>
      <c r="J1094" s="159" t="n"/>
    </row>
    <row r="1095">
      <c r="B1095" s="158" t="n"/>
      <c r="C1095" s="158" t="n"/>
      <c r="I1095" s="158" t="n"/>
      <c r="J1095" s="159" t="n"/>
    </row>
    <row r="1096">
      <c r="B1096" s="158" t="n"/>
      <c r="C1096" s="158" t="n"/>
      <c r="I1096" s="158" t="n"/>
      <c r="J1096" s="159" t="n"/>
    </row>
    <row r="1097">
      <c r="B1097" s="158" t="n"/>
      <c r="C1097" s="158" t="n"/>
      <c r="I1097" s="158" t="n"/>
      <c r="J1097" s="159" t="n"/>
    </row>
    <row r="1098">
      <c r="B1098" s="158" t="n"/>
      <c r="C1098" s="158" t="n"/>
      <c r="I1098" s="158" t="n"/>
      <c r="J1098" s="159" t="n"/>
    </row>
    <row r="1099">
      <c r="B1099" s="158" t="n"/>
      <c r="C1099" s="158" t="n"/>
      <c r="I1099" s="158" t="n"/>
      <c r="J1099" s="159" t="n"/>
    </row>
    <row r="1100">
      <c r="B1100" s="158" t="n"/>
      <c r="C1100" s="158" t="n"/>
      <c r="I1100" s="158" t="n"/>
      <c r="J1100" s="159" t="n"/>
    </row>
    <row r="1101">
      <c r="B1101" s="158" t="n"/>
      <c r="C1101" s="158" t="n"/>
      <c r="I1101" s="158" t="n"/>
      <c r="J1101" s="159" t="n"/>
    </row>
    <row r="1102">
      <c r="B1102" s="158" t="n"/>
      <c r="C1102" s="158" t="n"/>
      <c r="I1102" s="158" t="n"/>
      <c r="J1102" s="159" t="n"/>
    </row>
    <row r="1103">
      <c r="B1103" s="158" t="n"/>
      <c r="C1103" s="158" t="n"/>
      <c r="I1103" s="158" t="n"/>
      <c r="J1103" s="159" t="n"/>
    </row>
    <row r="1104">
      <c r="B1104" s="158" t="n"/>
      <c r="C1104" s="158" t="n"/>
      <c r="I1104" s="158" t="n"/>
      <c r="J1104" s="159" t="n"/>
    </row>
    <row r="1105">
      <c r="B1105" s="158" t="n"/>
      <c r="C1105" s="158" t="n"/>
      <c r="I1105" s="158" t="n"/>
      <c r="J1105" s="159" t="n"/>
    </row>
    <row r="1106">
      <c r="B1106" s="158" t="n"/>
      <c r="C1106" s="158" t="n"/>
      <c r="I1106" s="158" t="n"/>
      <c r="J1106" s="159" t="n"/>
    </row>
    <row r="1107">
      <c r="B1107" s="158" t="n"/>
      <c r="C1107" s="158" t="n"/>
      <c r="I1107" s="158" t="n"/>
      <c r="J1107" s="159" t="n"/>
    </row>
    <row r="1108">
      <c r="B1108" s="158" t="n"/>
      <c r="C1108" s="158" t="n"/>
      <c r="I1108" s="158" t="n"/>
      <c r="J1108" s="159" t="n"/>
    </row>
    <row r="1109">
      <c r="B1109" s="158" t="n"/>
      <c r="C1109" s="158" t="n"/>
      <c r="I1109" s="158" t="n"/>
      <c r="J1109" s="159" t="n"/>
    </row>
    <row r="1110">
      <c r="B1110" s="158" t="n"/>
      <c r="C1110" s="158" t="n"/>
      <c r="I1110" s="158" t="n"/>
      <c r="J1110" s="159" t="n"/>
    </row>
    <row r="1111">
      <c r="B1111" s="158" t="n"/>
      <c r="C1111" s="158" t="n"/>
      <c r="I1111" s="158" t="n"/>
      <c r="J1111" s="159" t="n"/>
    </row>
    <row r="1112">
      <c r="B1112" s="158" t="n"/>
      <c r="C1112" s="158" t="n"/>
      <c r="I1112" s="158" t="n"/>
      <c r="J1112" s="159" t="n"/>
    </row>
    <row r="1113">
      <c r="B1113" s="158" t="n"/>
      <c r="C1113" s="158" t="n"/>
      <c r="I1113" s="158" t="n"/>
      <c r="J1113" s="159" t="n"/>
    </row>
    <row r="1114">
      <c r="B1114" s="158" t="n"/>
      <c r="C1114" s="158" t="n"/>
      <c r="I1114" s="158" t="n"/>
      <c r="J1114" s="159" t="n"/>
    </row>
    <row r="1115">
      <c r="B1115" s="158" t="n"/>
      <c r="C1115" s="158" t="n"/>
      <c r="I1115" s="158" t="n"/>
      <c r="J1115" s="159" t="n"/>
    </row>
    <row r="1116">
      <c r="B1116" s="158" t="n"/>
      <c r="C1116" s="158" t="n"/>
      <c r="I1116" s="158" t="n"/>
      <c r="J1116" s="159" t="n"/>
    </row>
    <row r="1117">
      <c r="B1117" s="158" t="n"/>
      <c r="C1117" s="158" t="n"/>
      <c r="I1117" s="158" t="n"/>
      <c r="J1117" s="159" t="n"/>
    </row>
    <row r="1118">
      <c r="B1118" s="158" t="n"/>
      <c r="C1118" s="158" t="n"/>
      <c r="I1118" s="158" t="n"/>
      <c r="J1118" s="159" t="n"/>
    </row>
    <row r="1119">
      <c r="B1119" s="158" t="n"/>
      <c r="C1119" s="158" t="n"/>
      <c r="I1119" s="158" t="n"/>
      <c r="J1119" s="159" t="n"/>
    </row>
    <row r="1120">
      <c r="B1120" s="158" t="n"/>
      <c r="C1120" s="158" t="n"/>
      <c r="I1120" s="158" t="n"/>
      <c r="J1120" s="159" t="n"/>
    </row>
    <row r="1121">
      <c r="B1121" s="158" t="n"/>
      <c r="C1121" s="158" t="n"/>
      <c r="I1121" s="158" t="n"/>
      <c r="J1121" s="159" t="n"/>
    </row>
    <row r="1122">
      <c r="B1122" s="158" t="n"/>
      <c r="C1122" s="158" t="n"/>
      <c r="I1122" s="158" t="n"/>
      <c r="J1122" s="159" t="n"/>
    </row>
    <row r="1123">
      <c r="B1123" s="158" t="n"/>
      <c r="C1123" s="158" t="n"/>
      <c r="I1123" s="158" t="n"/>
      <c r="J1123" s="159" t="n"/>
    </row>
    <row r="1124">
      <c r="B1124" s="158" t="n"/>
      <c r="C1124" s="158" t="n"/>
      <c r="I1124" s="158" t="n"/>
      <c r="J1124" s="159" t="n"/>
    </row>
    <row r="1125">
      <c r="B1125" s="158" t="n"/>
      <c r="C1125" s="158" t="n"/>
      <c r="I1125" s="158" t="n"/>
      <c r="J1125" s="159" t="n"/>
    </row>
    <row r="1126">
      <c r="B1126" s="158" t="n"/>
      <c r="C1126" s="158" t="n"/>
      <c r="I1126" s="158" t="n"/>
      <c r="J1126" s="159" t="n"/>
    </row>
    <row r="1127">
      <c r="B1127" s="158" t="n"/>
      <c r="C1127" s="158" t="n"/>
      <c r="I1127" s="158" t="n"/>
      <c r="J1127" s="159" t="n"/>
    </row>
    <row r="1128">
      <c r="B1128" s="158" t="n"/>
      <c r="C1128" s="158" t="n"/>
      <c r="I1128" s="158" t="n"/>
      <c r="J1128" s="159" t="n"/>
    </row>
    <row r="1129">
      <c r="B1129" s="158" t="n"/>
      <c r="C1129" s="158" t="n"/>
      <c r="I1129" s="158" t="n"/>
      <c r="J1129" s="159" t="n"/>
    </row>
    <row r="1130">
      <c r="B1130" s="158" t="n"/>
      <c r="C1130" s="158" t="n"/>
      <c r="I1130" s="158" t="n"/>
      <c r="J1130" s="159" t="n"/>
    </row>
    <row r="1131">
      <c r="B1131" s="158" t="n"/>
      <c r="C1131" s="158" t="n"/>
      <c r="I1131" s="158" t="n"/>
      <c r="J1131" s="159" t="n"/>
    </row>
    <row r="1132">
      <c r="B1132" s="158" t="n"/>
      <c r="C1132" s="158" t="n"/>
      <c r="I1132" s="158" t="n"/>
      <c r="J1132" s="159" t="n"/>
    </row>
    <row r="1133">
      <c r="B1133" s="158" t="n"/>
      <c r="C1133" s="158" t="n"/>
      <c r="I1133" s="158" t="n"/>
      <c r="J1133" s="159" t="n"/>
    </row>
    <row r="1134">
      <c r="B1134" s="158" t="n"/>
      <c r="C1134" s="158" t="n"/>
      <c r="I1134" s="158" t="n"/>
      <c r="J1134" s="159" t="n"/>
    </row>
    <row r="1135">
      <c r="B1135" s="158" t="n"/>
      <c r="C1135" s="158" t="n"/>
      <c r="I1135" s="158" t="n"/>
      <c r="J1135" s="159" t="n"/>
    </row>
    <row r="1136">
      <c r="B1136" s="158" t="n"/>
      <c r="C1136" s="158" t="n"/>
      <c r="I1136" s="158" t="n"/>
      <c r="J1136" s="159" t="n"/>
    </row>
    <row r="1137">
      <c r="B1137" s="158" t="n"/>
      <c r="C1137" s="158" t="n"/>
      <c r="I1137" s="158" t="n"/>
      <c r="J1137" s="159" t="n"/>
    </row>
    <row r="1138">
      <c r="B1138" s="158" t="n"/>
      <c r="C1138" s="158" t="n"/>
      <c r="I1138" s="158" t="n"/>
      <c r="J1138" s="159" t="n"/>
    </row>
    <row r="1139">
      <c r="B1139" s="158" t="n"/>
      <c r="C1139" s="158" t="n"/>
      <c r="I1139" s="158" t="n"/>
      <c r="J1139" s="159" t="n"/>
    </row>
    <row r="1140">
      <c r="B1140" s="158" t="n"/>
      <c r="C1140" s="158" t="n"/>
      <c r="I1140" s="158" t="n"/>
      <c r="J1140" s="159" t="n"/>
    </row>
    <row r="1141">
      <c r="B1141" s="158" t="n"/>
      <c r="C1141" s="158" t="n"/>
      <c r="I1141" s="158" t="n"/>
      <c r="J1141" s="159" t="n"/>
    </row>
    <row r="1142">
      <c r="B1142" s="158" t="n"/>
      <c r="C1142" s="158" t="n"/>
      <c r="I1142" s="158" t="n"/>
      <c r="J1142" s="159" t="n"/>
    </row>
    <row r="1143">
      <c r="B1143" s="158" t="n"/>
      <c r="C1143" s="158" t="n"/>
      <c r="I1143" s="158" t="n"/>
      <c r="J1143" s="159" t="n"/>
    </row>
    <row r="1144">
      <c r="B1144" s="158" t="n"/>
      <c r="C1144" s="158" t="n"/>
      <c r="I1144" s="158" t="n"/>
      <c r="J1144" s="159" t="n"/>
    </row>
    <row r="1145">
      <c r="B1145" s="158" t="n"/>
      <c r="C1145" s="158" t="n"/>
      <c r="I1145" s="158" t="n"/>
      <c r="J1145" s="159" t="n"/>
    </row>
    <row r="1146">
      <c r="B1146" s="158" t="n"/>
      <c r="C1146" s="158" t="n"/>
      <c r="I1146" s="158" t="n"/>
      <c r="J1146" s="159" t="n"/>
    </row>
    <row r="1147">
      <c r="B1147" s="158" t="n"/>
      <c r="C1147" s="158" t="n"/>
      <c r="I1147" s="158" t="n"/>
      <c r="J1147" s="159" t="n"/>
    </row>
    <row r="1148">
      <c r="B1148" s="158" t="n"/>
      <c r="C1148" s="158" t="n"/>
      <c r="I1148" s="158" t="n"/>
      <c r="J1148" s="159" t="n"/>
    </row>
    <row r="1149">
      <c r="B1149" s="158" t="n"/>
      <c r="C1149" s="158" t="n"/>
      <c r="I1149" s="158" t="n"/>
      <c r="J1149" s="159" t="n"/>
    </row>
    <row r="1150">
      <c r="B1150" s="158" t="n"/>
      <c r="C1150" s="158" t="n"/>
      <c r="I1150" s="158" t="n"/>
      <c r="J1150" s="159" t="n"/>
    </row>
    <row r="1151">
      <c r="B1151" s="158" t="n"/>
      <c r="C1151" s="158" t="n"/>
      <c r="I1151" s="158" t="n"/>
      <c r="J1151" s="159" t="n"/>
    </row>
    <row r="1152">
      <c r="B1152" s="158" t="n"/>
      <c r="C1152" s="158" t="n"/>
      <c r="I1152" s="158" t="n"/>
      <c r="J1152" s="159" t="n"/>
    </row>
    <row r="1153">
      <c r="B1153" s="158" t="n"/>
      <c r="C1153" s="158" t="n"/>
      <c r="I1153" s="158" t="n"/>
      <c r="J1153" s="159" t="n"/>
    </row>
    <row r="1154">
      <c r="B1154" s="158" t="n"/>
      <c r="C1154" s="158" t="n"/>
      <c r="I1154" s="158" t="n"/>
      <c r="J1154" s="159" t="n"/>
    </row>
    <row r="1155">
      <c r="B1155" s="158" t="n"/>
      <c r="C1155" s="158" t="n"/>
      <c r="I1155" s="158" t="n"/>
      <c r="J1155" s="159" t="n"/>
    </row>
    <row r="1156">
      <c r="B1156" s="158" t="n"/>
      <c r="C1156" s="158" t="n"/>
      <c r="I1156" s="158" t="n"/>
      <c r="J1156" s="159" t="n"/>
    </row>
    <row r="1157">
      <c r="B1157" s="158" t="n"/>
      <c r="C1157" s="158" t="n"/>
      <c r="I1157" s="158" t="n"/>
      <c r="J1157" s="159" t="n"/>
    </row>
    <row r="1158">
      <c r="B1158" s="158" t="n"/>
      <c r="C1158" s="158" t="n"/>
      <c r="I1158" s="158" t="n"/>
      <c r="J1158" s="159" t="n"/>
    </row>
    <row r="1159">
      <c r="B1159" s="158" t="n"/>
      <c r="C1159" s="158" t="n"/>
      <c r="I1159" s="158" t="n"/>
      <c r="J1159" s="159" t="n"/>
    </row>
    <row r="1160">
      <c r="B1160" s="158" t="n"/>
      <c r="C1160" s="158" t="n"/>
      <c r="I1160" s="158" t="n"/>
      <c r="J1160" s="159" t="n"/>
    </row>
    <row r="1161">
      <c r="B1161" s="158" t="n"/>
      <c r="C1161" s="158" t="n"/>
      <c r="I1161" s="158" t="n"/>
      <c r="J1161" s="159" t="n"/>
    </row>
    <row r="1162">
      <c r="B1162" s="158" t="n"/>
      <c r="C1162" s="158" t="n"/>
      <c r="I1162" s="158" t="n"/>
      <c r="J1162" s="159" t="n"/>
    </row>
    <row r="1163">
      <c r="B1163" s="158" t="n"/>
      <c r="C1163" s="158" t="n"/>
      <c r="I1163" s="158" t="n"/>
      <c r="J1163" s="159" t="n"/>
    </row>
    <row r="1164">
      <c r="B1164" s="158" t="n"/>
      <c r="C1164" s="158" t="n"/>
      <c r="I1164" s="158" t="n"/>
      <c r="J1164" s="159" t="n"/>
    </row>
    <row r="1165">
      <c r="B1165" s="158" t="n"/>
      <c r="C1165" s="158" t="n"/>
      <c r="I1165" s="158" t="n"/>
      <c r="J1165" s="159" t="n"/>
    </row>
    <row r="1166">
      <c r="B1166" s="158" t="n"/>
      <c r="C1166" s="158" t="n"/>
      <c r="I1166" s="158" t="n"/>
      <c r="J1166" s="159" t="n"/>
    </row>
    <row r="1167">
      <c r="B1167" s="158" t="n"/>
      <c r="C1167" s="158" t="n"/>
      <c r="I1167" s="158" t="n"/>
      <c r="J1167" s="159" t="n"/>
    </row>
    <row r="1168">
      <c r="B1168" s="158" t="n"/>
      <c r="C1168" s="158" t="n"/>
      <c r="I1168" s="158" t="n"/>
      <c r="J1168" s="159" t="n"/>
    </row>
    <row r="1169">
      <c r="B1169" s="158" t="n"/>
      <c r="C1169" s="158" t="n"/>
      <c r="I1169" s="158" t="n"/>
      <c r="J1169" s="159" t="n"/>
    </row>
    <row r="1170">
      <c r="B1170" s="158" t="n"/>
      <c r="C1170" s="158" t="n"/>
      <c r="I1170" s="158" t="n"/>
      <c r="J1170" s="159" t="n"/>
    </row>
    <row r="1171">
      <c r="B1171" s="158" t="n"/>
      <c r="C1171" s="158" t="n"/>
      <c r="I1171" s="158" t="n"/>
      <c r="J1171" s="159" t="n"/>
    </row>
    <row r="1172">
      <c r="B1172" s="158" t="n"/>
      <c r="C1172" s="158" t="n"/>
      <c r="I1172" s="158" t="n"/>
      <c r="J1172" s="159" t="n"/>
    </row>
    <row r="1173">
      <c r="B1173" s="158" t="n"/>
      <c r="C1173" s="158" t="n"/>
      <c r="I1173" s="158" t="n"/>
      <c r="J1173" s="159" t="n"/>
    </row>
    <row r="1174">
      <c r="B1174" s="158" t="n"/>
      <c r="C1174" s="158" t="n"/>
      <c r="I1174" s="158" t="n"/>
      <c r="J1174" s="159" t="n"/>
    </row>
    <row r="1175">
      <c r="B1175" s="158" t="n"/>
      <c r="C1175" s="158" t="n"/>
      <c r="I1175" s="158" t="n"/>
      <c r="J1175" s="159" t="n"/>
    </row>
    <row r="1176">
      <c r="B1176" s="158" t="n"/>
      <c r="C1176" s="158" t="n"/>
      <c r="I1176" s="158" t="n"/>
      <c r="J1176" s="159" t="n"/>
    </row>
    <row r="1177">
      <c r="B1177" s="158" t="n"/>
      <c r="C1177" s="158" t="n"/>
      <c r="I1177" s="158" t="n"/>
      <c r="J1177" s="159" t="n"/>
    </row>
    <row r="1178">
      <c r="B1178" s="158" t="n"/>
      <c r="C1178" s="158" t="n"/>
      <c r="I1178" s="158" t="n"/>
      <c r="J1178" s="159" t="n"/>
    </row>
    <row r="1179">
      <c r="B1179" s="158" t="n"/>
      <c r="C1179" s="158" t="n"/>
      <c r="I1179" s="158" t="n"/>
      <c r="J1179" s="159" t="n"/>
    </row>
    <row r="1180">
      <c r="B1180" s="158" t="n"/>
      <c r="C1180" s="158" t="n"/>
      <c r="I1180" s="158" t="n"/>
      <c r="J1180" s="159" t="n"/>
    </row>
    <row r="1181">
      <c r="B1181" s="158" t="n"/>
      <c r="C1181" s="158" t="n"/>
      <c r="I1181" s="158" t="n"/>
      <c r="J1181" s="159" t="n"/>
    </row>
    <row r="1182">
      <c r="B1182" s="158" t="n"/>
      <c r="C1182" s="158" t="n"/>
      <c r="I1182" s="158" t="n"/>
      <c r="J1182" s="159" t="n"/>
    </row>
    <row r="1183">
      <c r="B1183" s="158" t="n"/>
      <c r="C1183" s="158" t="n"/>
      <c r="I1183" s="158" t="n"/>
      <c r="J1183" s="159" t="n"/>
    </row>
    <row r="1184">
      <c r="B1184" s="158" t="n"/>
      <c r="C1184" s="158" t="n"/>
      <c r="I1184" s="158" t="n"/>
      <c r="J1184" s="159" t="n"/>
    </row>
    <row r="1185">
      <c r="B1185" s="158" t="n"/>
      <c r="C1185" s="158" t="n"/>
      <c r="I1185" s="158" t="n"/>
      <c r="J1185" s="159" t="n"/>
    </row>
    <row r="1186">
      <c r="B1186" s="158" t="n"/>
      <c r="C1186" s="158" t="n"/>
      <c r="I1186" s="158" t="n"/>
      <c r="J1186" s="159" t="n"/>
    </row>
    <row r="1187">
      <c r="B1187" s="158" t="n"/>
      <c r="C1187" s="158" t="n"/>
      <c r="I1187" s="158" t="n"/>
      <c r="J1187" s="159" t="n"/>
    </row>
    <row r="1188">
      <c r="B1188" s="158" t="n"/>
      <c r="C1188" s="158" t="n"/>
      <c r="I1188" s="158" t="n"/>
      <c r="J1188" s="159" t="n"/>
    </row>
    <row r="1189">
      <c r="B1189" s="158" t="n"/>
      <c r="C1189" s="158" t="n"/>
      <c r="I1189" s="158" t="n"/>
      <c r="J1189" s="159" t="n"/>
    </row>
    <row r="1190">
      <c r="B1190" s="158" t="n"/>
      <c r="C1190" s="158" t="n"/>
      <c r="I1190" s="158" t="n"/>
      <c r="J1190" s="159" t="n"/>
    </row>
    <row r="1191">
      <c r="B1191" s="158" t="n"/>
      <c r="C1191" s="158" t="n"/>
      <c r="I1191" s="158" t="n"/>
      <c r="J1191" s="159" t="n"/>
    </row>
    <row r="1192">
      <c r="B1192" s="158" t="n"/>
      <c r="C1192" s="158" t="n"/>
      <c r="I1192" s="158" t="n"/>
      <c r="J1192" s="159" t="n"/>
    </row>
    <row r="1193">
      <c r="B1193" s="158" t="n"/>
      <c r="C1193" s="158" t="n"/>
      <c r="I1193" s="158" t="n"/>
      <c r="J1193" s="159" t="n"/>
    </row>
    <row r="1194">
      <c r="B1194" s="158" t="n"/>
      <c r="C1194" s="158" t="n"/>
      <c r="I1194" s="158" t="n"/>
      <c r="J1194" s="159" t="n"/>
    </row>
    <row r="1195">
      <c r="B1195" s="158" t="n"/>
      <c r="C1195" s="158" t="n"/>
      <c r="I1195" s="158" t="n"/>
      <c r="J1195" s="159" t="n"/>
    </row>
    <row r="1196">
      <c r="B1196" s="158" t="n"/>
      <c r="C1196" s="158" t="n"/>
      <c r="I1196" s="158" t="n"/>
      <c r="J1196" s="159" t="n"/>
    </row>
    <row r="1197">
      <c r="B1197" s="158" t="n"/>
      <c r="C1197" s="158" t="n"/>
      <c r="I1197" s="158" t="n"/>
      <c r="J1197" s="159" t="n"/>
    </row>
    <row r="1198">
      <c r="B1198" s="158" t="n"/>
      <c r="C1198" s="158" t="n"/>
      <c r="I1198" s="158" t="n"/>
      <c r="J1198" s="159" t="n"/>
    </row>
    <row r="1199">
      <c r="B1199" s="158" t="n"/>
      <c r="C1199" s="158" t="n"/>
      <c r="I1199" s="158" t="n"/>
      <c r="J1199" s="159" t="n"/>
    </row>
    <row r="1200">
      <c r="B1200" s="158" t="n"/>
      <c r="C1200" s="158" t="n"/>
      <c r="I1200" s="158" t="n"/>
      <c r="J1200" s="159" t="n"/>
    </row>
    <row r="1201">
      <c r="B1201" s="158" t="n"/>
      <c r="C1201" s="158" t="n"/>
      <c r="I1201" s="158" t="n"/>
      <c r="J1201" s="159" t="n"/>
    </row>
    <row r="1202">
      <c r="B1202" s="158" t="n"/>
      <c r="C1202" s="158" t="n"/>
      <c r="I1202" s="158" t="n"/>
      <c r="J1202" s="159" t="n"/>
    </row>
    <row r="1203">
      <c r="B1203" s="158" t="n"/>
      <c r="C1203" s="158" t="n"/>
      <c r="I1203" s="158" t="n"/>
      <c r="J1203" s="159" t="n"/>
    </row>
    <row r="1204">
      <c r="B1204" s="158" t="n"/>
      <c r="C1204" s="158" t="n"/>
      <c r="I1204" s="158" t="n"/>
      <c r="J1204" s="159" t="n"/>
    </row>
    <row r="1205">
      <c r="B1205" s="158" t="n"/>
      <c r="C1205" s="158" t="n"/>
      <c r="I1205" s="158" t="n"/>
      <c r="J1205" s="159" t="n"/>
    </row>
    <row r="1206">
      <c r="B1206" s="158" t="n"/>
      <c r="C1206" s="158" t="n"/>
      <c r="I1206" s="158" t="n"/>
      <c r="J1206" s="159" t="n"/>
    </row>
    <row r="1207">
      <c r="B1207" s="158" t="n"/>
      <c r="C1207" s="158" t="n"/>
      <c r="I1207" s="158" t="n"/>
      <c r="J1207" s="159" t="n"/>
    </row>
    <row r="1208">
      <c r="B1208" s="158" t="n"/>
      <c r="C1208" s="158" t="n"/>
      <c r="I1208" s="158" t="n"/>
      <c r="J1208" s="159" t="n"/>
    </row>
    <row r="1209">
      <c r="B1209" s="158" t="n"/>
      <c r="C1209" s="158" t="n"/>
      <c r="I1209" s="158" t="n"/>
      <c r="J1209" s="159" t="n"/>
    </row>
    <row r="1210">
      <c r="B1210" s="158" t="n"/>
      <c r="C1210" s="158" t="n"/>
      <c r="I1210" s="158" t="n"/>
      <c r="J1210" s="159" t="n"/>
    </row>
    <row r="1211">
      <c r="B1211" s="158" t="n"/>
      <c r="C1211" s="158" t="n"/>
      <c r="I1211" s="158" t="n"/>
      <c r="J1211" s="159" t="n"/>
    </row>
    <row r="1212">
      <c r="B1212" s="158" t="n"/>
      <c r="C1212" s="158" t="n"/>
      <c r="I1212" s="158" t="n"/>
      <c r="J1212" s="159" t="n"/>
    </row>
    <row r="1213">
      <c r="B1213" s="158" t="n"/>
      <c r="C1213" s="158" t="n"/>
      <c r="I1213" s="158" t="n"/>
      <c r="J1213" s="159" t="n"/>
    </row>
    <row r="1214">
      <c r="B1214" s="158" t="n"/>
      <c r="C1214" s="158" t="n"/>
      <c r="I1214" s="158" t="n"/>
      <c r="J1214" s="159" t="n"/>
    </row>
    <row r="1215">
      <c r="B1215" s="158" t="n"/>
      <c r="C1215" s="158" t="n"/>
      <c r="I1215" s="158" t="n"/>
      <c r="J1215" s="159" t="n"/>
    </row>
    <row r="1216">
      <c r="B1216" s="158" t="n"/>
      <c r="C1216" s="158" t="n"/>
      <c r="I1216" s="158" t="n"/>
      <c r="J1216" s="159" t="n"/>
    </row>
    <row r="1217">
      <c r="B1217" s="158" t="n"/>
      <c r="C1217" s="158" t="n"/>
      <c r="I1217" s="158" t="n"/>
      <c r="J1217" s="159" t="n"/>
    </row>
    <row r="1218">
      <c r="B1218" s="158" t="n"/>
      <c r="C1218" s="158" t="n"/>
      <c r="I1218" s="158" t="n"/>
      <c r="J1218" s="159" t="n"/>
    </row>
    <row r="1219">
      <c r="B1219" s="158" t="n"/>
      <c r="C1219" s="158" t="n"/>
      <c r="I1219" s="158" t="n"/>
      <c r="J1219" s="159" t="n"/>
    </row>
    <row r="1220">
      <c r="B1220" s="158" t="n"/>
      <c r="C1220" s="158" t="n"/>
      <c r="I1220" s="158" t="n"/>
      <c r="J1220" s="159" t="n"/>
    </row>
    <row r="1221">
      <c r="B1221" s="158" t="n"/>
      <c r="C1221" s="158" t="n"/>
      <c r="I1221" s="158" t="n"/>
      <c r="J1221" s="159" t="n"/>
    </row>
    <row r="1222">
      <c r="B1222" s="158" t="n"/>
      <c r="C1222" s="158" t="n"/>
      <c r="I1222" s="158" t="n"/>
      <c r="J1222" s="159" t="n"/>
    </row>
    <row r="1223">
      <c r="B1223" s="158" t="n"/>
      <c r="C1223" s="158" t="n"/>
      <c r="I1223" s="158" t="n"/>
      <c r="J1223" s="159" t="n"/>
    </row>
    <row r="1224">
      <c r="B1224" s="158" t="n"/>
      <c r="C1224" s="158" t="n"/>
      <c r="I1224" s="158" t="n"/>
      <c r="J1224" s="159" t="n"/>
    </row>
    <row r="1225">
      <c r="B1225" s="158" t="n"/>
      <c r="C1225" s="158" t="n"/>
      <c r="I1225" s="158" t="n"/>
      <c r="J1225" s="159" t="n"/>
    </row>
    <row r="1226">
      <c r="B1226" s="158" t="n"/>
      <c r="C1226" s="158" t="n"/>
      <c r="I1226" s="158" t="n"/>
      <c r="J1226" s="159" t="n"/>
    </row>
    <row r="1227">
      <c r="B1227" s="158" t="n"/>
      <c r="C1227" s="158" t="n"/>
      <c r="I1227" s="158" t="n"/>
      <c r="J1227" s="159" t="n"/>
    </row>
    <row r="1228">
      <c r="B1228" s="158" t="n"/>
      <c r="C1228" s="158" t="n"/>
      <c r="I1228" s="158" t="n"/>
      <c r="J1228" s="159" t="n"/>
    </row>
    <row r="1229">
      <c r="B1229" s="158" t="n"/>
      <c r="C1229" s="158" t="n"/>
      <c r="I1229" s="158" t="n"/>
      <c r="J1229" s="159" t="n"/>
    </row>
    <row r="1230">
      <c r="B1230" s="158" t="n"/>
      <c r="C1230" s="158" t="n"/>
      <c r="I1230" s="158" t="n"/>
      <c r="J1230" s="159" t="n"/>
    </row>
    <row r="1231">
      <c r="B1231" s="158" t="n"/>
      <c r="C1231" s="158" t="n"/>
      <c r="I1231" s="158" t="n"/>
      <c r="J1231" s="159" t="n"/>
    </row>
    <row r="1232">
      <c r="B1232" s="158" t="n"/>
      <c r="C1232" s="158" t="n"/>
      <c r="I1232" s="158" t="n"/>
      <c r="J1232" s="159" t="n"/>
    </row>
    <row r="1233">
      <c r="B1233" s="158" t="n"/>
      <c r="C1233" s="158" t="n"/>
      <c r="I1233" s="158" t="n"/>
      <c r="J1233" s="159" t="n"/>
    </row>
    <row r="1234">
      <c r="B1234" s="158" t="n"/>
      <c r="C1234" s="158" t="n"/>
      <c r="I1234" s="158" t="n"/>
      <c r="J1234" s="159" t="n"/>
    </row>
    <row r="1235">
      <c r="B1235" s="158" t="n"/>
      <c r="C1235" s="158" t="n"/>
      <c r="I1235" s="158" t="n"/>
      <c r="J1235" s="159" t="n"/>
    </row>
    <row r="1236">
      <c r="B1236" s="158" t="n"/>
      <c r="C1236" s="158" t="n"/>
      <c r="I1236" s="158" t="n"/>
      <c r="J1236" s="159" t="n"/>
    </row>
    <row r="1237">
      <c r="B1237" s="158" t="n"/>
      <c r="C1237" s="158" t="n"/>
      <c r="I1237" s="158" t="n"/>
      <c r="J1237" s="159" t="n"/>
    </row>
    <row r="1238">
      <c r="B1238" s="158" t="n"/>
      <c r="C1238" s="158" t="n"/>
      <c r="I1238" s="158" t="n"/>
      <c r="J1238" s="159" t="n"/>
    </row>
    <row r="1239">
      <c r="B1239" s="158" t="n"/>
      <c r="C1239" s="158" t="n"/>
      <c r="I1239" s="158" t="n"/>
      <c r="J1239" s="159" t="n"/>
    </row>
    <row r="1240">
      <c r="B1240" s="158" t="n"/>
      <c r="C1240" s="158" t="n"/>
      <c r="I1240" s="158" t="n"/>
      <c r="J1240" s="159" t="n"/>
    </row>
    <row r="1241">
      <c r="B1241" s="158" t="n"/>
      <c r="C1241" s="158" t="n"/>
      <c r="I1241" s="158" t="n"/>
      <c r="J1241" s="159" t="n"/>
    </row>
    <row r="1242">
      <c r="B1242" s="158" t="n"/>
      <c r="C1242" s="158" t="n"/>
      <c r="I1242" s="158" t="n"/>
      <c r="J1242" s="159" t="n"/>
    </row>
    <row r="1243">
      <c r="B1243" s="158" t="n"/>
      <c r="C1243" s="158" t="n"/>
      <c r="I1243" s="158" t="n"/>
      <c r="J1243" s="159" t="n"/>
    </row>
    <row r="1244">
      <c r="B1244" s="158" t="n"/>
      <c r="C1244" s="158" t="n"/>
      <c r="I1244" s="158" t="n"/>
      <c r="J1244" s="159" t="n"/>
    </row>
    <row r="1245">
      <c r="B1245" s="158" t="n"/>
      <c r="C1245" s="158" t="n"/>
      <c r="I1245" s="158" t="n"/>
      <c r="J1245" s="159" t="n"/>
    </row>
    <row r="1246">
      <c r="B1246" s="158" t="n"/>
      <c r="C1246" s="158" t="n"/>
      <c r="I1246" s="158" t="n"/>
      <c r="J1246" s="159" t="n"/>
    </row>
    <row r="1247">
      <c r="B1247" s="158" t="n"/>
      <c r="C1247" s="158" t="n"/>
      <c r="I1247" s="158" t="n"/>
      <c r="J1247" s="159" t="n"/>
    </row>
    <row r="1248">
      <c r="B1248" s="158" t="n"/>
      <c r="C1248" s="158" t="n"/>
      <c r="I1248" s="158" t="n"/>
      <c r="J1248" s="159" t="n"/>
    </row>
    <row r="1249">
      <c r="B1249" s="158" t="n"/>
      <c r="C1249" s="158" t="n"/>
      <c r="I1249" s="158" t="n"/>
      <c r="J1249" s="159" t="n"/>
    </row>
    <row r="1250">
      <c r="B1250" s="158" t="n"/>
      <c r="C1250" s="158" t="n"/>
      <c r="I1250" s="158" t="n"/>
      <c r="J1250" s="159" t="n"/>
    </row>
    <row r="1251">
      <c r="B1251" s="158" t="n"/>
      <c r="C1251" s="158" t="n"/>
      <c r="I1251" s="158" t="n"/>
      <c r="J1251" s="159" t="n"/>
    </row>
    <row r="1252">
      <c r="B1252" s="158" t="n"/>
      <c r="C1252" s="158" t="n"/>
      <c r="I1252" s="158" t="n"/>
      <c r="J1252" s="159" t="n"/>
    </row>
    <row r="1253">
      <c r="B1253" s="158" t="n"/>
      <c r="C1253" s="158" t="n"/>
      <c r="I1253" s="158" t="n"/>
      <c r="J1253" s="159" t="n"/>
    </row>
    <row r="1254">
      <c r="B1254" s="158" t="n"/>
      <c r="C1254" s="158" t="n"/>
      <c r="I1254" s="158" t="n"/>
      <c r="J1254" s="159" t="n"/>
    </row>
    <row r="1255">
      <c r="B1255" s="158" t="n"/>
      <c r="C1255" s="158" t="n"/>
      <c r="I1255" s="158" t="n"/>
      <c r="J1255" s="159" t="n"/>
    </row>
    <row r="1256">
      <c r="B1256" s="158" t="n"/>
      <c r="C1256" s="158" t="n"/>
      <c r="I1256" s="158" t="n"/>
      <c r="J1256" s="159" t="n"/>
    </row>
    <row r="1257">
      <c r="B1257" s="158" t="n"/>
      <c r="C1257" s="158" t="n"/>
      <c r="I1257" s="158" t="n"/>
      <c r="J1257" s="159" t="n"/>
    </row>
    <row r="1258">
      <c r="B1258" s="158" t="n"/>
      <c r="C1258" s="158" t="n"/>
      <c r="I1258" s="158" t="n"/>
      <c r="J1258" s="159" t="n"/>
    </row>
    <row r="1259">
      <c r="B1259" s="158" t="n"/>
      <c r="C1259" s="158" t="n"/>
      <c r="I1259" s="158" t="n"/>
      <c r="J1259" s="159" t="n"/>
    </row>
    <row r="1260">
      <c r="B1260" s="158" t="n"/>
      <c r="C1260" s="158" t="n"/>
      <c r="I1260" s="158" t="n"/>
      <c r="J1260" s="159" t="n"/>
    </row>
    <row r="1261">
      <c r="B1261" s="158" t="n"/>
      <c r="C1261" s="158" t="n"/>
      <c r="I1261" s="158" t="n"/>
      <c r="J1261" s="159" t="n"/>
    </row>
    <row r="1262">
      <c r="B1262" s="158" t="n"/>
      <c r="C1262" s="158" t="n"/>
      <c r="I1262" s="158" t="n"/>
      <c r="J1262" s="159" t="n"/>
    </row>
    <row r="1263">
      <c r="B1263" s="158" t="n"/>
      <c r="C1263" s="158" t="n"/>
      <c r="I1263" s="158" t="n"/>
      <c r="J1263" s="159" t="n"/>
    </row>
    <row r="1264">
      <c r="B1264" s="158" t="n"/>
      <c r="C1264" s="158" t="n"/>
      <c r="I1264" s="158" t="n"/>
      <c r="J1264" s="159" t="n"/>
    </row>
    <row r="1265">
      <c r="B1265" s="158" t="n"/>
      <c r="C1265" s="158" t="n"/>
      <c r="I1265" s="158" t="n"/>
      <c r="J1265" s="159" t="n"/>
    </row>
    <row r="1266">
      <c r="B1266" s="158" t="n"/>
      <c r="C1266" s="158" t="n"/>
      <c r="I1266" s="158" t="n"/>
      <c r="J1266" s="159" t="n"/>
    </row>
    <row r="1267">
      <c r="B1267" s="158" t="n"/>
      <c r="C1267" s="158" t="n"/>
      <c r="I1267" s="158" t="n"/>
      <c r="J1267" s="159" t="n"/>
    </row>
    <row r="1268">
      <c r="B1268" s="158" t="n"/>
      <c r="C1268" s="158" t="n"/>
      <c r="I1268" s="158" t="n"/>
      <c r="J1268" s="159" t="n"/>
    </row>
    <row r="1269">
      <c r="B1269" s="158" t="n"/>
      <c r="C1269" s="158" t="n"/>
      <c r="I1269" s="158" t="n"/>
      <c r="J1269" s="159" t="n"/>
    </row>
    <row r="1270">
      <c r="B1270" s="158" t="n"/>
      <c r="C1270" s="158" t="n"/>
      <c r="I1270" s="158" t="n"/>
      <c r="J1270" s="159" t="n"/>
    </row>
    <row r="1271">
      <c r="B1271" s="158" t="n"/>
      <c r="C1271" s="158" t="n"/>
      <c r="I1271" s="158" t="n"/>
      <c r="J1271" s="159" t="n"/>
    </row>
    <row r="1272">
      <c r="B1272" s="158" t="n"/>
      <c r="C1272" s="158" t="n"/>
      <c r="I1272" s="158" t="n"/>
      <c r="J1272" s="159" t="n"/>
    </row>
    <row r="1273">
      <c r="B1273" s="158" t="n"/>
      <c r="C1273" s="158" t="n"/>
      <c r="I1273" s="158" t="n"/>
      <c r="J1273" s="159" t="n"/>
    </row>
    <row r="1274">
      <c r="B1274" s="158" t="n"/>
      <c r="C1274" s="158" t="n"/>
      <c r="I1274" s="158" t="n"/>
      <c r="J1274" s="159" t="n"/>
    </row>
    <row r="1275">
      <c r="B1275" s="158" t="n"/>
      <c r="C1275" s="158" t="n"/>
      <c r="I1275" s="158" t="n"/>
      <c r="J1275" s="159" t="n"/>
    </row>
    <row r="1276">
      <c r="B1276" s="158" t="n"/>
      <c r="C1276" s="158" t="n"/>
      <c r="I1276" s="158" t="n"/>
      <c r="J1276" s="159" t="n"/>
    </row>
    <row r="1277">
      <c r="B1277" s="158" t="n"/>
      <c r="C1277" s="158" t="n"/>
      <c r="I1277" s="158" t="n"/>
      <c r="J1277" s="159" t="n"/>
    </row>
    <row r="1278">
      <c r="B1278" s="158" t="n"/>
      <c r="C1278" s="158" t="n"/>
      <c r="I1278" s="158" t="n"/>
      <c r="J1278" s="159" t="n"/>
    </row>
    <row r="1279">
      <c r="B1279" s="158" t="n"/>
      <c r="C1279" s="158" t="n"/>
      <c r="I1279" s="158" t="n"/>
      <c r="J1279" s="159" t="n"/>
    </row>
    <row r="1280">
      <c r="B1280" s="158" t="n"/>
      <c r="C1280" s="158" t="n"/>
      <c r="I1280" s="158" t="n"/>
      <c r="J1280" s="159" t="n"/>
    </row>
    <row r="1281">
      <c r="B1281" s="158" t="n"/>
      <c r="C1281" s="158" t="n"/>
      <c r="I1281" s="158" t="n"/>
      <c r="J1281" s="159" t="n"/>
    </row>
    <row r="1282">
      <c r="B1282" s="158" t="n"/>
      <c r="C1282" s="158" t="n"/>
      <c r="I1282" s="158" t="n"/>
      <c r="J1282" s="159" t="n"/>
    </row>
    <row r="1283">
      <c r="B1283" s="158" t="n"/>
      <c r="C1283" s="158" t="n"/>
      <c r="I1283" s="158" t="n"/>
      <c r="J1283" s="159" t="n"/>
    </row>
    <row r="1284">
      <c r="B1284" s="158" t="n"/>
      <c r="C1284" s="158" t="n"/>
      <c r="I1284" s="158" t="n"/>
      <c r="J1284" s="159" t="n"/>
    </row>
    <row r="1285">
      <c r="B1285" s="158" t="n"/>
      <c r="C1285" s="158" t="n"/>
      <c r="I1285" s="158" t="n"/>
      <c r="J1285" s="159" t="n"/>
    </row>
    <row r="1286">
      <c r="B1286" s="158" t="n"/>
      <c r="C1286" s="158" t="n"/>
      <c r="I1286" s="158" t="n"/>
      <c r="J1286" s="159" t="n"/>
    </row>
    <row r="1287">
      <c r="B1287" s="158" t="n"/>
      <c r="C1287" s="158" t="n"/>
      <c r="I1287" s="158" t="n"/>
      <c r="J1287" s="159" t="n"/>
    </row>
    <row r="1288">
      <c r="B1288" s="158" t="n"/>
      <c r="C1288" s="158" t="n"/>
      <c r="I1288" s="158" t="n"/>
      <c r="J1288" s="159" t="n"/>
    </row>
    <row r="1289">
      <c r="B1289" s="158" t="n"/>
      <c r="C1289" s="158" t="n"/>
      <c r="I1289" s="158" t="n"/>
      <c r="J1289" s="159" t="n"/>
    </row>
    <row r="1290">
      <c r="B1290" s="158" t="n"/>
      <c r="C1290" s="158" t="n"/>
      <c r="I1290" s="158" t="n"/>
      <c r="J1290" s="159" t="n"/>
    </row>
    <row r="1291">
      <c r="B1291" s="158" t="n"/>
      <c r="C1291" s="158" t="n"/>
      <c r="I1291" s="158" t="n"/>
      <c r="J1291" s="159" t="n"/>
    </row>
    <row r="1292">
      <c r="B1292" s="158" t="n"/>
      <c r="C1292" s="158" t="n"/>
      <c r="I1292" s="158" t="n"/>
      <c r="J1292" s="159" t="n"/>
    </row>
    <row r="1293">
      <c r="B1293" s="158" t="n"/>
      <c r="C1293" s="158" t="n"/>
      <c r="I1293" s="158" t="n"/>
      <c r="J1293" s="159" t="n"/>
    </row>
    <row r="1294">
      <c r="B1294" s="158" t="n"/>
      <c r="C1294" s="158" t="n"/>
      <c r="I1294" s="158" t="n"/>
      <c r="J1294" s="159" t="n"/>
    </row>
    <row r="1295">
      <c r="B1295" s="158" t="n"/>
      <c r="C1295" s="158" t="n"/>
      <c r="I1295" s="158" t="n"/>
      <c r="J1295" s="159" t="n"/>
    </row>
    <row r="1296">
      <c r="B1296" s="158" t="n"/>
      <c r="C1296" s="158" t="n"/>
      <c r="I1296" s="158" t="n"/>
      <c r="J1296" s="159" t="n"/>
    </row>
    <row r="1297">
      <c r="B1297" s="158" t="n"/>
      <c r="C1297" s="158" t="n"/>
      <c r="I1297" s="158" t="n"/>
      <c r="J1297" s="159" t="n"/>
    </row>
    <row r="1298">
      <c r="B1298" s="158" t="n"/>
      <c r="C1298" s="158" t="n"/>
      <c r="I1298" s="158" t="n"/>
      <c r="J1298" s="159" t="n"/>
    </row>
    <row r="1299">
      <c r="B1299" s="158" t="n"/>
      <c r="C1299" s="158" t="n"/>
      <c r="I1299" s="158" t="n"/>
      <c r="J1299" s="159" t="n"/>
    </row>
    <row r="1300">
      <c r="B1300" s="158" t="n"/>
      <c r="C1300" s="158" t="n"/>
      <c r="I1300" s="158" t="n"/>
      <c r="J1300" s="159" t="n"/>
    </row>
    <row r="1301">
      <c r="B1301" s="158" t="n"/>
      <c r="C1301" s="158" t="n"/>
      <c r="I1301" s="158" t="n"/>
      <c r="J1301" s="159" t="n"/>
    </row>
    <row r="1302">
      <c r="B1302" s="158" t="n"/>
      <c r="C1302" s="158" t="n"/>
      <c r="I1302" s="158" t="n"/>
      <c r="J1302" s="159" t="n"/>
    </row>
    <row r="1303">
      <c r="B1303" s="158" t="n"/>
      <c r="C1303" s="158" t="n"/>
      <c r="I1303" s="158" t="n"/>
      <c r="J1303" s="159" t="n"/>
    </row>
    <row r="1304">
      <c r="B1304" s="158" t="n"/>
      <c r="C1304" s="158" t="n"/>
      <c r="I1304" s="158" t="n"/>
      <c r="J1304" s="159" t="n"/>
    </row>
    <row r="1305">
      <c r="B1305" s="158" t="n"/>
      <c r="C1305" s="158" t="n"/>
      <c r="I1305" s="158" t="n"/>
      <c r="J1305" s="159" t="n"/>
    </row>
    <row r="1306">
      <c r="B1306" s="158" t="n"/>
      <c r="C1306" s="158" t="n"/>
      <c r="I1306" s="158" t="n"/>
      <c r="J1306" s="159" t="n"/>
    </row>
    <row r="1307">
      <c r="B1307" s="158" t="n"/>
      <c r="C1307" s="158" t="n"/>
      <c r="I1307" s="158" t="n"/>
      <c r="J1307" s="159" t="n"/>
    </row>
    <row r="1308">
      <c r="B1308" s="158" t="n"/>
      <c r="C1308" s="158" t="n"/>
      <c r="I1308" s="158" t="n"/>
      <c r="J1308" s="159" t="n"/>
    </row>
    <row r="1309">
      <c r="B1309" s="158" t="n"/>
      <c r="C1309" s="158" t="n"/>
      <c r="I1309" s="158" t="n"/>
      <c r="J1309" s="159" t="n"/>
    </row>
    <row r="1310">
      <c r="B1310" s="158" t="n"/>
      <c r="C1310" s="158" t="n"/>
      <c r="I1310" s="158" t="n"/>
      <c r="J1310" s="159" t="n"/>
    </row>
    <row r="1311">
      <c r="B1311" s="158" t="n"/>
      <c r="C1311" s="158" t="n"/>
      <c r="I1311" s="158" t="n"/>
      <c r="J1311" s="159" t="n"/>
    </row>
    <row r="1312">
      <c r="B1312" s="158" t="n"/>
      <c r="C1312" s="158" t="n"/>
      <c r="I1312" s="158" t="n"/>
      <c r="J1312" s="159" t="n"/>
    </row>
    <row r="1313">
      <c r="B1313" s="158" t="n"/>
      <c r="C1313" s="158" t="n"/>
      <c r="I1313" s="158" t="n"/>
      <c r="J1313" s="159" t="n"/>
    </row>
    <row r="1314">
      <c r="B1314" s="158" t="n"/>
      <c r="C1314" s="158" t="n"/>
      <c r="I1314" s="158" t="n"/>
      <c r="J1314" s="159" t="n"/>
    </row>
    <row r="1315">
      <c r="B1315" s="158" t="n"/>
      <c r="C1315" s="158" t="n"/>
      <c r="I1315" s="158" t="n"/>
      <c r="J1315" s="159" t="n"/>
    </row>
    <row r="1316">
      <c r="B1316" s="158" t="n"/>
      <c r="C1316" s="158" t="n"/>
      <c r="I1316" s="158" t="n"/>
      <c r="J1316" s="159" t="n"/>
    </row>
    <row r="1317">
      <c r="B1317" s="158" t="n"/>
      <c r="C1317" s="158" t="n"/>
      <c r="I1317" s="158" t="n"/>
      <c r="J1317" s="159" t="n"/>
    </row>
    <row r="1318">
      <c r="B1318" s="158" t="n"/>
      <c r="C1318" s="158" t="n"/>
      <c r="I1318" s="158" t="n"/>
      <c r="J1318" s="159" t="n"/>
    </row>
    <row r="1319">
      <c r="B1319" s="158" t="n"/>
      <c r="C1319" s="158" t="n"/>
      <c r="I1319" s="158" t="n"/>
      <c r="J1319" s="159" t="n"/>
    </row>
    <row r="1320">
      <c r="B1320" s="158" t="n"/>
      <c r="C1320" s="158" t="n"/>
      <c r="I1320" s="158" t="n"/>
      <c r="J1320" s="159" t="n"/>
    </row>
    <row r="1321">
      <c r="B1321" s="158" t="n"/>
      <c r="C1321" s="158" t="n"/>
      <c r="I1321" s="158" t="n"/>
      <c r="J1321" s="159" t="n"/>
    </row>
    <row r="1322">
      <c r="B1322" s="158" t="n"/>
      <c r="C1322" s="158" t="n"/>
      <c r="I1322" s="158" t="n"/>
      <c r="J1322" s="159" t="n"/>
    </row>
    <row r="1323">
      <c r="B1323" s="158" t="n"/>
      <c r="C1323" s="158" t="n"/>
      <c r="I1323" s="158" t="n"/>
      <c r="J1323" s="159" t="n"/>
    </row>
    <row r="1324">
      <c r="B1324" s="158" t="n"/>
      <c r="C1324" s="158" t="n"/>
      <c r="I1324" s="158" t="n"/>
      <c r="J1324" s="159" t="n"/>
    </row>
    <row r="1325">
      <c r="B1325" s="158" t="n"/>
      <c r="C1325" s="158" t="n"/>
      <c r="I1325" s="158" t="n"/>
      <c r="J1325" s="159" t="n"/>
    </row>
    <row r="1326">
      <c r="B1326" s="158" t="n"/>
      <c r="C1326" s="158" t="n"/>
      <c r="I1326" s="158" t="n"/>
      <c r="J1326" s="159" t="n"/>
    </row>
    <row r="1327">
      <c r="B1327" s="158" t="n"/>
      <c r="C1327" s="158" t="n"/>
      <c r="I1327" s="158" t="n"/>
      <c r="J1327" s="159" t="n"/>
    </row>
    <row r="1328">
      <c r="B1328" s="158" t="n"/>
      <c r="C1328" s="158" t="n"/>
      <c r="I1328" s="158" t="n"/>
      <c r="J1328" s="159" t="n"/>
    </row>
    <row r="1329">
      <c r="B1329" s="158" t="n"/>
      <c r="C1329" s="158" t="n"/>
      <c r="I1329" s="158" t="n"/>
      <c r="J1329" s="159" t="n"/>
    </row>
    <row r="1330">
      <c r="B1330" s="158" t="n"/>
      <c r="C1330" s="158" t="n"/>
      <c r="I1330" s="158" t="n"/>
      <c r="J1330" s="159" t="n"/>
    </row>
    <row r="1331">
      <c r="B1331" s="158" t="n"/>
      <c r="C1331" s="158" t="n"/>
      <c r="I1331" s="158" t="n"/>
      <c r="J1331" s="159" t="n"/>
    </row>
    <row r="1332">
      <c r="B1332" s="158" t="n"/>
      <c r="C1332" s="158" t="n"/>
      <c r="I1332" s="158" t="n"/>
      <c r="J1332" s="159" t="n"/>
    </row>
    <row r="1333">
      <c r="B1333" s="158" t="n"/>
      <c r="C1333" s="158" t="n"/>
      <c r="I1333" s="158" t="n"/>
      <c r="J1333" s="159" t="n"/>
    </row>
    <row r="1334">
      <c r="B1334" s="158" t="n"/>
      <c r="C1334" s="158" t="n"/>
      <c r="I1334" s="158" t="n"/>
      <c r="J1334" s="159" t="n"/>
    </row>
    <row r="1335">
      <c r="B1335" s="158" t="n"/>
      <c r="C1335" s="158" t="n"/>
      <c r="I1335" s="158" t="n"/>
      <c r="J1335" s="159" t="n"/>
    </row>
    <row r="1336">
      <c r="B1336" s="158" t="n"/>
      <c r="C1336" s="158" t="n"/>
      <c r="I1336" s="158" t="n"/>
      <c r="J1336" s="159" t="n"/>
    </row>
    <row r="1337">
      <c r="B1337" s="158" t="n"/>
      <c r="C1337" s="158" t="n"/>
      <c r="I1337" s="158" t="n"/>
      <c r="J1337" s="159" t="n"/>
    </row>
    <row r="1338">
      <c r="B1338" s="158" t="n"/>
      <c r="C1338" s="158" t="n"/>
      <c r="I1338" s="158" t="n"/>
      <c r="J1338" s="159" t="n"/>
    </row>
    <row r="1339">
      <c r="B1339" s="158" t="n"/>
      <c r="C1339" s="158" t="n"/>
      <c r="I1339" s="158" t="n"/>
      <c r="J1339" s="159" t="n"/>
    </row>
    <row r="1340">
      <c r="B1340" s="158" t="n"/>
      <c r="C1340" s="158" t="n"/>
      <c r="I1340" s="158" t="n"/>
      <c r="J1340" s="159" t="n"/>
    </row>
    <row r="1341">
      <c r="B1341" s="158" t="n"/>
      <c r="C1341" s="158" t="n"/>
      <c r="I1341" s="158" t="n"/>
      <c r="J1341" s="159" t="n"/>
    </row>
    <row r="1342">
      <c r="B1342" s="158" t="n"/>
      <c r="C1342" s="158" t="n"/>
      <c r="I1342" s="158" t="n"/>
      <c r="J1342" s="159" t="n"/>
    </row>
    <row r="1343">
      <c r="B1343" s="158" t="n"/>
      <c r="C1343" s="158" t="n"/>
      <c r="I1343" s="158" t="n"/>
      <c r="J1343" s="159" t="n"/>
    </row>
    <row r="1344">
      <c r="B1344" s="158" t="n"/>
      <c r="C1344" s="158" t="n"/>
      <c r="I1344" s="158" t="n"/>
      <c r="J1344" s="159" t="n"/>
    </row>
    <row r="1345">
      <c r="B1345" s="158" t="n"/>
      <c r="C1345" s="158" t="n"/>
      <c r="I1345" s="158" t="n"/>
      <c r="J1345" s="159" t="n"/>
    </row>
    <row r="1346">
      <c r="B1346" s="158" t="n"/>
      <c r="C1346" s="158" t="n"/>
      <c r="I1346" s="158" t="n"/>
      <c r="J1346" s="159" t="n"/>
    </row>
    <row r="1347">
      <c r="B1347" s="158" t="n"/>
      <c r="C1347" s="158" t="n"/>
      <c r="I1347" s="158" t="n"/>
      <c r="J1347" s="159" t="n"/>
    </row>
    <row r="1348">
      <c r="B1348" s="158" t="n"/>
      <c r="C1348" s="158" t="n"/>
      <c r="I1348" s="158" t="n"/>
      <c r="J1348" s="159" t="n"/>
    </row>
    <row r="1349">
      <c r="B1349" s="158" t="n"/>
      <c r="C1349" s="158" t="n"/>
      <c r="I1349" s="158" t="n"/>
      <c r="J1349" s="159" t="n"/>
    </row>
    <row r="1350">
      <c r="B1350" s="158" t="n"/>
      <c r="C1350" s="158" t="n"/>
      <c r="I1350" s="158" t="n"/>
      <c r="J1350" s="159" t="n"/>
    </row>
    <row r="1351">
      <c r="B1351" s="158" t="n"/>
      <c r="C1351" s="158" t="n"/>
      <c r="I1351" s="158" t="n"/>
      <c r="J1351" s="159" t="n"/>
    </row>
    <row r="1352">
      <c r="B1352" s="158" t="n"/>
      <c r="C1352" s="158" t="n"/>
      <c r="I1352" s="158" t="n"/>
      <c r="J1352" s="159" t="n"/>
    </row>
    <row r="1353">
      <c r="B1353" s="158" t="n"/>
      <c r="C1353" s="158" t="n"/>
      <c r="I1353" s="158" t="n"/>
      <c r="J1353" s="159" t="n"/>
    </row>
    <row r="1354">
      <c r="B1354" s="158" t="n"/>
      <c r="C1354" s="158" t="n"/>
      <c r="I1354" s="158" t="n"/>
      <c r="J1354" s="159" t="n"/>
    </row>
    <row r="1355">
      <c r="B1355" s="158" t="n"/>
      <c r="C1355" s="158" t="n"/>
      <c r="I1355" s="158" t="n"/>
      <c r="J1355" s="159" t="n"/>
    </row>
    <row r="1356">
      <c r="B1356" s="158" t="n"/>
      <c r="C1356" s="158" t="n"/>
      <c r="I1356" s="158" t="n"/>
      <c r="J1356" s="159" t="n"/>
    </row>
    <row r="1357">
      <c r="B1357" s="158" t="n"/>
      <c r="C1357" s="158" t="n"/>
      <c r="I1357" s="158" t="n"/>
      <c r="J1357" s="159" t="n"/>
    </row>
    <row r="1358">
      <c r="B1358" s="158" t="n"/>
      <c r="C1358" s="158" t="n"/>
      <c r="I1358" s="158" t="n"/>
      <c r="J1358" s="159" t="n"/>
    </row>
    <row r="1359">
      <c r="B1359" s="158" t="n"/>
      <c r="C1359" s="158" t="n"/>
      <c r="I1359" s="158" t="n"/>
      <c r="J1359" s="159" t="n"/>
    </row>
    <row r="1360">
      <c r="B1360" s="158" t="n"/>
      <c r="C1360" s="158" t="n"/>
      <c r="I1360" s="158" t="n"/>
      <c r="J1360" s="159" t="n"/>
    </row>
    <row r="1361">
      <c r="B1361" s="158" t="n"/>
      <c r="C1361" s="158" t="n"/>
      <c r="I1361" s="158" t="n"/>
      <c r="J1361" s="159" t="n"/>
    </row>
    <row r="1362">
      <c r="B1362" s="158" t="n"/>
      <c r="C1362" s="158" t="n"/>
      <c r="I1362" s="158" t="n"/>
      <c r="J1362" s="159" t="n"/>
    </row>
    <row r="1363">
      <c r="B1363" s="158" t="n"/>
      <c r="C1363" s="158" t="n"/>
      <c r="I1363" s="158" t="n"/>
      <c r="J1363" s="159" t="n"/>
    </row>
    <row r="1364">
      <c r="B1364" s="158" t="n"/>
      <c r="C1364" s="158" t="n"/>
      <c r="I1364" s="158" t="n"/>
      <c r="J1364" s="159" t="n"/>
    </row>
    <row r="1365">
      <c r="B1365" s="158" t="n"/>
      <c r="C1365" s="158" t="n"/>
      <c r="I1365" s="158" t="n"/>
      <c r="J1365" s="159" t="n"/>
    </row>
    <row r="1366">
      <c r="B1366" s="158" t="n"/>
      <c r="C1366" s="158" t="n"/>
      <c r="I1366" s="158" t="n"/>
      <c r="J1366" s="159" t="n"/>
    </row>
    <row r="1367">
      <c r="B1367" s="158" t="n"/>
      <c r="C1367" s="158" t="n"/>
      <c r="I1367" s="158" t="n"/>
      <c r="J1367" s="159" t="n"/>
    </row>
    <row r="1368">
      <c r="B1368" s="158" t="n"/>
      <c r="C1368" s="158" t="n"/>
      <c r="I1368" s="158" t="n"/>
      <c r="J1368" s="159" t="n"/>
    </row>
    <row r="1369">
      <c r="B1369" s="158" t="n"/>
      <c r="C1369" s="158" t="n"/>
      <c r="I1369" s="158" t="n"/>
      <c r="J1369" s="159" t="n"/>
    </row>
    <row r="1370">
      <c r="B1370" s="158" t="n"/>
      <c r="C1370" s="158" t="n"/>
      <c r="I1370" s="158" t="n"/>
      <c r="J1370" s="159" t="n"/>
    </row>
    <row r="1371">
      <c r="B1371" s="158" t="n"/>
      <c r="C1371" s="158" t="n"/>
      <c r="I1371" s="158" t="n"/>
      <c r="J1371" s="159" t="n"/>
    </row>
    <row r="1372">
      <c r="B1372" s="158" t="n"/>
      <c r="C1372" s="158" t="n"/>
      <c r="I1372" s="158" t="n"/>
      <c r="J1372" s="159" t="n"/>
    </row>
    <row r="1373">
      <c r="B1373" s="158" t="n"/>
      <c r="C1373" s="158" t="n"/>
      <c r="I1373" s="158" t="n"/>
      <c r="J1373" s="159" t="n"/>
    </row>
    <row r="1374">
      <c r="B1374" s="158" t="n"/>
      <c r="C1374" s="158" t="n"/>
      <c r="I1374" s="158" t="n"/>
      <c r="J1374" s="159" t="n"/>
    </row>
    <row r="1375">
      <c r="B1375" s="158" t="n"/>
      <c r="C1375" s="158" t="n"/>
      <c r="I1375" s="158" t="n"/>
      <c r="J1375" s="159" t="n"/>
    </row>
    <row r="1376">
      <c r="B1376" s="158" t="n"/>
      <c r="C1376" s="158" t="n"/>
      <c r="I1376" s="158" t="n"/>
      <c r="J1376" s="159" t="n"/>
    </row>
    <row r="1377">
      <c r="B1377" s="158" t="n"/>
      <c r="C1377" s="158" t="n"/>
      <c r="I1377" s="158" t="n"/>
      <c r="J1377" s="159" t="n"/>
    </row>
    <row r="1378">
      <c r="B1378" s="158" t="n"/>
      <c r="C1378" s="158" t="n"/>
      <c r="I1378" s="158" t="n"/>
      <c r="J1378" s="159" t="n"/>
    </row>
    <row r="1379">
      <c r="B1379" s="158" t="n"/>
      <c r="C1379" s="158" t="n"/>
      <c r="I1379" s="158" t="n"/>
      <c r="J1379" s="159" t="n"/>
    </row>
    <row r="1380">
      <c r="B1380" s="158" t="n"/>
      <c r="C1380" s="158" t="n"/>
      <c r="I1380" s="158" t="n"/>
      <c r="J1380" s="159" t="n"/>
    </row>
    <row r="1381">
      <c r="B1381" s="158" t="n"/>
      <c r="C1381" s="158" t="n"/>
      <c r="I1381" s="158" t="n"/>
      <c r="J1381" s="159" t="n"/>
    </row>
    <row r="1382">
      <c r="B1382" s="158" t="n"/>
      <c r="C1382" s="158" t="n"/>
      <c r="I1382" s="158" t="n"/>
      <c r="J1382" s="159" t="n"/>
    </row>
    <row r="1383">
      <c r="B1383" s="158" t="n"/>
      <c r="C1383" s="158" t="n"/>
      <c r="I1383" s="158" t="n"/>
      <c r="J1383" s="159" t="n"/>
    </row>
    <row r="1384">
      <c r="B1384" s="158" t="n"/>
      <c r="C1384" s="158" t="n"/>
      <c r="I1384" s="158" t="n"/>
      <c r="J1384" s="159" t="n"/>
    </row>
    <row r="1385">
      <c r="B1385" s="158" t="n"/>
      <c r="C1385" s="158" t="n"/>
      <c r="I1385" s="158" t="n"/>
      <c r="J1385" s="159" t="n"/>
    </row>
    <row r="1386">
      <c r="B1386" s="158" t="n"/>
      <c r="C1386" s="158" t="n"/>
      <c r="I1386" s="158" t="n"/>
      <c r="J1386" s="159" t="n"/>
    </row>
    <row r="1387">
      <c r="B1387" s="158" t="n"/>
      <c r="C1387" s="158" t="n"/>
      <c r="I1387" s="158" t="n"/>
      <c r="J1387" s="159" t="n"/>
    </row>
    <row r="1388">
      <c r="B1388" s="158" t="n"/>
      <c r="C1388" s="158" t="n"/>
      <c r="I1388" s="158" t="n"/>
      <c r="J1388" s="159" t="n"/>
    </row>
    <row r="1389">
      <c r="B1389" s="158" t="n"/>
      <c r="C1389" s="158" t="n"/>
      <c r="I1389" s="158" t="n"/>
      <c r="J1389" s="159" t="n"/>
    </row>
    <row r="1390">
      <c r="B1390" s="158" t="n"/>
      <c r="C1390" s="158" t="n"/>
      <c r="I1390" s="158" t="n"/>
      <c r="J1390" s="159" t="n"/>
    </row>
    <row r="1391">
      <c r="B1391" s="158" t="n"/>
      <c r="C1391" s="158" t="n"/>
      <c r="I1391" s="158" t="n"/>
      <c r="J1391" s="159" t="n"/>
    </row>
    <row r="1392">
      <c r="B1392" s="158" t="n"/>
      <c r="C1392" s="158" t="n"/>
      <c r="I1392" s="158" t="n"/>
      <c r="J1392" s="159" t="n"/>
    </row>
    <row r="1393">
      <c r="B1393" s="158" t="n"/>
      <c r="C1393" s="158" t="n"/>
      <c r="I1393" s="158" t="n"/>
      <c r="J1393" s="159" t="n"/>
    </row>
    <row r="1394">
      <c r="B1394" s="158" t="n"/>
      <c r="C1394" s="158" t="n"/>
      <c r="I1394" s="158" t="n"/>
      <c r="J1394" s="159" t="n"/>
    </row>
    <row r="1395">
      <c r="B1395" s="158" t="n"/>
      <c r="C1395" s="158" t="n"/>
      <c r="I1395" s="158" t="n"/>
      <c r="J1395" s="159" t="n"/>
    </row>
    <row r="1396">
      <c r="B1396" s="158" t="n"/>
      <c r="C1396" s="158" t="n"/>
      <c r="I1396" s="158" t="n"/>
      <c r="J1396" s="159" t="n"/>
    </row>
    <row r="1397">
      <c r="B1397" s="158" t="n"/>
      <c r="C1397" s="158" t="n"/>
      <c r="I1397" s="158" t="n"/>
      <c r="J1397" s="159" t="n"/>
    </row>
    <row r="1398">
      <c r="B1398" s="158" t="n"/>
      <c r="C1398" s="158" t="n"/>
      <c r="I1398" s="158" t="n"/>
      <c r="J1398" s="159" t="n"/>
    </row>
    <row r="1399">
      <c r="B1399" s="158" t="n"/>
      <c r="C1399" s="158" t="n"/>
      <c r="I1399" s="158" t="n"/>
      <c r="J1399" s="159" t="n"/>
    </row>
    <row r="1400">
      <c r="B1400" s="158" t="n"/>
      <c r="C1400" s="158" t="n"/>
      <c r="I1400" s="158" t="n"/>
      <c r="J1400" s="159" t="n"/>
    </row>
    <row r="1401">
      <c r="B1401" s="158" t="n"/>
      <c r="C1401" s="158" t="n"/>
      <c r="I1401" s="158" t="n"/>
      <c r="J1401" s="159" t="n"/>
    </row>
    <row r="1402">
      <c r="B1402" s="158" t="n"/>
      <c r="C1402" s="158" t="n"/>
      <c r="I1402" s="158" t="n"/>
      <c r="J1402" s="159" t="n"/>
    </row>
    <row r="1403">
      <c r="B1403" s="158" t="n"/>
      <c r="C1403" s="158" t="n"/>
      <c r="I1403" s="158" t="n"/>
      <c r="J1403" s="159" t="n"/>
    </row>
    <row r="1404">
      <c r="B1404" s="158" t="n"/>
      <c r="C1404" s="158" t="n"/>
      <c r="I1404" s="158" t="n"/>
      <c r="J1404" s="159" t="n"/>
    </row>
    <row r="1405">
      <c r="B1405" s="158" t="n"/>
      <c r="C1405" s="158" t="n"/>
      <c r="I1405" s="158" t="n"/>
      <c r="J1405" s="159" t="n"/>
    </row>
    <row r="1406">
      <c r="B1406" s="158" t="n"/>
      <c r="C1406" s="158" t="n"/>
      <c r="I1406" s="158" t="n"/>
      <c r="J1406" s="159" t="n"/>
    </row>
    <row r="1407">
      <c r="B1407" s="158" t="n"/>
      <c r="C1407" s="158" t="n"/>
      <c r="I1407" s="158" t="n"/>
      <c r="J1407" s="159" t="n"/>
    </row>
    <row r="1408">
      <c r="B1408" s="158" t="n"/>
      <c r="C1408" s="158" t="n"/>
      <c r="I1408" s="158" t="n"/>
      <c r="J1408" s="159" t="n"/>
    </row>
    <row r="1409">
      <c r="B1409" s="158" t="n"/>
      <c r="C1409" s="158" t="n"/>
      <c r="I1409" s="158" t="n"/>
      <c r="J1409" s="159" t="n"/>
    </row>
    <row r="1410">
      <c r="B1410" s="158" t="n"/>
      <c r="C1410" s="158" t="n"/>
      <c r="I1410" s="158" t="n"/>
      <c r="J1410" s="159" t="n"/>
    </row>
    <row r="1411">
      <c r="B1411" s="158" t="n"/>
      <c r="C1411" s="158" t="n"/>
      <c r="I1411" s="158" t="n"/>
      <c r="J1411" s="159" t="n"/>
    </row>
    <row r="1412">
      <c r="B1412" s="158" t="n"/>
      <c r="C1412" s="158" t="n"/>
      <c r="I1412" s="158" t="n"/>
      <c r="J1412" s="159" t="n"/>
    </row>
    <row r="1413">
      <c r="B1413" s="158" t="n"/>
      <c r="C1413" s="158" t="n"/>
      <c r="I1413" s="158" t="n"/>
      <c r="J1413" s="159" t="n"/>
    </row>
    <row r="1414">
      <c r="B1414" s="158" t="n"/>
      <c r="C1414" s="158" t="n"/>
      <c r="I1414" s="158" t="n"/>
      <c r="J1414" s="159" t="n"/>
    </row>
    <row r="1415">
      <c r="B1415" s="158" t="n"/>
      <c r="C1415" s="158" t="n"/>
      <c r="I1415" s="158" t="n"/>
      <c r="J1415" s="159" t="n"/>
    </row>
    <row r="1416">
      <c r="B1416" s="158" t="n"/>
      <c r="C1416" s="158" t="n"/>
      <c r="I1416" s="158" t="n"/>
      <c r="J1416" s="159" t="n"/>
    </row>
    <row r="1417">
      <c r="B1417" s="158" t="n"/>
      <c r="C1417" s="158" t="n"/>
      <c r="I1417" s="158" t="n"/>
      <c r="J1417" s="159" t="n"/>
    </row>
    <row r="1418">
      <c r="B1418" s="158" t="n"/>
      <c r="C1418" s="158" t="n"/>
      <c r="I1418" s="158" t="n"/>
      <c r="J1418" s="159" t="n"/>
    </row>
    <row r="1419">
      <c r="B1419" s="158" t="n"/>
      <c r="C1419" s="158" t="n"/>
      <c r="I1419" s="158" t="n"/>
      <c r="J1419" s="159" t="n"/>
    </row>
    <row r="1420">
      <c r="B1420" s="158" t="n"/>
      <c r="C1420" s="158" t="n"/>
      <c r="I1420" s="158" t="n"/>
      <c r="J1420" s="159" t="n"/>
    </row>
    <row r="1421">
      <c r="B1421" s="158" t="n"/>
      <c r="C1421" s="158" t="n"/>
      <c r="I1421" s="158" t="n"/>
      <c r="J1421" s="159" t="n"/>
    </row>
    <row r="1422">
      <c r="B1422" s="158" t="n"/>
      <c r="C1422" s="158" t="n"/>
      <c r="I1422" s="158" t="n"/>
      <c r="J1422" s="159" t="n"/>
    </row>
    <row r="1423">
      <c r="B1423" s="158" t="n"/>
      <c r="C1423" s="158" t="n"/>
      <c r="I1423" s="158" t="n"/>
      <c r="J1423" s="159" t="n"/>
    </row>
    <row r="1424">
      <c r="B1424" s="158" t="n"/>
      <c r="C1424" s="158" t="n"/>
      <c r="I1424" s="158" t="n"/>
      <c r="J1424" s="159" t="n"/>
    </row>
    <row r="1425">
      <c r="B1425" s="158" t="n"/>
      <c r="C1425" s="158" t="n"/>
      <c r="I1425" s="158" t="n"/>
      <c r="J1425" s="159" t="n"/>
    </row>
    <row r="1426">
      <c r="B1426" s="158" t="n"/>
      <c r="C1426" s="158" t="n"/>
      <c r="I1426" s="158" t="n"/>
      <c r="J1426" s="159" t="n"/>
    </row>
    <row r="1427">
      <c r="B1427" s="158" t="n"/>
      <c r="C1427" s="158" t="n"/>
      <c r="I1427" s="158" t="n"/>
      <c r="J1427" s="159" t="n"/>
    </row>
    <row r="1428">
      <c r="B1428" s="158" t="n"/>
      <c r="C1428" s="158" t="n"/>
      <c r="I1428" s="158" t="n"/>
      <c r="J1428" s="159" t="n"/>
    </row>
    <row r="1429">
      <c r="B1429" s="158" t="n"/>
      <c r="C1429" s="158" t="n"/>
      <c r="I1429" s="158" t="n"/>
      <c r="J1429" s="159" t="n"/>
    </row>
    <row r="1430">
      <c r="B1430" s="158" t="n"/>
      <c r="C1430" s="158" t="n"/>
      <c r="I1430" s="158" t="n"/>
      <c r="J1430" s="159" t="n"/>
    </row>
    <row r="1431">
      <c r="B1431" s="158" t="n"/>
      <c r="C1431" s="158" t="n"/>
      <c r="I1431" s="158" t="n"/>
      <c r="J1431" s="159" t="n"/>
    </row>
    <row r="1432">
      <c r="B1432" s="158" t="n"/>
      <c r="C1432" s="158" t="n"/>
      <c r="I1432" s="158" t="n"/>
      <c r="J1432" s="159" t="n"/>
    </row>
    <row r="1433">
      <c r="B1433" s="158" t="n"/>
      <c r="C1433" s="158" t="n"/>
      <c r="I1433" s="158" t="n"/>
      <c r="J1433" s="159" t="n"/>
    </row>
    <row r="1434">
      <c r="B1434" s="158" t="n"/>
      <c r="C1434" s="158" t="n"/>
      <c r="I1434" s="158" t="n"/>
      <c r="J1434" s="159" t="n"/>
    </row>
    <row r="1435">
      <c r="B1435" s="158" t="n"/>
      <c r="C1435" s="158" t="n"/>
      <c r="I1435" s="158" t="n"/>
      <c r="J1435" s="159" t="n"/>
    </row>
    <row r="1436">
      <c r="B1436" s="158" t="n"/>
      <c r="C1436" s="158" t="n"/>
      <c r="I1436" s="158" t="n"/>
      <c r="J1436" s="159" t="n"/>
    </row>
    <row r="1437">
      <c r="B1437" s="158" t="n"/>
      <c r="C1437" s="158" t="n"/>
      <c r="I1437" s="158" t="n"/>
      <c r="J1437" s="159" t="n"/>
    </row>
    <row r="1438">
      <c r="B1438" s="158" t="n"/>
      <c r="C1438" s="158" t="n"/>
      <c r="I1438" s="158" t="n"/>
      <c r="J1438" s="159" t="n"/>
    </row>
    <row r="1439">
      <c r="B1439" s="158" t="n"/>
      <c r="C1439" s="158" t="n"/>
      <c r="I1439" s="158" t="n"/>
      <c r="J1439" s="159" t="n"/>
    </row>
    <row r="1440">
      <c r="B1440" s="158" t="n"/>
      <c r="C1440" s="158" t="n"/>
      <c r="I1440" s="158" t="n"/>
      <c r="J1440" s="159" t="n"/>
    </row>
    <row r="1441">
      <c r="B1441" s="158" t="n"/>
      <c r="C1441" s="158" t="n"/>
      <c r="I1441" s="158" t="n"/>
      <c r="J1441" s="159" t="n"/>
    </row>
    <row r="1442">
      <c r="B1442" s="158" t="n"/>
      <c r="C1442" s="158" t="n"/>
      <c r="I1442" s="158" t="n"/>
      <c r="J1442" s="159" t="n"/>
    </row>
    <row r="1443">
      <c r="B1443" s="158" t="n"/>
      <c r="C1443" s="158" t="n"/>
      <c r="I1443" s="158" t="n"/>
      <c r="J1443" s="159" t="n"/>
    </row>
    <row r="1444">
      <c r="B1444" s="158" t="n"/>
      <c r="C1444" s="158" t="n"/>
      <c r="I1444" s="158" t="n"/>
      <c r="J1444" s="159" t="n"/>
    </row>
    <row r="1445">
      <c r="B1445" s="158" t="n"/>
      <c r="C1445" s="158" t="n"/>
      <c r="I1445" s="158" t="n"/>
      <c r="J1445" s="159" t="n"/>
    </row>
    <row r="1446">
      <c r="B1446" s="158" t="n"/>
      <c r="C1446" s="158" t="n"/>
      <c r="I1446" s="158" t="n"/>
      <c r="J1446" s="159" t="n"/>
    </row>
    <row r="1447">
      <c r="B1447" s="158" t="n"/>
      <c r="C1447" s="158" t="n"/>
      <c r="I1447" s="158" t="n"/>
      <c r="J1447" s="159" t="n"/>
    </row>
    <row r="1448">
      <c r="B1448" s="158" t="n"/>
      <c r="C1448" s="158" t="n"/>
      <c r="I1448" s="158" t="n"/>
      <c r="J1448" s="159" t="n"/>
    </row>
    <row r="1449">
      <c r="B1449" s="158" t="n"/>
      <c r="C1449" s="158" t="n"/>
      <c r="I1449" s="158" t="n"/>
      <c r="J1449" s="159" t="n"/>
    </row>
    <row r="1450">
      <c r="B1450" s="158" t="n"/>
      <c r="C1450" s="158" t="n"/>
      <c r="I1450" s="158" t="n"/>
      <c r="J1450" s="159" t="n"/>
    </row>
    <row r="1451">
      <c r="B1451" s="158" t="n"/>
      <c r="C1451" s="158" t="n"/>
      <c r="I1451" s="158" t="n"/>
      <c r="J1451" s="159" t="n"/>
    </row>
    <row r="1452">
      <c r="B1452" s="158" t="n"/>
      <c r="C1452" s="158" t="n"/>
      <c r="I1452" s="158" t="n"/>
      <c r="J1452" s="159" t="n"/>
    </row>
    <row r="1453">
      <c r="B1453" s="158" t="n"/>
      <c r="C1453" s="158" t="n"/>
      <c r="I1453" s="158" t="n"/>
      <c r="J1453" s="159" t="n"/>
    </row>
    <row r="1454">
      <c r="B1454" s="158" t="n"/>
      <c r="C1454" s="158" t="n"/>
      <c r="I1454" s="158" t="n"/>
      <c r="J1454" s="159" t="n"/>
    </row>
    <row r="1455">
      <c r="B1455" s="158" t="n"/>
      <c r="C1455" s="158" t="n"/>
      <c r="I1455" s="158" t="n"/>
      <c r="J1455" s="159" t="n"/>
    </row>
    <row r="1456">
      <c r="B1456" s="158" t="n"/>
      <c r="C1456" s="158" t="n"/>
      <c r="I1456" s="158" t="n"/>
      <c r="J1456" s="159" t="n"/>
    </row>
    <row r="1457">
      <c r="B1457" s="158" t="n"/>
      <c r="C1457" s="158" t="n"/>
      <c r="I1457" s="158" t="n"/>
      <c r="J1457" s="159" t="n"/>
    </row>
    <row r="1458">
      <c r="B1458" s="158" t="n"/>
      <c r="C1458" s="158" t="n"/>
      <c r="I1458" s="158" t="n"/>
      <c r="J1458" s="159" t="n"/>
    </row>
    <row r="1459">
      <c r="B1459" s="158" t="n"/>
      <c r="C1459" s="158" t="n"/>
      <c r="I1459" s="158" t="n"/>
      <c r="J1459" s="159" t="n"/>
    </row>
    <row r="1460">
      <c r="B1460" s="158" t="n"/>
      <c r="C1460" s="158" t="n"/>
      <c r="I1460" s="158" t="n"/>
      <c r="J1460" s="159" t="n"/>
    </row>
    <row r="1461">
      <c r="B1461" s="158" t="n"/>
      <c r="C1461" s="158" t="n"/>
      <c r="I1461" s="158" t="n"/>
      <c r="J1461" s="159" t="n"/>
    </row>
    <row r="1462">
      <c r="B1462" s="158" t="n"/>
      <c r="C1462" s="158" t="n"/>
      <c r="I1462" s="158" t="n"/>
      <c r="J1462" s="159" t="n"/>
    </row>
    <row r="1463">
      <c r="B1463" s="158" t="n"/>
      <c r="C1463" s="158" t="n"/>
      <c r="I1463" s="158" t="n"/>
      <c r="J1463" s="159" t="n"/>
    </row>
    <row r="1464">
      <c r="B1464" s="158" t="n"/>
      <c r="C1464" s="158" t="n"/>
      <c r="I1464" s="158" t="n"/>
      <c r="J1464" s="159" t="n"/>
    </row>
    <row r="1465">
      <c r="B1465" s="158" t="n"/>
      <c r="C1465" s="158" t="n"/>
      <c r="I1465" s="158" t="n"/>
      <c r="J1465" s="159" t="n"/>
    </row>
    <row r="1466">
      <c r="B1466" s="158" t="n"/>
      <c r="C1466" s="158" t="n"/>
      <c r="I1466" s="158" t="n"/>
      <c r="J1466" s="159" t="n"/>
    </row>
    <row r="1467">
      <c r="B1467" s="158" t="n"/>
      <c r="C1467" s="158" t="n"/>
      <c r="I1467" s="158" t="n"/>
      <c r="J1467" s="159" t="n"/>
    </row>
    <row r="1468">
      <c r="B1468" s="158" t="n"/>
      <c r="C1468" s="158" t="n"/>
      <c r="I1468" s="158" t="n"/>
      <c r="J1468" s="159" t="n"/>
    </row>
    <row r="1469">
      <c r="B1469" s="158" t="n"/>
      <c r="C1469" s="158" t="n"/>
      <c r="I1469" s="158" t="n"/>
      <c r="J1469" s="159" t="n"/>
    </row>
    <row r="1470">
      <c r="B1470" s="158" t="n"/>
      <c r="C1470" s="158" t="n"/>
      <c r="I1470" s="158" t="n"/>
      <c r="J1470" s="159" t="n"/>
    </row>
    <row r="1471">
      <c r="B1471" s="158" t="n"/>
      <c r="C1471" s="158" t="n"/>
      <c r="I1471" s="158" t="n"/>
      <c r="J1471" s="159" t="n"/>
    </row>
    <row r="1472">
      <c r="B1472" s="158" t="n"/>
      <c r="C1472" s="158" t="n"/>
      <c r="I1472" s="158" t="n"/>
      <c r="J1472" s="159" t="n"/>
    </row>
    <row r="1473">
      <c r="B1473" s="158" t="n"/>
      <c r="C1473" s="158" t="n"/>
      <c r="I1473" s="158" t="n"/>
      <c r="J1473" s="159" t="n"/>
    </row>
    <row r="1474">
      <c r="B1474" s="158" t="n"/>
      <c r="C1474" s="158" t="n"/>
      <c r="I1474" s="158" t="n"/>
      <c r="J1474" s="159" t="n"/>
    </row>
    <row r="1475">
      <c r="B1475" s="158" t="n"/>
      <c r="C1475" s="158" t="n"/>
      <c r="I1475" s="158" t="n"/>
      <c r="J1475" s="159" t="n"/>
    </row>
    <row r="1476">
      <c r="B1476" s="158" t="n"/>
      <c r="C1476" s="158" t="n"/>
      <c r="I1476" s="158" t="n"/>
      <c r="J1476" s="159" t="n"/>
    </row>
    <row r="1477">
      <c r="B1477" s="158" t="n"/>
      <c r="C1477" s="158" t="n"/>
      <c r="I1477" s="158" t="n"/>
      <c r="J1477" s="159" t="n"/>
    </row>
    <row r="1478">
      <c r="B1478" s="158" t="n"/>
      <c r="C1478" s="158" t="n"/>
      <c r="I1478" s="158" t="n"/>
      <c r="J1478" s="159" t="n"/>
    </row>
    <row r="1479">
      <c r="B1479" s="158" t="n"/>
      <c r="C1479" s="158" t="n"/>
      <c r="I1479" s="158" t="n"/>
      <c r="J1479" s="159" t="n"/>
    </row>
    <row r="1480">
      <c r="B1480" s="158" t="n"/>
      <c r="C1480" s="158" t="n"/>
      <c r="I1480" s="158" t="n"/>
      <c r="J1480" s="159" t="n"/>
    </row>
    <row r="1481">
      <c r="B1481" s="158" t="n"/>
      <c r="C1481" s="158" t="n"/>
      <c r="I1481" s="158" t="n"/>
      <c r="J1481" s="159" t="n"/>
    </row>
    <row r="1482">
      <c r="B1482" s="158" t="n"/>
      <c r="C1482" s="158" t="n"/>
      <c r="I1482" s="158" t="n"/>
      <c r="J1482" s="159" t="n"/>
    </row>
    <row r="1483">
      <c r="B1483" s="158" t="n"/>
      <c r="C1483" s="158" t="n"/>
      <c r="I1483" s="158" t="n"/>
      <c r="J1483" s="159" t="n"/>
    </row>
    <row r="1484">
      <c r="B1484" s="158" t="n"/>
      <c r="C1484" s="158" t="n"/>
      <c r="I1484" s="158" t="n"/>
      <c r="J1484" s="159" t="n"/>
    </row>
    <row r="1485">
      <c r="B1485" s="158" t="n"/>
      <c r="C1485" s="158" t="n"/>
      <c r="I1485" s="158" t="n"/>
      <c r="J1485" s="159" t="n"/>
    </row>
    <row r="1486">
      <c r="B1486" s="158" t="n"/>
      <c r="C1486" s="158" t="n"/>
      <c r="I1486" s="158" t="n"/>
      <c r="J1486" s="159" t="n"/>
    </row>
    <row r="1487">
      <c r="B1487" s="158" t="n"/>
      <c r="C1487" s="158" t="n"/>
      <c r="I1487" s="158" t="n"/>
      <c r="J1487" s="159" t="n"/>
    </row>
    <row r="1488">
      <c r="B1488" s="158" t="n"/>
      <c r="C1488" s="158" t="n"/>
      <c r="I1488" s="158" t="n"/>
      <c r="J1488" s="159" t="n"/>
    </row>
    <row r="1489">
      <c r="B1489" s="158" t="n"/>
      <c r="C1489" s="158" t="n"/>
      <c r="I1489" s="158" t="n"/>
      <c r="J1489" s="159" t="n"/>
    </row>
    <row r="1490">
      <c r="B1490" s="158" t="n"/>
      <c r="C1490" s="158" t="n"/>
      <c r="I1490" s="158" t="n"/>
      <c r="J1490" s="159" t="n"/>
    </row>
    <row r="1491">
      <c r="B1491" s="158" t="n"/>
      <c r="C1491" s="158" t="n"/>
      <c r="I1491" s="158" t="n"/>
      <c r="J1491" s="159" t="n"/>
    </row>
    <row r="1492">
      <c r="B1492" s="158" t="n"/>
      <c r="C1492" s="158" t="n"/>
      <c r="I1492" s="158" t="n"/>
      <c r="J1492" s="159" t="n"/>
    </row>
    <row r="1493">
      <c r="B1493" s="158" t="n"/>
      <c r="C1493" s="158" t="n"/>
      <c r="I1493" s="158" t="n"/>
      <c r="J1493" s="159" t="n"/>
    </row>
    <row r="1494">
      <c r="B1494" s="158" t="n"/>
      <c r="C1494" s="158" t="n"/>
      <c r="I1494" s="158" t="n"/>
      <c r="J1494" s="159" t="n"/>
    </row>
    <row r="1495">
      <c r="B1495" s="158" t="n"/>
      <c r="C1495" s="158" t="n"/>
      <c r="I1495" s="158" t="n"/>
      <c r="J1495" s="159" t="n"/>
    </row>
    <row r="1496">
      <c r="B1496" s="158" t="n"/>
      <c r="C1496" s="158" t="n"/>
      <c r="I1496" s="158" t="n"/>
      <c r="J1496" s="159" t="n"/>
    </row>
    <row r="1497">
      <c r="B1497" s="158" t="n"/>
      <c r="C1497" s="158" t="n"/>
      <c r="I1497" s="158" t="n"/>
      <c r="J1497" s="159" t="n"/>
    </row>
    <row r="1498">
      <c r="B1498" s="158" t="n"/>
      <c r="C1498" s="158" t="n"/>
      <c r="I1498" s="158" t="n"/>
      <c r="J1498" s="159" t="n"/>
    </row>
    <row r="1499">
      <c r="B1499" s="158" t="n"/>
      <c r="C1499" s="158" t="n"/>
      <c r="I1499" s="158" t="n"/>
      <c r="J1499" s="159" t="n"/>
    </row>
    <row r="1500">
      <c r="B1500" s="158" t="n"/>
      <c r="C1500" s="158" t="n"/>
      <c r="I1500" s="158" t="n"/>
      <c r="J1500" s="159" t="n"/>
    </row>
    <row r="1501">
      <c r="B1501" s="158" t="n"/>
      <c r="C1501" s="158" t="n"/>
      <c r="I1501" s="158" t="n"/>
      <c r="J1501" s="159" t="n"/>
    </row>
    <row r="1502">
      <c r="B1502" s="158" t="n"/>
      <c r="C1502" s="158" t="n"/>
      <c r="I1502" s="158" t="n"/>
      <c r="J1502" s="159" t="n"/>
    </row>
    <row r="1503">
      <c r="B1503" s="158" t="n"/>
      <c r="C1503" s="158" t="n"/>
      <c r="I1503" s="158" t="n"/>
      <c r="J1503" s="159" t="n"/>
    </row>
    <row r="1504">
      <c r="B1504" s="158" t="n"/>
      <c r="C1504" s="158" t="n"/>
      <c r="I1504" s="158" t="n"/>
      <c r="J1504" s="159" t="n"/>
    </row>
    <row r="1505">
      <c r="B1505" s="158" t="n"/>
      <c r="C1505" s="158" t="n"/>
      <c r="I1505" s="158" t="n"/>
      <c r="J1505" s="159" t="n"/>
    </row>
    <row r="1506">
      <c r="B1506" s="158" t="n"/>
      <c r="C1506" s="158" t="n"/>
      <c r="I1506" s="158" t="n"/>
      <c r="J1506" s="159" t="n"/>
    </row>
    <row r="1507">
      <c r="B1507" s="158" t="n"/>
      <c r="C1507" s="158" t="n"/>
      <c r="I1507" s="158" t="n"/>
      <c r="J1507" s="159" t="n"/>
    </row>
    <row r="1508">
      <c r="B1508" s="158" t="n"/>
      <c r="C1508" s="158" t="n"/>
      <c r="I1508" s="158" t="n"/>
      <c r="J1508" s="159" t="n"/>
    </row>
    <row r="1509">
      <c r="B1509" s="158" t="n"/>
      <c r="C1509" s="158" t="n"/>
      <c r="I1509" s="158" t="n"/>
      <c r="J1509" s="159" t="n"/>
    </row>
    <row r="1510">
      <c r="B1510" s="158" t="n"/>
      <c r="C1510" s="158" t="n"/>
      <c r="I1510" s="158" t="n"/>
      <c r="J1510" s="159" t="n"/>
    </row>
    <row r="1511">
      <c r="B1511" s="158" t="n"/>
      <c r="C1511" s="158" t="n"/>
      <c r="I1511" s="158" t="n"/>
      <c r="J1511" s="159" t="n"/>
    </row>
    <row r="1512">
      <c r="B1512" s="158" t="n"/>
      <c r="C1512" s="158" t="n"/>
      <c r="I1512" s="158" t="n"/>
      <c r="J1512" s="159" t="n"/>
    </row>
    <row r="1513">
      <c r="B1513" s="158" t="n"/>
      <c r="C1513" s="158" t="n"/>
      <c r="I1513" s="158" t="n"/>
      <c r="J1513" s="159" t="n"/>
    </row>
    <row r="1514">
      <c r="B1514" s="158" t="n"/>
      <c r="C1514" s="158" t="n"/>
      <c r="I1514" s="158" t="n"/>
      <c r="J1514" s="159" t="n"/>
    </row>
    <row r="1515">
      <c r="B1515" s="158" t="n"/>
      <c r="C1515" s="158" t="n"/>
      <c r="I1515" s="158" t="n"/>
      <c r="J1515" s="159" t="n"/>
    </row>
    <row r="1516">
      <c r="B1516" s="158" t="n"/>
      <c r="C1516" s="158" t="n"/>
      <c r="I1516" s="158" t="n"/>
      <c r="J1516" s="159" t="n"/>
    </row>
    <row r="1517">
      <c r="B1517" s="158" t="n"/>
      <c r="C1517" s="158" t="n"/>
      <c r="I1517" s="158" t="n"/>
      <c r="J1517" s="159" t="n"/>
    </row>
    <row r="1518">
      <c r="B1518" s="158" t="n"/>
      <c r="C1518" s="158" t="n"/>
      <c r="I1518" s="158" t="n"/>
      <c r="J1518" s="159" t="n"/>
    </row>
    <row r="1519">
      <c r="B1519" s="158" t="n"/>
      <c r="C1519" s="158" t="n"/>
      <c r="I1519" s="158" t="n"/>
      <c r="J1519" s="159" t="n"/>
    </row>
    <row r="1520">
      <c r="B1520" s="158" t="n"/>
      <c r="C1520" s="158" t="n"/>
      <c r="I1520" s="158" t="n"/>
      <c r="J1520" s="159" t="n"/>
    </row>
    <row r="1521">
      <c r="B1521" s="158" t="n"/>
      <c r="C1521" s="158" t="n"/>
      <c r="I1521" s="158" t="n"/>
      <c r="J1521" s="159" t="n"/>
    </row>
    <row r="1522">
      <c r="B1522" s="158" t="n"/>
      <c r="C1522" s="158" t="n"/>
      <c r="I1522" s="158" t="n"/>
      <c r="J1522" s="159" t="n"/>
    </row>
    <row r="1523">
      <c r="B1523" s="158" t="n"/>
      <c r="C1523" s="158" t="n"/>
      <c r="I1523" s="158" t="n"/>
      <c r="J1523" s="159" t="n"/>
    </row>
    <row r="1524">
      <c r="B1524" s="158" t="n"/>
      <c r="C1524" s="158" t="n"/>
      <c r="I1524" s="158" t="n"/>
      <c r="J1524" s="159" t="n"/>
    </row>
    <row r="1525">
      <c r="B1525" s="158" t="n"/>
      <c r="C1525" s="158" t="n"/>
      <c r="I1525" s="158" t="n"/>
      <c r="J1525" s="159" t="n"/>
    </row>
    <row r="1526">
      <c r="B1526" s="158" t="n"/>
      <c r="C1526" s="158" t="n"/>
      <c r="I1526" s="158" t="n"/>
      <c r="J1526" s="159" t="n"/>
    </row>
    <row r="1527">
      <c r="B1527" s="158" t="n"/>
      <c r="C1527" s="158" t="n"/>
      <c r="I1527" s="158" t="n"/>
      <c r="J1527" s="159" t="n"/>
    </row>
    <row r="1528">
      <c r="B1528" s="158" t="n"/>
      <c r="C1528" s="158" t="n"/>
      <c r="I1528" s="158" t="n"/>
      <c r="J1528" s="159" t="n"/>
    </row>
    <row r="1529">
      <c r="B1529" s="158" t="n"/>
      <c r="C1529" s="158" t="n"/>
      <c r="I1529" s="158" t="n"/>
      <c r="J1529" s="159" t="n"/>
    </row>
    <row r="1530">
      <c r="B1530" s="158" t="n"/>
      <c r="C1530" s="158" t="n"/>
      <c r="I1530" s="158" t="n"/>
      <c r="J1530" s="159" t="n"/>
    </row>
    <row r="1531">
      <c r="B1531" s="158" t="n"/>
      <c r="C1531" s="158" t="n"/>
      <c r="I1531" s="158" t="n"/>
      <c r="J1531" s="159" t="n"/>
    </row>
    <row r="1532">
      <c r="B1532" s="158" t="n"/>
      <c r="C1532" s="158" t="n"/>
      <c r="I1532" s="158" t="n"/>
      <c r="J1532" s="159" t="n"/>
    </row>
    <row r="1533">
      <c r="B1533" s="158" t="n"/>
      <c r="C1533" s="158" t="n"/>
      <c r="I1533" s="158" t="n"/>
      <c r="J1533" s="159" t="n"/>
    </row>
    <row r="1534">
      <c r="B1534" s="158" t="n"/>
      <c r="C1534" s="158" t="n"/>
      <c r="I1534" s="158" t="n"/>
      <c r="J1534" s="159" t="n"/>
    </row>
    <row r="1535">
      <c r="B1535" s="158" t="n"/>
      <c r="C1535" s="158" t="n"/>
      <c r="I1535" s="158" t="n"/>
      <c r="J1535" s="159" t="n"/>
    </row>
    <row r="1536">
      <c r="B1536" s="158" t="n"/>
      <c r="C1536" s="158" t="n"/>
      <c r="I1536" s="158" t="n"/>
      <c r="J1536" s="159" t="n"/>
    </row>
    <row r="1537">
      <c r="B1537" s="158" t="n"/>
      <c r="C1537" s="158" t="n"/>
      <c r="I1537" s="158" t="n"/>
      <c r="J1537" s="159" t="n"/>
    </row>
    <row r="1538">
      <c r="B1538" s="158" t="n"/>
      <c r="C1538" s="158" t="n"/>
      <c r="I1538" s="158" t="n"/>
      <c r="J1538" s="159" t="n"/>
    </row>
    <row r="1539">
      <c r="B1539" s="158" t="n"/>
      <c r="C1539" s="158" t="n"/>
      <c r="I1539" s="158" t="n"/>
      <c r="J1539" s="159" t="n"/>
    </row>
    <row r="1540">
      <c r="B1540" s="158" t="n"/>
      <c r="C1540" s="158" t="n"/>
      <c r="I1540" s="158" t="n"/>
      <c r="J1540" s="159" t="n"/>
    </row>
    <row r="1541">
      <c r="B1541" s="158" t="n"/>
      <c r="C1541" s="158" t="n"/>
      <c r="I1541" s="158" t="n"/>
      <c r="J1541" s="159" t="n"/>
    </row>
    <row r="1542">
      <c r="B1542" s="158" t="n"/>
      <c r="C1542" s="158" t="n"/>
      <c r="I1542" s="158" t="n"/>
      <c r="J1542" s="159" t="n"/>
    </row>
    <row r="1543">
      <c r="B1543" s="158" t="n"/>
      <c r="C1543" s="158" t="n"/>
      <c r="I1543" s="158" t="n"/>
      <c r="J1543" s="159" t="n"/>
    </row>
    <row r="1544">
      <c r="B1544" s="158" t="n"/>
      <c r="C1544" s="158" t="n"/>
      <c r="I1544" s="158" t="n"/>
      <c r="J1544" s="159" t="n"/>
    </row>
    <row r="1545">
      <c r="B1545" s="158" t="n"/>
      <c r="C1545" s="158" t="n"/>
      <c r="I1545" s="158" t="n"/>
      <c r="J1545" s="159" t="n"/>
    </row>
    <row r="1546">
      <c r="B1546" s="158" t="n"/>
      <c r="C1546" s="158" t="n"/>
      <c r="I1546" s="158" t="n"/>
      <c r="J1546" s="159" t="n"/>
    </row>
    <row r="1547">
      <c r="B1547" s="158" t="n"/>
      <c r="C1547" s="158" t="n"/>
      <c r="I1547" s="158" t="n"/>
      <c r="J1547" s="159" t="n"/>
    </row>
    <row r="1548">
      <c r="B1548" s="158" t="n"/>
      <c r="C1548" s="158" t="n"/>
      <c r="I1548" s="158" t="n"/>
      <c r="J1548" s="159" t="n"/>
    </row>
    <row r="1549">
      <c r="B1549" s="158" t="n"/>
      <c r="C1549" s="158" t="n"/>
      <c r="I1549" s="158" t="n"/>
      <c r="J1549" s="159" t="n"/>
    </row>
    <row r="1550">
      <c r="B1550" s="158" t="n"/>
      <c r="C1550" s="158" t="n"/>
      <c r="I1550" s="158" t="n"/>
      <c r="J1550" s="159" t="n"/>
    </row>
    <row r="1551">
      <c r="B1551" s="158" t="n"/>
      <c r="C1551" s="158" t="n"/>
      <c r="I1551" s="158" t="n"/>
      <c r="J1551" s="159" t="n"/>
    </row>
    <row r="1552">
      <c r="B1552" s="158" t="n"/>
      <c r="C1552" s="158" t="n"/>
      <c r="I1552" s="158" t="n"/>
      <c r="J1552" s="159" t="n"/>
    </row>
    <row r="1553">
      <c r="B1553" s="158" t="n"/>
      <c r="C1553" s="158" t="n"/>
      <c r="I1553" s="158" t="n"/>
      <c r="J1553" s="159" t="n"/>
    </row>
    <row r="1554">
      <c r="B1554" s="158" t="n"/>
      <c r="C1554" s="158" t="n"/>
      <c r="I1554" s="158" t="n"/>
      <c r="J1554" s="159" t="n"/>
    </row>
    <row r="1555">
      <c r="B1555" s="158" t="n"/>
      <c r="C1555" s="158" t="n"/>
      <c r="I1555" s="158" t="n"/>
      <c r="J1555" s="159" t="n"/>
    </row>
    <row r="1556">
      <c r="B1556" s="158" t="n"/>
      <c r="C1556" s="158" t="n"/>
      <c r="I1556" s="158" t="n"/>
      <c r="J1556" s="159" t="n"/>
    </row>
    <row r="1557">
      <c r="B1557" s="158" t="n"/>
      <c r="C1557" s="158" t="n"/>
      <c r="I1557" s="158" t="n"/>
      <c r="J1557" s="159" t="n"/>
    </row>
    <row r="1558">
      <c r="B1558" s="158" t="n"/>
      <c r="C1558" s="158" t="n"/>
      <c r="I1558" s="158" t="n"/>
      <c r="J1558" s="159" t="n"/>
    </row>
    <row r="1559">
      <c r="B1559" s="158" t="n"/>
      <c r="C1559" s="158" t="n"/>
      <c r="I1559" s="158" t="n"/>
      <c r="J1559" s="159" t="n"/>
    </row>
    <row r="1560">
      <c r="B1560" s="158" t="n"/>
      <c r="C1560" s="158" t="n"/>
      <c r="I1560" s="158" t="n"/>
      <c r="J1560" s="159" t="n"/>
    </row>
    <row r="1561">
      <c r="B1561" s="158" t="n"/>
      <c r="C1561" s="158" t="n"/>
      <c r="I1561" s="158" t="n"/>
      <c r="J1561" s="159" t="n"/>
    </row>
    <row r="1562">
      <c r="B1562" s="158" t="n"/>
      <c r="C1562" s="158" t="n"/>
      <c r="I1562" s="158" t="n"/>
      <c r="J1562" s="159" t="n"/>
    </row>
    <row r="1563">
      <c r="B1563" s="158" t="n"/>
      <c r="C1563" s="158" t="n"/>
      <c r="I1563" s="158" t="n"/>
      <c r="J1563" s="159" t="n"/>
    </row>
    <row r="1564">
      <c r="B1564" s="158" t="n"/>
      <c r="C1564" s="158" t="n"/>
      <c r="I1564" s="158" t="n"/>
      <c r="J1564" s="159" t="n"/>
    </row>
    <row r="1565">
      <c r="B1565" s="158" t="n"/>
      <c r="C1565" s="158" t="n"/>
      <c r="I1565" s="158" t="n"/>
      <c r="J1565" s="159" t="n"/>
    </row>
    <row r="1566">
      <c r="B1566" s="158" t="n"/>
      <c r="C1566" s="158" t="n"/>
      <c r="I1566" s="158" t="n"/>
      <c r="J1566" s="159" t="n"/>
    </row>
    <row r="1567">
      <c r="B1567" s="158" t="n"/>
      <c r="C1567" s="158" t="n"/>
      <c r="I1567" s="158" t="n"/>
      <c r="J1567" s="159" t="n"/>
    </row>
    <row r="1568">
      <c r="B1568" s="158" t="n"/>
      <c r="C1568" s="158" t="n"/>
      <c r="I1568" s="158" t="n"/>
      <c r="J1568" s="159" t="n"/>
    </row>
    <row r="1569">
      <c r="B1569" s="158" t="n"/>
      <c r="C1569" s="158" t="n"/>
      <c r="I1569" s="158" t="n"/>
      <c r="J1569" s="159" t="n"/>
    </row>
    <row r="1570">
      <c r="B1570" s="158" t="n"/>
      <c r="C1570" s="158" t="n"/>
      <c r="I1570" s="158" t="n"/>
      <c r="J1570" s="159" t="n"/>
    </row>
    <row r="1571">
      <c r="B1571" s="158" t="n"/>
      <c r="C1571" s="158" t="n"/>
      <c r="I1571" s="158" t="n"/>
      <c r="J1571" s="159" t="n"/>
    </row>
    <row r="1572">
      <c r="B1572" s="158" t="n"/>
      <c r="C1572" s="158" t="n"/>
      <c r="I1572" s="158" t="n"/>
      <c r="J1572" s="159" t="n"/>
    </row>
    <row r="1573">
      <c r="B1573" s="158" t="n"/>
      <c r="C1573" s="158" t="n"/>
      <c r="I1573" s="158" t="n"/>
      <c r="J1573" s="159" t="n"/>
    </row>
    <row r="1574">
      <c r="B1574" s="158" t="n"/>
      <c r="C1574" s="158" t="n"/>
      <c r="I1574" s="158" t="n"/>
      <c r="J1574" s="159" t="n"/>
    </row>
    <row r="1575">
      <c r="B1575" s="158" t="n"/>
      <c r="C1575" s="158" t="n"/>
      <c r="I1575" s="158" t="n"/>
      <c r="J1575" s="159" t="n"/>
    </row>
    <row r="1576">
      <c r="B1576" s="158" t="n"/>
      <c r="C1576" s="158" t="n"/>
      <c r="I1576" s="158" t="n"/>
      <c r="J1576" s="159" t="n"/>
    </row>
    <row r="1577">
      <c r="B1577" s="158" t="n"/>
      <c r="C1577" s="158" t="n"/>
      <c r="I1577" s="158" t="n"/>
      <c r="J1577" s="159" t="n"/>
    </row>
    <row r="1578">
      <c r="B1578" s="158" t="n"/>
      <c r="C1578" s="158" t="n"/>
      <c r="I1578" s="158" t="n"/>
      <c r="J1578" s="159" t="n"/>
    </row>
    <row r="1579">
      <c r="B1579" s="158" t="n"/>
      <c r="C1579" s="158" t="n"/>
      <c r="I1579" s="158" t="n"/>
      <c r="J1579" s="159" t="n"/>
    </row>
    <row r="1580">
      <c r="B1580" s="158" t="n"/>
      <c r="C1580" s="158" t="n"/>
      <c r="I1580" s="158" t="n"/>
      <c r="J1580" s="159" t="n"/>
    </row>
    <row r="1581">
      <c r="B1581" s="158" t="n"/>
      <c r="C1581" s="158" t="n"/>
      <c r="I1581" s="158" t="n"/>
      <c r="J1581" s="159" t="n"/>
    </row>
    <row r="1582">
      <c r="B1582" s="158" t="n"/>
      <c r="C1582" s="158" t="n"/>
      <c r="I1582" s="158" t="n"/>
      <c r="J1582" s="159" t="n"/>
    </row>
    <row r="1583">
      <c r="B1583" s="158" t="n"/>
      <c r="C1583" s="158" t="n"/>
      <c r="I1583" s="158" t="n"/>
      <c r="J1583" s="159" t="n"/>
    </row>
    <row r="1584">
      <c r="B1584" s="158" t="n"/>
      <c r="C1584" s="158" t="n"/>
      <c r="I1584" s="158" t="n"/>
      <c r="J1584" s="159" t="n"/>
    </row>
    <row r="1585">
      <c r="B1585" s="158" t="n"/>
      <c r="C1585" s="158" t="n"/>
      <c r="I1585" s="158" t="n"/>
      <c r="J1585" s="159" t="n"/>
    </row>
    <row r="1586">
      <c r="B1586" s="158" t="n"/>
      <c r="C1586" s="158" t="n"/>
      <c r="I1586" s="158" t="n"/>
      <c r="J1586" s="159" t="n"/>
    </row>
    <row r="1587">
      <c r="B1587" s="158" t="n"/>
      <c r="C1587" s="158" t="n"/>
      <c r="I1587" s="158" t="n"/>
      <c r="J1587" s="159" t="n"/>
    </row>
    <row r="1588">
      <c r="B1588" s="158" t="n"/>
      <c r="C1588" s="158" t="n"/>
      <c r="I1588" s="158" t="n"/>
      <c r="J1588" s="159" t="n"/>
    </row>
    <row r="1589">
      <c r="B1589" s="158" t="n"/>
      <c r="C1589" s="158" t="n"/>
      <c r="I1589" s="158" t="n"/>
      <c r="J1589" s="159" t="n"/>
    </row>
    <row r="1590">
      <c r="B1590" s="158" t="n"/>
      <c r="C1590" s="158" t="n"/>
      <c r="I1590" s="158" t="n"/>
      <c r="J1590" s="159" t="n"/>
    </row>
    <row r="1591">
      <c r="B1591" s="158" t="n"/>
      <c r="C1591" s="158" t="n"/>
      <c r="I1591" s="158" t="n"/>
      <c r="J1591" s="159" t="n"/>
    </row>
    <row r="1592">
      <c r="B1592" s="158" t="n"/>
      <c r="C1592" s="158" t="n"/>
      <c r="I1592" s="158" t="n"/>
      <c r="J1592" s="159" t="n"/>
    </row>
    <row r="1593">
      <c r="B1593" s="158" t="n"/>
      <c r="C1593" s="158" t="n"/>
      <c r="I1593" s="158" t="n"/>
      <c r="J1593" s="159" t="n"/>
    </row>
    <row r="1594">
      <c r="B1594" s="158" t="n"/>
      <c r="C1594" s="158" t="n"/>
      <c r="I1594" s="158" t="n"/>
      <c r="J1594" s="159" t="n"/>
    </row>
    <row r="1595">
      <c r="B1595" s="158" t="n"/>
      <c r="C1595" s="158" t="n"/>
      <c r="I1595" s="158" t="n"/>
      <c r="J1595" s="159" t="n"/>
    </row>
    <row r="1596">
      <c r="B1596" s="158" t="n"/>
      <c r="C1596" s="158" t="n"/>
      <c r="I1596" s="158" t="n"/>
      <c r="J1596" s="159" t="n"/>
    </row>
    <row r="1597">
      <c r="B1597" s="158" t="n"/>
      <c r="C1597" s="158" t="n"/>
      <c r="I1597" s="158" t="n"/>
      <c r="J1597" s="159" t="n"/>
    </row>
    <row r="1598">
      <c r="B1598" s="158" t="n"/>
      <c r="C1598" s="158" t="n"/>
      <c r="I1598" s="158" t="n"/>
      <c r="J1598" s="159" t="n"/>
    </row>
    <row r="1599">
      <c r="B1599" s="158" t="n"/>
      <c r="C1599" s="158" t="n"/>
      <c r="I1599" s="158" t="n"/>
      <c r="J1599" s="159" t="n"/>
    </row>
    <row r="1600">
      <c r="B1600" s="158" t="n"/>
      <c r="C1600" s="158" t="n"/>
      <c r="I1600" s="158" t="n"/>
      <c r="J1600" s="159" t="n"/>
    </row>
    <row r="1601">
      <c r="B1601" s="158" t="n"/>
      <c r="C1601" s="158" t="n"/>
      <c r="I1601" s="158" t="n"/>
      <c r="J1601" s="159" t="n"/>
    </row>
    <row r="1602">
      <c r="B1602" s="158" t="n"/>
      <c r="C1602" s="158" t="n"/>
      <c r="I1602" s="158" t="n"/>
      <c r="J1602" s="159" t="n"/>
    </row>
    <row r="1603">
      <c r="B1603" s="158" t="n"/>
      <c r="C1603" s="158" t="n"/>
      <c r="I1603" s="158" t="n"/>
      <c r="J1603" s="159" t="n"/>
    </row>
    <row r="1604">
      <c r="B1604" s="158" t="n"/>
      <c r="C1604" s="158" t="n"/>
      <c r="I1604" s="158" t="n"/>
      <c r="J1604" s="159" t="n"/>
    </row>
    <row r="1605">
      <c r="B1605" s="158" t="n"/>
      <c r="C1605" s="158" t="n"/>
      <c r="I1605" s="158" t="n"/>
      <c r="J1605" s="159" t="n"/>
    </row>
    <row r="1606">
      <c r="B1606" s="158" t="n"/>
      <c r="C1606" s="158" t="n"/>
      <c r="I1606" s="158" t="n"/>
      <c r="J1606" s="159" t="n"/>
    </row>
    <row r="1607">
      <c r="B1607" s="158" t="n"/>
      <c r="C1607" s="158" t="n"/>
      <c r="I1607" s="158" t="n"/>
      <c r="J1607" s="159" t="n"/>
    </row>
    <row r="1608">
      <c r="B1608" s="158" t="n"/>
      <c r="C1608" s="158" t="n"/>
      <c r="I1608" s="158" t="n"/>
      <c r="J1608" s="159" t="n"/>
    </row>
    <row r="1609">
      <c r="B1609" s="158" t="n"/>
      <c r="C1609" s="158" t="n"/>
      <c r="I1609" s="158" t="n"/>
      <c r="J1609" s="159" t="n"/>
    </row>
    <row r="1610">
      <c r="B1610" s="158" t="n"/>
      <c r="C1610" s="158" t="n"/>
      <c r="I1610" s="158" t="n"/>
      <c r="J1610" s="159" t="n"/>
    </row>
    <row r="1611">
      <c r="B1611" s="158" t="n"/>
      <c r="C1611" s="158" t="n"/>
      <c r="I1611" s="158" t="n"/>
      <c r="J1611" s="159" t="n"/>
    </row>
    <row r="1612">
      <c r="B1612" s="158" t="n"/>
      <c r="C1612" s="158" t="n"/>
      <c r="I1612" s="158" t="n"/>
      <c r="J1612" s="159" t="n"/>
    </row>
    <row r="1613">
      <c r="B1613" s="158" t="n"/>
      <c r="C1613" s="158" t="n"/>
      <c r="I1613" s="158" t="n"/>
      <c r="J1613" s="159" t="n"/>
    </row>
    <row r="1614">
      <c r="B1614" s="158" t="n"/>
      <c r="C1614" s="158" t="n"/>
      <c r="I1614" s="158" t="n"/>
      <c r="J1614" s="159" t="n"/>
    </row>
    <row r="1615">
      <c r="B1615" s="158" t="n"/>
      <c r="C1615" s="158" t="n"/>
      <c r="I1615" s="158" t="n"/>
      <c r="J1615" s="159" t="n"/>
    </row>
    <row r="1616">
      <c r="B1616" s="158" t="n"/>
      <c r="C1616" s="158" t="n"/>
      <c r="I1616" s="158" t="n"/>
      <c r="J1616" s="159" t="n"/>
    </row>
    <row r="1617">
      <c r="B1617" s="158" t="n"/>
      <c r="C1617" s="158" t="n"/>
      <c r="I1617" s="158" t="n"/>
      <c r="J1617" s="159" t="n"/>
    </row>
    <row r="1618">
      <c r="B1618" s="158" t="n"/>
      <c r="C1618" s="158" t="n"/>
      <c r="I1618" s="158" t="n"/>
      <c r="J1618" s="159" t="n"/>
    </row>
    <row r="1619">
      <c r="B1619" s="158" t="n"/>
      <c r="C1619" s="158" t="n"/>
      <c r="I1619" s="158" t="n"/>
      <c r="J1619" s="159" t="n"/>
    </row>
    <row r="1620">
      <c r="B1620" s="158" t="n"/>
      <c r="C1620" s="158" t="n"/>
      <c r="I1620" s="158" t="n"/>
      <c r="J1620" s="159" t="n"/>
    </row>
    <row r="1621">
      <c r="B1621" s="158" t="n"/>
      <c r="C1621" s="158" t="n"/>
      <c r="I1621" s="158" t="n"/>
      <c r="J1621" s="159" t="n"/>
    </row>
    <row r="1622">
      <c r="B1622" s="158" t="n"/>
      <c r="C1622" s="158" t="n"/>
      <c r="I1622" s="158" t="n"/>
      <c r="J1622" s="159" t="n"/>
    </row>
    <row r="1623">
      <c r="B1623" s="158" t="n"/>
      <c r="C1623" s="158" t="n"/>
      <c r="I1623" s="158" t="n"/>
      <c r="J1623" s="159" t="n"/>
    </row>
    <row r="1624">
      <c r="B1624" s="158" t="n"/>
      <c r="C1624" s="158" t="n"/>
      <c r="I1624" s="158" t="n"/>
      <c r="J1624" s="159" t="n"/>
    </row>
    <row r="1625">
      <c r="B1625" s="158" t="n"/>
      <c r="C1625" s="158" t="n"/>
      <c r="I1625" s="158" t="n"/>
      <c r="J1625" s="159" t="n"/>
    </row>
    <row r="1626">
      <c r="B1626" s="158" t="n"/>
      <c r="C1626" s="158" t="n"/>
      <c r="I1626" s="158" t="n"/>
      <c r="J1626" s="159" t="n"/>
    </row>
    <row r="1627">
      <c r="B1627" s="158" t="n"/>
      <c r="C1627" s="158" t="n"/>
      <c r="I1627" s="158" t="n"/>
      <c r="J1627" s="159" t="n"/>
    </row>
    <row r="1628">
      <c r="B1628" s="158" t="n"/>
      <c r="C1628" s="158" t="n"/>
      <c r="I1628" s="158" t="n"/>
      <c r="J1628" s="159" t="n"/>
    </row>
    <row r="1629">
      <c r="B1629" s="158" t="n"/>
      <c r="C1629" s="158" t="n"/>
      <c r="I1629" s="158" t="n"/>
      <c r="J1629" s="159" t="n"/>
    </row>
    <row r="1630">
      <c r="B1630" s="158" t="n"/>
      <c r="C1630" s="158" t="n"/>
      <c r="I1630" s="158" t="n"/>
      <c r="J1630" s="159" t="n"/>
    </row>
    <row r="1631">
      <c r="B1631" s="158" t="n"/>
      <c r="C1631" s="158" t="n"/>
      <c r="I1631" s="158" t="n"/>
      <c r="J1631" s="159" t="n"/>
    </row>
    <row r="1632">
      <c r="B1632" s="158" t="n"/>
      <c r="C1632" s="158" t="n"/>
      <c r="I1632" s="158" t="n"/>
      <c r="J1632" s="159" t="n"/>
    </row>
    <row r="1633">
      <c r="B1633" s="158" t="n"/>
      <c r="C1633" s="158" t="n"/>
      <c r="I1633" s="158" t="n"/>
      <c r="J1633" s="159" t="n"/>
    </row>
    <row r="1634">
      <c r="B1634" s="158" t="n"/>
      <c r="C1634" s="158" t="n"/>
      <c r="I1634" s="158" t="n"/>
      <c r="J1634" s="159" t="n"/>
    </row>
    <row r="1635">
      <c r="B1635" s="158" t="n"/>
      <c r="C1635" s="158" t="n"/>
      <c r="I1635" s="158" t="n"/>
      <c r="J1635" s="159" t="n"/>
    </row>
    <row r="1636">
      <c r="B1636" s="158" t="n"/>
      <c r="C1636" s="158" t="n"/>
      <c r="I1636" s="158" t="n"/>
      <c r="J1636" s="159" t="n"/>
    </row>
    <row r="1637">
      <c r="B1637" s="158" t="n"/>
      <c r="C1637" s="158" t="n"/>
      <c r="I1637" s="158" t="n"/>
      <c r="J1637" s="159" t="n"/>
    </row>
    <row r="1638">
      <c r="B1638" s="158" t="n"/>
      <c r="C1638" s="158" t="n"/>
      <c r="I1638" s="158" t="n"/>
      <c r="J1638" s="159" t="n"/>
    </row>
    <row r="1639">
      <c r="B1639" s="158" t="n"/>
      <c r="C1639" s="158" t="n"/>
      <c r="I1639" s="158" t="n"/>
      <c r="J1639" s="159" t="n"/>
    </row>
    <row r="1640">
      <c r="B1640" s="158" t="n"/>
      <c r="C1640" s="158" t="n"/>
      <c r="I1640" s="158" t="n"/>
      <c r="J1640" s="159" t="n"/>
    </row>
    <row r="1641">
      <c r="B1641" s="158" t="n"/>
      <c r="C1641" s="158" t="n"/>
      <c r="I1641" s="158" t="n"/>
      <c r="J1641" s="159" t="n"/>
    </row>
    <row r="1642">
      <c r="B1642" s="158" t="n"/>
      <c r="C1642" s="158" t="n"/>
      <c r="I1642" s="158" t="n"/>
      <c r="J1642" s="159" t="n"/>
    </row>
    <row r="1643">
      <c r="B1643" s="158" t="n"/>
      <c r="C1643" s="158" t="n"/>
      <c r="I1643" s="158" t="n"/>
      <c r="J1643" s="159" t="n"/>
    </row>
    <row r="1644">
      <c r="B1644" s="158" t="n"/>
      <c r="C1644" s="158" t="n"/>
      <c r="I1644" s="158" t="n"/>
      <c r="J1644" s="159" t="n"/>
    </row>
    <row r="1645">
      <c r="B1645" s="158" t="n"/>
      <c r="C1645" s="158" t="n"/>
      <c r="I1645" s="158" t="n"/>
      <c r="J1645" s="159" t="n"/>
    </row>
    <row r="1646">
      <c r="B1646" s="158" t="n"/>
      <c r="C1646" s="158" t="n"/>
      <c r="I1646" s="158" t="n"/>
      <c r="J1646" s="159" t="n"/>
    </row>
    <row r="1647">
      <c r="B1647" s="158" t="n"/>
      <c r="C1647" s="158" t="n"/>
      <c r="I1647" s="158" t="n"/>
      <c r="J1647" s="159" t="n"/>
    </row>
    <row r="1648">
      <c r="B1648" s="158" t="n"/>
      <c r="C1648" s="158" t="n"/>
      <c r="I1648" s="158" t="n"/>
      <c r="J1648" s="159" t="n"/>
    </row>
    <row r="1649">
      <c r="B1649" s="158" t="n"/>
      <c r="C1649" s="158" t="n"/>
      <c r="I1649" s="158" t="n"/>
      <c r="J1649" s="159" t="n"/>
    </row>
    <row r="1650">
      <c r="B1650" s="158" t="n"/>
      <c r="C1650" s="158" t="n"/>
      <c r="I1650" s="158" t="n"/>
      <c r="J1650" s="159" t="n"/>
    </row>
    <row r="1651">
      <c r="B1651" s="158" t="n"/>
      <c r="C1651" s="158" t="n"/>
      <c r="I1651" s="158" t="n"/>
      <c r="J1651" s="159" t="n"/>
    </row>
    <row r="1652">
      <c r="B1652" s="158" t="n"/>
      <c r="C1652" s="158" t="n"/>
      <c r="I1652" s="158" t="n"/>
      <c r="J1652" s="159" t="n"/>
    </row>
    <row r="1653">
      <c r="B1653" s="158" t="n"/>
      <c r="C1653" s="158" t="n"/>
      <c r="I1653" s="158" t="n"/>
      <c r="J1653" s="159" t="n"/>
    </row>
    <row r="1654">
      <c r="B1654" s="158" t="n"/>
      <c r="C1654" s="158" t="n"/>
      <c r="I1654" s="158" t="n"/>
      <c r="J1654" s="159" t="n"/>
    </row>
    <row r="1655">
      <c r="B1655" s="158" t="n"/>
      <c r="C1655" s="158" t="n"/>
      <c r="I1655" s="158" t="n"/>
      <c r="J1655" s="159" t="n"/>
    </row>
    <row r="1656">
      <c r="B1656" s="158" t="n"/>
      <c r="C1656" s="158" t="n"/>
      <c r="I1656" s="158" t="n"/>
      <c r="J1656" s="159" t="n"/>
    </row>
    <row r="1657">
      <c r="B1657" s="158" t="n"/>
      <c r="C1657" s="158" t="n"/>
      <c r="I1657" s="158" t="n"/>
      <c r="J1657" s="159" t="n"/>
    </row>
    <row r="1658">
      <c r="B1658" s="158" t="n"/>
      <c r="C1658" s="158" t="n"/>
      <c r="I1658" s="158" t="n"/>
      <c r="J1658" s="159" t="n"/>
    </row>
    <row r="1659">
      <c r="B1659" s="158" t="n"/>
      <c r="C1659" s="158" t="n"/>
      <c r="I1659" s="158" t="n"/>
      <c r="J1659" s="159" t="n"/>
    </row>
    <row r="1660">
      <c r="B1660" s="158" t="n"/>
      <c r="C1660" s="158" t="n"/>
      <c r="I1660" s="158" t="n"/>
      <c r="J1660" s="159" t="n"/>
    </row>
    <row r="1661">
      <c r="B1661" s="158" t="n"/>
      <c r="C1661" s="158" t="n"/>
      <c r="I1661" s="158" t="n"/>
      <c r="J1661" s="159" t="n"/>
    </row>
    <row r="1662">
      <c r="B1662" s="158" t="n"/>
      <c r="C1662" s="158" t="n"/>
      <c r="I1662" s="158" t="n"/>
      <c r="J1662" s="159" t="n"/>
    </row>
    <row r="1663">
      <c r="B1663" s="158" t="n"/>
      <c r="C1663" s="158" t="n"/>
      <c r="I1663" s="158" t="n"/>
      <c r="J1663" s="159" t="n"/>
    </row>
    <row r="1664">
      <c r="B1664" s="158" t="n"/>
      <c r="C1664" s="158" t="n"/>
      <c r="I1664" s="158" t="n"/>
      <c r="J1664" s="159" t="n"/>
    </row>
    <row r="1665">
      <c r="B1665" s="158" t="n"/>
      <c r="C1665" s="158" t="n"/>
      <c r="I1665" s="158" t="n"/>
      <c r="J1665" s="159" t="n"/>
    </row>
    <row r="1666">
      <c r="B1666" s="158" t="n"/>
      <c r="C1666" s="158" t="n"/>
      <c r="I1666" s="158" t="n"/>
      <c r="J1666" s="159" t="n"/>
    </row>
    <row r="1667">
      <c r="B1667" s="158" t="n"/>
      <c r="C1667" s="158" t="n"/>
      <c r="I1667" s="158" t="n"/>
      <c r="J1667" s="159" t="n"/>
    </row>
    <row r="1668">
      <c r="B1668" s="158" t="n"/>
      <c r="C1668" s="158" t="n"/>
      <c r="I1668" s="158" t="n"/>
      <c r="J1668" s="159" t="n"/>
    </row>
    <row r="1669">
      <c r="B1669" s="158" t="n"/>
      <c r="C1669" s="158" t="n"/>
      <c r="I1669" s="158" t="n"/>
      <c r="J1669" s="159" t="n"/>
    </row>
    <row r="1670">
      <c r="B1670" s="158" t="n"/>
      <c r="C1670" s="158" t="n"/>
      <c r="I1670" s="158" t="n"/>
      <c r="J1670" s="159" t="n"/>
    </row>
    <row r="1671">
      <c r="B1671" s="158" t="n"/>
      <c r="C1671" s="158" t="n"/>
      <c r="I1671" s="158" t="n"/>
      <c r="J1671" s="159" t="n"/>
    </row>
    <row r="1672">
      <c r="B1672" s="158" t="n"/>
      <c r="C1672" s="158" t="n"/>
      <c r="I1672" s="158" t="n"/>
      <c r="J1672" s="159" t="n"/>
    </row>
    <row r="1673">
      <c r="B1673" s="158" t="n"/>
      <c r="C1673" s="158" t="n"/>
      <c r="I1673" s="158" t="n"/>
      <c r="J1673" s="159" t="n"/>
    </row>
    <row r="1674">
      <c r="B1674" s="158" t="n"/>
      <c r="C1674" s="158" t="n"/>
      <c r="I1674" s="158" t="n"/>
      <c r="J1674" s="159" t="n"/>
    </row>
    <row r="1675">
      <c r="B1675" s="158" t="n"/>
      <c r="C1675" s="158" t="n"/>
      <c r="I1675" s="158" t="n"/>
      <c r="J1675" s="159" t="n"/>
    </row>
    <row r="1676">
      <c r="B1676" s="158" t="n"/>
      <c r="C1676" s="158" t="n"/>
      <c r="I1676" s="158" t="n"/>
      <c r="J1676" s="159" t="n"/>
    </row>
    <row r="1677">
      <c r="B1677" s="158" t="n"/>
      <c r="C1677" s="158" t="n"/>
      <c r="I1677" s="158" t="n"/>
      <c r="J1677" s="159" t="n"/>
    </row>
    <row r="1678">
      <c r="B1678" s="158" t="n"/>
      <c r="C1678" s="158" t="n"/>
      <c r="I1678" s="158" t="n"/>
      <c r="J1678" s="159" t="n"/>
    </row>
    <row r="1679">
      <c r="B1679" s="158" t="n"/>
      <c r="C1679" s="158" t="n"/>
      <c r="I1679" s="158" t="n"/>
      <c r="J1679" s="159" t="n"/>
    </row>
    <row r="1680">
      <c r="B1680" s="158" t="n"/>
      <c r="C1680" s="158" t="n"/>
      <c r="I1680" s="158" t="n"/>
      <c r="J1680" s="159" t="n"/>
    </row>
    <row r="1681">
      <c r="B1681" s="158" t="n"/>
      <c r="C1681" s="158" t="n"/>
      <c r="I1681" s="158" t="n"/>
      <c r="J1681" s="159" t="n"/>
    </row>
    <row r="1682">
      <c r="B1682" s="158" t="n"/>
      <c r="C1682" s="158" t="n"/>
      <c r="I1682" s="158" t="n"/>
      <c r="J1682" s="159" t="n"/>
    </row>
    <row r="1683">
      <c r="B1683" s="158" t="n"/>
      <c r="C1683" s="158" t="n"/>
      <c r="I1683" s="158" t="n"/>
      <c r="J1683" s="159" t="n"/>
    </row>
    <row r="1684">
      <c r="B1684" s="158" t="n"/>
      <c r="C1684" s="158" t="n"/>
      <c r="I1684" s="158" t="n"/>
      <c r="J1684" s="159" t="n"/>
    </row>
    <row r="1685">
      <c r="B1685" s="158" t="n"/>
      <c r="C1685" s="158" t="n"/>
      <c r="I1685" s="158" t="n"/>
      <c r="J1685" s="159" t="n"/>
    </row>
    <row r="1686">
      <c r="B1686" s="158" t="n"/>
      <c r="C1686" s="158" t="n"/>
      <c r="I1686" s="158" t="n"/>
      <c r="J1686" s="159" t="n"/>
    </row>
    <row r="1687">
      <c r="B1687" s="158" t="n"/>
      <c r="C1687" s="158" t="n"/>
      <c r="I1687" s="158" t="n"/>
      <c r="J1687" s="159" t="n"/>
    </row>
    <row r="1688">
      <c r="B1688" s="158" t="n"/>
      <c r="C1688" s="158" t="n"/>
      <c r="I1688" s="158" t="n"/>
      <c r="J1688" s="159" t="n"/>
    </row>
    <row r="1689">
      <c r="B1689" s="158" t="n"/>
      <c r="C1689" s="158" t="n"/>
      <c r="I1689" s="158" t="n"/>
      <c r="J1689" s="159" t="n"/>
    </row>
    <row r="1690">
      <c r="B1690" s="158" t="n"/>
      <c r="C1690" s="158" t="n"/>
      <c r="I1690" s="158" t="n"/>
      <c r="J1690" s="159" t="n"/>
    </row>
    <row r="1691">
      <c r="B1691" s="158" t="n"/>
      <c r="C1691" s="158" t="n"/>
      <c r="I1691" s="158" t="n"/>
      <c r="J1691" s="159" t="n"/>
    </row>
    <row r="1692">
      <c r="B1692" s="158" t="n"/>
      <c r="C1692" s="158" t="n"/>
      <c r="I1692" s="158" t="n"/>
      <c r="J1692" s="159" t="n"/>
    </row>
    <row r="1693">
      <c r="B1693" s="158" t="n"/>
      <c r="C1693" s="158" t="n"/>
      <c r="I1693" s="158" t="n"/>
      <c r="J1693" s="159" t="n"/>
    </row>
    <row r="1694">
      <c r="B1694" s="158" t="n"/>
      <c r="C1694" s="158" t="n"/>
      <c r="I1694" s="158" t="n"/>
      <c r="J1694" s="159" t="n"/>
    </row>
    <row r="1695">
      <c r="B1695" s="158" t="n"/>
      <c r="C1695" s="158" t="n"/>
      <c r="I1695" s="158" t="n"/>
      <c r="J1695" s="159" t="n"/>
    </row>
    <row r="1696">
      <c r="B1696" s="158" t="n"/>
      <c r="C1696" s="158" t="n"/>
      <c r="I1696" s="158" t="n"/>
      <c r="J1696" s="159" t="n"/>
    </row>
    <row r="1697">
      <c r="C1697" s="158" t="n"/>
    </row>
    <row r="1698">
      <c r="C1698" s="158" t="n"/>
    </row>
    <row r="1699">
      <c r="C1699" s="158" t="n"/>
    </row>
    <row r="1700">
      <c r="C1700" s="158" t="n"/>
    </row>
    <row r="1701">
      <c r="C1701" s="158" t="n"/>
    </row>
    <row r="1702">
      <c r="C1702" s="158" t="n"/>
    </row>
    <row r="1703">
      <c r="C1703" s="158" t="n"/>
    </row>
    <row r="1704">
      <c r="C1704" s="158" t="n"/>
    </row>
    <row r="1705">
      <c r="C1705" s="158" t="n"/>
    </row>
    <row r="1706">
      <c r="C1706" s="158" t="n"/>
    </row>
    <row r="1707">
      <c r="C1707" s="158" t="n"/>
    </row>
    <row r="1708">
      <c r="C1708" s="158" t="n"/>
    </row>
    <row r="1709">
      <c r="C1709" s="158" t="n"/>
    </row>
    <row r="1710">
      <c r="C1710" s="158" t="n"/>
    </row>
    <row r="1711">
      <c r="C1711" s="158" t="n"/>
    </row>
    <row r="1712">
      <c r="C1712" s="158" t="n"/>
    </row>
    <row r="1713">
      <c r="C1713" s="158" t="n"/>
    </row>
    <row r="1714">
      <c r="C1714" s="158" t="n"/>
    </row>
    <row r="1715">
      <c r="C1715" s="158" t="n"/>
    </row>
    <row r="1716">
      <c r="C1716" s="158" t="n"/>
    </row>
  </sheetData>
  <autoFilter ref="A1:J552"/>
  <conditionalFormatting sqref="A39:A40">
    <cfRule type="duplicateValues" priority="5" dxfId="0"/>
  </conditionalFormatting>
  <conditionalFormatting sqref="A41">
    <cfRule type="duplicateValues" priority="2" dxfId="0"/>
  </conditionalFormatting>
  <conditionalFormatting sqref="A2:A32 A33:B33 A34:A38 A42:A290 A377:A735 B31:B32">
    <cfRule type="duplicateValues" priority="12" dxfId="0"/>
  </conditionalFormatting>
  <conditionalFormatting sqref="B42:B735 C42:C756 D42:D735">
    <cfRule type="cellIs" priority="11" operator="equal" dxfId="0">
      <formula>"ERROR"</formula>
    </cfRule>
  </conditionalFormatting>
  <conditionalFormatting sqref="B2:D41">
    <cfRule type="cellIs" priority="1" operator="equal" dxfId="0">
      <formula>"ERROR"</formula>
    </cfRule>
  </conditionalFormatting>
  <conditionalFormatting sqref="I2:J735">
    <cfRule type="cellIs" priority="3" operator="equal" dxfId="0">
      <formula>"ERROR"</formula>
    </cfRule>
  </conditionalFormatting>
  <conditionalFormatting sqref="J1">
    <cfRule type="cellIs" priority="6" operator="equal" dxfId="0">
      <formula>"ERROR"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N1695"/>
  <sheetViews>
    <sheetView workbookViewId="0">
      <selection activeCell="A3" sqref="A3"/>
    </sheetView>
  </sheetViews>
  <sheetFormatPr baseColWidth="8" defaultColWidth="11.1640625" defaultRowHeight="15"/>
  <cols>
    <col width="15.33203125" customWidth="1" style="129" min="1" max="1"/>
    <col width="65.109375" bestFit="1" customWidth="1" style="153" min="2" max="2"/>
    <col width="11.1640625" customWidth="1" style="143" min="3" max="3"/>
    <col width="20.4453125" bestFit="1" customWidth="1" min="5" max="5"/>
    <col width="22.05859375" bestFit="1" customWidth="1" min="6" max="6"/>
    <col width="20.984375" bestFit="1" customWidth="1" min="8" max="8"/>
    <col width="15.46875" bestFit="1" customWidth="1" style="153" min="9" max="9"/>
    <col width="34.16796875" bestFit="1" customWidth="1" style="154" min="10" max="10"/>
  </cols>
  <sheetData>
    <row r="1" ht="27.75" customHeight="1">
      <c r="A1" s="145" t="inlineStr">
        <is>
          <t xml:space="preserve">CODIGO </t>
        </is>
      </c>
      <c r="B1" s="147" t="inlineStr">
        <is>
          <t xml:space="preserve">DESCRIPCION </t>
        </is>
      </c>
      <c r="C1" s="727" t="inlineStr">
        <is>
          <t>UNIDAD</t>
        </is>
      </c>
      <c r="D1" s="690" t="inlineStr">
        <is>
          <t xml:space="preserve">PRECIO </t>
        </is>
      </c>
      <c r="E1" s="196" t="inlineStr">
        <is>
          <t xml:space="preserve">PRECIO CON CARGAS SOCIALES </t>
        </is>
      </c>
      <c r="F1" s="145" t="inlineStr">
        <is>
          <t xml:space="preserve">PRECIO ANTERIOR </t>
        </is>
      </c>
      <c r="G1" s="147" t="inlineStr">
        <is>
          <t xml:space="preserve">DIFERENCIA </t>
        </is>
      </c>
      <c r="H1" s="147" t="inlineStr">
        <is>
          <t xml:space="preserve">OBSERVACIONES </t>
        </is>
      </c>
      <c r="I1" s="148" t="inlineStr">
        <is>
          <t xml:space="preserve">FECHA ÚLTIMO MOVIMIENTO </t>
        </is>
      </c>
      <c r="J1" s="145" t="inlineStr">
        <is>
          <t xml:space="preserve">FAMILIA DEL INSUMO </t>
        </is>
      </c>
    </row>
    <row r="2" ht="20.45" customHeight="1">
      <c r="A2" s="177" t="inlineStr">
        <is>
          <t xml:space="preserve">ENCARGADO </t>
        </is>
      </c>
      <c r="B2" s="691" t="inlineStr">
        <is>
          <t xml:space="preserve">ENCARGADO PLUS </t>
        </is>
      </c>
      <c r="C2" s="692" t="inlineStr">
        <is>
          <t xml:space="preserve">hora </t>
        </is>
      </c>
      <c r="D2" s="693" t="n">
        <v>2000</v>
      </c>
      <c r="E2" s="741">
        <f>D2*1.5</f>
        <v/>
      </c>
      <c r="F2" s="695" t="n"/>
      <c r="G2" s="696">
        <f>E2-F2</f>
        <v/>
      </c>
      <c r="H2" s="151" t="n"/>
      <c r="I2" s="152" t="n"/>
      <c r="J2" s="692" t="n"/>
      <c r="L2" s="168" t="inlineStr">
        <is>
          <t xml:space="preserve">IVA </t>
        </is>
      </c>
      <c r="M2" s="168" t="n">
        <v>1.13</v>
      </c>
      <c r="N2" t="inlineStr">
        <is>
          <t xml:space="preserve">GENERAL </t>
        </is>
      </c>
    </row>
    <row r="3">
      <c r="A3" s="177" t="inlineStr">
        <is>
          <t xml:space="preserve">OP CALIFICADO </t>
        </is>
      </c>
      <c r="B3" s="691" t="inlineStr">
        <is>
          <t xml:space="preserve">OPERARIO CALIFICADO PLUS </t>
        </is>
      </c>
      <c r="C3" s="692" t="inlineStr">
        <is>
          <t xml:space="preserve">hora </t>
        </is>
      </c>
      <c r="D3" s="693" t="n">
        <v>2000</v>
      </c>
      <c r="E3" s="741">
        <f>D3*1.5</f>
        <v/>
      </c>
      <c r="F3" s="695" t="n"/>
      <c r="G3" s="696">
        <f>E3-F3</f>
        <v/>
      </c>
      <c r="H3" s="151" t="n"/>
      <c r="I3" s="152" t="n"/>
      <c r="J3" s="692" t="n"/>
      <c r="L3" s="141" t="inlineStr">
        <is>
          <t xml:space="preserve">IVA </t>
        </is>
      </c>
      <c r="M3" s="141" t="n">
        <v>1.1</v>
      </c>
      <c r="N3" s="158" t="inlineStr">
        <is>
          <t xml:space="preserve">MADERA </t>
        </is>
      </c>
    </row>
    <row r="4" ht="20.1" customHeight="1">
      <c r="A4" s="177" t="inlineStr">
        <is>
          <t xml:space="preserve">OPERARIO </t>
        </is>
      </c>
      <c r="B4" s="691" t="inlineStr">
        <is>
          <t xml:space="preserve">OPERARIO PLUS </t>
        </is>
      </c>
      <c r="C4" s="692" t="inlineStr">
        <is>
          <t xml:space="preserve">hora </t>
        </is>
      </c>
      <c r="D4" s="693" t="n">
        <v>1900</v>
      </c>
      <c r="E4" s="741">
        <f>D4*1.5</f>
        <v/>
      </c>
      <c r="F4" s="695" t="n"/>
      <c r="G4" s="696">
        <f>E4-F4</f>
        <v/>
      </c>
      <c r="H4" s="151" t="n"/>
      <c r="I4" s="152" t="n"/>
      <c r="J4" s="692" t="n"/>
      <c r="L4" s="141" t="inlineStr">
        <is>
          <t xml:space="preserve">IVA </t>
        </is>
      </c>
      <c r="M4" s="141" t="n">
        <v>1</v>
      </c>
      <c r="N4" s="158" t="inlineStr">
        <is>
          <t xml:space="preserve">SIN IVA </t>
        </is>
      </c>
    </row>
    <row r="5" ht="20.1" customHeight="1">
      <c r="A5" s="177" t="inlineStr">
        <is>
          <t xml:space="preserve">AYUDANTE </t>
        </is>
      </c>
      <c r="B5" s="691" t="inlineStr">
        <is>
          <t xml:space="preserve">AYUDANTE PLUS </t>
        </is>
      </c>
      <c r="C5" s="692" t="inlineStr">
        <is>
          <t xml:space="preserve">hora </t>
        </is>
      </c>
      <c r="D5" s="693" t="n">
        <v>1550</v>
      </c>
      <c r="E5" s="741">
        <f>D5*1.5</f>
        <v/>
      </c>
      <c r="F5" s="695" t="n"/>
      <c r="G5" s="696">
        <f>E5-F5</f>
        <v/>
      </c>
      <c r="H5" s="151" t="n"/>
      <c r="I5" s="152" t="n"/>
      <c r="J5" s="692" t="n"/>
    </row>
    <row r="6">
      <c r="A6" s="142" t="n"/>
      <c r="B6" s="691" t="n"/>
      <c r="C6" s="692" t="n"/>
      <c r="D6" s="693" t="n"/>
      <c r="E6" s="694" t="n"/>
      <c r="F6" s="695" t="n"/>
      <c r="G6" s="696" t="n"/>
      <c r="H6" s="151" t="n"/>
      <c r="I6" s="152" t="n"/>
      <c r="J6" s="692" t="n"/>
    </row>
    <row r="7" ht="20.1" customHeight="1">
      <c r="A7" s="142" t="n"/>
      <c r="B7" s="691" t="n"/>
      <c r="C7" s="692" t="n"/>
      <c r="D7" s="693" t="n"/>
      <c r="E7" s="694" t="n"/>
      <c r="F7" s="695" t="n"/>
      <c r="G7" s="696" t="n"/>
      <c r="H7" s="151" t="n"/>
      <c r="I7" s="152" t="n"/>
      <c r="J7" s="692" t="n"/>
    </row>
    <row r="8">
      <c r="A8" s="142" t="n"/>
      <c r="B8" s="691" t="n"/>
      <c r="C8" s="692" t="n"/>
      <c r="D8" s="693" t="n"/>
      <c r="E8" s="694" t="n"/>
      <c r="F8" s="695" t="n"/>
      <c r="G8" s="696" t="n"/>
      <c r="H8" s="151" t="n"/>
      <c r="I8" s="152" t="n"/>
      <c r="J8" s="692" t="n"/>
    </row>
    <row r="9">
      <c r="A9" s="142" t="n"/>
      <c r="B9" s="691" t="n"/>
      <c r="C9" s="692" t="n"/>
      <c r="D9" s="693" t="n"/>
      <c r="E9" s="694" t="n"/>
      <c r="F9" s="695" t="n"/>
      <c r="G9" s="696" t="n"/>
      <c r="H9" s="151" t="n"/>
      <c r="I9" s="152" t="n"/>
      <c r="J9" s="692" t="n"/>
    </row>
    <row r="10" ht="20.1" customHeight="1">
      <c r="A10" s="142" t="n"/>
      <c r="B10" s="691" t="n"/>
      <c r="C10" s="692" t="n"/>
      <c r="D10" s="693" t="n"/>
      <c r="E10" s="694" t="n"/>
      <c r="F10" s="695" t="n"/>
      <c r="G10" s="696" t="n"/>
      <c r="H10" s="151" t="n"/>
      <c r="I10" s="152" t="n"/>
      <c r="J10" s="692" t="n"/>
    </row>
    <row r="11" ht="20.1" customHeight="1">
      <c r="A11" s="142" t="n"/>
      <c r="B11" s="691" t="n"/>
      <c r="C11" s="692" t="n"/>
      <c r="D11" s="693" t="n"/>
      <c r="E11" s="694" t="n"/>
      <c r="F11" s="695" t="n"/>
      <c r="G11" s="696" t="n"/>
      <c r="H11" s="151" t="n"/>
      <c r="I11" s="152" t="n"/>
      <c r="J11" s="692" t="n"/>
    </row>
    <row r="12" ht="20.1" customHeight="1">
      <c r="A12" s="142" t="n"/>
      <c r="B12" s="691" t="n"/>
      <c r="C12" s="692" t="n"/>
      <c r="D12" s="693" t="n"/>
      <c r="E12" s="694" t="n"/>
      <c r="F12" s="695" t="n"/>
      <c r="G12" s="696" t="n"/>
      <c r="H12" s="151" t="n"/>
      <c r="I12" s="152" t="n"/>
      <c r="J12" s="692" t="n"/>
    </row>
    <row r="13" ht="20.1" customHeight="1">
      <c r="A13" s="142" t="n"/>
      <c r="B13" s="691" t="n"/>
      <c r="C13" s="692" t="n"/>
      <c r="D13" s="693" t="n"/>
      <c r="E13" s="694" t="n"/>
      <c r="F13" s="695" t="n"/>
      <c r="G13" s="696" t="n"/>
      <c r="H13" s="151" t="n"/>
      <c r="I13" s="152" t="n"/>
      <c r="J13" s="692" t="n"/>
    </row>
    <row r="14" ht="20.1" customHeight="1">
      <c r="A14" s="142" t="n"/>
      <c r="B14" s="691" t="n"/>
      <c r="C14" s="692" t="n"/>
      <c r="D14" s="693" t="n"/>
      <c r="E14" s="694" t="n"/>
      <c r="F14" s="695" t="n"/>
      <c r="G14" s="696" t="n"/>
      <c r="H14" s="151" t="n"/>
      <c r="I14" s="152" t="n"/>
      <c r="J14" s="692" t="n"/>
    </row>
    <row r="15" ht="20.1" customHeight="1">
      <c r="A15" s="142" t="n"/>
      <c r="B15" s="691" t="n"/>
      <c r="C15" s="692" t="n"/>
      <c r="D15" s="693" t="n"/>
      <c r="E15" s="694" t="n"/>
      <c r="F15" s="695" t="n"/>
      <c r="G15" s="696" t="n"/>
      <c r="H15" s="151" t="n"/>
      <c r="I15" s="152" t="n"/>
      <c r="J15" s="692" t="n"/>
    </row>
    <row r="16" ht="20.1" customHeight="1">
      <c r="A16" s="142" t="n"/>
      <c r="B16" s="691" t="inlineStr">
        <is>
          <t>&lt;</t>
        </is>
      </c>
      <c r="C16" s="692" t="n"/>
      <c r="D16" s="693" t="n"/>
      <c r="E16" s="694" t="n"/>
      <c r="F16" s="695" t="n"/>
      <c r="G16" s="696" t="n"/>
      <c r="H16" s="151" t="n"/>
      <c r="I16" s="152" t="n"/>
      <c r="J16" s="692" t="n"/>
    </row>
    <row r="17" ht="20.1" customHeight="1">
      <c r="A17" s="142" t="n"/>
      <c r="B17" s="691" t="n"/>
      <c r="C17" s="692" t="n"/>
      <c r="D17" s="693" t="n"/>
      <c r="E17" s="694" t="n"/>
      <c r="F17" s="695" t="n"/>
      <c r="G17" s="696" t="n"/>
      <c r="H17" s="151" t="n"/>
      <c r="I17" s="152" t="n"/>
      <c r="J17" s="692" t="n"/>
    </row>
    <row r="18" ht="20.1" customHeight="1">
      <c r="A18" s="142" t="n"/>
      <c r="B18" s="691" t="n"/>
      <c r="C18" s="692" t="n"/>
      <c r="D18" s="693" t="n"/>
      <c r="E18" s="694" t="n"/>
      <c r="F18" s="695" t="n"/>
      <c r="G18" s="696" t="n"/>
      <c r="H18" s="151" t="n"/>
      <c r="I18" s="152" t="n"/>
      <c r="J18" s="692" t="n"/>
    </row>
    <row r="19" ht="20.1" customHeight="1">
      <c r="A19" s="142" t="n"/>
      <c r="B19" s="691" t="n"/>
      <c r="C19" s="692" t="n"/>
      <c r="D19" s="693" t="n"/>
      <c r="E19" s="694" t="n"/>
      <c r="F19" s="695" t="n"/>
      <c r="G19" s="696" t="n"/>
      <c r="H19" s="151" t="n"/>
      <c r="I19" s="152" t="n"/>
      <c r="J19" s="692" t="n"/>
    </row>
    <row r="20" ht="20.1" customHeight="1">
      <c r="A20" s="142" t="n"/>
      <c r="B20" s="691" t="n"/>
      <c r="C20" s="692" t="n"/>
      <c r="D20" s="693" t="n"/>
      <c r="E20" s="694" t="n"/>
      <c r="F20" s="695" t="n"/>
      <c r="G20" s="696" t="n"/>
      <c r="H20" s="151" t="n"/>
      <c r="I20" s="152" t="n"/>
      <c r="J20" s="692" t="n"/>
    </row>
    <row r="21" ht="20.1" customHeight="1">
      <c r="A21" s="142" t="n"/>
      <c r="B21" s="691" t="n"/>
      <c r="C21" s="692" t="n"/>
      <c r="D21" s="693" t="n"/>
      <c r="E21" s="694" t="n"/>
      <c r="F21" s="695" t="n"/>
      <c r="G21" s="696" t="n"/>
      <c r="H21" s="151" t="n"/>
      <c r="I21" s="152" t="n"/>
      <c r="J21" s="692" t="n"/>
    </row>
    <row r="22" ht="20.1" customHeight="1">
      <c r="A22" s="142" t="n"/>
      <c r="B22" s="691" t="n"/>
      <c r="C22" s="692" t="n"/>
      <c r="D22" s="693" t="n"/>
      <c r="E22" s="694" t="n"/>
      <c r="F22" s="695" t="n"/>
      <c r="G22" s="696" t="n"/>
      <c r="H22" s="151" t="n"/>
      <c r="I22" s="152" t="n"/>
      <c r="J22" s="692" t="n"/>
    </row>
    <row r="23" ht="20.1" customHeight="1">
      <c r="A23" s="142" t="n"/>
      <c r="B23" s="691" t="n"/>
      <c r="C23" s="692" t="n"/>
      <c r="D23" s="693" t="n"/>
      <c r="E23" s="694" t="n"/>
      <c r="F23" s="695" t="n"/>
      <c r="G23" s="696" t="n"/>
      <c r="H23" s="151" t="n"/>
      <c r="I23" s="152" t="n"/>
      <c r="J23" s="692" t="n"/>
    </row>
    <row r="24" ht="20.1" customHeight="1">
      <c r="A24" s="142" t="n"/>
      <c r="B24" s="691" t="n"/>
      <c r="C24" s="692" t="n"/>
      <c r="D24" s="693" t="n"/>
      <c r="E24" s="694" t="n"/>
      <c r="F24" s="695" t="n"/>
      <c r="G24" s="696" t="n"/>
      <c r="H24" s="151" t="n"/>
      <c r="I24" s="152" t="n"/>
      <c r="J24" s="692" t="n"/>
    </row>
    <row r="25" ht="20.1" customHeight="1">
      <c r="A25" s="142" t="n"/>
      <c r="B25" s="691" t="n"/>
      <c r="C25" s="692" t="n"/>
      <c r="D25" s="693" t="n"/>
      <c r="E25" s="694" t="n"/>
      <c r="F25" s="695" t="n"/>
      <c r="G25" s="696" t="n"/>
      <c r="H25" s="151" t="n"/>
      <c r="I25" s="152" t="n"/>
      <c r="J25" s="692" t="n"/>
    </row>
    <row r="26" ht="20.1" customHeight="1">
      <c r="A26" s="142" t="n"/>
      <c r="B26" s="691" t="n"/>
      <c r="C26" s="692" t="n"/>
      <c r="D26" s="693" t="n"/>
      <c r="E26" s="694" t="n"/>
      <c r="F26" s="695" t="n"/>
      <c r="G26" s="696" t="n"/>
      <c r="H26" s="151" t="n"/>
      <c r="I26" s="152" t="n"/>
      <c r="J26" s="692" t="n"/>
    </row>
    <row r="27" ht="20.1" customHeight="1">
      <c r="A27" s="142" t="n"/>
      <c r="B27" s="691" t="n"/>
      <c r="C27" s="692" t="n"/>
      <c r="D27" s="693" t="n"/>
      <c r="E27" s="694" t="n"/>
      <c r="F27" s="695" t="n"/>
      <c r="G27" s="696" t="n"/>
      <c r="H27" s="151" t="n"/>
      <c r="I27" s="152" t="n"/>
      <c r="J27" s="692" t="n"/>
    </row>
    <row r="28" ht="20.1" customHeight="1">
      <c r="A28" s="142" t="n"/>
      <c r="B28" s="691" t="n"/>
      <c r="C28" s="692" t="n"/>
      <c r="D28" s="693" t="n"/>
      <c r="E28" s="694" t="n"/>
      <c r="F28" s="695" t="n"/>
      <c r="G28" s="696" t="n"/>
      <c r="H28" s="151" t="n"/>
      <c r="I28" s="152" t="n"/>
      <c r="J28" s="692" t="n"/>
    </row>
    <row r="29" ht="20.1" customHeight="1">
      <c r="A29" s="142" t="n"/>
      <c r="B29" s="691" t="n"/>
      <c r="C29" s="692" t="n"/>
      <c r="D29" s="693" t="n"/>
      <c r="E29" s="694" t="n"/>
      <c r="F29" s="695" t="n"/>
      <c r="G29" s="696" t="n"/>
      <c r="H29" s="151" t="n"/>
      <c r="I29" s="152" t="n"/>
      <c r="J29" s="692" t="n"/>
    </row>
    <row r="30" ht="20.1" customHeight="1">
      <c r="A30" s="142" t="n"/>
      <c r="B30" s="691" t="n"/>
      <c r="C30" s="692" t="n"/>
      <c r="D30" s="693" t="n"/>
      <c r="E30" s="694" t="n"/>
      <c r="F30" s="695" t="n"/>
      <c r="G30" s="696" t="n"/>
      <c r="H30" s="151" t="n"/>
      <c r="I30" s="152" t="n"/>
      <c r="J30" s="692" t="n"/>
    </row>
    <row r="31" ht="20.1" customHeight="1">
      <c r="A31" s="142" t="n"/>
      <c r="B31" s="691" t="n"/>
      <c r="C31" s="692" t="n"/>
      <c r="D31" s="693" t="n"/>
      <c r="E31" s="694" t="n"/>
      <c r="F31" s="695" t="n"/>
      <c r="G31" s="696" t="n"/>
      <c r="H31" s="151" t="n"/>
      <c r="I31" s="152" t="n"/>
      <c r="J31" s="692" t="n"/>
    </row>
    <row r="32" ht="20.1" customHeight="1">
      <c r="A32" s="142" t="n"/>
      <c r="B32" s="691" t="n"/>
      <c r="C32" s="692" t="n"/>
      <c r="D32" s="693" t="n"/>
      <c r="E32" s="694" t="n"/>
      <c r="F32" s="695" t="n"/>
      <c r="G32" s="696" t="n"/>
      <c r="H32" s="151" t="n"/>
      <c r="I32" s="152" t="n"/>
      <c r="J32" s="692" t="n"/>
    </row>
    <row r="33" ht="20.1" customHeight="1">
      <c r="A33" s="142" t="n"/>
      <c r="B33" s="691" t="n"/>
      <c r="C33" s="692" t="n"/>
      <c r="D33" s="693" t="n"/>
      <c r="E33" s="694" t="n"/>
      <c r="F33" s="695" t="n"/>
      <c r="G33" s="696" t="n"/>
      <c r="H33" s="151" t="n"/>
      <c r="I33" s="152" t="n"/>
      <c r="J33" s="692" t="n"/>
    </row>
    <row r="34" ht="20.1" customHeight="1">
      <c r="A34" s="142" t="n"/>
      <c r="B34" s="691" t="n"/>
      <c r="C34" s="692" t="n"/>
      <c r="D34" s="693" t="n"/>
      <c r="E34" s="694" t="n"/>
      <c r="F34" s="695" t="n"/>
      <c r="G34" s="696" t="n"/>
      <c r="H34" s="151" t="n"/>
      <c r="I34" s="152" t="n"/>
      <c r="J34" s="692" t="n"/>
    </row>
    <row r="35" ht="20.1" customHeight="1">
      <c r="A35" s="142" t="n"/>
      <c r="B35" s="691" t="n"/>
      <c r="C35" s="692" t="n"/>
      <c r="D35" s="693" t="n"/>
      <c r="E35" s="694" t="n"/>
      <c r="F35" s="695" t="n"/>
      <c r="G35" s="696" t="n"/>
      <c r="H35" s="151" t="n"/>
      <c r="I35" s="152" t="n"/>
      <c r="J35" s="692" t="n"/>
    </row>
    <row r="36" ht="20.1" customHeight="1">
      <c r="A36" s="142" t="n"/>
      <c r="B36" s="691" t="n"/>
      <c r="C36" s="692" t="n"/>
      <c r="D36" s="693" t="n"/>
      <c r="E36" s="694" t="n"/>
      <c r="F36" s="695" t="n"/>
      <c r="G36" s="696" t="n"/>
      <c r="H36" s="151" t="n"/>
      <c r="I36" s="152" t="n"/>
      <c r="J36" s="692" t="n"/>
    </row>
    <row r="37" ht="20.1" customHeight="1">
      <c r="A37" s="142" t="n"/>
      <c r="B37" s="691" t="n"/>
      <c r="C37" s="692" t="n"/>
      <c r="D37" s="693" t="n"/>
      <c r="E37" s="694" t="n"/>
      <c r="F37" s="695" t="n"/>
      <c r="G37" s="696" t="n"/>
      <c r="H37" s="151" t="n"/>
      <c r="I37" s="152" t="n"/>
      <c r="J37" s="692" t="n"/>
    </row>
    <row r="38" ht="20.1" customHeight="1">
      <c r="A38" s="142" t="n"/>
      <c r="B38" s="691" t="n"/>
      <c r="C38" s="692" t="n"/>
      <c r="D38" s="693" t="n"/>
      <c r="E38" s="694" t="n"/>
      <c r="F38" s="695" t="n"/>
      <c r="G38" s="696" t="n"/>
      <c r="H38" s="151" t="n"/>
      <c r="I38" s="152" t="n"/>
      <c r="J38" s="692" t="n"/>
    </row>
    <row r="39" ht="20.1" customHeight="1">
      <c r="A39" s="142" t="n"/>
      <c r="B39" s="691" t="n"/>
      <c r="C39" s="692" t="n"/>
      <c r="D39" s="693" t="n"/>
      <c r="E39" s="694" t="n"/>
      <c r="F39" s="695" t="n"/>
      <c r="G39" s="696" t="n"/>
      <c r="H39" s="151" t="n"/>
      <c r="I39" s="152" t="n"/>
      <c r="J39" s="692" t="n"/>
    </row>
    <row r="40" ht="20.1" customHeight="1">
      <c r="A40" s="142" t="n"/>
      <c r="B40" s="691" t="n"/>
      <c r="C40" s="692" t="n"/>
      <c r="D40" s="693" t="n"/>
      <c r="E40" s="694" t="n"/>
      <c r="F40" s="695" t="n"/>
      <c r="G40" s="696" t="n"/>
      <c r="H40" s="151" t="n"/>
      <c r="I40" s="152" t="n"/>
      <c r="J40" s="692" t="n"/>
    </row>
    <row r="41" ht="20.1" customHeight="1">
      <c r="A41" s="142" t="n"/>
      <c r="B41" s="691" t="n"/>
      <c r="C41" s="692" t="n"/>
      <c r="D41" s="693" t="n"/>
      <c r="E41" s="694" t="n"/>
      <c r="F41" s="695" t="n"/>
      <c r="G41" s="696" t="n"/>
      <c r="H41" s="151" t="n"/>
      <c r="I41" s="152" t="n"/>
      <c r="J41" s="692" t="n"/>
    </row>
    <row r="42" ht="20.1" customHeight="1">
      <c r="A42" s="142" t="n"/>
      <c r="B42" s="691" t="n"/>
      <c r="C42" s="692" t="n"/>
      <c r="D42" s="693" t="n"/>
      <c r="E42" s="694" t="n"/>
      <c r="F42" s="695" t="n"/>
      <c r="G42" s="696" t="n"/>
      <c r="H42" s="151" t="n"/>
      <c r="I42" s="152" t="n"/>
      <c r="J42" s="692" t="n"/>
    </row>
    <row r="43" ht="20.1" customHeight="1">
      <c r="A43" s="142" t="n"/>
      <c r="B43" s="691" t="n"/>
      <c r="C43" s="692" t="n"/>
      <c r="D43" s="693" t="n"/>
      <c r="E43" s="694" t="n"/>
      <c r="F43" s="695" t="n"/>
      <c r="G43" s="696" t="n"/>
      <c r="H43" s="151" t="n"/>
      <c r="I43" s="152" t="n"/>
      <c r="J43" s="692" t="n"/>
    </row>
    <row r="44" ht="20.1" customHeight="1">
      <c r="A44" s="142" t="n"/>
      <c r="B44" s="691" t="n"/>
      <c r="C44" s="692" t="n"/>
      <c r="D44" s="693" t="n"/>
      <c r="E44" s="694" t="n"/>
      <c r="F44" s="695" t="n"/>
      <c r="G44" s="696" t="n"/>
      <c r="H44" s="151" t="n"/>
      <c r="I44" s="152" t="n"/>
      <c r="J44" s="692" t="n"/>
    </row>
    <row r="45" ht="20.1" customHeight="1">
      <c r="A45" s="142" t="n"/>
      <c r="B45" s="691" t="n"/>
      <c r="C45" s="692" t="n"/>
      <c r="D45" s="693" t="n"/>
      <c r="E45" s="694" t="n"/>
      <c r="F45" s="695" t="n"/>
      <c r="G45" s="696" t="n"/>
      <c r="H45" s="151" t="n"/>
      <c r="I45" s="152" t="n"/>
      <c r="J45" s="692" t="n"/>
    </row>
    <row r="46" ht="20.1" customHeight="1">
      <c r="A46" s="142" t="n"/>
      <c r="B46" s="691" t="n"/>
      <c r="C46" s="692" t="n"/>
      <c r="D46" s="693" t="n"/>
      <c r="E46" s="694" t="n"/>
      <c r="F46" s="695" t="n"/>
      <c r="G46" s="696" t="n"/>
      <c r="H46" s="151" t="n"/>
      <c r="I46" s="152" t="n"/>
      <c r="J46" s="692" t="n"/>
    </row>
    <row r="47" ht="20.1" customHeight="1">
      <c r="A47" s="142" t="n"/>
      <c r="B47" s="691" t="n"/>
      <c r="C47" s="692" t="n"/>
      <c r="D47" s="693" t="n"/>
      <c r="E47" s="694" t="n"/>
      <c r="F47" s="695" t="n"/>
      <c r="G47" s="696" t="n"/>
      <c r="H47" s="151" t="n"/>
      <c r="I47" s="152" t="n"/>
      <c r="J47" s="692" t="n"/>
    </row>
    <row r="48" ht="20.1" customHeight="1">
      <c r="A48" s="142" t="n"/>
      <c r="B48" s="691" t="n"/>
      <c r="C48" s="692" t="n"/>
      <c r="D48" s="693" t="n"/>
      <c r="E48" s="694" t="n"/>
      <c r="F48" s="695" t="n"/>
      <c r="G48" s="696" t="n"/>
      <c r="H48" s="151" t="n"/>
      <c r="I48" s="152" t="n"/>
      <c r="J48" s="692" t="n"/>
    </row>
    <row r="49" ht="20.1" customHeight="1">
      <c r="A49" s="142" t="n"/>
      <c r="B49" s="691" t="n"/>
      <c r="C49" s="692" t="n"/>
      <c r="D49" s="693" t="n"/>
      <c r="E49" s="694" t="n"/>
      <c r="F49" s="695" t="n"/>
      <c r="G49" s="696" t="n"/>
      <c r="H49" s="151" t="n"/>
      <c r="I49" s="152" t="n"/>
      <c r="J49" s="692" t="n"/>
    </row>
    <row r="50" ht="20.1" customHeight="1">
      <c r="A50" s="142" t="n"/>
      <c r="B50" s="691" t="n"/>
      <c r="C50" s="692" t="n"/>
      <c r="D50" s="693" t="n"/>
      <c r="E50" s="694" t="n"/>
      <c r="F50" s="695" t="n"/>
      <c r="G50" s="696" t="n"/>
      <c r="H50" s="151" t="n"/>
      <c r="I50" s="152" t="n"/>
      <c r="J50" s="692" t="n"/>
    </row>
    <row r="51" ht="20.1" customHeight="1">
      <c r="A51" s="142" t="n"/>
      <c r="B51" s="691" t="n"/>
      <c r="C51" s="692" t="n"/>
      <c r="D51" s="693" t="n"/>
      <c r="E51" s="694" t="n"/>
      <c r="F51" s="695" t="n"/>
      <c r="G51" s="696" t="n"/>
      <c r="H51" s="151" t="n"/>
      <c r="I51" s="152" t="n"/>
      <c r="J51" s="692" t="n"/>
    </row>
    <row r="52" ht="20.1" customHeight="1">
      <c r="A52" s="142" t="n"/>
      <c r="B52" s="691" t="n"/>
      <c r="C52" s="692" t="n"/>
      <c r="D52" s="693" t="n"/>
      <c r="E52" s="694" t="n"/>
      <c r="F52" s="695" t="n"/>
      <c r="G52" s="696" t="n"/>
      <c r="H52" s="151" t="n"/>
      <c r="I52" s="152" t="n"/>
      <c r="J52" s="692" t="n"/>
    </row>
    <row r="53" ht="20.1" customHeight="1">
      <c r="A53" s="142" t="n"/>
      <c r="B53" s="691" t="n"/>
      <c r="C53" s="692" t="n"/>
      <c r="D53" s="693" t="n"/>
      <c r="E53" s="694" t="n"/>
      <c r="F53" s="695" t="n"/>
      <c r="G53" s="696" t="n"/>
      <c r="H53" s="151" t="n"/>
      <c r="I53" s="152" t="n"/>
      <c r="J53" s="692" t="n"/>
    </row>
    <row r="54" ht="20.1" customHeight="1">
      <c r="A54" s="142" t="n"/>
      <c r="B54" s="691" t="n"/>
      <c r="C54" s="692" t="n"/>
      <c r="D54" s="693" t="n"/>
      <c r="E54" s="694" t="n"/>
      <c r="F54" s="695" t="n"/>
      <c r="G54" s="696" t="n"/>
      <c r="H54" s="151" t="n"/>
      <c r="I54" s="152" t="n"/>
      <c r="J54" s="692" t="n"/>
    </row>
    <row r="55" ht="20.1" customHeight="1">
      <c r="A55" s="142" t="n"/>
      <c r="B55" s="691" t="n"/>
      <c r="C55" s="692" t="n"/>
      <c r="D55" s="693" t="n"/>
      <c r="E55" s="694" t="n"/>
      <c r="F55" s="695" t="n"/>
      <c r="G55" s="696" t="n"/>
      <c r="H55" s="151" t="n"/>
      <c r="I55" s="152" t="n"/>
      <c r="J55" s="692" t="n"/>
    </row>
    <row r="56" ht="20.1" customHeight="1">
      <c r="A56" s="142" t="n"/>
      <c r="B56" s="691" t="n"/>
      <c r="C56" s="692" t="n"/>
      <c r="D56" s="693" t="n"/>
      <c r="E56" s="694" t="n"/>
      <c r="F56" s="695" t="n"/>
      <c r="G56" s="696" t="n"/>
      <c r="H56" s="151" t="n"/>
      <c r="I56" s="152" t="n"/>
      <c r="J56" s="692" t="n"/>
    </row>
    <row r="57" ht="20.1" customHeight="1">
      <c r="A57" s="142" t="n"/>
      <c r="B57" s="691" t="n"/>
      <c r="C57" s="692" t="n"/>
      <c r="D57" s="693" t="n"/>
      <c r="E57" s="694" t="n"/>
      <c r="F57" s="695" t="n"/>
      <c r="G57" s="696" t="n"/>
      <c r="H57" s="151" t="n"/>
      <c r="I57" s="152" t="n"/>
      <c r="J57" s="692" t="n"/>
    </row>
    <row r="58" ht="20.1" customHeight="1">
      <c r="A58" s="142" t="n"/>
      <c r="B58" s="691" t="n"/>
      <c r="C58" s="692" t="n"/>
      <c r="D58" s="693" t="n"/>
      <c r="E58" s="694" t="n"/>
      <c r="F58" s="695" t="n"/>
      <c r="G58" s="696" t="n"/>
      <c r="H58" s="151" t="n"/>
      <c r="I58" s="152" t="n"/>
      <c r="J58" s="692" t="n"/>
    </row>
    <row r="59" ht="20.1" customHeight="1">
      <c r="A59" s="142" t="n"/>
      <c r="B59" s="691" t="n"/>
      <c r="C59" s="692" t="n"/>
      <c r="D59" s="693" t="n"/>
      <c r="E59" s="694" t="n"/>
      <c r="F59" s="695" t="n"/>
      <c r="G59" s="696" t="n"/>
      <c r="H59" s="151" t="n"/>
      <c r="I59" s="152" t="n"/>
      <c r="J59" s="692" t="n"/>
    </row>
    <row r="60" ht="20.1" customHeight="1">
      <c r="A60" s="142" t="n"/>
      <c r="B60" s="691" t="n"/>
      <c r="C60" s="692" t="n"/>
      <c r="D60" s="693" t="n"/>
      <c r="E60" s="694" t="n"/>
      <c r="F60" s="695" t="n"/>
      <c r="G60" s="696" t="n"/>
      <c r="H60" s="151" t="n"/>
      <c r="I60" s="152" t="n"/>
      <c r="J60" s="692" t="n"/>
    </row>
    <row r="61" ht="20.1" customHeight="1">
      <c r="A61" s="142" t="n"/>
      <c r="B61" s="691" t="n"/>
      <c r="C61" s="692" t="n"/>
      <c r="D61" s="693" t="n"/>
      <c r="E61" s="694" t="n"/>
      <c r="F61" s="695" t="n"/>
      <c r="G61" s="696" t="n"/>
      <c r="H61" s="151" t="n"/>
      <c r="I61" s="152" t="n"/>
      <c r="J61" s="692" t="n"/>
    </row>
    <row r="62" ht="20.1" customHeight="1">
      <c r="A62" s="142" t="n"/>
      <c r="B62" s="691" t="n"/>
      <c r="C62" s="692" t="n"/>
      <c r="D62" s="693" t="n"/>
      <c r="E62" s="694" t="n"/>
      <c r="F62" s="695" t="n"/>
      <c r="G62" s="696" t="n"/>
      <c r="H62" s="151" t="n"/>
      <c r="I62" s="152" t="n"/>
      <c r="J62" s="692" t="n"/>
    </row>
    <row r="63" ht="20.1" customHeight="1">
      <c r="A63" s="142" t="n"/>
      <c r="B63" s="691" t="n"/>
      <c r="C63" s="692" t="n"/>
      <c r="D63" s="693" t="n"/>
      <c r="E63" s="694" t="n"/>
      <c r="F63" s="695" t="n"/>
      <c r="G63" s="696" t="n"/>
      <c r="H63" s="151" t="n"/>
      <c r="I63" s="152" t="n"/>
      <c r="J63" s="692" t="n"/>
    </row>
    <row r="64" ht="20.1" customHeight="1">
      <c r="A64" s="142" t="n"/>
      <c r="B64" s="691" t="n"/>
      <c r="C64" s="692" t="n"/>
      <c r="D64" s="693" t="n"/>
      <c r="E64" s="694" t="n"/>
      <c r="F64" s="695" t="n"/>
      <c r="G64" s="696" t="n"/>
      <c r="H64" s="151" t="n"/>
      <c r="I64" s="152" t="n"/>
      <c r="J64" s="692" t="n"/>
    </row>
    <row r="65" ht="20.1" customHeight="1">
      <c r="A65" s="142" t="n"/>
      <c r="B65" s="691" t="n"/>
      <c r="C65" s="692" t="n"/>
      <c r="D65" s="693" t="n"/>
      <c r="E65" s="694" t="n"/>
      <c r="F65" s="695" t="n"/>
      <c r="G65" s="696" t="n"/>
      <c r="H65" s="151" t="n"/>
      <c r="I65" s="152" t="n"/>
      <c r="J65" s="692" t="n"/>
    </row>
    <row r="66">
      <c r="A66" s="142" t="n"/>
      <c r="B66" s="691" t="n"/>
      <c r="C66" s="692" t="n"/>
      <c r="D66" s="693" t="n"/>
      <c r="E66" s="694" t="n"/>
      <c r="F66" s="695" t="n"/>
      <c r="G66" s="696" t="n"/>
      <c r="H66" s="151" t="n"/>
      <c r="I66" s="152" t="n"/>
      <c r="J66" s="692" t="n"/>
    </row>
    <row r="67">
      <c r="A67" s="142" t="n"/>
      <c r="B67" s="691" t="n"/>
      <c r="C67" s="692" t="n"/>
      <c r="D67" s="693" t="n"/>
      <c r="E67" s="694" t="n"/>
      <c r="F67" s="695" t="n"/>
      <c r="G67" s="696" t="n"/>
      <c r="H67" s="151" t="n"/>
      <c r="I67" s="152" t="n"/>
      <c r="J67" s="692" t="n"/>
    </row>
    <row r="68" ht="20.1" customHeight="1">
      <c r="A68" s="142" t="n"/>
      <c r="B68" s="691" t="n"/>
      <c r="C68" s="692" t="n"/>
      <c r="D68" s="693" t="n"/>
      <c r="E68" s="694" t="n"/>
      <c r="F68" s="695" t="n"/>
      <c r="G68" s="696" t="n"/>
      <c r="H68" s="151" t="n"/>
      <c r="I68" s="152" t="n"/>
      <c r="J68" s="692" t="n"/>
    </row>
    <row r="69" ht="20.1" customHeight="1">
      <c r="A69" s="142" t="n"/>
      <c r="B69" s="691" t="n"/>
      <c r="C69" s="692" t="n"/>
      <c r="D69" s="693" t="n"/>
      <c r="E69" s="694" t="n"/>
      <c r="F69" s="695" t="n"/>
      <c r="G69" s="696" t="n"/>
      <c r="H69" s="151" t="n"/>
      <c r="I69" s="152" t="n"/>
      <c r="J69" s="692" t="n"/>
    </row>
    <row r="70" ht="20.1" customHeight="1">
      <c r="A70" s="142" t="n"/>
      <c r="B70" s="691" t="n"/>
      <c r="C70" s="692" t="n"/>
      <c r="D70" s="693" t="n"/>
      <c r="E70" s="694" t="n"/>
      <c r="F70" s="695" t="n"/>
      <c r="G70" s="696" t="n"/>
      <c r="H70" s="151" t="n"/>
      <c r="I70" s="152" t="n"/>
      <c r="J70" s="692" t="n"/>
    </row>
    <row r="71" ht="20.1" customHeight="1">
      <c r="A71" s="142" t="n"/>
      <c r="B71" s="691" t="n"/>
      <c r="C71" s="692" t="n"/>
      <c r="D71" s="693" t="n"/>
      <c r="E71" s="694" t="n"/>
      <c r="F71" s="695" t="n"/>
      <c r="G71" s="696" t="n"/>
      <c r="H71" s="151" t="n"/>
      <c r="I71" s="152" t="n"/>
      <c r="J71" s="692" t="n"/>
    </row>
    <row r="72" ht="20.1" customHeight="1">
      <c r="A72" s="142" t="n"/>
      <c r="B72" s="691" t="n"/>
      <c r="C72" s="692" t="n"/>
      <c r="D72" s="693" t="n"/>
      <c r="E72" s="694" t="n"/>
      <c r="F72" s="695" t="n"/>
      <c r="G72" s="696" t="n"/>
      <c r="H72" s="151" t="n"/>
      <c r="I72" s="152" t="n"/>
      <c r="J72" s="692" t="n"/>
    </row>
    <row r="73" ht="20.1" customHeight="1">
      <c r="A73" s="142" t="n"/>
      <c r="B73" s="691" t="n"/>
      <c r="C73" s="692" t="n"/>
      <c r="D73" s="693" t="n"/>
      <c r="E73" s="694" t="n"/>
      <c r="F73" s="695" t="n"/>
      <c r="G73" s="696" t="n"/>
      <c r="H73" s="151" t="n"/>
      <c r="I73" s="152" t="n"/>
      <c r="J73" s="692" t="n"/>
    </row>
    <row r="74" ht="20.1" customHeight="1">
      <c r="A74" s="142" t="n"/>
      <c r="B74" s="691" t="n"/>
      <c r="C74" s="692" t="n"/>
      <c r="D74" s="693" t="n"/>
      <c r="E74" s="694" t="n"/>
      <c r="F74" s="695" t="n"/>
      <c r="G74" s="696" t="n"/>
      <c r="H74" s="151" t="n"/>
      <c r="I74" s="152" t="n"/>
      <c r="J74" s="692" t="n"/>
    </row>
    <row r="75" ht="20.1" customHeight="1">
      <c r="A75" s="142" t="n"/>
      <c r="B75" s="691" t="n"/>
      <c r="C75" s="692" t="n"/>
      <c r="D75" s="693" t="n"/>
      <c r="E75" s="694" t="n"/>
      <c r="F75" s="695" t="n"/>
      <c r="G75" s="696" t="n"/>
      <c r="H75" s="151" t="n"/>
      <c r="I75" s="152" t="n"/>
      <c r="J75" s="692" t="n"/>
    </row>
    <row r="76" ht="20.1" customHeight="1">
      <c r="A76" s="142" t="n"/>
      <c r="B76" s="691" t="n"/>
      <c r="C76" s="692" t="n"/>
      <c r="D76" s="693" t="n"/>
      <c r="E76" s="694" t="n"/>
      <c r="F76" s="695" t="n"/>
      <c r="G76" s="696" t="n"/>
      <c r="H76" s="151" t="n"/>
      <c r="I76" s="152" t="n"/>
      <c r="J76" s="692" t="n"/>
    </row>
    <row r="77" ht="20.1" customHeight="1">
      <c r="A77" s="142" t="n"/>
      <c r="B77" s="691" t="n"/>
      <c r="C77" s="692" t="n"/>
      <c r="D77" s="693" t="n"/>
      <c r="E77" s="694" t="n"/>
      <c r="F77" s="695" t="n"/>
      <c r="G77" s="696" t="n"/>
      <c r="H77" s="151" t="n"/>
      <c r="I77" s="152" t="n"/>
      <c r="J77" s="692" t="n"/>
    </row>
    <row r="78" ht="20.1" customHeight="1">
      <c r="A78" s="142" t="n"/>
      <c r="B78" s="691" t="n"/>
      <c r="C78" s="692" t="n"/>
      <c r="D78" s="693" t="n"/>
      <c r="E78" s="694" t="n"/>
      <c r="F78" s="695" t="n"/>
      <c r="G78" s="696" t="n"/>
      <c r="H78" s="151" t="n"/>
      <c r="I78" s="152" t="n"/>
      <c r="J78" s="692" t="n"/>
    </row>
    <row r="79" ht="20.1" customHeight="1">
      <c r="A79" s="142" t="n"/>
      <c r="B79" s="691" t="n"/>
      <c r="C79" s="692" t="n"/>
      <c r="D79" s="693" t="n"/>
      <c r="E79" s="694" t="n"/>
      <c r="F79" s="695" t="n"/>
      <c r="G79" s="696" t="n"/>
      <c r="H79" s="151" t="n"/>
      <c r="I79" s="152" t="n"/>
      <c r="J79" s="692" t="n"/>
    </row>
    <row r="80" ht="20.1" customHeight="1">
      <c r="A80" s="142" t="n"/>
      <c r="B80" s="691" t="n"/>
      <c r="C80" s="692" t="n"/>
      <c r="D80" s="693" t="n"/>
      <c r="E80" s="694" t="n"/>
      <c r="F80" s="695" t="n"/>
      <c r="G80" s="696" t="n"/>
      <c r="H80" s="151" t="n"/>
      <c r="I80" s="152" t="n"/>
      <c r="J80" s="692" t="n"/>
    </row>
    <row r="81" ht="20.1" customHeight="1">
      <c r="A81" s="142" t="n"/>
      <c r="B81" s="691" t="n"/>
      <c r="C81" s="692" t="n"/>
      <c r="D81" s="693" t="n"/>
      <c r="E81" s="694" t="n"/>
      <c r="F81" s="695" t="n"/>
      <c r="G81" s="696" t="n"/>
      <c r="H81" s="151" t="n"/>
      <c r="I81" s="152" t="n"/>
      <c r="J81" s="692" t="n"/>
    </row>
    <row r="82" ht="20.1" customHeight="1">
      <c r="A82" s="142" t="n"/>
      <c r="B82" s="691" t="n"/>
      <c r="C82" s="692" t="n"/>
      <c r="D82" s="693" t="n"/>
      <c r="E82" s="694" t="n"/>
      <c r="F82" s="695" t="n"/>
      <c r="G82" s="696" t="n"/>
      <c r="H82" s="151" t="n"/>
      <c r="I82" s="152" t="n"/>
      <c r="J82" s="692" t="n"/>
    </row>
    <row r="83" ht="20.1" customHeight="1">
      <c r="A83" s="142" t="n"/>
      <c r="B83" s="691" t="n"/>
      <c r="C83" s="692" t="n"/>
      <c r="D83" s="693" t="n"/>
      <c r="E83" s="694" t="n"/>
      <c r="F83" s="695" t="n"/>
      <c r="G83" s="696" t="n"/>
      <c r="H83" s="151" t="n"/>
      <c r="I83" s="152" t="n"/>
      <c r="J83" s="692" t="n"/>
    </row>
    <row r="84" ht="20.1" customHeight="1">
      <c r="A84" s="142" t="n"/>
      <c r="B84" s="691" t="n"/>
      <c r="C84" s="692" t="n"/>
      <c r="D84" s="693" t="n"/>
      <c r="E84" s="694" t="n"/>
      <c r="F84" s="695" t="n"/>
      <c r="G84" s="696" t="n"/>
      <c r="H84" s="151" t="n"/>
      <c r="I84" s="152" t="n"/>
      <c r="J84" s="692" t="n"/>
    </row>
    <row r="85" ht="20.1" customHeight="1">
      <c r="A85" s="142" t="n"/>
      <c r="B85" s="691" t="n"/>
      <c r="C85" s="692" t="n"/>
      <c r="D85" s="693" t="n"/>
      <c r="E85" s="694" t="n"/>
      <c r="F85" s="695" t="n"/>
      <c r="G85" s="696" t="n"/>
      <c r="H85" s="151" t="n"/>
      <c r="I85" s="152" t="n"/>
      <c r="J85" s="692" t="n"/>
    </row>
    <row r="86" ht="20.1" customHeight="1">
      <c r="A86" s="142" t="n"/>
      <c r="B86" s="691" t="n"/>
      <c r="C86" s="692" t="n"/>
      <c r="D86" s="693" t="n"/>
      <c r="E86" s="694" t="n"/>
      <c r="F86" s="695" t="n"/>
      <c r="G86" s="696" t="n"/>
      <c r="H86" s="151" t="n"/>
      <c r="I86" s="152" t="n"/>
      <c r="J86" s="692" t="n"/>
    </row>
    <row r="87" ht="20.1" customHeight="1">
      <c r="A87" s="142" t="n"/>
      <c r="B87" s="691" t="n"/>
      <c r="C87" s="692" t="n"/>
      <c r="D87" s="693" t="n"/>
      <c r="E87" s="694" t="n"/>
      <c r="F87" s="695" t="n"/>
      <c r="G87" s="696" t="n"/>
      <c r="H87" s="151" t="n"/>
      <c r="I87" s="152" t="n"/>
      <c r="J87" s="692" t="n"/>
    </row>
    <row r="88" ht="20.1" customHeight="1">
      <c r="A88" s="142" t="n"/>
      <c r="B88" s="691" t="n"/>
      <c r="C88" s="692" t="n"/>
      <c r="D88" s="693" t="n"/>
      <c r="E88" s="694" t="n"/>
      <c r="F88" s="695" t="n"/>
      <c r="G88" s="696" t="n"/>
      <c r="H88" s="151" t="n"/>
      <c r="I88" s="152" t="n"/>
      <c r="J88" s="692" t="n"/>
    </row>
    <row r="89" ht="20.1" customHeight="1">
      <c r="A89" s="142" t="n"/>
      <c r="B89" s="691" t="n"/>
      <c r="C89" s="692" t="n"/>
      <c r="D89" s="693" t="n"/>
      <c r="E89" s="694" t="n"/>
      <c r="F89" s="695" t="n"/>
      <c r="G89" s="696" t="n"/>
      <c r="H89" s="151" t="n"/>
      <c r="I89" s="152" t="n"/>
      <c r="J89" s="692" t="n"/>
    </row>
    <row r="90" ht="20.1" customHeight="1">
      <c r="A90" s="142" t="n"/>
      <c r="B90" s="691" t="n"/>
      <c r="C90" s="692" t="n"/>
      <c r="D90" s="693" t="n"/>
      <c r="E90" s="694" t="n"/>
      <c r="F90" s="695" t="n"/>
      <c r="G90" s="696" t="n"/>
      <c r="H90" s="151" t="n"/>
      <c r="I90" s="152" t="n"/>
      <c r="J90" s="692" t="n"/>
    </row>
    <row r="91" ht="20.1" customHeight="1">
      <c r="A91" s="142" t="n"/>
      <c r="B91" s="691" t="n"/>
      <c r="C91" s="692" t="n"/>
      <c r="D91" s="693" t="n"/>
      <c r="E91" s="694" t="n"/>
      <c r="F91" s="695" t="n"/>
      <c r="G91" s="696" t="n"/>
      <c r="H91" s="151" t="n"/>
      <c r="I91" s="152" t="n"/>
      <c r="J91" s="692" t="n"/>
    </row>
    <row r="92" ht="20.1" customHeight="1">
      <c r="A92" s="142" t="n"/>
      <c r="B92" s="691" t="n"/>
      <c r="C92" s="692" t="n"/>
      <c r="D92" s="693" t="n"/>
      <c r="E92" s="694" t="n"/>
      <c r="F92" s="695" t="n"/>
      <c r="G92" s="696" t="n"/>
      <c r="H92" s="151" t="n"/>
      <c r="I92" s="152" t="n"/>
      <c r="J92" s="692" t="n"/>
    </row>
    <row r="93" ht="20.1" customHeight="1">
      <c r="A93" s="142" t="n"/>
      <c r="B93" s="691" t="n"/>
      <c r="C93" s="692" t="n"/>
      <c r="D93" s="693" t="n"/>
      <c r="E93" s="694" t="n"/>
      <c r="F93" s="695" t="n"/>
      <c r="G93" s="696" t="n"/>
      <c r="H93" s="151" t="n"/>
      <c r="I93" s="152" t="n"/>
      <c r="J93" s="692" t="n"/>
    </row>
    <row r="94" ht="20.1" customHeight="1">
      <c r="A94" s="142" t="n"/>
      <c r="B94" s="691" t="n"/>
      <c r="C94" s="692" t="n"/>
      <c r="D94" s="693" t="n"/>
      <c r="E94" s="694" t="n"/>
      <c r="F94" s="695" t="n"/>
      <c r="G94" s="696" t="n"/>
      <c r="H94" s="151" t="n"/>
      <c r="I94" s="152" t="n"/>
      <c r="J94" s="692" t="n"/>
    </row>
    <row r="95" ht="20.1" customHeight="1">
      <c r="A95" s="142" t="n"/>
      <c r="B95" s="691" t="n"/>
      <c r="C95" s="692" t="n"/>
      <c r="D95" s="693" t="n"/>
      <c r="E95" s="694" t="n"/>
      <c r="F95" s="695" t="n"/>
      <c r="G95" s="696" t="n"/>
      <c r="H95" s="151" t="n"/>
      <c r="I95" s="152" t="n"/>
      <c r="J95" s="692" t="n"/>
    </row>
    <row r="96" ht="20.1" customHeight="1">
      <c r="A96" s="142" t="n"/>
      <c r="B96" s="691" t="n"/>
      <c r="C96" s="692" t="n"/>
      <c r="D96" s="693" t="n"/>
      <c r="E96" s="694" t="n"/>
      <c r="F96" s="695" t="n"/>
      <c r="G96" s="696" t="n"/>
      <c r="H96" s="151" t="n"/>
      <c r="I96" s="152" t="n"/>
      <c r="J96" s="692" t="n"/>
    </row>
    <row r="97" ht="20.1" customHeight="1">
      <c r="A97" s="142" t="n"/>
      <c r="B97" s="691" t="n"/>
      <c r="C97" s="692" t="n"/>
      <c r="D97" s="693" t="n"/>
      <c r="E97" s="694" t="n"/>
      <c r="F97" s="695" t="n"/>
      <c r="G97" s="696" t="n"/>
      <c r="H97" s="151" t="n"/>
      <c r="I97" s="152" t="n"/>
      <c r="J97" s="692" t="n"/>
    </row>
    <row r="98" ht="20.1" customHeight="1">
      <c r="A98" s="142" t="n"/>
      <c r="B98" s="691" t="n"/>
      <c r="C98" s="692" t="n"/>
      <c r="D98" s="693" t="n"/>
      <c r="E98" s="694" t="n"/>
      <c r="F98" s="695" t="n"/>
      <c r="G98" s="696" t="n"/>
      <c r="H98" s="151" t="n"/>
      <c r="I98" s="152" t="n"/>
      <c r="J98" s="692" t="n"/>
    </row>
    <row r="99" ht="20.1" customHeight="1">
      <c r="A99" s="142" t="n"/>
      <c r="B99" s="691" t="n"/>
      <c r="C99" s="692" t="n"/>
      <c r="D99" s="693" t="n"/>
      <c r="E99" s="694" t="n"/>
      <c r="F99" s="695" t="n"/>
      <c r="G99" s="696" t="n"/>
      <c r="H99" s="151" t="n"/>
      <c r="I99" s="152" t="n"/>
      <c r="J99" s="692" t="n"/>
    </row>
    <row r="100" ht="20.1" customHeight="1">
      <c r="A100" s="142" t="n"/>
      <c r="B100" s="691" t="n"/>
      <c r="C100" s="692" t="n"/>
      <c r="D100" s="693" t="n"/>
      <c r="E100" s="694" t="n"/>
      <c r="F100" s="695" t="n"/>
      <c r="G100" s="696" t="n"/>
      <c r="H100" s="151" t="n"/>
      <c r="I100" s="152" t="n"/>
      <c r="J100" s="692" t="n"/>
    </row>
    <row r="101" ht="20.1" customHeight="1">
      <c r="A101" s="142" t="n"/>
      <c r="B101" s="691" t="n"/>
      <c r="C101" s="692" t="n"/>
      <c r="D101" s="693" t="n"/>
      <c r="E101" s="694" t="n"/>
      <c r="F101" s="695" t="n"/>
      <c r="G101" s="696" t="n"/>
      <c r="H101" s="151" t="n"/>
      <c r="I101" s="152" t="n"/>
      <c r="J101" s="692" t="n"/>
    </row>
    <row r="102" ht="20.1" customHeight="1">
      <c r="A102" s="142" t="n"/>
      <c r="B102" s="691" t="n"/>
      <c r="C102" s="692" t="n"/>
      <c r="D102" s="693" t="n"/>
      <c r="E102" s="694" t="n"/>
      <c r="F102" s="695" t="n"/>
      <c r="G102" s="696" t="n"/>
      <c r="H102" s="151" t="n"/>
      <c r="I102" s="152" t="n"/>
      <c r="J102" s="692" t="n"/>
    </row>
    <row r="103" ht="20.1" customHeight="1">
      <c r="A103" s="142" t="n"/>
      <c r="B103" s="691" t="n"/>
      <c r="C103" s="692" t="n"/>
      <c r="D103" s="693" t="n"/>
      <c r="E103" s="694" t="n"/>
      <c r="F103" s="695" t="n"/>
      <c r="G103" s="696" t="n"/>
      <c r="H103" s="151" t="n"/>
      <c r="I103" s="152" t="n"/>
      <c r="J103" s="692" t="n"/>
    </row>
    <row r="104">
      <c r="A104" s="142" t="n"/>
      <c r="B104" s="691" t="n"/>
      <c r="C104" s="692" t="n"/>
      <c r="D104" s="693" t="n"/>
      <c r="E104" s="694" t="n"/>
      <c r="F104" s="695" t="n"/>
      <c r="G104" s="696" t="n"/>
      <c r="H104" s="151" t="n"/>
      <c r="I104" s="152" t="n"/>
      <c r="J104" s="692" t="n"/>
    </row>
    <row r="105">
      <c r="A105" s="142" t="n"/>
      <c r="B105" s="691" t="n"/>
      <c r="C105" s="692" t="n"/>
      <c r="D105" s="693" t="n"/>
      <c r="E105" s="694" t="n"/>
      <c r="F105" s="695" t="n"/>
      <c r="G105" s="696" t="n"/>
      <c r="H105" s="151" t="n"/>
      <c r="I105" s="152" t="n"/>
      <c r="J105" s="692" t="n"/>
    </row>
    <row r="106">
      <c r="A106" s="142" t="n"/>
      <c r="B106" s="691" t="n"/>
      <c r="C106" s="692" t="n"/>
      <c r="D106" s="693" t="n"/>
      <c r="E106" s="694" t="n"/>
      <c r="F106" s="695" t="n"/>
      <c r="G106" s="696" t="n"/>
      <c r="H106" s="151" t="n"/>
      <c r="I106" s="152" t="n"/>
      <c r="J106" s="692" t="n"/>
    </row>
    <row r="107" ht="20.1" customHeight="1">
      <c r="A107" s="142" t="n"/>
      <c r="B107" s="691" t="n"/>
      <c r="C107" s="692" t="n"/>
      <c r="D107" s="693" t="n"/>
      <c r="E107" s="694" t="n"/>
      <c r="F107" s="695" t="n"/>
      <c r="G107" s="696" t="n"/>
      <c r="H107" s="151" t="n"/>
      <c r="I107" s="152" t="n"/>
      <c r="J107" s="692" t="n"/>
    </row>
    <row r="108">
      <c r="A108" s="142" t="n"/>
      <c r="B108" s="691" t="n"/>
      <c r="C108" s="692" t="n"/>
      <c r="D108" s="693" t="n"/>
      <c r="E108" s="694" t="n"/>
      <c r="F108" s="695" t="n"/>
      <c r="G108" s="696" t="n"/>
      <c r="H108" s="151" t="n"/>
      <c r="I108" s="152" t="n"/>
      <c r="J108" s="692" t="n"/>
    </row>
    <row r="109">
      <c r="A109" s="142" t="n"/>
      <c r="B109" s="691" t="n"/>
      <c r="C109" s="692" t="n"/>
      <c r="D109" s="693" t="n"/>
      <c r="E109" s="694" t="n"/>
      <c r="F109" s="695" t="n"/>
      <c r="G109" s="696" t="n"/>
      <c r="H109" s="151" t="n"/>
      <c r="I109" s="152" t="n"/>
      <c r="J109" s="692" t="n"/>
    </row>
    <row r="110" ht="20.1" customHeight="1">
      <c r="A110" s="142" t="n"/>
      <c r="B110" s="691" t="n"/>
      <c r="C110" s="692" t="n"/>
      <c r="D110" s="693" t="n"/>
      <c r="E110" s="694" t="n"/>
      <c r="F110" s="695" t="n"/>
      <c r="G110" s="696" t="n"/>
      <c r="H110" s="151" t="n"/>
      <c r="I110" s="152" t="n"/>
      <c r="J110" s="692" t="n"/>
    </row>
    <row r="111">
      <c r="A111" s="142" t="n"/>
      <c r="B111" s="691" t="n"/>
      <c r="C111" s="692" t="n"/>
      <c r="D111" s="693" t="n"/>
      <c r="E111" s="694" t="n"/>
      <c r="F111" s="695" t="n"/>
      <c r="G111" s="696" t="n"/>
      <c r="H111" s="151" t="n"/>
      <c r="I111" s="152" t="n"/>
      <c r="J111" s="692" t="n"/>
    </row>
    <row r="112" ht="20.1" customHeight="1">
      <c r="A112" s="142" t="n"/>
      <c r="B112" s="691" t="n"/>
      <c r="C112" s="692" t="n"/>
      <c r="D112" s="693" t="n"/>
      <c r="E112" s="694" t="n"/>
      <c r="F112" s="695" t="n"/>
      <c r="G112" s="696" t="n"/>
      <c r="H112" s="151" t="n"/>
      <c r="I112" s="152" t="n"/>
      <c r="J112" s="692" t="n"/>
    </row>
    <row r="113" ht="20.1" customHeight="1">
      <c r="A113" s="142" t="n"/>
      <c r="B113" s="691" t="n"/>
      <c r="C113" s="692" t="n"/>
      <c r="D113" s="693" t="n"/>
      <c r="E113" s="694" t="n"/>
      <c r="F113" s="695" t="n"/>
      <c r="G113" s="696" t="n"/>
      <c r="H113" s="151" t="n"/>
      <c r="I113" s="152" t="n"/>
      <c r="J113" s="692" t="n"/>
    </row>
    <row r="114" ht="20.1" customHeight="1">
      <c r="A114" s="142" t="n"/>
      <c r="B114" s="691" t="n"/>
      <c r="C114" s="692" t="n"/>
      <c r="D114" s="693" t="n"/>
      <c r="E114" s="694" t="n"/>
      <c r="F114" s="695" t="n"/>
      <c r="G114" s="696" t="n"/>
      <c r="H114" s="151" t="n"/>
      <c r="I114" s="152" t="n"/>
      <c r="J114" s="692" t="n"/>
    </row>
    <row r="115" ht="20.1" customHeight="1">
      <c r="A115" s="142" t="n"/>
      <c r="B115" s="691" t="n"/>
      <c r="C115" s="692" t="n"/>
      <c r="D115" s="693" t="n"/>
      <c r="E115" s="694" t="n"/>
      <c r="F115" s="695" t="n"/>
      <c r="G115" s="696" t="n"/>
      <c r="H115" s="151" t="n"/>
      <c r="I115" s="152" t="n"/>
      <c r="J115" s="692" t="n"/>
    </row>
    <row r="116">
      <c r="A116" s="142" t="n"/>
      <c r="B116" s="691" t="n"/>
      <c r="C116" s="692" t="n"/>
      <c r="D116" s="693" t="n"/>
      <c r="E116" s="694" t="n"/>
      <c r="F116" s="695" t="n"/>
      <c r="G116" s="696" t="n"/>
      <c r="H116" s="151" t="n"/>
      <c r="I116" s="152" t="n"/>
      <c r="J116" s="692" t="n"/>
    </row>
    <row r="117" ht="20.1" customHeight="1">
      <c r="A117" s="142" t="n"/>
      <c r="B117" s="691" t="n"/>
      <c r="C117" s="692" t="n"/>
      <c r="D117" s="693" t="n"/>
      <c r="E117" s="694" t="n"/>
      <c r="F117" s="695" t="n"/>
      <c r="G117" s="696" t="n"/>
      <c r="H117" s="151" t="n"/>
      <c r="I117" s="152" t="n"/>
      <c r="J117" s="692" t="n"/>
    </row>
    <row r="118" ht="20.1" customHeight="1">
      <c r="A118" s="142" t="n"/>
      <c r="B118" s="691" t="n"/>
      <c r="C118" s="692" t="n"/>
      <c r="D118" s="693" t="n"/>
      <c r="E118" s="694" t="n"/>
      <c r="F118" s="695" t="n"/>
      <c r="G118" s="696" t="n"/>
      <c r="H118" s="151" t="n"/>
      <c r="I118" s="152" t="n"/>
      <c r="J118" s="692" t="n"/>
    </row>
    <row r="119" ht="20.1" customHeight="1">
      <c r="A119" s="142" t="n"/>
      <c r="B119" s="691" t="n"/>
      <c r="C119" s="692" t="n"/>
      <c r="D119" s="693" t="n"/>
      <c r="E119" s="694" t="n"/>
      <c r="F119" s="695" t="n"/>
      <c r="G119" s="696" t="n"/>
      <c r="H119" s="151" t="n"/>
      <c r="I119" s="152" t="n"/>
      <c r="J119" s="692" t="n"/>
    </row>
    <row r="120" ht="20.1" customHeight="1">
      <c r="A120" s="142" t="n"/>
      <c r="B120" s="691" t="n"/>
      <c r="C120" s="692" t="n"/>
      <c r="D120" s="693" t="n"/>
      <c r="E120" s="694" t="n"/>
      <c r="F120" s="695" t="n"/>
      <c r="G120" s="696" t="n"/>
      <c r="H120" s="151" t="n"/>
      <c r="I120" s="152" t="n"/>
      <c r="J120" s="692" t="n"/>
    </row>
    <row r="121" ht="20.1" customHeight="1">
      <c r="A121" s="142" t="n"/>
      <c r="B121" s="691" t="n"/>
      <c r="C121" s="692" t="n"/>
      <c r="D121" s="693" t="n"/>
      <c r="E121" s="694" t="n"/>
      <c r="F121" s="695" t="n"/>
      <c r="G121" s="696" t="n"/>
      <c r="H121" s="151" t="n"/>
      <c r="I121" s="152" t="n"/>
      <c r="J121" s="692" t="n"/>
    </row>
    <row r="122" ht="20.1" customHeight="1">
      <c r="A122" s="142" t="n"/>
      <c r="B122" s="691" t="n"/>
      <c r="C122" s="692" t="n"/>
      <c r="D122" s="693" t="n"/>
      <c r="E122" s="694" t="n"/>
      <c r="F122" s="695" t="n"/>
      <c r="G122" s="696" t="n"/>
      <c r="H122" s="151" t="n"/>
      <c r="I122" s="152" t="n"/>
      <c r="J122" s="692" t="n"/>
    </row>
    <row r="123" ht="20.1" customHeight="1">
      <c r="A123" s="142" t="n"/>
      <c r="B123" s="691" t="n"/>
      <c r="C123" s="692" t="n"/>
      <c r="D123" s="693" t="n"/>
      <c r="E123" s="694" t="n"/>
      <c r="F123" s="695" t="n"/>
      <c r="G123" s="696" t="n"/>
      <c r="H123" s="151" t="n"/>
      <c r="I123" s="152" t="n"/>
      <c r="J123" s="692" t="n"/>
    </row>
    <row r="124" ht="20.1" customHeight="1">
      <c r="A124" s="142" t="n"/>
      <c r="B124" s="691" t="n"/>
      <c r="C124" s="692" t="n"/>
      <c r="D124" s="693" t="n"/>
      <c r="E124" s="694" t="n"/>
      <c r="F124" s="695" t="n"/>
      <c r="G124" s="696" t="n"/>
      <c r="H124" s="151" t="n"/>
      <c r="I124" s="152" t="n"/>
      <c r="J124" s="692" t="n"/>
    </row>
    <row r="125" ht="20.1" customHeight="1">
      <c r="A125" s="142" t="n"/>
      <c r="B125" s="691" t="n"/>
      <c r="C125" s="692" t="n"/>
      <c r="D125" s="693" t="n"/>
      <c r="E125" s="694" t="n"/>
      <c r="F125" s="695" t="n"/>
      <c r="G125" s="696" t="n"/>
      <c r="H125" s="151" t="n"/>
      <c r="I125" s="152" t="n"/>
      <c r="J125" s="692" t="n"/>
    </row>
    <row r="126" ht="20.1" customHeight="1">
      <c r="A126" s="142" t="n"/>
      <c r="B126" s="691" t="n"/>
      <c r="C126" s="692" t="n"/>
      <c r="D126" s="693" t="n"/>
      <c r="E126" s="694" t="n"/>
      <c r="F126" s="695" t="n"/>
      <c r="G126" s="696" t="n"/>
      <c r="H126" s="151" t="n"/>
      <c r="I126" s="152" t="n"/>
      <c r="J126" s="692" t="n"/>
    </row>
    <row r="127" ht="20.1" customHeight="1">
      <c r="A127" s="142" t="n"/>
      <c r="B127" s="691" t="n"/>
      <c r="C127" s="692" t="n"/>
      <c r="D127" s="693" t="n"/>
      <c r="E127" s="694" t="n"/>
      <c r="F127" s="695" t="n"/>
      <c r="G127" s="696" t="n"/>
      <c r="H127" s="151" t="n"/>
      <c r="I127" s="152" t="n"/>
      <c r="J127" s="692" t="n"/>
    </row>
    <row r="128" ht="20.1" customHeight="1">
      <c r="A128" s="142" t="n"/>
      <c r="B128" s="691" t="n"/>
      <c r="C128" s="692" t="n"/>
      <c r="D128" s="693" t="n"/>
      <c r="E128" s="694" t="n"/>
      <c r="F128" s="695" t="n"/>
      <c r="G128" s="696" t="n"/>
      <c r="H128" s="151" t="n"/>
      <c r="I128" s="152" t="n"/>
      <c r="J128" s="692" t="n"/>
    </row>
    <row r="129" ht="20.1" customHeight="1">
      <c r="A129" s="142" t="n"/>
      <c r="B129" s="691" t="n"/>
      <c r="C129" s="692" t="n"/>
      <c r="D129" s="693" t="n"/>
      <c r="E129" s="694" t="n"/>
      <c r="F129" s="695" t="n"/>
      <c r="G129" s="696" t="n"/>
      <c r="H129" s="151" t="n"/>
      <c r="I129" s="152" t="n"/>
      <c r="J129" s="692" t="n"/>
    </row>
    <row r="130" ht="20.1" customHeight="1">
      <c r="A130" s="142" t="n"/>
      <c r="B130" s="691" t="n"/>
      <c r="C130" s="692" t="n"/>
      <c r="D130" s="693" t="n"/>
      <c r="E130" s="694" t="n"/>
      <c r="F130" s="695" t="n"/>
      <c r="G130" s="696" t="n"/>
      <c r="H130" s="151" t="n"/>
      <c r="I130" s="152" t="n"/>
      <c r="J130" s="692" t="n"/>
    </row>
    <row r="131" ht="20.1" customHeight="1">
      <c r="A131" s="142" t="n"/>
      <c r="B131" s="691" t="n"/>
      <c r="C131" s="692" t="n"/>
      <c r="D131" s="693" t="n"/>
      <c r="E131" s="694" t="n"/>
      <c r="F131" s="695" t="n"/>
      <c r="G131" s="696" t="n"/>
      <c r="H131" s="151" t="n"/>
      <c r="I131" s="152" t="n"/>
      <c r="J131" s="692" t="n"/>
    </row>
    <row r="132" ht="20.1" customHeight="1">
      <c r="A132" s="142" t="n"/>
      <c r="B132" s="691" t="n"/>
      <c r="C132" s="692" t="n"/>
      <c r="D132" s="693" t="n"/>
      <c r="E132" s="694" t="n"/>
      <c r="F132" s="695" t="n"/>
      <c r="G132" s="696" t="n"/>
      <c r="H132" s="151" t="n"/>
      <c r="I132" s="152" t="n"/>
      <c r="J132" s="692" t="n"/>
    </row>
    <row r="133" ht="20.1" customHeight="1">
      <c r="A133" s="142" t="n"/>
      <c r="B133" s="691" t="n"/>
      <c r="C133" s="692" t="n"/>
      <c r="D133" s="693" t="n"/>
      <c r="E133" s="694" t="n"/>
      <c r="F133" s="695" t="n"/>
      <c r="G133" s="696" t="n"/>
      <c r="H133" s="151" t="n"/>
      <c r="I133" s="152" t="n"/>
      <c r="J133" s="692" t="n"/>
    </row>
    <row r="134" ht="20.1" customHeight="1">
      <c r="A134" s="142" t="n"/>
      <c r="B134" s="691" t="n"/>
      <c r="C134" s="692" t="n"/>
      <c r="D134" s="693" t="n"/>
      <c r="E134" s="694" t="n"/>
      <c r="F134" s="695" t="n"/>
      <c r="G134" s="696" t="n"/>
      <c r="H134" s="151" t="n"/>
      <c r="I134" s="152" t="n"/>
      <c r="J134" s="692" t="n"/>
    </row>
    <row r="135" ht="20.1" customHeight="1">
      <c r="A135" s="142" t="n"/>
      <c r="B135" s="691" t="n"/>
      <c r="C135" s="692" t="n"/>
      <c r="D135" s="693" t="n"/>
      <c r="E135" s="694" t="n"/>
      <c r="F135" s="695" t="n"/>
      <c r="G135" s="696" t="n"/>
      <c r="H135" s="151" t="n"/>
      <c r="I135" s="152" t="n"/>
      <c r="J135" s="692" t="n"/>
    </row>
    <row r="136" ht="20.1" customHeight="1">
      <c r="A136" s="142" t="n"/>
      <c r="B136" s="691" t="n"/>
      <c r="C136" s="692" t="n"/>
      <c r="D136" s="693" t="n"/>
      <c r="E136" s="694" t="n"/>
      <c r="F136" s="695" t="n"/>
      <c r="G136" s="696" t="n"/>
      <c r="H136" s="151" t="n"/>
      <c r="I136" s="152" t="n"/>
      <c r="J136" s="692" t="n"/>
    </row>
    <row r="137">
      <c r="A137" s="142" t="n"/>
      <c r="B137" s="691" t="n"/>
      <c r="C137" s="692" t="n"/>
      <c r="D137" s="693" t="n"/>
      <c r="E137" s="694" t="n"/>
      <c r="F137" s="695" t="n"/>
      <c r="G137" s="696" t="n"/>
      <c r="H137" s="151" t="n"/>
      <c r="I137" s="152" t="n"/>
      <c r="J137" s="692" t="n"/>
    </row>
    <row r="138">
      <c r="A138" s="142" t="n"/>
      <c r="B138" s="691" t="n"/>
      <c r="C138" s="692" t="n"/>
      <c r="D138" s="693" t="n"/>
      <c r="E138" s="694" t="n"/>
      <c r="F138" s="695" t="n"/>
      <c r="G138" s="696" t="n"/>
      <c r="H138" s="151" t="n"/>
      <c r="I138" s="152" t="n"/>
      <c r="J138" s="692" t="n"/>
    </row>
    <row r="139" ht="20.1" customHeight="1">
      <c r="A139" s="142" t="n"/>
      <c r="B139" s="691" t="n"/>
      <c r="C139" s="692" t="n"/>
      <c r="D139" s="693" t="n"/>
      <c r="E139" s="694" t="n"/>
      <c r="F139" s="695" t="n"/>
      <c r="G139" s="696" t="n"/>
      <c r="H139" s="151" t="n"/>
      <c r="I139" s="152" t="n"/>
      <c r="J139" s="692" t="n"/>
    </row>
    <row r="140" ht="20.1" customHeight="1">
      <c r="A140" s="142" t="n"/>
      <c r="B140" s="691" t="n"/>
      <c r="C140" s="692" t="n"/>
      <c r="D140" s="693" t="n"/>
      <c r="E140" s="694" t="n"/>
      <c r="F140" s="695" t="n"/>
      <c r="G140" s="696" t="n"/>
      <c r="H140" s="151" t="n"/>
      <c r="I140" s="152" t="n"/>
      <c r="J140" s="692" t="n"/>
    </row>
    <row r="141" ht="20.1" customHeight="1">
      <c r="A141" s="142" t="n"/>
      <c r="B141" s="691" t="n"/>
      <c r="C141" s="692" t="n"/>
      <c r="D141" s="693" t="n"/>
      <c r="E141" s="694" t="n"/>
      <c r="F141" s="695" t="n"/>
      <c r="G141" s="696" t="n"/>
      <c r="H141" s="151" t="n"/>
      <c r="I141" s="152" t="n"/>
      <c r="J141" s="692" t="n"/>
    </row>
    <row r="142" ht="20.1" customHeight="1">
      <c r="A142" s="142" t="n"/>
      <c r="B142" s="691" t="n"/>
      <c r="C142" s="692" t="n"/>
      <c r="D142" s="693" t="n"/>
      <c r="E142" s="694" t="n"/>
      <c r="F142" s="695" t="n"/>
      <c r="G142" s="696" t="n"/>
      <c r="H142" s="151" t="n"/>
      <c r="I142" s="152" t="n"/>
      <c r="J142" s="692" t="n"/>
    </row>
    <row r="143" ht="20.1" customHeight="1">
      <c r="A143" s="142" t="n"/>
      <c r="B143" s="691" t="n"/>
      <c r="C143" s="692" t="n"/>
      <c r="D143" s="693" t="n"/>
      <c r="E143" s="694" t="n"/>
      <c r="F143" s="695" t="n"/>
      <c r="G143" s="696" t="n"/>
      <c r="H143" s="151" t="n"/>
      <c r="I143" s="152" t="n"/>
      <c r="J143" s="692" t="n"/>
    </row>
    <row r="144" ht="20.1" customHeight="1">
      <c r="A144" s="142" t="n"/>
      <c r="B144" s="691" t="n"/>
      <c r="C144" s="692" t="n"/>
      <c r="D144" s="693" t="n"/>
      <c r="E144" s="694" t="n"/>
      <c r="F144" s="695" t="n"/>
      <c r="G144" s="696" t="n"/>
      <c r="H144" s="151" t="n"/>
      <c r="I144" s="152" t="n"/>
      <c r="J144" s="692" t="n"/>
    </row>
    <row r="145" ht="20.1" customHeight="1">
      <c r="A145" s="142" t="n"/>
      <c r="B145" s="691" t="n"/>
      <c r="C145" s="692" t="n"/>
      <c r="D145" s="693" t="n"/>
      <c r="E145" s="694" t="n"/>
      <c r="F145" s="695" t="n"/>
      <c r="G145" s="696" t="n"/>
      <c r="H145" s="151" t="n"/>
      <c r="I145" s="152" t="n"/>
      <c r="J145" s="692" t="n"/>
    </row>
    <row r="146" ht="20.1" customHeight="1">
      <c r="A146" s="142" t="n"/>
      <c r="B146" s="691" t="n"/>
      <c r="C146" s="692" t="n"/>
      <c r="D146" s="693" t="n"/>
      <c r="E146" s="694" t="n"/>
      <c r="F146" s="695" t="n"/>
      <c r="G146" s="696" t="n"/>
      <c r="H146" s="151" t="n"/>
      <c r="I146" s="152" t="n"/>
      <c r="J146" s="692" t="n"/>
    </row>
    <row r="147" ht="20.1" customHeight="1">
      <c r="A147" s="142" t="n"/>
      <c r="B147" s="691" t="n"/>
      <c r="C147" s="692" t="n"/>
      <c r="D147" s="693" t="n"/>
      <c r="E147" s="694" t="n"/>
      <c r="F147" s="695" t="n"/>
      <c r="G147" s="696" t="n"/>
      <c r="H147" s="151" t="n"/>
      <c r="I147" s="152" t="n"/>
      <c r="J147" s="692" t="n"/>
    </row>
    <row r="148" ht="20.1" customHeight="1">
      <c r="A148" s="142" t="n"/>
      <c r="B148" s="691" t="n"/>
      <c r="C148" s="692" t="n"/>
      <c r="D148" s="693" t="n"/>
      <c r="E148" s="694" t="n"/>
      <c r="F148" s="695" t="n"/>
      <c r="G148" s="696" t="n"/>
      <c r="H148" s="151" t="n"/>
      <c r="I148" s="152" t="n"/>
      <c r="J148" s="692" t="n"/>
    </row>
    <row r="149" ht="20.1" customHeight="1">
      <c r="A149" s="142" t="n"/>
      <c r="B149" s="691" t="n"/>
      <c r="C149" s="692" t="n"/>
      <c r="D149" s="693" t="n"/>
      <c r="E149" s="694" t="n"/>
      <c r="F149" s="695" t="n"/>
      <c r="G149" s="696" t="n"/>
      <c r="H149" s="151" t="n"/>
      <c r="I149" s="152" t="n"/>
      <c r="J149" s="692" t="n"/>
    </row>
    <row r="150" ht="20.1" customHeight="1">
      <c r="A150" s="142" t="n"/>
      <c r="B150" s="691" t="n"/>
      <c r="C150" s="692" t="n"/>
      <c r="D150" s="693" t="n"/>
      <c r="E150" s="694" t="n"/>
      <c r="F150" s="695" t="n"/>
      <c r="G150" s="696" t="n"/>
      <c r="H150" s="151" t="n"/>
      <c r="I150" s="152" t="n"/>
      <c r="J150" s="692" t="n"/>
    </row>
    <row r="151" ht="20.1" customHeight="1">
      <c r="A151" s="142" t="n"/>
      <c r="B151" s="691" t="n"/>
      <c r="C151" s="692" t="n"/>
      <c r="D151" s="693" t="n"/>
      <c r="E151" s="694" t="n"/>
      <c r="F151" s="695" t="n"/>
      <c r="G151" s="696" t="n"/>
      <c r="H151" s="151" t="n"/>
      <c r="I151" s="152" t="n"/>
      <c r="J151" s="692" t="n"/>
    </row>
    <row r="152" ht="20.1" customHeight="1">
      <c r="A152" s="142" t="n"/>
      <c r="B152" s="691" t="n"/>
      <c r="C152" s="692" t="n"/>
      <c r="D152" s="693" t="n"/>
      <c r="E152" s="694" t="n"/>
      <c r="F152" s="695" t="n"/>
      <c r="G152" s="696" t="n"/>
      <c r="H152" s="151" t="n"/>
      <c r="I152" s="152" t="n"/>
      <c r="J152" s="692" t="n"/>
    </row>
    <row r="153" ht="20.1" customHeight="1">
      <c r="A153" s="142" t="n"/>
      <c r="B153" s="691" t="n"/>
      <c r="C153" s="692" t="n"/>
      <c r="D153" s="693" t="n"/>
      <c r="E153" s="694" t="n"/>
      <c r="F153" s="695" t="n"/>
      <c r="G153" s="696" t="n"/>
      <c r="H153" s="151" t="n"/>
      <c r="I153" s="152" t="n"/>
      <c r="J153" s="692" t="n"/>
    </row>
    <row r="154" ht="20.1" customHeight="1">
      <c r="A154" s="142" t="n"/>
      <c r="B154" s="691" t="n"/>
      <c r="C154" s="692" t="n"/>
      <c r="D154" s="693" t="n"/>
      <c r="E154" s="694" t="n"/>
      <c r="F154" s="695" t="n"/>
      <c r="G154" s="696" t="n"/>
      <c r="H154" s="151" t="n"/>
      <c r="I154" s="152" t="n"/>
      <c r="J154" s="692" t="n"/>
    </row>
    <row r="155" ht="20.1" customHeight="1">
      <c r="A155" s="142" t="n"/>
      <c r="B155" s="691" t="n"/>
      <c r="C155" s="692" t="n"/>
      <c r="D155" s="693" t="n"/>
      <c r="E155" s="694" t="n"/>
      <c r="F155" s="695" t="n"/>
      <c r="G155" s="696" t="n"/>
      <c r="H155" s="151" t="n"/>
      <c r="I155" s="152" t="n"/>
      <c r="J155" s="692" t="n"/>
    </row>
    <row r="156" ht="20.1" customHeight="1">
      <c r="A156" s="142" t="n"/>
      <c r="B156" s="691" t="n"/>
      <c r="C156" s="692" t="n"/>
      <c r="D156" s="693" t="n"/>
      <c r="E156" s="694" t="n"/>
      <c r="F156" s="695" t="n"/>
      <c r="G156" s="696" t="n"/>
      <c r="H156" s="151" t="n"/>
      <c r="I156" s="152" t="n"/>
      <c r="J156" s="692" t="n"/>
    </row>
    <row r="157" ht="20.1" customHeight="1">
      <c r="A157" s="142" t="n"/>
      <c r="B157" s="691" t="n"/>
      <c r="C157" s="692" t="n"/>
      <c r="D157" s="693" t="n"/>
      <c r="E157" s="694" t="n"/>
      <c r="F157" s="695" t="n"/>
      <c r="G157" s="696" t="n"/>
      <c r="H157" s="151" t="n"/>
      <c r="I157" s="152" t="n"/>
      <c r="J157" s="692" t="n"/>
    </row>
    <row r="158" ht="20.1" customHeight="1">
      <c r="A158" s="142" t="n"/>
      <c r="B158" s="691" t="n"/>
      <c r="C158" s="692" t="n"/>
      <c r="D158" s="693" t="n"/>
      <c r="E158" s="694" t="n"/>
      <c r="F158" s="695" t="n"/>
      <c r="G158" s="696" t="n"/>
      <c r="H158" s="151" t="n"/>
      <c r="I158" s="152" t="n"/>
      <c r="J158" s="692" t="n"/>
    </row>
    <row r="159" ht="20.1" customHeight="1">
      <c r="A159" s="142" t="n"/>
      <c r="B159" s="691" t="n"/>
      <c r="C159" s="692" t="n"/>
      <c r="D159" s="693" t="n"/>
      <c r="E159" s="694" t="n"/>
      <c r="F159" s="695" t="n"/>
      <c r="G159" s="696" t="n"/>
      <c r="H159" s="151" t="n"/>
      <c r="I159" s="152" t="n"/>
      <c r="J159" s="692" t="n"/>
    </row>
    <row r="160" ht="20.1" customHeight="1">
      <c r="A160" s="142" t="n"/>
      <c r="B160" s="691" t="n"/>
      <c r="C160" s="692" t="n"/>
      <c r="D160" s="693" t="n"/>
      <c r="E160" s="694" t="n"/>
      <c r="F160" s="695" t="n"/>
      <c r="G160" s="696" t="n"/>
      <c r="H160" s="151" t="n"/>
      <c r="I160" s="152" t="n"/>
      <c r="J160" s="692" t="n"/>
    </row>
    <row r="161" ht="20.1" customHeight="1">
      <c r="A161" s="142" t="n"/>
      <c r="B161" s="691" t="n"/>
      <c r="C161" s="692" t="n"/>
      <c r="D161" s="693" t="n"/>
      <c r="E161" s="694" t="n"/>
      <c r="F161" s="695" t="n"/>
      <c r="G161" s="696" t="n"/>
      <c r="H161" s="151" t="n"/>
      <c r="I161" s="152" t="n"/>
      <c r="J161" s="692" t="n"/>
    </row>
    <row r="162" ht="20.1" customHeight="1">
      <c r="A162" s="142" t="n"/>
      <c r="B162" s="691" t="n"/>
      <c r="C162" s="692" t="n"/>
      <c r="D162" s="693" t="n"/>
      <c r="E162" s="694" t="n"/>
      <c r="F162" s="695" t="n"/>
      <c r="G162" s="696" t="n"/>
      <c r="H162" s="151" t="n"/>
      <c r="I162" s="152" t="n"/>
      <c r="J162" s="692" t="n"/>
    </row>
    <row r="163" ht="20.1" customHeight="1">
      <c r="A163" s="142" t="n"/>
      <c r="B163" s="691" t="n"/>
      <c r="C163" s="692" t="n"/>
      <c r="D163" s="693" t="n"/>
      <c r="E163" s="694" t="n"/>
      <c r="F163" s="695" t="n"/>
      <c r="G163" s="696" t="n"/>
      <c r="H163" s="151" t="n"/>
      <c r="I163" s="152" t="n"/>
      <c r="J163" s="692" t="n"/>
    </row>
    <row r="164" ht="20.1" customHeight="1">
      <c r="A164" s="142" t="n"/>
      <c r="B164" s="691" t="n"/>
      <c r="C164" s="692" t="n"/>
      <c r="D164" s="693" t="n"/>
      <c r="E164" s="694" t="n"/>
      <c r="F164" s="695" t="n"/>
      <c r="G164" s="696" t="n"/>
      <c r="H164" s="151" t="n"/>
      <c r="I164" s="152" t="n"/>
      <c r="J164" s="692" t="n"/>
    </row>
    <row r="165" ht="20.1" customHeight="1">
      <c r="A165" s="142" t="n"/>
      <c r="B165" s="691" t="n"/>
      <c r="C165" s="692" t="n"/>
      <c r="D165" s="693" t="n"/>
      <c r="E165" s="694" t="n"/>
      <c r="F165" s="695" t="n"/>
      <c r="G165" s="696" t="n"/>
      <c r="H165" s="151" t="n"/>
      <c r="I165" s="152" t="n"/>
      <c r="J165" s="692" t="n"/>
    </row>
    <row r="166" ht="20.1" customHeight="1">
      <c r="A166" s="142" t="n"/>
      <c r="B166" s="691" t="n"/>
      <c r="C166" s="692" t="n"/>
      <c r="D166" s="693" t="n"/>
      <c r="E166" s="694" t="n"/>
      <c r="F166" s="695" t="n"/>
      <c r="G166" s="696" t="n"/>
      <c r="H166" s="151" t="n"/>
      <c r="I166" s="152" t="n"/>
      <c r="J166" s="692" t="n"/>
    </row>
    <row r="167" ht="20.1" customHeight="1">
      <c r="A167" s="142" t="n"/>
      <c r="B167" s="691" t="n"/>
      <c r="C167" s="692" t="n"/>
      <c r="D167" s="693" t="n"/>
      <c r="E167" s="694" t="n"/>
      <c r="F167" s="695" t="n"/>
      <c r="G167" s="696" t="n"/>
      <c r="H167" s="151" t="n"/>
      <c r="I167" s="152" t="n"/>
      <c r="J167" s="692" t="n"/>
    </row>
    <row r="168" ht="20.1" customHeight="1">
      <c r="A168" s="142" t="n"/>
      <c r="B168" s="691" t="n"/>
      <c r="C168" s="692" t="n"/>
      <c r="D168" s="693" t="n"/>
      <c r="E168" s="694" t="n"/>
      <c r="F168" s="695" t="n"/>
      <c r="G168" s="696" t="n"/>
      <c r="H168" s="151" t="n"/>
      <c r="I168" s="152" t="n"/>
      <c r="J168" s="692" t="n"/>
    </row>
    <row r="169" ht="20.1" customHeight="1">
      <c r="A169" s="142" t="n"/>
      <c r="B169" s="691" t="n"/>
      <c r="C169" s="692" t="n"/>
      <c r="D169" s="693" t="n"/>
      <c r="E169" s="694" t="n"/>
      <c r="F169" s="695" t="n"/>
      <c r="G169" s="696" t="n"/>
      <c r="H169" s="151" t="n"/>
      <c r="I169" s="152" t="n"/>
      <c r="J169" s="692" t="n"/>
    </row>
    <row r="170" ht="20.1" customHeight="1">
      <c r="A170" s="142" t="n"/>
      <c r="B170" s="691" t="n"/>
      <c r="C170" s="692" t="n"/>
      <c r="D170" s="693" t="n"/>
      <c r="E170" s="694" t="n"/>
      <c r="F170" s="695" t="n"/>
      <c r="G170" s="696" t="n"/>
      <c r="H170" s="151" t="n"/>
      <c r="I170" s="152" t="n"/>
      <c r="J170" s="692" t="n"/>
    </row>
    <row r="171" ht="20.1" customHeight="1">
      <c r="A171" s="142" t="n"/>
      <c r="B171" s="691" t="n"/>
      <c r="C171" s="692" t="n"/>
      <c r="D171" s="693" t="n"/>
      <c r="E171" s="694" t="n"/>
      <c r="F171" s="695" t="n"/>
      <c r="G171" s="696" t="n"/>
      <c r="H171" s="151" t="n"/>
      <c r="I171" s="152" t="n"/>
      <c r="J171" s="692" t="n"/>
    </row>
    <row r="172" ht="20.1" customHeight="1">
      <c r="A172" s="142" t="n"/>
      <c r="B172" s="691" t="n"/>
      <c r="C172" s="692" t="n"/>
      <c r="D172" s="693" t="n"/>
      <c r="E172" s="694" t="n"/>
      <c r="F172" s="695" t="n"/>
      <c r="G172" s="696" t="n"/>
      <c r="H172" s="151" t="n"/>
      <c r="I172" s="152" t="n"/>
      <c r="J172" s="692" t="n"/>
    </row>
    <row r="173" ht="20.1" customHeight="1">
      <c r="A173" s="142" t="n"/>
      <c r="B173" s="691" t="n"/>
      <c r="C173" s="692" t="n"/>
      <c r="D173" s="693" t="n"/>
      <c r="E173" s="694" t="n"/>
      <c r="F173" s="695" t="n"/>
      <c r="G173" s="696" t="n"/>
      <c r="H173" s="151" t="n"/>
      <c r="I173" s="152" t="n"/>
      <c r="J173" s="692" t="n"/>
    </row>
    <row r="174" ht="20.1" customHeight="1">
      <c r="A174" s="142" t="n"/>
      <c r="B174" s="691" t="n"/>
      <c r="C174" s="692" t="n"/>
      <c r="D174" s="693" t="n"/>
      <c r="E174" s="694" t="n"/>
      <c r="F174" s="695" t="n"/>
      <c r="G174" s="696" t="n"/>
      <c r="H174" s="151" t="n"/>
      <c r="I174" s="152" t="n"/>
      <c r="J174" s="692" t="n"/>
    </row>
    <row r="175" ht="20.1" customHeight="1">
      <c r="A175" s="142" t="n"/>
      <c r="B175" s="691" t="n"/>
      <c r="C175" s="692" t="n"/>
      <c r="D175" s="693" t="n"/>
      <c r="E175" s="694" t="n"/>
      <c r="F175" s="695" t="n"/>
      <c r="G175" s="696" t="n"/>
      <c r="H175" s="151" t="n"/>
      <c r="I175" s="152" t="n"/>
      <c r="J175" s="692" t="n"/>
    </row>
    <row r="176" ht="20.1" customHeight="1">
      <c r="A176" s="142" t="n"/>
      <c r="B176" s="691" t="n"/>
      <c r="C176" s="692" t="n"/>
      <c r="D176" s="693" t="n"/>
      <c r="E176" s="694" t="n"/>
      <c r="F176" s="695" t="n"/>
      <c r="G176" s="696" t="n"/>
      <c r="H176" s="151" t="n"/>
      <c r="I176" s="152" t="n"/>
      <c r="J176" s="692" t="n"/>
    </row>
    <row r="177" ht="20.1" customHeight="1">
      <c r="A177" s="142" t="n"/>
      <c r="B177" s="691" t="n"/>
      <c r="C177" s="692" t="n"/>
      <c r="D177" s="693" t="n"/>
      <c r="E177" s="694" t="n"/>
      <c r="F177" s="695" t="n"/>
      <c r="G177" s="696" t="n"/>
      <c r="H177" s="151" t="n"/>
      <c r="I177" s="152" t="n"/>
      <c r="J177" s="692" t="n"/>
    </row>
    <row r="178" ht="20.1" customHeight="1">
      <c r="A178" s="142" t="n"/>
      <c r="B178" s="691" t="n"/>
      <c r="C178" s="692" t="n"/>
      <c r="D178" s="693" t="n"/>
      <c r="E178" s="694" t="n"/>
      <c r="F178" s="695" t="n"/>
      <c r="G178" s="696" t="n"/>
      <c r="H178" s="151" t="n"/>
      <c r="I178" s="152" t="n"/>
      <c r="J178" s="692" t="n"/>
    </row>
    <row r="179" ht="20.1" customHeight="1">
      <c r="A179" s="142" t="n"/>
      <c r="B179" s="691" t="n"/>
      <c r="C179" s="692" t="n"/>
      <c r="D179" s="693" t="n"/>
      <c r="E179" s="694" t="n"/>
      <c r="F179" s="695" t="n"/>
      <c r="G179" s="696" t="n"/>
      <c r="H179" s="151" t="n"/>
      <c r="I179" s="152" t="n"/>
      <c r="J179" s="692" t="n"/>
    </row>
    <row r="180" ht="20.1" customHeight="1">
      <c r="A180" s="142" t="n"/>
      <c r="B180" s="691" t="n"/>
      <c r="C180" s="692" t="n"/>
      <c r="D180" s="693" t="n"/>
      <c r="E180" s="694" t="n"/>
      <c r="F180" s="695" t="n"/>
      <c r="G180" s="696" t="n"/>
      <c r="H180" s="151" t="n"/>
      <c r="I180" s="152" t="n"/>
      <c r="J180" s="692" t="n"/>
    </row>
    <row r="181" ht="20.1" customHeight="1">
      <c r="A181" s="142" t="n"/>
      <c r="B181" s="691" t="n"/>
      <c r="C181" s="692" t="n"/>
      <c r="D181" s="693" t="n"/>
      <c r="E181" s="694" t="n"/>
      <c r="F181" s="695" t="n"/>
      <c r="G181" s="696" t="n"/>
      <c r="H181" s="151" t="n"/>
      <c r="I181" s="152" t="n"/>
      <c r="J181" s="692" t="n"/>
    </row>
    <row r="182" ht="20.1" customHeight="1">
      <c r="A182" s="142" t="n"/>
      <c r="B182" s="691" t="n"/>
      <c r="C182" s="692" t="n"/>
      <c r="D182" s="693" t="n"/>
      <c r="E182" s="694" t="n"/>
      <c r="F182" s="695" t="n"/>
      <c r="G182" s="696" t="n"/>
      <c r="H182" s="151" t="n"/>
      <c r="I182" s="152" t="n"/>
      <c r="J182" s="692" t="n"/>
    </row>
    <row r="183" ht="20.1" customHeight="1">
      <c r="A183" s="142" t="n"/>
      <c r="B183" s="691" t="n"/>
      <c r="C183" s="692" t="n"/>
      <c r="D183" s="693" t="n"/>
      <c r="E183" s="694" t="n"/>
      <c r="F183" s="695" t="n"/>
      <c r="G183" s="696" t="n"/>
      <c r="H183" s="151" t="n"/>
      <c r="I183" s="152" t="n"/>
      <c r="J183" s="692" t="n"/>
    </row>
    <row r="184" ht="20.1" customHeight="1">
      <c r="A184" s="142" t="n"/>
      <c r="B184" s="691" t="n"/>
      <c r="C184" s="692" t="n"/>
      <c r="D184" s="693" t="n"/>
      <c r="E184" s="694" t="n"/>
      <c r="F184" s="695" t="n"/>
      <c r="G184" s="696" t="n"/>
      <c r="H184" s="151" t="n"/>
      <c r="I184" s="152" t="n"/>
      <c r="J184" s="692" t="n"/>
    </row>
    <row r="185" ht="20.1" customHeight="1">
      <c r="A185" s="142" t="n"/>
      <c r="B185" s="691" t="n"/>
      <c r="C185" s="692" t="n"/>
      <c r="D185" s="693" t="n"/>
      <c r="E185" s="694" t="n"/>
      <c r="F185" s="695" t="n"/>
      <c r="G185" s="696" t="n"/>
      <c r="H185" s="151" t="n"/>
      <c r="I185" s="152" t="n"/>
      <c r="J185" s="692" t="n"/>
    </row>
    <row r="186" ht="20.1" customHeight="1">
      <c r="A186" s="142" t="n"/>
      <c r="B186" s="691" t="n"/>
      <c r="C186" s="692" t="n"/>
      <c r="D186" s="693" t="n"/>
      <c r="E186" s="694" t="n"/>
      <c r="F186" s="695" t="n"/>
      <c r="G186" s="696" t="n"/>
      <c r="H186" s="151" t="n"/>
      <c r="I186" s="152" t="n"/>
      <c r="J186" s="692" t="n"/>
    </row>
    <row r="187" ht="20.1" customHeight="1">
      <c r="A187" s="142" t="n"/>
      <c r="B187" s="691" t="n"/>
      <c r="C187" s="692" t="n"/>
      <c r="D187" s="693" t="n"/>
      <c r="E187" s="694" t="n"/>
      <c r="F187" s="695" t="n"/>
      <c r="G187" s="696" t="n"/>
      <c r="H187" s="151" t="n"/>
      <c r="I187" s="152" t="n"/>
      <c r="J187" s="692" t="n"/>
    </row>
    <row r="188" ht="20.1" customHeight="1">
      <c r="A188" s="142" t="n"/>
      <c r="B188" s="691" t="n"/>
      <c r="C188" s="692" t="n"/>
      <c r="D188" s="693" t="n"/>
      <c r="E188" s="694" t="n"/>
      <c r="F188" s="695" t="n"/>
      <c r="G188" s="696" t="n"/>
      <c r="H188" s="151" t="n"/>
      <c r="I188" s="152" t="n"/>
      <c r="J188" s="692" t="n"/>
    </row>
    <row r="189">
      <c r="A189" s="142" t="n"/>
      <c r="B189" s="691" t="n"/>
      <c r="C189" s="692" t="n"/>
      <c r="D189" s="693" t="n"/>
      <c r="E189" s="694" t="n"/>
      <c r="F189" s="695" t="n"/>
      <c r="G189" s="696" t="n"/>
      <c r="H189" s="151" t="n"/>
      <c r="I189" s="152" t="n"/>
      <c r="J189" s="692" t="n"/>
    </row>
    <row r="190">
      <c r="A190" s="142" t="n"/>
      <c r="B190" s="691" t="n"/>
      <c r="C190" s="692" t="n"/>
      <c r="D190" s="693" t="n"/>
      <c r="E190" s="694" t="n"/>
      <c r="F190" s="695" t="n"/>
      <c r="G190" s="696" t="n"/>
      <c r="H190" s="151" t="n"/>
      <c r="I190" s="152" t="n"/>
      <c r="J190" s="692" t="n"/>
    </row>
    <row r="191">
      <c r="A191" s="142" t="n"/>
      <c r="B191" s="691" t="n"/>
      <c r="C191" s="692" t="n"/>
      <c r="D191" s="693" t="n"/>
      <c r="E191" s="694" t="n"/>
      <c r="F191" s="695" t="n"/>
      <c r="G191" s="696" t="n"/>
      <c r="H191" s="151" t="n"/>
      <c r="I191" s="152" t="n"/>
      <c r="J191" s="692" t="n"/>
    </row>
    <row r="192" ht="20.1" customHeight="1">
      <c r="A192" s="142" t="n"/>
      <c r="B192" s="691" t="n"/>
      <c r="C192" s="692" t="n"/>
      <c r="D192" s="693" t="n"/>
      <c r="E192" s="694" t="n"/>
      <c r="F192" s="695" t="n"/>
      <c r="G192" s="696" t="n"/>
      <c r="H192" s="151" t="n"/>
      <c r="I192" s="152" t="n"/>
      <c r="J192" s="692" t="n"/>
    </row>
    <row r="193" ht="20.1" customHeight="1">
      <c r="A193" s="142" t="n"/>
      <c r="B193" s="691" t="n"/>
      <c r="C193" s="692" t="n"/>
      <c r="D193" s="693" t="n"/>
      <c r="E193" s="694" t="n"/>
      <c r="F193" s="695" t="n"/>
      <c r="G193" s="696" t="n"/>
      <c r="H193" s="151" t="n"/>
      <c r="I193" s="152" t="n"/>
      <c r="J193" s="692" t="n"/>
    </row>
    <row r="194" ht="20.1" customHeight="1">
      <c r="A194" s="142" t="n"/>
      <c r="B194" s="691" t="n"/>
      <c r="C194" s="692" t="n"/>
      <c r="D194" s="693" t="n"/>
      <c r="E194" s="694" t="n"/>
      <c r="F194" s="695" t="n"/>
      <c r="G194" s="696" t="n"/>
      <c r="H194" s="151" t="n"/>
      <c r="I194" s="152" t="n"/>
      <c r="J194" s="692" t="n"/>
    </row>
    <row r="195" ht="20.1" customHeight="1">
      <c r="A195" s="142" t="n"/>
      <c r="B195" s="691" t="n"/>
      <c r="C195" s="692" t="n"/>
      <c r="D195" s="693" t="n"/>
      <c r="E195" s="694" t="n"/>
      <c r="F195" s="695" t="n"/>
      <c r="G195" s="696" t="n"/>
      <c r="H195" s="151" t="n"/>
      <c r="I195" s="152" t="n"/>
      <c r="J195" s="692" t="n"/>
    </row>
    <row r="196" ht="20.1" customHeight="1">
      <c r="A196" s="142" t="n"/>
      <c r="B196" s="691" t="n"/>
      <c r="C196" s="692" t="n"/>
      <c r="D196" s="693" t="n"/>
      <c r="E196" s="694" t="n"/>
      <c r="F196" s="695" t="n"/>
      <c r="G196" s="696" t="n"/>
      <c r="H196" s="151" t="n"/>
      <c r="I196" s="152" t="n"/>
      <c r="J196" s="692" t="n"/>
    </row>
    <row r="197" ht="20.1" customHeight="1">
      <c r="A197" s="142" t="n"/>
      <c r="B197" s="691" t="n"/>
      <c r="C197" s="692" t="n"/>
      <c r="D197" s="693" t="n"/>
      <c r="E197" s="694" t="n"/>
      <c r="F197" s="695" t="n"/>
      <c r="G197" s="696" t="n"/>
      <c r="H197" s="151" t="n"/>
      <c r="I197" s="152" t="n"/>
      <c r="J197" s="692" t="n"/>
    </row>
    <row r="198" ht="20.1" customHeight="1">
      <c r="A198" s="142" t="n"/>
      <c r="B198" s="691" t="n"/>
      <c r="C198" s="692" t="n"/>
      <c r="D198" s="693" t="n"/>
      <c r="E198" s="694" t="n"/>
      <c r="F198" s="695" t="n"/>
      <c r="G198" s="696" t="n"/>
      <c r="H198" s="151" t="n"/>
      <c r="I198" s="152" t="n"/>
      <c r="J198" s="692" t="n"/>
    </row>
    <row r="199" ht="20.1" customHeight="1">
      <c r="A199" s="142" t="n"/>
      <c r="B199" s="691" t="n"/>
      <c r="C199" s="692" t="n"/>
      <c r="D199" s="693" t="n"/>
      <c r="E199" s="694" t="n"/>
      <c r="F199" s="695" t="n"/>
      <c r="G199" s="696" t="n"/>
      <c r="H199" s="151" t="n"/>
      <c r="I199" s="152" t="n"/>
      <c r="J199" s="692" t="n"/>
    </row>
    <row r="200" ht="20.1" customHeight="1">
      <c r="A200" s="142" t="n"/>
      <c r="B200" s="691" t="n"/>
      <c r="C200" s="692" t="n"/>
      <c r="D200" s="693" t="n"/>
      <c r="E200" s="694" t="n"/>
      <c r="F200" s="695" t="n"/>
      <c r="G200" s="696" t="n"/>
      <c r="H200" s="151" t="n"/>
      <c r="I200" s="152" t="n"/>
      <c r="J200" s="692" t="n"/>
    </row>
    <row r="201" ht="20.1" customHeight="1">
      <c r="A201" s="142" t="n"/>
      <c r="B201" s="691" t="n"/>
      <c r="C201" s="692" t="n"/>
      <c r="D201" s="693" t="n"/>
      <c r="E201" s="694" t="n"/>
      <c r="F201" s="695" t="n"/>
      <c r="G201" s="696" t="n"/>
      <c r="H201" s="151" t="n"/>
      <c r="I201" s="152" t="n"/>
      <c r="J201" s="692" t="n"/>
    </row>
    <row r="202" ht="20.1" customHeight="1">
      <c r="A202" s="142" t="n"/>
      <c r="B202" s="691" t="n"/>
      <c r="C202" s="692" t="n"/>
      <c r="D202" s="693" t="n"/>
      <c r="E202" s="694" t="n"/>
      <c r="F202" s="695" t="n"/>
      <c r="G202" s="696" t="n"/>
      <c r="H202" s="151" t="n"/>
      <c r="I202" s="152" t="n"/>
      <c r="J202" s="692" t="n"/>
    </row>
    <row r="203" ht="20.1" customHeight="1">
      <c r="A203" s="142" t="n"/>
      <c r="B203" s="691" t="n"/>
      <c r="C203" s="692" t="n"/>
      <c r="D203" s="693" t="n"/>
      <c r="E203" s="694" t="n"/>
      <c r="F203" s="695" t="n"/>
      <c r="G203" s="696" t="n"/>
      <c r="H203" s="151" t="n"/>
      <c r="I203" s="152" t="n"/>
      <c r="J203" s="692" t="n"/>
    </row>
    <row r="204" ht="20.1" customHeight="1">
      <c r="A204" s="142" t="n"/>
      <c r="B204" s="691" t="n"/>
      <c r="C204" s="692" t="n"/>
      <c r="D204" s="693" t="n"/>
      <c r="E204" s="694" t="n"/>
      <c r="F204" s="695" t="n"/>
      <c r="G204" s="696" t="n"/>
      <c r="H204" s="151" t="n"/>
      <c r="I204" s="152" t="n"/>
      <c r="J204" s="692" t="n"/>
    </row>
    <row r="205" ht="20.1" customHeight="1">
      <c r="A205" s="142" t="n"/>
      <c r="B205" s="691" t="n"/>
      <c r="C205" s="692" t="n"/>
      <c r="D205" s="693" t="n"/>
      <c r="E205" s="694" t="n"/>
      <c r="F205" s="695" t="n"/>
      <c r="G205" s="696" t="n"/>
      <c r="H205" s="151" t="n"/>
      <c r="I205" s="152" t="n"/>
      <c r="J205" s="692" t="n"/>
    </row>
    <row r="206" ht="20.1" customHeight="1">
      <c r="A206" s="142" t="n"/>
      <c r="B206" s="691" t="n"/>
      <c r="C206" s="692" t="n"/>
      <c r="D206" s="693" t="n"/>
      <c r="E206" s="694" t="n"/>
      <c r="F206" s="695" t="n"/>
      <c r="G206" s="696" t="n"/>
      <c r="H206" s="151" t="n"/>
      <c r="I206" s="152" t="n"/>
      <c r="J206" s="692" t="n"/>
    </row>
    <row r="207" ht="20.1" customHeight="1">
      <c r="A207" s="142" t="n"/>
      <c r="B207" s="691" t="n"/>
      <c r="C207" s="692" t="n"/>
      <c r="D207" s="693" t="n"/>
      <c r="E207" s="694" t="n"/>
      <c r="F207" s="695" t="n"/>
      <c r="G207" s="696" t="n"/>
      <c r="H207" s="151" t="n"/>
      <c r="I207" s="152" t="n"/>
      <c r="J207" s="692" t="n"/>
    </row>
    <row r="208" ht="20.1" customHeight="1">
      <c r="A208" s="142" t="n"/>
      <c r="B208" s="691" t="n"/>
      <c r="C208" s="692" t="n"/>
      <c r="D208" s="693" t="n"/>
      <c r="E208" s="694" t="n"/>
      <c r="F208" s="695" t="n"/>
      <c r="G208" s="696" t="n"/>
      <c r="H208" s="151" t="n"/>
      <c r="I208" s="152" t="n"/>
      <c r="J208" s="692" t="n"/>
    </row>
    <row r="209">
      <c r="A209" s="142" t="n"/>
      <c r="B209" s="691" t="n"/>
      <c r="C209" s="692" t="n"/>
      <c r="D209" s="693" t="n"/>
      <c r="E209" s="694" t="n"/>
      <c r="F209" s="695" t="n"/>
      <c r="G209" s="696" t="n"/>
      <c r="H209" s="151" t="n"/>
      <c r="I209" s="152" t="n"/>
      <c r="J209" s="692" t="n"/>
    </row>
    <row r="210" ht="20.1" customHeight="1">
      <c r="A210" s="142" t="n"/>
      <c r="B210" s="691" t="n"/>
      <c r="C210" s="692" t="n"/>
      <c r="D210" s="693" t="n"/>
      <c r="E210" s="694" t="n"/>
      <c r="F210" s="695" t="n"/>
      <c r="G210" s="696" t="n"/>
      <c r="H210" s="151" t="n"/>
      <c r="I210" s="152" t="n"/>
      <c r="J210" s="692" t="n"/>
    </row>
    <row r="211" ht="20.1" customHeight="1">
      <c r="A211" s="142" t="n"/>
      <c r="B211" s="691" t="n"/>
      <c r="C211" s="692" t="n"/>
      <c r="D211" s="693" t="n"/>
      <c r="E211" s="694" t="n"/>
      <c r="F211" s="695" t="n"/>
      <c r="G211" s="696" t="n"/>
      <c r="H211" s="151" t="n"/>
      <c r="I211" s="152" t="n"/>
      <c r="J211" s="692" t="n"/>
    </row>
    <row r="212" ht="20.1" customHeight="1">
      <c r="A212" s="142" t="n"/>
      <c r="B212" s="691" t="n"/>
      <c r="C212" s="692" t="n"/>
      <c r="D212" s="693" t="n"/>
      <c r="E212" s="694" t="n"/>
      <c r="F212" s="695" t="n"/>
      <c r="G212" s="696" t="n"/>
      <c r="H212" s="151" t="n"/>
      <c r="I212" s="152" t="n"/>
      <c r="J212" s="692" t="n"/>
    </row>
    <row r="213" ht="20.1" customHeight="1">
      <c r="A213" s="142" t="n"/>
      <c r="B213" s="691" t="n"/>
      <c r="C213" s="692" t="n"/>
      <c r="D213" s="693" t="n"/>
      <c r="E213" s="694" t="n"/>
      <c r="F213" s="695" t="n"/>
      <c r="G213" s="696" t="n"/>
      <c r="H213" s="151" t="n"/>
      <c r="I213" s="152" t="n"/>
      <c r="J213" s="692" t="n"/>
    </row>
    <row r="214" ht="20.1" customHeight="1">
      <c r="A214" s="142" t="n"/>
      <c r="B214" s="691" t="n"/>
      <c r="C214" s="692" t="n"/>
      <c r="D214" s="693" t="n"/>
      <c r="E214" s="694" t="n"/>
      <c r="F214" s="695" t="n"/>
      <c r="G214" s="696" t="n"/>
      <c r="H214" s="151" t="n"/>
      <c r="I214" s="152" t="n"/>
      <c r="J214" s="692" t="n"/>
    </row>
    <row r="215" ht="20.1" customHeight="1">
      <c r="A215" s="142" t="n"/>
      <c r="B215" s="691" t="n"/>
      <c r="C215" s="692" t="n"/>
      <c r="D215" s="693" t="n"/>
      <c r="E215" s="694" t="n"/>
      <c r="F215" s="695" t="n"/>
      <c r="G215" s="696" t="n"/>
      <c r="H215" s="151" t="n"/>
      <c r="I215" s="152" t="n"/>
      <c r="J215" s="692" t="n"/>
    </row>
    <row r="216">
      <c r="A216" s="142" t="n"/>
      <c r="B216" s="691" t="n"/>
      <c r="C216" s="692" t="n"/>
      <c r="D216" s="693" t="n"/>
      <c r="E216" s="694" t="n"/>
      <c r="F216" s="695" t="n"/>
      <c r="G216" s="696" t="n"/>
      <c r="H216" s="151" t="n"/>
      <c r="I216" s="152" t="n"/>
      <c r="J216" s="692" t="n"/>
    </row>
    <row r="217" ht="20.1" customHeight="1">
      <c r="A217" s="142" t="n"/>
      <c r="B217" s="691" t="n"/>
      <c r="C217" s="692" t="n"/>
      <c r="D217" s="693" t="n"/>
      <c r="E217" s="694" t="n"/>
      <c r="F217" s="695" t="n"/>
      <c r="G217" s="696" t="n"/>
      <c r="H217" s="151" t="n"/>
      <c r="I217" s="152" t="n"/>
      <c r="J217" s="692" t="n"/>
    </row>
    <row r="218" ht="20.1" customHeight="1">
      <c r="A218" s="142" t="n"/>
      <c r="B218" s="691" t="n"/>
      <c r="C218" s="692" t="n"/>
      <c r="D218" s="693" t="n"/>
      <c r="E218" s="694" t="n"/>
      <c r="F218" s="695" t="n"/>
      <c r="G218" s="696" t="n"/>
      <c r="H218" s="151" t="n"/>
      <c r="I218" s="152" t="n"/>
      <c r="J218" s="692" t="n"/>
    </row>
    <row r="219" ht="20.1" customHeight="1">
      <c r="A219" s="142" t="n"/>
      <c r="B219" s="691" t="n"/>
      <c r="C219" s="692" t="n"/>
      <c r="D219" s="693" t="n"/>
      <c r="E219" s="694" t="n"/>
      <c r="F219" s="695" t="n"/>
      <c r="G219" s="696" t="n"/>
      <c r="H219" s="151" t="n"/>
      <c r="I219" s="152" t="n"/>
      <c r="J219" s="692" t="n"/>
    </row>
    <row r="220" ht="20.1" customHeight="1">
      <c r="A220" s="142" t="n"/>
      <c r="B220" s="691" t="n"/>
      <c r="C220" s="692" t="n"/>
      <c r="D220" s="693" t="n"/>
      <c r="E220" s="694" t="n"/>
      <c r="F220" s="695" t="n"/>
      <c r="G220" s="696" t="n"/>
      <c r="H220" s="151" t="n"/>
      <c r="I220" s="152" t="n"/>
      <c r="J220" s="692" t="n"/>
    </row>
    <row r="221">
      <c r="A221" s="142" t="n"/>
      <c r="B221" s="691" t="n"/>
      <c r="C221" s="692" t="n"/>
      <c r="D221" s="693" t="n"/>
      <c r="E221" s="694" t="n"/>
      <c r="F221" s="695" t="n"/>
      <c r="G221" s="696" t="n"/>
      <c r="H221" s="151" t="n"/>
      <c r="I221" s="152" t="n"/>
      <c r="J221" s="692" t="n"/>
    </row>
    <row r="222">
      <c r="A222" s="142" t="n"/>
      <c r="B222" s="691" t="n"/>
      <c r="C222" s="692" t="n"/>
      <c r="D222" s="693" t="n"/>
      <c r="E222" s="694" t="n"/>
      <c r="F222" s="695" t="n"/>
      <c r="G222" s="696" t="n"/>
      <c r="H222" s="151" t="n"/>
      <c r="I222" s="152" t="n"/>
      <c r="J222" s="692" t="n"/>
    </row>
    <row r="223" ht="20.1" customHeight="1">
      <c r="A223" s="142" t="n"/>
      <c r="B223" s="691" t="n"/>
      <c r="C223" s="692" t="n"/>
      <c r="D223" s="693" t="n"/>
      <c r="E223" s="694" t="n"/>
      <c r="F223" s="695" t="n"/>
      <c r="G223" s="696" t="n"/>
      <c r="H223" s="151" t="n"/>
      <c r="I223" s="152" t="n"/>
      <c r="J223" s="692" t="n"/>
    </row>
    <row r="224" ht="20.1" customHeight="1">
      <c r="A224" s="142" t="n"/>
      <c r="B224" s="691" t="n"/>
      <c r="C224" s="692" t="n"/>
      <c r="D224" s="693" t="n"/>
      <c r="E224" s="694" t="n"/>
      <c r="F224" s="695" t="n"/>
      <c r="G224" s="696" t="n"/>
      <c r="H224" s="151" t="n"/>
      <c r="I224" s="152" t="n"/>
      <c r="J224" s="692" t="n"/>
    </row>
    <row r="225" ht="20.1" customHeight="1">
      <c r="A225" s="142" t="n"/>
      <c r="B225" s="691" t="n"/>
      <c r="C225" s="692" t="n"/>
      <c r="D225" s="693" t="n"/>
      <c r="E225" s="694" t="n"/>
      <c r="F225" s="695" t="n"/>
      <c r="G225" s="696" t="n"/>
      <c r="H225" s="151" t="n"/>
      <c r="I225" s="152" t="n"/>
      <c r="J225" s="692" t="n"/>
    </row>
    <row r="226" ht="20.1" customHeight="1">
      <c r="A226" s="142" t="n"/>
      <c r="B226" s="697" t="n"/>
      <c r="C226" s="692" t="n"/>
      <c r="D226" s="698" t="n"/>
      <c r="E226" s="699" t="n"/>
      <c r="F226" s="695" t="n"/>
      <c r="G226" s="696" t="n"/>
      <c r="H226" s="151" t="n"/>
      <c r="I226" s="152" t="n"/>
      <c r="J226" s="692" t="n"/>
    </row>
    <row r="227" ht="20.1" customHeight="1">
      <c r="A227" s="142" t="n"/>
      <c r="B227" s="697" t="n"/>
      <c r="C227" s="692" t="n"/>
      <c r="D227" s="698" t="n"/>
      <c r="E227" s="699" t="n"/>
      <c r="F227" s="695" t="n"/>
      <c r="G227" s="696" t="n"/>
      <c r="H227" s="151" t="n"/>
      <c r="I227" s="152" t="n"/>
      <c r="J227" s="692" t="n"/>
    </row>
    <row r="228" ht="20.1" customHeight="1">
      <c r="A228" s="142" t="n"/>
      <c r="B228" s="691" t="n"/>
      <c r="C228" s="692" t="n"/>
      <c r="D228" s="693" t="n"/>
      <c r="E228" s="694" t="n"/>
      <c r="F228" s="695" t="n"/>
      <c r="G228" s="696" t="n"/>
      <c r="H228" s="151" t="n"/>
      <c r="I228" s="152" t="n"/>
      <c r="J228" s="692" t="n"/>
    </row>
    <row r="229" ht="20.1" customHeight="1">
      <c r="A229" s="142" t="n"/>
      <c r="B229" s="691" t="n"/>
      <c r="C229" s="692" t="n"/>
      <c r="D229" s="693" t="n"/>
      <c r="E229" s="694" t="n"/>
      <c r="F229" s="695" t="n"/>
      <c r="G229" s="696" t="n"/>
      <c r="H229" s="151" t="n"/>
      <c r="I229" s="152" t="n"/>
      <c r="J229" s="692" t="n"/>
    </row>
    <row r="230" ht="20.1" customHeight="1">
      <c r="A230" s="142" t="n"/>
      <c r="B230" s="691" t="n"/>
      <c r="C230" s="692" t="n"/>
      <c r="D230" s="693" t="n"/>
      <c r="E230" s="694" t="n"/>
      <c r="F230" s="695" t="n"/>
      <c r="G230" s="696" t="n"/>
      <c r="H230" s="151" t="n"/>
      <c r="I230" s="152" t="n"/>
      <c r="J230" s="692" t="n"/>
    </row>
    <row r="231" ht="20.1" customHeight="1">
      <c r="A231" s="142" t="n"/>
      <c r="B231" s="691" t="n"/>
      <c r="C231" s="692" t="n"/>
      <c r="D231" s="693" t="n"/>
      <c r="E231" s="694" t="n"/>
      <c r="F231" s="695" t="n"/>
      <c r="G231" s="696" t="n"/>
      <c r="H231" s="151" t="n"/>
      <c r="I231" s="152" t="n"/>
      <c r="J231" s="692" t="n"/>
    </row>
    <row r="232" ht="20.1" customHeight="1">
      <c r="A232" s="142" t="n"/>
      <c r="B232" s="691" t="n"/>
      <c r="C232" s="692" t="n"/>
      <c r="D232" s="693" t="n"/>
      <c r="E232" s="694" t="n"/>
      <c r="F232" s="695" t="n"/>
      <c r="G232" s="696" t="n"/>
      <c r="H232" s="151" t="n"/>
      <c r="I232" s="152" t="n"/>
      <c r="J232" s="692" t="n"/>
    </row>
    <row r="233" ht="20.1" customHeight="1">
      <c r="A233" s="142" t="n"/>
      <c r="B233" s="691" t="n"/>
      <c r="C233" s="692" t="n"/>
      <c r="D233" s="693" t="n"/>
      <c r="E233" s="694" t="n"/>
      <c r="F233" s="695" t="n"/>
      <c r="G233" s="696" t="n"/>
      <c r="H233" s="151" t="n"/>
      <c r="I233" s="152" t="n"/>
      <c r="J233" s="692" t="n"/>
    </row>
    <row r="234" ht="20.1" customHeight="1">
      <c r="A234" s="142" t="n"/>
      <c r="B234" s="691" t="n"/>
      <c r="C234" s="692" t="n"/>
      <c r="D234" s="693" t="n"/>
      <c r="E234" s="694" t="n"/>
      <c r="F234" s="695" t="n"/>
      <c r="G234" s="696" t="n"/>
      <c r="H234" s="151" t="n"/>
      <c r="I234" s="152" t="n"/>
      <c r="J234" s="692" t="n"/>
    </row>
    <row r="235" ht="20.1" customHeight="1">
      <c r="A235" s="142" t="n"/>
      <c r="B235" s="691" t="n"/>
      <c r="C235" s="692" t="n"/>
      <c r="D235" s="693" t="n"/>
      <c r="E235" s="694" t="n"/>
      <c r="F235" s="695" t="n"/>
      <c r="G235" s="696" t="n"/>
      <c r="H235" s="151" t="n"/>
      <c r="I235" s="152" t="n"/>
      <c r="J235" s="692" t="n"/>
    </row>
    <row r="236" ht="20.1" customHeight="1">
      <c r="A236" s="142" t="n"/>
      <c r="B236" s="691" t="n"/>
      <c r="C236" s="692" t="n"/>
      <c r="D236" s="693" t="n"/>
      <c r="E236" s="694" t="n"/>
      <c r="F236" s="695" t="n"/>
      <c r="G236" s="696" t="n"/>
      <c r="H236" s="151" t="n"/>
      <c r="I236" s="152" t="n"/>
      <c r="J236" s="692" t="n"/>
    </row>
    <row r="237" ht="20.1" customHeight="1">
      <c r="A237" s="142" t="n"/>
      <c r="B237" s="691" t="n"/>
      <c r="C237" s="692" t="n"/>
      <c r="D237" s="693" t="n"/>
      <c r="E237" s="694" t="n"/>
      <c r="F237" s="695" t="n"/>
      <c r="G237" s="696" t="n"/>
      <c r="H237" s="151" t="n"/>
      <c r="I237" s="152" t="n"/>
      <c r="J237" s="692" t="n"/>
    </row>
    <row r="238" ht="20.1" customHeight="1">
      <c r="A238" s="142" t="n"/>
      <c r="B238" s="691" t="n"/>
      <c r="C238" s="692" t="n"/>
      <c r="D238" s="693" t="n"/>
      <c r="E238" s="694" t="n"/>
      <c r="F238" s="695" t="n"/>
      <c r="G238" s="696" t="n"/>
      <c r="H238" s="151" t="n"/>
      <c r="I238" s="152" t="n"/>
      <c r="J238" s="692" t="n"/>
    </row>
    <row r="239" ht="20.1" customHeight="1">
      <c r="A239" s="142" t="n"/>
      <c r="B239" s="691" t="n"/>
      <c r="C239" s="692" t="n"/>
      <c r="D239" s="693" t="n"/>
      <c r="E239" s="694" t="n"/>
      <c r="F239" s="695" t="n"/>
      <c r="G239" s="696" t="n"/>
      <c r="H239" s="151" t="n"/>
      <c r="I239" s="152" t="n"/>
      <c r="J239" s="692" t="n"/>
    </row>
    <row r="240" ht="20.1" customHeight="1">
      <c r="A240" s="142" t="n"/>
      <c r="B240" s="691" t="n"/>
      <c r="C240" s="692" t="n"/>
      <c r="D240" s="693" t="n"/>
      <c r="E240" s="694" t="n"/>
      <c r="F240" s="695" t="n"/>
      <c r="G240" s="696" t="n"/>
      <c r="H240" s="151" t="n"/>
      <c r="I240" s="152" t="n"/>
      <c r="J240" s="692" t="n"/>
    </row>
    <row r="241" ht="20.1" customHeight="1">
      <c r="A241" s="142" t="n"/>
      <c r="B241" s="691" t="n"/>
      <c r="C241" s="692" t="n"/>
      <c r="D241" s="693" t="n"/>
      <c r="E241" s="694" t="n"/>
      <c r="F241" s="695" t="n"/>
      <c r="G241" s="696" t="n"/>
      <c r="H241" s="151" t="n"/>
      <c r="I241" s="152" t="n"/>
      <c r="J241" s="692" t="n"/>
    </row>
    <row r="242" ht="20.1" customHeight="1">
      <c r="A242" s="142" t="n"/>
      <c r="B242" s="691" t="n"/>
      <c r="C242" s="692" t="n"/>
      <c r="D242" s="693" t="n"/>
      <c r="E242" s="694" t="n"/>
      <c r="F242" s="695" t="n"/>
      <c r="G242" s="696" t="n"/>
      <c r="H242" s="151" t="n"/>
      <c r="I242" s="152" t="n"/>
      <c r="J242" s="692" t="n"/>
    </row>
    <row r="243" ht="20.1" customHeight="1">
      <c r="A243" s="142" t="n"/>
      <c r="B243" s="691" t="n"/>
      <c r="C243" s="692" t="n"/>
      <c r="D243" s="693" t="n"/>
      <c r="E243" s="694" t="n"/>
      <c r="F243" s="695" t="n"/>
      <c r="G243" s="696" t="n"/>
      <c r="H243" s="151" t="n"/>
      <c r="I243" s="152" t="n"/>
      <c r="J243" s="692" t="n"/>
    </row>
    <row r="244" ht="20.1" customHeight="1">
      <c r="A244" s="142" t="n"/>
      <c r="B244" s="691" t="n"/>
      <c r="C244" s="692" t="n"/>
      <c r="D244" s="693" t="n"/>
      <c r="E244" s="694" t="n"/>
      <c r="F244" s="695" t="n"/>
      <c r="G244" s="696" t="n"/>
      <c r="H244" s="151" t="n"/>
      <c r="I244" s="152" t="n"/>
      <c r="J244" s="692" t="n"/>
    </row>
    <row r="245" ht="20.1" customHeight="1">
      <c r="A245" s="142" t="n"/>
      <c r="B245" s="691" t="n"/>
      <c r="C245" s="692" t="n"/>
      <c r="D245" s="693" t="n"/>
      <c r="E245" s="694" t="n"/>
      <c r="F245" s="695" t="n"/>
      <c r="G245" s="696" t="n"/>
      <c r="H245" s="151" t="n"/>
      <c r="I245" s="152" t="n"/>
      <c r="J245" s="692" t="n"/>
    </row>
    <row r="246" ht="20.1" customHeight="1">
      <c r="A246" s="142" t="n"/>
      <c r="B246" s="691" t="n"/>
      <c r="C246" s="692" t="n"/>
      <c r="D246" s="693" t="n"/>
      <c r="E246" s="694" t="n"/>
      <c r="F246" s="695" t="n"/>
      <c r="G246" s="696" t="n"/>
      <c r="H246" s="151" t="n"/>
      <c r="I246" s="152" t="n"/>
      <c r="J246" s="692" t="n"/>
    </row>
    <row r="247" ht="20.1" customHeight="1">
      <c r="A247" s="142" t="n"/>
      <c r="B247" s="691" t="n"/>
      <c r="C247" s="692" t="n"/>
      <c r="D247" s="693" t="n"/>
      <c r="E247" s="694" t="n"/>
      <c r="F247" s="695" t="n"/>
      <c r="G247" s="696" t="n"/>
      <c r="H247" s="151" t="n"/>
      <c r="I247" s="152" t="n"/>
      <c r="J247" s="692" t="n"/>
    </row>
    <row r="248" ht="20.1" customHeight="1">
      <c r="A248" s="142" t="n"/>
      <c r="B248" s="691" t="n"/>
      <c r="C248" s="692" t="n"/>
      <c r="D248" s="693" t="n"/>
      <c r="E248" s="694" t="n"/>
      <c r="F248" s="695" t="n"/>
      <c r="G248" s="696" t="n"/>
      <c r="H248" s="151" t="n"/>
      <c r="I248" s="152" t="n"/>
      <c r="J248" s="692" t="n"/>
    </row>
    <row r="249" ht="20.1" customHeight="1">
      <c r="A249" s="142" t="n"/>
      <c r="B249" s="691" t="n"/>
      <c r="C249" s="692" t="n"/>
      <c r="D249" s="693" t="n"/>
      <c r="E249" s="694" t="n"/>
      <c r="F249" s="695" t="n"/>
      <c r="G249" s="696" t="n"/>
      <c r="H249" s="151" t="n"/>
      <c r="I249" s="152" t="n"/>
      <c r="J249" s="692" t="n"/>
    </row>
    <row r="250" ht="20.1" customHeight="1">
      <c r="A250" s="142" t="n"/>
      <c r="B250" s="691" t="n"/>
      <c r="C250" s="692" t="n"/>
      <c r="D250" s="693" t="n"/>
      <c r="E250" s="694" t="n"/>
      <c r="F250" s="695" t="n"/>
      <c r="G250" s="696" t="n"/>
      <c r="H250" s="151" t="n"/>
      <c r="I250" s="152" t="n"/>
      <c r="J250" s="692" t="n"/>
    </row>
    <row r="251" ht="20.1" customHeight="1">
      <c r="A251" s="142" t="n"/>
      <c r="B251" s="691" t="n"/>
      <c r="C251" s="692" t="n"/>
      <c r="D251" s="693" t="n"/>
      <c r="E251" s="694" t="n"/>
      <c r="F251" s="695" t="n"/>
      <c r="G251" s="696" t="n"/>
      <c r="H251" s="151" t="n"/>
      <c r="I251" s="152" t="n"/>
      <c r="J251" s="692" t="n"/>
    </row>
    <row r="252" ht="20.1" customHeight="1">
      <c r="A252" s="142" t="n"/>
      <c r="B252" s="691" t="n"/>
      <c r="C252" s="692" t="n"/>
      <c r="D252" s="693" t="n"/>
      <c r="E252" s="694" t="n"/>
      <c r="F252" s="695" t="n"/>
      <c r="G252" s="696" t="n"/>
      <c r="H252" s="151" t="n"/>
      <c r="I252" s="152" t="n"/>
      <c r="J252" s="692" t="n"/>
    </row>
    <row r="253" ht="20.1" customHeight="1">
      <c r="A253" s="142" t="n"/>
      <c r="B253" s="691" t="n"/>
      <c r="C253" s="692" t="n"/>
      <c r="D253" s="693" t="n"/>
      <c r="E253" s="694" t="n"/>
      <c r="F253" s="695" t="n"/>
      <c r="G253" s="696" t="n"/>
      <c r="H253" s="151" t="n"/>
      <c r="I253" s="152" t="n"/>
      <c r="J253" s="692" t="n"/>
    </row>
    <row r="254" ht="20.1" customHeight="1">
      <c r="A254" s="142" t="n"/>
      <c r="B254" s="691" t="n"/>
      <c r="C254" s="692" t="n"/>
      <c r="D254" s="693" t="n"/>
      <c r="E254" s="694" t="n"/>
      <c r="F254" s="695" t="n"/>
      <c r="G254" s="696" t="n"/>
      <c r="H254" s="151" t="n"/>
      <c r="I254" s="152" t="n"/>
      <c r="J254" s="692" t="n"/>
    </row>
    <row r="255" ht="20.1" customHeight="1">
      <c r="A255" s="142" t="n"/>
      <c r="B255" s="691" t="n"/>
      <c r="C255" s="692" t="n"/>
      <c r="D255" s="693" t="n"/>
      <c r="E255" s="694" t="n"/>
      <c r="F255" s="695" t="n"/>
      <c r="G255" s="696" t="n"/>
      <c r="H255" s="151" t="n"/>
      <c r="I255" s="152" t="n"/>
      <c r="J255" s="692" t="n"/>
    </row>
    <row r="256" ht="20.1" customHeight="1">
      <c r="A256" s="142" t="n"/>
      <c r="B256" s="691" t="n"/>
      <c r="C256" s="692" t="n"/>
      <c r="D256" s="693" t="n"/>
      <c r="E256" s="694" t="n"/>
      <c r="F256" s="695" t="n"/>
      <c r="G256" s="696" t="n"/>
      <c r="H256" s="151" t="n"/>
      <c r="I256" s="152" t="n"/>
      <c r="J256" s="692" t="n"/>
    </row>
    <row r="257" ht="20.1" customHeight="1">
      <c r="A257" s="142" t="n"/>
      <c r="B257" s="691" t="n"/>
      <c r="C257" s="692" t="n"/>
      <c r="D257" s="693" t="n"/>
      <c r="E257" s="694" t="n"/>
      <c r="F257" s="695" t="n"/>
      <c r="G257" s="696" t="n"/>
      <c r="H257" s="151" t="n"/>
      <c r="I257" s="152" t="n"/>
      <c r="J257" s="692" t="n"/>
    </row>
    <row r="258" ht="20.1" customHeight="1">
      <c r="A258" s="142" t="n"/>
      <c r="B258" s="691" t="n"/>
      <c r="C258" s="692" t="n"/>
      <c r="D258" s="693" t="n"/>
      <c r="E258" s="694" t="n"/>
      <c r="F258" s="695" t="n"/>
      <c r="G258" s="696" t="n"/>
      <c r="H258" s="151" t="n"/>
      <c r="I258" s="152" t="n"/>
      <c r="J258" s="692" t="n"/>
    </row>
    <row r="259" ht="20.1" customHeight="1">
      <c r="A259" s="142" t="n"/>
      <c r="B259" s="691" t="n"/>
      <c r="C259" s="692" t="n"/>
      <c r="D259" s="693" t="n"/>
      <c r="E259" s="694" t="n"/>
      <c r="F259" s="695" t="n"/>
      <c r="G259" s="696" t="n"/>
      <c r="H259" s="151" t="n"/>
      <c r="I259" s="152" t="n"/>
      <c r="J259" s="692" t="n"/>
    </row>
    <row r="260" ht="30" customHeight="1">
      <c r="A260" s="142" t="n"/>
      <c r="B260" s="691" t="n"/>
      <c r="C260" s="692" t="n"/>
      <c r="D260" s="693" t="n"/>
      <c r="E260" s="694" t="n"/>
      <c r="F260" s="695" t="n"/>
      <c r="G260" s="696" t="n"/>
      <c r="H260" s="151" t="n"/>
      <c r="I260" s="152" t="n"/>
      <c r="J260" s="692" t="n"/>
    </row>
    <row r="261" ht="20.1" customHeight="1">
      <c r="A261" s="142" t="n"/>
      <c r="B261" s="691" t="n"/>
      <c r="C261" s="692" t="n"/>
      <c r="D261" s="693" t="n"/>
      <c r="E261" s="694" t="n"/>
      <c r="F261" s="695" t="n"/>
      <c r="G261" s="696" t="n"/>
      <c r="H261" s="151" t="n"/>
      <c r="I261" s="152" t="n"/>
      <c r="J261" s="692" t="n"/>
    </row>
    <row r="262" ht="20.1" customHeight="1">
      <c r="A262" s="142" t="n"/>
      <c r="B262" s="691" t="n"/>
      <c r="C262" s="692" t="n"/>
      <c r="D262" s="693" t="n"/>
      <c r="E262" s="694" t="n"/>
      <c r="F262" s="695" t="n"/>
      <c r="G262" s="696" t="n"/>
      <c r="H262" s="151" t="n"/>
      <c r="I262" s="152" t="n"/>
      <c r="J262" s="692" t="n"/>
    </row>
    <row r="263" ht="20.1" customHeight="1">
      <c r="A263" s="142" t="n"/>
      <c r="B263" s="691" t="n"/>
      <c r="C263" s="692" t="n"/>
      <c r="D263" s="693" t="n"/>
      <c r="E263" s="694" t="n"/>
      <c r="F263" s="695" t="n"/>
      <c r="G263" s="696" t="n"/>
      <c r="H263" s="151" t="n"/>
      <c r="I263" s="152" t="n"/>
      <c r="J263" s="692" t="n"/>
    </row>
    <row r="264" ht="20.1" customHeight="1">
      <c r="A264" s="142" t="n"/>
      <c r="B264" s="691" t="n"/>
      <c r="C264" s="692" t="n"/>
      <c r="D264" s="693" t="n"/>
      <c r="E264" s="694" t="n"/>
      <c r="F264" s="695" t="n"/>
      <c r="G264" s="696" t="n"/>
      <c r="H264" s="151" t="n"/>
      <c r="I264" s="152" t="n"/>
      <c r="J264" s="692" t="n"/>
    </row>
    <row r="265" ht="20.1" customHeight="1">
      <c r="A265" s="142" t="n"/>
      <c r="B265" s="691" t="n"/>
      <c r="C265" s="692" t="n"/>
      <c r="D265" s="693" t="n"/>
      <c r="E265" s="694" t="n"/>
      <c r="F265" s="695" t="n"/>
      <c r="G265" s="696" t="n"/>
      <c r="H265" s="151" t="n"/>
      <c r="I265" s="152" t="n"/>
      <c r="J265" s="692" t="n"/>
    </row>
    <row r="266" ht="20.1" customHeight="1">
      <c r="A266" s="142" t="n"/>
      <c r="B266" s="691" t="n"/>
      <c r="C266" s="692" t="n"/>
      <c r="D266" s="693" t="n"/>
      <c r="E266" s="694" t="n"/>
      <c r="F266" s="695" t="n"/>
      <c r="G266" s="696" t="n"/>
      <c r="H266" s="151" t="n"/>
      <c r="I266" s="152" t="n"/>
      <c r="J266" s="692" t="n"/>
    </row>
    <row r="267" ht="20.1" customHeight="1">
      <c r="A267" s="142" t="n"/>
      <c r="B267" s="691" t="n"/>
      <c r="C267" s="692" t="n"/>
      <c r="D267" s="693" t="n"/>
      <c r="E267" s="694" t="n"/>
      <c r="F267" s="695" t="n"/>
      <c r="G267" s="696" t="n"/>
      <c r="H267" s="151" t="n"/>
      <c r="I267" s="152" t="n"/>
      <c r="J267" s="692" t="n"/>
    </row>
    <row r="268" ht="20.1" customHeight="1">
      <c r="A268" s="142" t="n"/>
      <c r="B268" s="691" t="n"/>
      <c r="C268" s="692" t="n"/>
      <c r="D268" s="693" t="n"/>
      <c r="E268" s="694" t="n"/>
      <c r="F268" s="695" t="n"/>
      <c r="G268" s="696" t="n"/>
      <c r="H268" s="151" t="n"/>
      <c r="I268" s="152" t="n"/>
      <c r="J268" s="692" t="n"/>
    </row>
    <row r="269" ht="20.1" customHeight="1">
      <c r="A269" s="142" t="n"/>
      <c r="B269" s="691" t="n"/>
      <c r="C269" s="692" t="n"/>
      <c r="D269" s="693" t="n"/>
      <c r="E269" s="694" t="n"/>
      <c r="F269" s="695" t="n"/>
      <c r="G269" s="696" t="n"/>
      <c r="H269" s="151" t="n"/>
      <c r="I269" s="152" t="n"/>
      <c r="J269" s="692" t="n"/>
    </row>
    <row r="270" ht="20.1" customHeight="1">
      <c r="A270" s="142" t="n"/>
      <c r="B270" s="691" t="n"/>
      <c r="C270" s="692" t="n"/>
      <c r="D270" s="693" t="n"/>
      <c r="E270" s="694" t="n"/>
      <c r="F270" s="695" t="n"/>
      <c r="G270" s="696" t="n"/>
      <c r="H270" s="151" t="n"/>
      <c r="I270" s="152" t="n"/>
      <c r="J270" s="692" t="n"/>
    </row>
    <row r="271" ht="20.1" customHeight="1">
      <c r="A271" s="142" t="n"/>
      <c r="B271" s="691" t="n"/>
      <c r="C271" s="692" t="n"/>
      <c r="D271" s="693" t="n"/>
      <c r="E271" s="694" t="n"/>
      <c r="F271" s="695" t="n"/>
      <c r="G271" s="696" t="n"/>
      <c r="H271" s="151" t="n"/>
      <c r="I271" s="152" t="n"/>
      <c r="J271" s="692" t="n"/>
    </row>
    <row r="272" ht="20.1" customHeight="1">
      <c r="A272" s="142" t="n"/>
      <c r="B272" s="691" t="n"/>
      <c r="C272" s="692" t="n"/>
      <c r="D272" s="693" t="n"/>
      <c r="E272" s="694" t="n"/>
      <c r="F272" s="695" t="n"/>
      <c r="G272" s="696" t="n"/>
      <c r="H272" s="151" t="n"/>
      <c r="I272" s="152" t="n"/>
      <c r="J272" s="692" t="n"/>
    </row>
    <row r="273" ht="20.1" customHeight="1">
      <c r="A273" s="142" t="n"/>
      <c r="B273" s="691" t="n"/>
      <c r="C273" s="692" t="n"/>
      <c r="D273" s="693" t="n"/>
      <c r="E273" s="694" t="n"/>
      <c r="F273" s="695" t="n"/>
      <c r="G273" s="696" t="n"/>
      <c r="H273" s="151" t="n"/>
      <c r="I273" s="152" t="n"/>
      <c r="J273" s="692" t="n"/>
    </row>
    <row r="274" ht="20.1" customHeight="1">
      <c r="A274" s="142" t="n"/>
      <c r="B274" s="691" t="n"/>
      <c r="C274" s="692" t="n"/>
      <c r="D274" s="693" t="n"/>
      <c r="E274" s="694" t="n"/>
      <c r="F274" s="695" t="n"/>
      <c r="G274" s="696" t="n"/>
      <c r="H274" s="151" t="n"/>
      <c r="I274" s="152" t="n"/>
      <c r="J274" s="692" t="n"/>
    </row>
    <row r="275" ht="20.1" customHeight="1">
      <c r="A275" s="142" t="n"/>
      <c r="B275" s="691" t="n"/>
      <c r="C275" s="692" t="n"/>
      <c r="D275" s="693" t="n"/>
      <c r="E275" s="694" t="n"/>
      <c r="F275" s="695" t="n"/>
      <c r="G275" s="696" t="n"/>
      <c r="H275" s="151" t="n"/>
      <c r="I275" s="152" t="n"/>
      <c r="J275" s="692" t="n"/>
    </row>
    <row r="276" ht="20.1" customHeight="1">
      <c r="A276" s="142" t="n"/>
      <c r="B276" s="691" t="n"/>
      <c r="C276" s="692" t="n"/>
      <c r="D276" s="693" t="n"/>
      <c r="E276" s="694" t="n"/>
      <c r="F276" s="695" t="n"/>
      <c r="G276" s="696" t="n"/>
      <c r="H276" s="151" t="n"/>
      <c r="I276" s="152" t="n"/>
      <c r="J276" s="692" t="n"/>
    </row>
    <row r="277" ht="20.1" customHeight="1">
      <c r="A277" s="142" t="n"/>
      <c r="B277" s="691" t="n"/>
      <c r="C277" s="692" t="n"/>
      <c r="D277" s="693" t="n"/>
      <c r="E277" s="694" t="n"/>
      <c r="F277" s="695" t="n"/>
      <c r="G277" s="696" t="n"/>
      <c r="H277" s="151" t="n"/>
      <c r="I277" s="152" t="n"/>
      <c r="J277" s="692" t="n"/>
    </row>
    <row r="278" ht="20.1" customHeight="1">
      <c r="A278" s="142" t="n"/>
      <c r="B278" s="691" t="n"/>
      <c r="C278" s="692" t="n"/>
      <c r="D278" s="693" t="n"/>
      <c r="E278" s="694" t="n"/>
      <c r="F278" s="695" t="n"/>
      <c r="G278" s="696" t="n"/>
      <c r="H278" s="151" t="n"/>
      <c r="I278" s="152" t="n"/>
      <c r="J278" s="692" t="n"/>
    </row>
    <row r="279" ht="20.1" customHeight="1">
      <c r="A279" s="142" t="n"/>
      <c r="B279" s="691" t="n"/>
      <c r="C279" s="692" t="n"/>
      <c r="D279" s="693" t="n"/>
      <c r="E279" s="694" t="n"/>
      <c r="F279" s="695" t="n"/>
      <c r="G279" s="696" t="n"/>
      <c r="H279" s="151" t="n"/>
      <c r="I279" s="152" t="n"/>
      <c r="J279" s="692" t="n"/>
    </row>
    <row r="280" ht="20.1" customHeight="1">
      <c r="A280" s="142" t="n"/>
      <c r="B280" s="691" t="n"/>
      <c r="C280" s="692" t="n"/>
      <c r="D280" s="693" t="n"/>
      <c r="E280" s="694" t="n"/>
      <c r="F280" s="695" t="n"/>
      <c r="G280" s="696" t="n"/>
      <c r="H280" s="151" t="n"/>
      <c r="I280" s="152" t="n"/>
      <c r="J280" s="692" t="n"/>
    </row>
    <row r="281" ht="20.1" customHeight="1">
      <c r="A281" s="142" t="n"/>
      <c r="B281" s="691" t="n"/>
      <c r="C281" s="692" t="n"/>
      <c r="D281" s="693" t="n"/>
      <c r="E281" s="694" t="n"/>
      <c r="F281" s="695" t="n"/>
      <c r="G281" s="696" t="n"/>
      <c r="H281" s="151" t="n"/>
      <c r="I281" s="152" t="n"/>
      <c r="J281" s="692" t="n"/>
    </row>
    <row r="282" ht="20.1" customHeight="1">
      <c r="A282" s="142" t="n"/>
      <c r="B282" s="691" t="n"/>
      <c r="C282" s="692" t="n"/>
      <c r="D282" s="693" t="n"/>
      <c r="E282" s="694" t="n"/>
      <c r="F282" s="695" t="n"/>
      <c r="G282" s="696" t="n"/>
      <c r="H282" s="151" t="n"/>
      <c r="I282" s="152" t="n"/>
      <c r="J282" s="692" t="n"/>
    </row>
    <row r="283" ht="20.1" customHeight="1">
      <c r="A283" s="142" t="n"/>
      <c r="B283" s="691" t="n"/>
      <c r="C283" s="692" t="n"/>
      <c r="D283" s="693" t="n"/>
      <c r="E283" s="694" t="n"/>
      <c r="F283" s="695" t="n"/>
      <c r="G283" s="696" t="n"/>
      <c r="H283" s="151" t="n"/>
      <c r="I283" s="152" t="n"/>
      <c r="J283" s="692" t="n"/>
    </row>
    <row r="284" ht="20.1" customHeight="1">
      <c r="A284" s="142" t="n"/>
      <c r="B284" s="691" t="n"/>
      <c r="C284" s="692" t="n"/>
      <c r="D284" s="693" t="n"/>
      <c r="E284" s="694" t="n"/>
      <c r="F284" s="695" t="n"/>
      <c r="G284" s="696" t="n"/>
      <c r="H284" s="151" t="n"/>
      <c r="I284" s="152" t="n"/>
      <c r="J284" s="692" t="n"/>
    </row>
    <row r="285" ht="20.1" customHeight="1">
      <c r="A285" s="142" t="n"/>
      <c r="B285" s="691" t="n"/>
      <c r="C285" s="692" t="n"/>
      <c r="D285" s="693" t="n"/>
      <c r="E285" s="694" t="n"/>
      <c r="F285" s="695" t="n"/>
      <c r="G285" s="696" t="n"/>
      <c r="H285" s="151" t="n"/>
      <c r="I285" s="152" t="n"/>
      <c r="J285" s="692" t="n"/>
    </row>
    <row r="286" ht="20.1" customHeight="1">
      <c r="A286" s="142" t="n"/>
      <c r="B286" s="691" t="n"/>
      <c r="C286" s="692" t="n"/>
      <c r="D286" s="693" t="n"/>
      <c r="E286" s="694" t="n"/>
      <c r="F286" s="695" t="n"/>
      <c r="G286" s="696" t="n"/>
      <c r="H286" s="151" t="n"/>
      <c r="I286" s="152" t="n"/>
      <c r="J286" s="692" t="n"/>
    </row>
    <row r="287" ht="20.1" customHeight="1">
      <c r="A287" s="142" t="n"/>
      <c r="B287" s="691" t="n"/>
      <c r="C287" s="692" t="n"/>
      <c r="D287" s="693" t="n"/>
      <c r="E287" s="694" t="n"/>
      <c r="F287" s="695" t="n"/>
      <c r="G287" s="696" t="n"/>
      <c r="H287" s="151" t="n"/>
      <c r="I287" s="152" t="n"/>
      <c r="J287" s="692" t="n"/>
    </row>
    <row r="288" ht="20.1" customHeight="1">
      <c r="A288" s="142" t="n"/>
      <c r="B288" s="691" t="n"/>
      <c r="C288" s="692" t="n"/>
      <c r="D288" s="693" t="n"/>
      <c r="E288" s="694" t="n"/>
      <c r="F288" s="695" t="n"/>
      <c r="G288" s="696" t="n"/>
      <c r="H288" s="151" t="n"/>
      <c r="I288" s="152" t="n"/>
      <c r="J288" s="692" t="n"/>
    </row>
    <row r="289" ht="20.1" customHeight="1">
      <c r="A289" s="142" t="n"/>
      <c r="B289" s="691" t="n"/>
      <c r="C289" s="692" t="n"/>
      <c r="D289" s="693" t="n"/>
      <c r="E289" s="694" t="n"/>
      <c r="F289" s="695" t="n"/>
      <c r="G289" s="696" t="n"/>
      <c r="H289" s="151" t="n"/>
      <c r="I289" s="152" t="n"/>
      <c r="J289" s="692" t="n"/>
    </row>
    <row r="290" ht="20.1" customHeight="1">
      <c r="A290" s="142" t="n"/>
      <c r="B290" s="691" t="n"/>
      <c r="C290" s="692" t="n"/>
      <c r="D290" s="693" t="n"/>
      <c r="E290" s="694" t="n"/>
      <c r="F290" s="695" t="n"/>
      <c r="G290" s="696" t="n"/>
      <c r="H290" s="151" t="n"/>
      <c r="I290" s="152" t="n"/>
      <c r="J290" s="692" t="n"/>
    </row>
    <row r="291" ht="20.1" customHeight="1">
      <c r="A291" s="142" t="n"/>
      <c r="B291" s="691" t="n"/>
      <c r="C291" s="692" t="n"/>
      <c r="D291" s="693" t="n"/>
      <c r="E291" s="694" t="n"/>
      <c r="F291" s="695" t="n"/>
      <c r="G291" s="696" t="n"/>
      <c r="H291" s="151" t="n"/>
      <c r="I291" s="152" t="n"/>
      <c r="J291" s="692" t="n"/>
    </row>
    <row r="292" ht="20.1" customHeight="1">
      <c r="A292" s="142" t="n"/>
      <c r="B292" s="691" t="n"/>
      <c r="C292" s="692" t="n"/>
      <c r="D292" s="693" t="n"/>
      <c r="E292" s="694" t="n"/>
      <c r="F292" s="695" t="n"/>
      <c r="G292" s="696" t="n"/>
      <c r="H292" s="151" t="n"/>
      <c r="I292" s="152" t="n"/>
      <c r="J292" s="692" t="n"/>
    </row>
    <row r="293" ht="20.1" customHeight="1">
      <c r="A293" s="142" t="n"/>
      <c r="B293" s="691" t="n"/>
      <c r="C293" s="692" t="n"/>
      <c r="D293" s="693" t="n"/>
      <c r="E293" s="694" t="n"/>
      <c r="F293" s="695" t="n"/>
      <c r="G293" s="696" t="n"/>
      <c r="H293" s="151" t="n"/>
      <c r="I293" s="152" t="n"/>
      <c r="J293" s="692" t="n"/>
    </row>
    <row r="294" ht="20.1" customHeight="1">
      <c r="A294" s="142" t="n"/>
      <c r="B294" s="691" t="n"/>
      <c r="C294" s="692" t="n"/>
      <c r="D294" s="693" t="n"/>
      <c r="E294" s="694" t="n"/>
      <c r="F294" s="695" t="n"/>
      <c r="G294" s="696" t="n"/>
      <c r="H294" s="151" t="n"/>
      <c r="I294" s="152" t="n"/>
      <c r="J294" s="692" t="n"/>
    </row>
    <row r="295" ht="20.1" customHeight="1">
      <c r="A295" s="142" t="n"/>
      <c r="B295" s="691" t="n"/>
      <c r="C295" s="692" t="n"/>
      <c r="D295" s="693" t="n"/>
      <c r="E295" s="694" t="n"/>
      <c r="F295" s="695" t="n"/>
      <c r="G295" s="696" t="n"/>
      <c r="H295" s="151" t="n"/>
      <c r="I295" s="152" t="n"/>
      <c r="J295" s="692" t="n"/>
    </row>
    <row r="296" ht="20.1" customHeight="1">
      <c r="A296" s="142" t="n"/>
      <c r="B296" s="691" t="n"/>
      <c r="C296" s="692" t="n"/>
      <c r="D296" s="693" t="n"/>
      <c r="E296" s="694" t="n"/>
      <c r="F296" s="695" t="n"/>
      <c r="G296" s="696" t="n"/>
      <c r="H296" s="151" t="n"/>
      <c r="I296" s="152" t="n"/>
      <c r="J296" s="692" t="n"/>
    </row>
    <row r="297" ht="20.1" customHeight="1">
      <c r="A297" s="142" t="n"/>
      <c r="B297" s="691" t="n"/>
      <c r="C297" s="692" t="n"/>
      <c r="D297" s="693" t="n"/>
      <c r="E297" s="694" t="n"/>
      <c r="F297" s="695" t="n"/>
      <c r="G297" s="696" t="n"/>
      <c r="H297" s="151" t="n"/>
      <c r="I297" s="152" t="n"/>
      <c r="J297" s="692" t="n"/>
    </row>
    <row r="298" ht="20.1" customHeight="1">
      <c r="A298" s="142" t="n"/>
      <c r="B298" s="691" t="n"/>
      <c r="C298" s="692" t="n"/>
      <c r="D298" s="693" t="n"/>
      <c r="E298" s="694" t="n"/>
      <c r="F298" s="695" t="n"/>
      <c r="G298" s="696" t="n"/>
      <c r="H298" s="151" t="n"/>
      <c r="I298" s="152" t="n"/>
      <c r="J298" s="692" t="n"/>
    </row>
    <row r="299" ht="20.1" customHeight="1">
      <c r="A299" s="142" t="n"/>
      <c r="B299" s="691" t="n"/>
      <c r="C299" s="692" t="n"/>
      <c r="D299" s="693" t="n"/>
      <c r="E299" s="694" t="n"/>
      <c r="F299" s="695" t="n"/>
      <c r="G299" s="696" t="n"/>
      <c r="H299" s="151" t="n"/>
      <c r="I299" s="152" t="n"/>
      <c r="J299" s="692" t="n"/>
    </row>
    <row r="300" ht="20.1" customHeight="1">
      <c r="A300" s="142" t="n"/>
      <c r="B300" s="691" t="n"/>
      <c r="C300" s="692" t="n"/>
      <c r="D300" s="693" t="n"/>
      <c r="E300" s="694" t="n"/>
      <c r="F300" s="695" t="n"/>
      <c r="G300" s="696" t="n"/>
      <c r="H300" s="151" t="n"/>
      <c r="I300" s="152" t="n"/>
      <c r="J300" s="692" t="n"/>
    </row>
    <row r="301" ht="20.1" customHeight="1">
      <c r="A301" s="142" t="n"/>
      <c r="B301" s="691" t="n"/>
      <c r="C301" s="692" t="n"/>
      <c r="D301" s="693" t="n"/>
      <c r="E301" s="694" t="n"/>
      <c r="F301" s="695" t="n"/>
      <c r="G301" s="696" t="n"/>
      <c r="H301" s="151" t="n"/>
      <c r="I301" s="152" t="n"/>
      <c r="J301" s="692" t="n"/>
    </row>
    <row r="302" ht="20.1" customHeight="1">
      <c r="A302" s="142" t="n"/>
      <c r="B302" s="691" t="n"/>
      <c r="C302" s="692" t="n"/>
      <c r="D302" s="693" t="n"/>
      <c r="E302" s="694" t="n"/>
      <c r="F302" s="695" t="n"/>
      <c r="G302" s="696" t="n"/>
      <c r="H302" s="151" t="n"/>
      <c r="I302" s="152" t="n"/>
      <c r="J302" s="692" t="n"/>
    </row>
    <row r="303" ht="20.1" customHeight="1">
      <c r="A303" s="142" t="n"/>
      <c r="B303" s="691" t="n"/>
      <c r="C303" s="692" t="n"/>
      <c r="D303" s="693" t="n"/>
      <c r="E303" s="694" t="n"/>
      <c r="F303" s="695" t="n"/>
      <c r="G303" s="696" t="n"/>
      <c r="H303" s="151" t="n"/>
      <c r="I303" s="152" t="n"/>
      <c r="J303" s="692" t="n"/>
    </row>
    <row r="304" ht="20.1" customHeight="1">
      <c r="A304" s="142" t="n"/>
      <c r="B304" s="691" t="n"/>
      <c r="C304" s="692" t="n"/>
      <c r="D304" s="693" t="n"/>
      <c r="E304" s="694" t="n"/>
      <c r="F304" s="695" t="n"/>
      <c r="G304" s="696" t="n"/>
      <c r="H304" s="151" t="n"/>
      <c r="I304" s="152" t="n"/>
      <c r="J304" s="692" t="n"/>
    </row>
    <row r="305" ht="20.1" customHeight="1">
      <c r="A305" s="142" t="n"/>
      <c r="B305" s="691" t="n"/>
      <c r="C305" s="692" t="n"/>
      <c r="D305" s="693" t="n"/>
      <c r="E305" s="694" t="n"/>
      <c r="F305" s="695" t="n"/>
      <c r="G305" s="696" t="n"/>
      <c r="H305" s="151" t="n"/>
      <c r="I305" s="152" t="n"/>
      <c r="J305" s="692" t="n"/>
    </row>
    <row r="306" ht="20.1" customHeight="1">
      <c r="A306" s="142" t="n"/>
      <c r="B306" s="691" t="n"/>
      <c r="C306" s="692" t="n"/>
      <c r="D306" s="693" t="n"/>
      <c r="E306" s="694" t="n"/>
      <c r="F306" s="695" t="n"/>
      <c r="G306" s="696" t="n"/>
      <c r="H306" s="151" t="n"/>
      <c r="I306" s="152" t="n"/>
      <c r="J306" s="692" t="n"/>
    </row>
    <row r="307" ht="20.1" customHeight="1">
      <c r="A307" s="142" t="n"/>
      <c r="B307" s="691" t="n"/>
      <c r="C307" s="692" t="n"/>
      <c r="D307" s="693" t="n"/>
      <c r="E307" s="694" t="n"/>
      <c r="F307" s="695" t="n"/>
      <c r="G307" s="696" t="n"/>
      <c r="H307" s="151" t="n"/>
      <c r="I307" s="152" t="n"/>
      <c r="J307" s="692" t="n"/>
    </row>
    <row r="308" ht="20.1" customHeight="1">
      <c r="A308" s="142" t="n"/>
      <c r="B308" s="691" t="n"/>
      <c r="C308" s="692" t="n"/>
      <c r="D308" s="693" t="n"/>
      <c r="E308" s="694" t="n"/>
      <c r="F308" s="695" t="n"/>
      <c r="G308" s="696" t="n"/>
      <c r="H308" s="151" t="n"/>
      <c r="I308" s="152" t="n"/>
      <c r="J308" s="692" t="n"/>
    </row>
    <row r="309" ht="20.1" customHeight="1">
      <c r="A309" s="142" t="n"/>
      <c r="B309" s="691" t="n"/>
      <c r="C309" s="692" t="n"/>
      <c r="D309" s="693" t="n"/>
      <c r="E309" s="694" t="n"/>
      <c r="F309" s="695" t="n"/>
      <c r="G309" s="696" t="n"/>
      <c r="H309" s="151" t="n"/>
      <c r="I309" s="152" t="n"/>
      <c r="J309" s="692" t="n"/>
    </row>
    <row r="310" ht="20.1" customHeight="1">
      <c r="A310" s="142" t="n"/>
      <c r="B310" s="691" t="n"/>
      <c r="C310" s="692" t="n"/>
      <c r="D310" s="693" t="n"/>
      <c r="E310" s="694" t="n"/>
      <c r="F310" s="695" t="n"/>
      <c r="G310" s="696" t="n"/>
      <c r="H310" s="151" t="n"/>
      <c r="I310" s="152" t="n"/>
      <c r="J310" s="692" t="n"/>
    </row>
    <row r="311" ht="20.1" customHeight="1">
      <c r="A311" s="142" t="n"/>
      <c r="B311" s="691" t="n"/>
      <c r="C311" s="692" t="n"/>
      <c r="D311" s="693" t="n"/>
      <c r="E311" s="694" t="n"/>
      <c r="F311" s="695" t="n"/>
      <c r="G311" s="696" t="n"/>
      <c r="H311" s="151" t="n"/>
      <c r="I311" s="152" t="n"/>
      <c r="J311" s="692" t="n"/>
    </row>
    <row r="312" ht="20.1" customHeight="1">
      <c r="A312" s="142" t="n"/>
      <c r="B312" s="691" t="n"/>
      <c r="C312" s="692" t="n"/>
      <c r="D312" s="693" t="n"/>
      <c r="E312" s="694" t="n"/>
      <c r="F312" s="695" t="n"/>
      <c r="G312" s="696" t="n"/>
      <c r="H312" s="151" t="n"/>
      <c r="I312" s="152" t="n"/>
      <c r="J312" s="692" t="n"/>
    </row>
    <row r="313" ht="20.1" customHeight="1">
      <c r="A313" s="142" t="n"/>
      <c r="B313" s="691" t="n"/>
      <c r="C313" s="692" t="n"/>
      <c r="D313" s="693" t="n"/>
      <c r="E313" s="694" t="n"/>
      <c r="F313" s="695" t="n"/>
      <c r="G313" s="696" t="n"/>
      <c r="H313" s="151" t="n"/>
      <c r="I313" s="152" t="n"/>
      <c r="J313" s="692" t="n"/>
    </row>
    <row r="314" ht="20.1" customHeight="1">
      <c r="A314" s="142" t="n"/>
      <c r="B314" s="691" t="n"/>
      <c r="C314" s="692" t="n"/>
      <c r="D314" s="693" t="n"/>
      <c r="E314" s="694" t="n"/>
      <c r="F314" s="695" t="n"/>
      <c r="G314" s="696" t="n"/>
      <c r="H314" s="151" t="n"/>
      <c r="I314" s="152" t="n"/>
      <c r="J314" s="692" t="n"/>
    </row>
    <row r="315" ht="20.1" customHeight="1">
      <c r="A315" s="142" t="n"/>
      <c r="B315" s="691" t="n"/>
      <c r="C315" s="692" t="n"/>
      <c r="D315" s="693" t="n"/>
      <c r="E315" s="694" t="n"/>
      <c r="F315" s="695" t="n"/>
      <c r="G315" s="696" t="n"/>
      <c r="H315" s="151" t="n"/>
      <c r="I315" s="152" t="n"/>
      <c r="J315" s="692" t="n"/>
    </row>
    <row r="316" ht="20.1" customHeight="1">
      <c r="A316" s="142" t="n"/>
      <c r="B316" s="691" t="n"/>
      <c r="C316" s="692" t="n"/>
      <c r="D316" s="693" t="n"/>
      <c r="E316" s="694" t="n"/>
      <c r="F316" s="695" t="n"/>
      <c r="G316" s="696" t="n"/>
      <c r="H316" s="151" t="n"/>
      <c r="I316" s="152" t="n"/>
      <c r="J316" s="692" t="n"/>
    </row>
    <row r="317" ht="20.1" customHeight="1">
      <c r="A317" s="142" t="n"/>
      <c r="B317" s="691" t="n"/>
      <c r="C317" s="692" t="n"/>
      <c r="D317" s="693" t="n"/>
      <c r="E317" s="694" t="n"/>
      <c r="F317" s="695" t="n"/>
      <c r="G317" s="696" t="n"/>
      <c r="H317" s="151" t="n"/>
      <c r="I317" s="152" t="n"/>
      <c r="J317" s="692" t="n"/>
    </row>
    <row r="318" ht="20.1" customHeight="1">
      <c r="A318" s="142" t="n"/>
      <c r="B318" s="691" t="n"/>
      <c r="C318" s="692" t="n"/>
      <c r="D318" s="693" t="n"/>
      <c r="E318" s="694" t="n"/>
      <c r="F318" s="695" t="n"/>
      <c r="G318" s="696" t="n"/>
      <c r="H318" s="151" t="n"/>
      <c r="I318" s="152" t="n"/>
      <c r="J318" s="692" t="n"/>
    </row>
    <row r="319" ht="20.1" customHeight="1">
      <c r="A319" s="142" t="n"/>
      <c r="B319" s="691" t="n"/>
      <c r="C319" s="692" t="n"/>
      <c r="D319" s="693" t="n"/>
      <c r="E319" s="694" t="n"/>
      <c r="F319" s="695" t="n"/>
      <c r="G319" s="696" t="n"/>
      <c r="H319" s="151" t="n"/>
      <c r="I319" s="152" t="n"/>
      <c r="J319" s="692" t="n"/>
    </row>
    <row r="320" ht="20.1" customHeight="1">
      <c r="A320" s="142" t="n"/>
      <c r="B320" s="691" t="n"/>
      <c r="C320" s="692" t="n"/>
      <c r="D320" s="693" t="n"/>
      <c r="E320" s="694" t="n"/>
      <c r="F320" s="695" t="n"/>
      <c r="G320" s="696" t="n"/>
      <c r="H320" s="151" t="n"/>
      <c r="I320" s="152" t="n"/>
      <c r="J320" s="692" t="n"/>
    </row>
    <row r="321" ht="20.1" customHeight="1">
      <c r="A321" s="142" t="n"/>
      <c r="B321" s="691" t="n"/>
      <c r="C321" s="692" t="n"/>
      <c r="D321" s="693" t="n"/>
      <c r="E321" s="694" t="n"/>
      <c r="F321" s="695" t="n"/>
      <c r="G321" s="696" t="n"/>
      <c r="H321" s="151" t="n"/>
      <c r="I321" s="152" t="n"/>
      <c r="J321" s="692" t="n"/>
    </row>
    <row r="322" ht="20.1" customHeight="1">
      <c r="A322" s="142" t="n"/>
      <c r="B322" s="691" t="n"/>
      <c r="C322" s="692" t="n"/>
      <c r="D322" s="693" t="n"/>
      <c r="E322" s="694" t="n"/>
      <c r="F322" s="695" t="n"/>
      <c r="G322" s="696" t="n"/>
      <c r="H322" s="151" t="n"/>
      <c r="I322" s="152" t="n"/>
      <c r="J322" s="692" t="n"/>
    </row>
    <row r="323" ht="20.1" customHeight="1">
      <c r="A323" s="142" t="n"/>
      <c r="B323" s="691" t="n"/>
      <c r="C323" s="692" t="n"/>
      <c r="D323" s="693" t="n"/>
      <c r="E323" s="694" t="n"/>
      <c r="F323" s="695" t="n"/>
      <c r="G323" s="696" t="n"/>
      <c r="H323" s="151" t="n"/>
      <c r="I323" s="152" t="n"/>
      <c r="J323" s="692" t="n"/>
    </row>
    <row r="324" ht="20.1" customHeight="1">
      <c r="A324" s="142" t="n"/>
      <c r="B324" s="691" t="n"/>
      <c r="C324" s="692" t="n"/>
      <c r="D324" s="693" t="n"/>
      <c r="E324" s="694" t="n"/>
      <c r="F324" s="695" t="n"/>
      <c r="G324" s="696" t="n"/>
      <c r="H324" s="151" t="n"/>
      <c r="I324" s="152" t="n"/>
      <c r="J324" s="692" t="n"/>
    </row>
    <row r="325" ht="20.1" customHeight="1">
      <c r="A325" s="142" t="n"/>
      <c r="B325" s="691" t="n"/>
      <c r="C325" s="692" t="n"/>
      <c r="D325" s="693" t="n"/>
      <c r="E325" s="694" t="n"/>
      <c r="F325" s="695" t="n"/>
      <c r="G325" s="696" t="n"/>
      <c r="H325" s="151" t="n"/>
      <c r="I325" s="152" t="n"/>
      <c r="J325" s="692" t="n"/>
    </row>
    <row r="326" ht="20.1" customHeight="1">
      <c r="A326" s="142" t="n"/>
      <c r="B326" s="691" t="n"/>
      <c r="C326" s="692" t="n"/>
      <c r="D326" s="693" t="n"/>
      <c r="E326" s="694" t="n"/>
      <c r="F326" s="695" t="n"/>
      <c r="G326" s="696" t="n"/>
      <c r="H326" s="151" t="n"/>
      <c r="I326" s="152" t="n"/>
      <c r="J326" s="692" t="n"/>
    </row>
    <row r="327" ht="20.1" customHeight="1">
      <c r="A327" s="142" t="n"/>
      <c r="B327" s="691" t="n"/>
      <c r="C327" s="692" t="n"/>
      <c r="D327" s="693" t="n"/>
      <c r="E327" s="694" t="n"/>
      <c r="F327" s="695" t="n"/>
      <c r="G327" s="696" t="n"/>
      <c r="H327" s="151" t="n"/>
      <c r="I327" s="152" t="n"/>
      <c r="J327" s="692" t="n"/>
    </row>
    <row r="328" ht="20.1" customHeight="1">
      <c r="A328" s="142" t="n"/>
      <c r="B328" s="691" t="n"/>
      <c r="C328" s="692" t="n"/>
      <c r="D328" s="693" t="n"/>
      <c r="E328" s="694" t="n"/>
      <c r="F328" s="695" t="n"/>
      <c r="G328" s="696" t="n"/>
      <c r="H328" s="151" t="n"/>
      <c r="I328" s="152" t="n"/>
      <c r="J328" s="692" t="n"/>
    </row>
    <row r="329" ht="20.1" customHeight="1">
      <c r="A329" s="142" t="n"/>
      <c r="B329" s="691" t="n"/>
      <c r="C329" s="692" t="n"/>
      <c r="D329" s="693" t="n"/>
      <c r="E329" s="694" t="n"/>
      <c r="F329" s="695" t="n"/>
      <c r="G329" s="696" t="n"/>
      <c r="H329" s="151" t="n"/>
      <c r="I329" s="152" t="n"/>
      <c r="J329" s="692" t="n"/>
    </row>
    <row r="330" ht="20.1" customHeight="1">
      <c r="A330" s="142" t="n"/>
      <c r="B330" s="691" t="n"/>
      <c r="C330" s="692" t="n"/>
      <c r="D330" s="693" t="n"/>
      <c r="E330" s="694" t="n"/>
      <c r="F330" s="695" t="n"/>
      <c r="G330" s="696" t="n"/>
      <c r="H330" s="151" t="n"/>
      <c r="I330" s="152" t="n"/>
      <c r="J330" s="692" t="n"/>
    </row>
    <row r="331" ht="20.1" customHeight="1">
      <c r="A331" s="142" t="n"/>
      <c r="B331" s="691" t="n"/>
      <c r="C331" s="692" t="n"/>
      <c r="D331" s="693" t="n"/>
      <c r="E331" s="694" t="n"/>
      <c r="F331" s="695" t="n"/>
      <c r="G331" s="696" t="n"/>
      <c r="H331" s="151" t="n"/>
      <c r="I331" s="152" t="n"/>
      <c r="J331" s="692" t="n"/>
    </row>
    <row r="332" ht="20.1" customHeight="1">
      <c r="A332" s="142" t="n"/>
      <c r="B332" s="691" t="n"/>
      <c r="C332" s="692" t="n"/>
      <c r="D332" s="693" t="n"/>
      <c r="E332" s="694" t="n"/>
      <c r="F332" s="695" t="n"/>
      <c r="G332" s="696" t="n"/>
      <c r="H332" s="151" t="n"/>
      <c r="I332" s="152" t="n"/>
      <c r="J332" s="692" t="n"/>
    </row>
    <row r="333" ht="20.1" customHeight="1">
      <c r="A333" s="142" t="n"/>
      <c r="B333" s="691" t="n"/>
      <c r="C333" s="692" t="n"/>
      <c r="D333" s="693" t="n"/>
      <c r="E333" s="694" t="n"/>
      <c r="F333" s="695" t="n"/>
      <c r="G333" s="696" t="n"/>
      <c r="H333" s="151" t="n"/>
      <c r="I333" s="152" t="n"/>
      <c r="J333" s="692" t="n"/>
    </row>
    <row r="334" ht="20.1" customHeight="1">
      <c r="A334" s="142" t="n"/>
      <c r="B334" s="691" t="n"/>
      <c r="C334" s="692" t="n"/>
      <c r="D334" s="693" t="n"/>
      <c r="E334" s="694" t="n"/>
      <c r="F334" s="695" t="n"/>
      <c r="G334" s="696" t="n"/>
      <c r="H334" s="151" t="n"/>
      <c r="I334" s="152" t="n"/>
      <c r="J334" s="692" t="n"/>
    </row>
    <row r="335" ht="20.1" customHeight="1">
      <c r="A335" s="142" t="n"/>
      <c r="B335" s="691" t="n"/>
      <c r="C335" s="692" t="n"/>
      <c r="D335" s="693" t="n"/>
      <c r="E335" s="694" t="n"/>
      <c r="F335" s="695" t="n"/>
      <c r="G335" s="696" t="n"/>
      <c r="H335" s="151" t="n"/>
      <c r="I335" s="152" t="n"/>
      <c r="J335" s="692" t="n"/>
    </row>
    <row r="336" ht="20.1" customHeight="1">
      <c r="A336" s="142" t="n"/>
      <c r="B336" s="691" t="n"/>
      <c r="C336" s="692" t="n"/>
      <c r="D336" s="693" t="n"/>
      <c r="E336" s="694" t="n"/>
      <c r="F336" s="695" t="n"/>
      <c r="G336" s="696" t="n"/>
      <c r="H336" s="151" t="n"/>
      <c r="I336" s="152" t="n"/>
      <c r="J336" s="692" t="n"/>
    </row>
    <row r="337">
      <c r="A337" s="142" t="n"/>
      <c r="B337" s="691" t="n"/>
      <c r="C337" s="692" t="n"/>
      <c r="D337" s="693" t="n"/>
      <c r="E337" s="694" t="n"/>
      <c r="F337" s="695" t="n"/>
      <c r="G337" s="696" t="n"/>
      <c r="H337" s="151" t="n"/>
      <c r="I337" s="152" t="n"/>
      <c r="J337" s="692" t="n"/>
    </row>
    <row r="338" ht="20.1" customHeight="1">
      <c r="A338" s="142" t="n"/>
      <c r="B338" s="691" t="n"/>
      <c r="C338" s="692" t="n"/>
      <c r="D338" s="693" t="n"/>
      <c r="E338" s="694" t="n"/>
      <c r="F338" s="695" t="n"/>
      <c r="G338" s="696" t="n"/>
      <c r="H338" s="151" t="n"/>
      <c r="I338" s="152" t="n"/>
      <c r="J338" s="692" t="n"/>
    </row>
    <row r="339" ht="20.1" customHeight="1">
      <c r="A339" s="142" t="n"/>
      <c r="B339" s="691" t="n"/>
      <c r="C339" s="692" t="n"/>
      <c r="D339" s="693" t="n"/>
      <c r="E339" s="694" t="n"/>
      <c r="F339" s="695" t="n"/>
      <c r="G339" s="696" t="n"/>
      <c r="H339" s="151" t="n"/>
      <c r="I339" s="152" t="n"/>
      <c r="J339" s="692" t="n"/>
    </row>
    <row r="340" ht="20.1" customHeight="1">
      <c r="A340" s="142" t="n"/>
      <c r="B340" s="691" t="n"/>
      <c r="C340" s="692" t="n"/>
      <c r="D340" s="693" t="n"/>
      <c r="E340" s="694" t="n"/>
      <c r="F340" s="695" t="n"/>
      <c r="G340" s="696" t="n"/>
      <c r="H340" s="151" t="n"/>
      <c r="I340" s="152" t="n"/>
      <c r="J340" s="692" t="n"/>
    </row>
    <row r="341" ht="20.1" customHeight="1">
      <c r="A341" s="142" t="n"/>
      <c r="B341" s="691" t="n"/>
      <c r="C341" s="692" t="n"/>
      <c r="D341" s="693" t="n"/>
      <c r="E341" s="694" t="n"/>
      <c r="F341" s="695" t="n"/>
      <c r="G341" s="696" t="n"/>
      <c r="H341" s="151" t="n"/>
      <c r="I341" s="152" t="n"/>
      <c r="J341" s="692" t="n"/>
    </row>
    <row r="342" ht="20.1" customHeight="1">
      <c r="A342" s="142" t="n"/>
      <c r="B342" s="691" t="n"/>
      <c r="C342" s="692" t="n"/>
      <c r="D342" s="693" t="n"/>
      <c r="E342" s="694" t="n"/>
      <c r="F342" s="695" t="n"/>
      <c r="G342" s="696" t="n"/>
      <c r="H342" s="151" t="n"/>
      <c r="I342" s="152" t="n"/>
      <c r="J342" s="692" t="n"/>
    </row>
    <row r="343" ht="20.1" customHeight="1">
      <c r="A343" s="142" t="n"/>
      <c r="B343" s="691" t="n"/>
      <c r="C343" s="692" t="n"/>
      <c r="D343" s="693" t="n"/>
      <c r="E343" s="694" t="n"/>
      <c r="F343" s="695" t="n"/>
      <c r="G343" s="696" t="n"/>
      <c r="H343" s="151" t="n"/>
      <c r="I343" s="152" t="n"/>
      <c r="J343" s="692" t="n"/>
    </row>
    <row r="344" ht="20.1" customHeight="1">
      <c r="A344" s="142" t="n"/>
      <c r="B344" s="691" t="n"/>
      <c r="C344" s="692" t="n"/>
      <c r="D344" s="693" t="n"/>
      <c r="E344" s="694" t="n"/>
      <c r="F344" s="695" t="n"/>
      <c r="G344" s="696" t="n"/>
      <c r="H344" s="151" t="n"/>
      <c r="I344" s="152" t="n"/>
      <c r="J344" s="692" t="n"/>
    </row>
    <row r="345" ht="20.1" customHeight="1">
      <c r="A345" s="142" t="n"/>
      <c r="B345" s="691" t="n"/>
      <c r="C345" s="692" t="n"/>
      <c r="D345" s="693" t="n"/>
      <c r="E345" s="694" t="n"/>
      <c r="F345" s="695" t="n"/>
      <c r="G345" s="696" t="n"/>
      <c r="H345" s="151" t="n"/>
      <c r="I345" s="152" t="n"/>
      <c r="J345" s="692" t="n"/>
    </row>
    <row r="346" ht="20.1" customHeight="1">
      <c r="A346" s="142" t="n"/>
      <c r="B346" s="691" t="n"/>
      <c r="C346" s="692" t="n"/>
      <c r="D346" s="693" t="n"/>
      <c r="E346" s="694" t="n"/>
      <c r="F346" s="695" t="n"/>
      <c r="G346" s="696" t="n"/>
      <c r="H346" s="151" t="n"/>
      <c r="I346" s="152" t="n"/>
      <c r="J346" s="692" t="n"/>
    </row>
    <row r="347" ht="20.1" customHeight="1">
      <c r="A347" s="142" t="n"/>
      <c r="B347" s="691" t="n"/>
      <c r="C347" s="692" t="n"/>
      <c r="D347" s="693" t="n"/>
      <c r="E347" s="694" t="n"/>
      <c r="F347" s="695" t="n"/>
      <c r="G347" s="696" t="n"/>
      <c r="H347" s="151" t="n"/>
      <c r="I347" s="152" t="n"/>
      <c r="J347" s="692" t="n"/>
    </row>
    <row r="348" ht="20.1" customHeight="1">
      <c r="A348" s="142" t="n"/>
      <c r="B348" s="691" t="n"/>
      <c r="C348" s="692" t="n"/>
      <c r="D348" s="693" t="n"/>
      <c r="E348" s="694" t="n"/>
      <c r="F348" s="695" t="n"/>
      <c r="G348" s="696" t="n"/>
      <c r="H348" s="151" t="n"/>
      <c r="I348" s="152" t="n"/>
      <c r="J348" s="692" t="n"/>
    </row>
    <row r="349" ht="20.1" customHeight="1">
      <c r="A349" s="142" t="n"/>
      <c r="B349" s="691" t="n"/>
      <c r="C349" s="692" t="n"/>
      <c r="D349" s="693" t="n"/>
      <c r="E349" s="694" t="n"/>
      <c r="F349" s="695" t="n"/>
      <c r="G349" s="696" t="n"/>
      <c r="H349" s="151" t="n"/>
      <c r="I349" s="152" t="n"/>
      <c r="J349" s="692" t="n"/>
    </row>
    <row r="350" ht="20.1" customHeight="1">
      <c r="A350" s="142" t="n"/>
      <c r="B350" s="691" t="n"/>
      <c r="C350" s="692" t="n"/>
      <c r="D350" s="693" t="n"/>
      <c r="E350" s="694" t="n"/>
      <c r="F350" s="695" t="n"/>
      <c r="G350" s="696" t="n"/>
      <c r="H350" s="151" t="n"/>
      <c r="I350" s="152" t="n"/>
      <c r="J350" s="692" t="n"/>
    </row>
    <row r="351" ht="20.1" customHeight="1">
      <c r="A351" s="142" t="n"/>
      <c r="B351" s="691" t="n"/>
      <c r="C351" s="692" t="n"/>
      <c r="D351" s="693" t="n"/>
      <c r="E351" s="694" t="n"/>
      <c r="F351" s="695" t="n"/>
      <c r="G351" s="696" t="n"/>
      <c r="H351" s="151" t="n"/>
      <c r="I351" s="152" t="n"/>
      <c r="J351" s="692" t="n"/>
    </row>
    <row r="352">
      <c r="A352" s="142" t="n"/>
      <c r="B352" s="691" t="n"/>
      <c r="C352" s="692" t="n"/>
      <c r="D352" s="693" t="n"/>
      <c r="E352" s="694" t="n"/>
      <c r="F352" s="695" t="n"/>
      <c r="G352" s="696" t="n"/>
      <c r="H352" s="151" t="n"/>
      <c r="I352" s="152" t="n"/>
      <c r="J352" s="692" t="n"/>
    </row>
    <row r="353" ht="20.1" customHeight="1">
      <c r="A353" s="142" t="n"/>
      <c r="B353" s="691" t="n"/>
      <c r="C353" s="692" t="n"/>
      <c r="D353" s="693" t="n"/>
      <c r="E353" s="694" t="n"/>
      <c r="F353" s="695" t="n"/>
      <c r="G353" s="696" t="n"/>
      <c r="H353" s="151" t="n"/>
      <c r="I353" s="152" t="n"/>
      <c r="J353" s="692" t="n"/>
    </row>
    <row r="354" ht="20.1" customHeight="1">
      <c r="A354" s="142" t="n"/>
      <c r="B354" s="691" t="n"/>
      <c r="C354" s="692" t="n"/>
      <c r="D354" s="693" t="n"/>
      <c r="E354" s="694" t="n"/>
      <c r="F354" s="695" t="n"/>
      <c r="G354" s="696" t="n"/>
      <c r="H354" s="151" t="n"/>
      <c r="I354" s="152" t="n"/>
      <c r="J354" s="692" t="n"/>
    </row>
    <row r="355" ht="20.1" customHeight="1">
      <c r="A355" s="142" t="n"/>
      <c r="B355" s="691" t="n"/>
      <c r="C355" s="692" t="n"/>
      <c r="D355" s="693" t="n"/>
      <c r="E355" s="694" t="n"/>
      <c r="F355" s="695" t="n"/>
      <c r="G355" s="696" t="n"/>
      <c r="H355" s="151" t="n"/>
      <c r="I355" s="152" t="n"/>
      <c r="J355" s="692" t="n"/>
    </row>
    <row r="356" ht="20.1" customHeight="1">
      <c r="A356" s="142" t="n"/>
      <c r="B356" s="691" t="n"/>
      <c r="C356" s="692" t="n"/>
      <c r="D356" s="693" t="n"/>
      <c r="E356" s="694" t="n"/>
      <c r="F356" s="695" t="n"/>
      <c r="G356" s="696" t="n"/>
      <c r="H356" s="151" t="n"/>
      <c r="I356" s="152" t="n"/>
      <c r="J356" s="692" t="n"/>
    </row>
    <row r="357" ht="20.1" customHeight="1">
      <c r="A357" s="142" t="n"/>
      <c r="B357" s="691" t="n"/>
      <c r="C357" s="692" t="n"/>
      <c r="D357" s="693" t="n"/>
      <c r="E357" s="694" t="n"/>
      <c r="F357" s="695" t="n"/>
      <c r="G357" s="696" t="n"/>
      <c r="H357" s="151" t="n"/>
      <c r="I357" s="152" t="n"/>
      <c r="J357" s="692" t="n"/>
    </row>
    <row r="358">
      <c r="A358" s="142" t="n"/>
      <c r="B358" s="691" t="n"/>
      <c r="C358" s="692" t="n"/>
      <c r="D358" s="693" t="n"/>
      <c r="E358" s="694" t="n"/>
      <c r="F358" s="695" t="n"/>
      <c r="G358" s="696" t="n"/>
      <c r="H358" s="151" t="n"/>
      <c r="I358" s="152" t="n"/>
      <c r="J358" s="692" t="n"/>
    </row>
    <row r="359">
      <c r="A359" s="142" t="n"/>
      <c r="B359" s="691" t="n"/>
      <c r="C359" s="692" t="n"/>
      <c r="D359" s="693" t="n"/>
      <c r="E359" s="694" t="n"/>
      <c r="F359" s="695" t="n"/>
      <c r="G359" s="696" t="n"/>
      <c r="H359" s="151" t="n"/>
      <c r="I359" s="152" t="n"/>
      <c r="J359" s="692" t="n"/>
    </row>
    <row r="360" ht="20.1" customHeight="1">
      <c r="A360" s="142" t="n"/>
      <c r="B360" s="691" t="n"/>
      <c r="C360" s="692" t="n"/>
      <c r="D360" s="693" t="n"/>
      <c r="E360" s="694" t="n"/>
      <c r="F360" s="695" t="n"/>
      <c r="G360" s="696" t="n"/>
      <c r="H360" s="151" t="n"/>
      <c r="I360" s="152" t="n"/>
      <c r="J360" s="692" t="n"/>
    </row>
    <row r="361" ht="20.1" customHeight="1">
      <c r="A361" s="142" t="n"/>
      <c r="B361" s="691" t="n"/>
      <c r="C361" s="692" t="n"/>
      <c r="D361" s="693" t="n"/>
      <c r="E361" s="694" t="n"/>
      <c r="F361" s="695" t="n"/>
      <c r="G361" s="696" t="n"/>
      <c r="H361" s="151" t="n"/>
      <c r="I361" s="152" t="n"/>
      <c r="J361" s="692" t="n"/>
    </row>
    <row r="362" ht="20.1" customHeight="1">
      <c r="A362" s="142" t="n"/>
      <c r="B362" s="691" t="n"/>
      <c r="C362" s="692" t="n"/>
      <c r="D362" s="693" t="n"/>
      <c r="E362" s="694" t="n"/>
      <c r="F362" s="695" t="n"/>
      <c r="G362" s="696" t="n"/>
      <c r="H362" s="151" t="n"/>
      <c r="I362" s="152" t="n"/>
      <c r="J362" s="692" t="n"/>
    </row>
    <row r="363" ht="20.1" customHeight="1">
      <c r="A363" s="142" t="n"/>
      <c r="B363" s="691" t="n"/>
      <c r="C363" s="692" t="n"/>
      <c r="D363" s="693" t="n"/>
      <c r="E363" s="694" t="n"/>
      <c r="F363" s="695" t="n"/>
      <c r="G363" s="696" t="n"/>
      <c r="H363" s="151" t="n"/>
      <c r="I363" s="152" t="n"/>
      <c r="J363" s="692" t="n"/>
    </row>
    <row r="364" ht="20.1" customHeight="1">
      <c r="A364" s="142" t="n"/>
      <c r="B364" s="691" t="n"/>
      <c r="C364" s="692" t="n"/>
      <c r="D364" s="693" t="n"/>
      <c r="E364" s="694" t="n"/>
      <c r="F364" s="695" t="n"/>
      <c r="G364" s="696" t="n"/>
      <c r="H364" s="151" t="n"/>
      <c r="I364" s="152" t="n"/>
      <c r="J364" s="692" t="n"/>
    </row>
    <row r="365" ht="20.1" customHeight="1">
      <c r="A365" s="142" t="n"/>
      <c r="B365" s="691" t="n"/>
      <c r="C365" s="692" t="n"/>
      <c r="D365" s="693" t="n"/>
      <c r="E365" s="694" t="n"/>
      <c r="F365" s="695" t="n"/>
      <c r="G365" s="696" t="n"/>
      <c r="H365" s="151" t="n"/>
      <c r="I365" s="152" t="n"/>
      <c r="J365" s="692" t="n"/>
    </row>
    <row r="366" ht="20.1" customHeight="1">
      <c r="A366" s="142" t="n"/>
      <c r="B366" s="691" t="n"/>
      <c r="C366" s="692" t="n"/>
      <c r="D366" s="693" t="n"/>
      <c r="E366" s="694" t="n"/>
      <c r="F366" s="695" t="n"/>
      <c r="G366" s="696" t="n"/>
      <c r="H366" s="151" t="n"/>
      <c r="I366" s="152" t="n"/>
      <c r="J366" s="692" t="n"/>
    </row>
    <row r="367" ht="20.1" customHeight="1">
      <c r="A367" s="142" t="n"/>
      <c r="B367" s="691" t="n"/>
      <c r="C367" s="692" t="n"/>
      <c r="D367" s="693" t="n"/>
      <c r="E367" s="694" t="n"/>
      <c r="F367" s="695" t="n"/>
      <c r="G367" s="696" t="n"/>
      <c r="H367" s="151" t="n"/>
      <c r="I367" s="152" t="n"/>
      <c r="J367" s="692" t="n"/>
    </row>
    <row r="368" ht="20.1" customHeight="1">
      <c r="A368" s="142" t="n"/>
      <c r="B368" s="691" t="n"/>
      <c r="C368" s="692" t="n"/>
      <c r="D368" s="693" t="n"/>
      <c r="E368" s="694" t="n"/>
      <c r="F368" s="695" t="n"/>
      <c r="G368" s="696" t="n"/>
      <c r="H368" s="151" t="n"/>
      <c r="I368" s="152" t="n"/>
      <c r="J368" s="692" t="n"/>
    </row>
    <row r="369" ht="20.1" customHeight="1">
      <c r="A369" s="142" t="n"/>
      <c r="B369" s="691" t="n"/>
      <c r="C369" s="692" t="n"/>
      <c r="D369" s="693" t="n"/>
      <c r="E369" s="694" t="n"/>
      <c r="F369" s="695" t="n"/>
      <c r="G369" s="696" t="n"/>
      <c r="H369" s="151" t="n"/>
      <c r="I369" s="152" t="n"/>
      <c r="J369" s="692" t="n"/>
    </row>
    <row r="370" ht="20.1" customHeight="1">
      <c r="A370" s="142" t="n"/>
      <c r="B370" s="691" t="n"/>
      <c r="C370" s="692" t="n"/>
      <c r="D370" s="693" t="n"/>
      <c r="E370" s="694" t="n"/>
      <c r="F370" s="695" t="n"/>
      <c r="G370" s="696" t="n"/>
      <c r="H370" s="151" t="n"/>
      <c r="I370" s="152" t="n"/>
      <c r="J370" s="692" t="n"/>
    </row>
    <row r="371" ht="20.1" customHeight="1">
      <c r="A371" s="142" t="n"/>
      <c r="B371" s="691" t="n"/>
      <c r="C371" s="692" t="n"/>
      <c r="D371" s="693" t="n"/>
      <c r="E371" s="694" t="n"/>
      <c r="F371" s="695" t="n"/>
      <c r="G371" s="696" t="n"/>
      <c r="H371" s="151" t="n"/>
      <c r="I371" s="152" t="n"/>
      <c r="J371" s="692" t="n"/>
    </row>
    <row r="372" ht="20.1" customHeight="1">
      <c r="A372" s="142" t="n"/>
      <c r="B372" s="691" t="n"/>
      <c r="C372" s="692" t="n"/>
      <c r="D372" s="693" t="n"/>
      <c r="E372" s="694" t="n"/>
      <c r="F372" s="695" t="n"/>
      <c r="G372" s="696" t="n"/>
      <c r="H372" s="151" t="n"/>
      <c r="I372" s="152" t="n"/>
      <c r="J372" s="692" t="n"/>
    </row>
    <row r="373" ht="20.1" customHeight="1">
      <c r="A373" s="142" t="n"/>
      <c r="B373" s="691" t="n"/>
      <c r="C373" s="692" t="n"/>
      <c r="D373" s="693" t="n"/>
      <c r="E373" s="694" t="n"/>
      <c r="F373" s="695" t="n"/>
      <c r="G373" s="696" t="n"/>
      <c r="H373" s="151" t="n"/>
      <c r="I373" s="152" t="n"/>
      <c r="J373" s="692" t="n"/>
    </row>
    <row r="374" ht="20.1" customHeight="1">
      <c r="A374" s="142" t="n"/>
      <c r="B374" s="691" t="n"/>
      <c r="C374" s="692" t="n"/>
      <c r="D374" s="693" t="n"/>
      <c r="E374" s="694" t="n"/>
      <c r="F374" s="695" t="n"/>
      <c r="G374" s="696" t="n"/>
      <c r="H374" s="151" t="n"/>
      <c r="I374" s="152" t="n"/>
      <c r="J374" s="692" t="n"/>
    </row>
    <row r="375" ht="20.1" customHeight="1">
      <c r="A375" s="142" t="n"/>
      <c r="B375" s="691" t="n"/>
      <c r="C375" s="692" t="n"/>
      <c r="D375" s="693" t="n"/>
      <c r="E375" s="694" t="n"/>
      <c r="F375" s="695" t="n"/>
      <c r="G375" s="696" t="n"/>
      <c r="H375" s="151" t="n"/>
      <c r="I375" s="152" t="n"/>
      <c r="J375" s="692" t="n"/>
    </row>
    <row r="376" ht="20.1" customHeight="1">
      <c r="A376" s="142" t="n"/>
      <c r="B376" s="691" t="n"/>
      <c r="C376" s="692" t="n"/>
      <c r="D376" s="693" t="n"/>
      <c r="E376" s="694" t="n"/>
      <c r="F376" s="695" t="n"/>
      <c r="G376" s="696" t="n"/>
      <c r="H376" s="151" t="n"/>
      <c r="I376" s="152" t="n"/>
      <c r="J376" s="692" t="n"/>
    </row>
    <row r="377" ht="20.1" customHeight="1">
      <c r="A377" s="142" t="n"/>
      <c r="B377" s="691" t="n"/>
      <c r="C377" s="692" t="n"/>
      <c r="D377" s="693" t="n"/>
      <c r="E377" s="694" t="n"/>
      <c r="F377" s="695" t="n"/>
      <c r="G377" s="696" t="n"/>
      <c r="H377" s="151" t="n"/>
      <c r="I377" s="152" t="n"/>
      <c r="J377" s="692" t="n"/>
    </row>
    <row r="378" ht="20.1" customHeight="1">
      <c r="A378" s="142" t="n"/>
      <c r="B378" s="691" t="n"/>
      <c r="C378" s="692" t="n"/>
      <c r="D378" s="693" t="n"/>
      <c r="E378" s="694" t="n"/>
      <c r="F378" s="695" t="n"/>
      <c r="G378" s="696" t="n"/>
      <c r="H378" s="151" t="n"/>
      <c r="I378" s="152" t="n"/>
      <c r="J378" s="692" t="n"/>
    </row>
    <row r="379" ht="20.1" customHeight="1">
      <c r="A379" s="142" t="n"/>
      <c r="B379" s="691" t="n"/>
      <c r="C379" s="692" t="n"/>
      <c r="D379" s="693" t="n"/>
      <c r="E379" s="694" t="n"/>
      <c r="F379" s="695" t="n"/>
      <c r="G379" s="696" t="n"/>
      <c r="H379" s="151" t="n"/>
      <c r="I379" s="152" t="n"/>
      <c r="J379" s="692" t="n"/>
    </row>
    <row r="380" ht="20.1" customHeight="1">
      <c r="A380" s="142" t="n"/>
      <c r="B380" s="691" t="n"/>
      <c r="C380" s="692" t="n"/>
      <c r="D380" s="693" t="n"/>
      <c r="E380" s="694" t="n"/>
      <c r="F380" s="695" t="n"/>
      <c r="G380" s="696" t="n"/>
      <c r="H380" s="151" t="n"/>
      <c r="I380" s="152" t="n"/>
      <c r="J380" s="692" t="n"/>
    </row>
    <row r="381" ht="20.1" customHeight="1">
      <c r="A381" s="142" t="n"/>
      <c r="B381" s="691" t="n"/>
      <c r="C381" s="692" t="n"/>
      <c r="D381" s="693" t="n"/>
      <c r="E381" s="694" t="n"/>
      <c r="F381" s="695" t="n"/>
      <c r="G381" s="696" t="n"/>
      <c r="H381" s="151" t="n"/>
      <c r="I381" s="152" t="n"/>
      <c r="J381" s="692" t="n"/>
    </row>
    <row r="382" ht="20.1" customHeight="1">
      <c r="A382" s="142" t="n"/>
      <c r="B382" s="691" t="n"/>
      <c r="C382" s="692" t="n"/>
      <c r="D382" s="693" t="n"/>
      <c r="E382" s="694" t="n"/>
      <c r="F382" s="695" t="n"/>
      <c r="G382" s="696" t="n"/>
      <c r="H382" s="151" t="n"/>
      <c r="I382" s="152" t="n"/>
      <c r="J382" s="692" t="n"/>
    </row>
    <row r="383" ht="20.1" customHeight="1">
      <c r="A383" s="142" t="n"/>
      <c r="B383" s="691" t="n"/>
      <c r="C383" s="692" t="n"/>
      <c r="D383" s="693" t="n"/>
      <c r="E383" s="694" t="n"/>
      <c r="F383" s="695" t="n"/>
      <c r="G383" s="696" t="n"/>
      <c r="H383" s="151" t="n"/>
      <c r="I383" s="152" t="n"/>
      <c r="J383" s="692" t="n"/>
    </row>
    <row r="384" ht="20.1" customHeight="1">
      <c r="A384" s="142" t="n"/>
      <c r="B384" s="691" t="n"/>
      <c r="C384" s="692" t="n"/>
      <c r="D384" s="693" t="n"/>
      <c r="E384" s="694" t="n"/>
      <c r="F384" s="695" t="n"/>
      <c r="G384" s="696" t="n"/>
      <c r="H384" s="151" t="n"/>
      <c r="I384" s="152" t="n"/>
      <c r="J384" s="692" t="n"/>
    </row>
    <row r="385" ht="20.1" customHeight="1">
      <c r="A385" s="142" t="n"/>
      <c r="B385" s="691" t="n"/>
      <c r="C385" s="692" t="n"/>
      <c r="D385" s="693" t="n"/>
      <c r="E385" s="694" t="n"/>
      <c r="F385" s="695" t="n"/>
      <c r="G385" s="696" t="n"/>
      <c r="H385" s="151" t="n"/>
      <c r="I385" s="152" t="n"/>
      <c r="J385" s="692" t="n"/>
    </row>
    <row r="386" ht="20.1" customHeight="1">
      <c r="A386" s="142" t="n"/>
      <c r="B386" s="691" t="n"/>
      <c r="C386" s="692" t="n"/>
      <c r="D386" s="693" t="n"/>
      <c r="E386" s="694" t="n"/>
      <c r="F386" s="695" t="n"/>
      <c r="G386" s="696" t="n"/>
      <c r="H386" s="151" t="n"/>
      <c r="I386" s="152" t="n"/>
      <c r="J386" s="692" t="n"/>
    </row>
    <row r="387" ht="20.1" customHeight="1">
      <c r="A387" s="142" t="n"/>
      <c r="B387" s="691" t="n"/>
      <c r="C387" s="692" t="n"/>
      <c r="D387" s="693" t="n"/>
      <c r="E387" s="694" t="n"/>
      <c r="F387" s="695" t="n"/>
      <c r="G387" s="696" t="n"/>
      <c r="H387" s="151" t="n"/>
      <c r="I387" s="152" t="n"/>
      <c r="J387" s="692" t="n"/>
    </row>
    <row r="388" ht="20.1" customHeight="1">
      <c r="A388" s="142" t="n"/>
      <c r="B388" s="691" t="n"/>
      <c r="C388" s="692" t="n"/>
      <c r="D388" s="693" t="n"/>
      <c r="E388" s="694" t="n"/>
      <c r="F388" s="695" t="n"/>
      <c r="G388" s="696" t="n"/>
      <c r="H388" s="151" t="n"/>
      <c r="I388" s="152" t="n"/>
      <c r="J388" s="692" t="n"/>
    </row>
    <row r="389" ht="20.1" customHeight="1">
      <c r="A389" s="142" t="n"/>
      <c r="B389" s="691" t="n"/>
      <c r="C389" s="692" t="n"/>
      <c r="D389" s="693" t="n"/>
      <c r="E389" s="694" t="n"/>
      <c r="F389" s="695" t="n"/>
      <c r="G389" s="696" t="n"/>
      <c r="H389" s="151" t="n"/>
      <c r="I389" s="152" t="n"/>
      <c r="J389" s="692" t="n"/>
    </row>
    <row r="390" ht="20.1" customHeight="1">
      <c r="A390" s="142" t="n"/>
      <c r="B390" s="691" t="n"/>
      <c r="C390" s="692" t="n"/>
      <c r="D390" s="693" t="n"/>
      <c r="E390" s="694" t="n"/>
      <c r="F390" s="695" t="n"/>
      <c r="G390" s="696" t="n"/>
      <c r="H390" s="151" t="n"/>
      <c r="I390" s="152" t="n"/>
      <c r="J390" s="692" t="n"/>
    </row>
    <row r="391" ht="20.1" customHeight="1">
      <c r="A391" s="142" t="n"/>
      <c r="B391" s="691" t="n"/>
      <c r="C391" s="692" t="n"/>
      <c r="D391" s="693" t="n"/>
      <c r="E391" s="694" t="n"/>
      <c r="F391" s="695" t="n"/>
      <c r="G391" s="696" t="n"/>
      <c r="H391" s="151" t="n"/>
      <c r="I391" s="152" t="n"/>
      <c r="J391" s="692" t="n"/>
    </row>
    <row r="392" ht="20.1" customHeight="1">
      <c r="A392" s="142" t="n"/>
      <c r="B392" s="691" t="n"/>
      <c r="C392" s="692" t="n"/>
      <c r="D392" s="693" t="n"/>
      <c r="E392" s="694" t="n"/>
      <c r="F392" s="695" t="n"/>
      <c r="G392" s="696" t="n"/>
      <c r="H392" s="151" t="n"/>
      <c r="I392" s="152" t="n"/>
      <c r="J392" s="692" t="n"/>
    </row>
    <row r="393" ht="20.1" customHeight="1">
      <c r="A393" s="142" t="n"/>
      <c r="B393" s="691" t="n"/>
      <c r="C393" s="692" t="n"/>
      <c r="D393" s="693" t="n"/>
      <c r="E393" s="694" t="n"/>
      <c r="F393" s="695" t="n"/>
      <c r="G393" s="696" t="n"/>
      <c r="H393" s="151" t="n"/>
      <c r="I393" s="152" t="n"/>
      <c r="J393" s="692" t="n"/>
    </row>
    <row r="394" ht="20.1" customHeight="1">
      <c r="A394" s="142" t="n"/>
      <c r="B394" s="691" t="n"/>
      <c r="C394" s="692" t="n"/>
      <c r="D394" s="693" t="n"/>
      <c r="E394" s="694" t="n"/>
      <c r="F394" s="695" t="n"/>
      <c r="G394" s="696" t="n"/>
      <c r="H394" s="151" t="n"/>
      <c r="I394" s="152" t="n"/>
      <c r="J394" s="692" t="n"/>
    </row>
    <row r="395" ht="20.1" customHeight="1">
      <c r="A395" s="142" t="n"/>
      <c r="B395" s="691" t="n"/>
      <c r="C395" s="692" t="n"/>
      <c r="D395" s="693" t="n"/>
      <c r="E395" s="694" t="n"/>
      <c r="F395" s="695" t="n"/>
      <c r="G395" s="696" t="n"/>
      <c r="H395" s="151" t="n"/>
      <c r="I395" s="152" t="n"/>
      <c r="J395" s="692" t="n"/>
    </row>
    <row r="396" ht="20.1" customHeight="1">
      <c r="A396" s="142" t="n"/>
      <c r="B396" s="691" t="n"/>
      <c r="C396" s="692" t="n"/>
      <c r="D396" s="693" t="n"/>
      <c r="E396" s="694" t="n"/>
      <c r="F396" s="695" t="n"/>
      <c r="G396" s="696" t="n"/>
      <c r="H396" s="151" t="n"/>
      <c r="I396" s="152" t="n"/>
      <c r="J396" s="692" t="n"/>
    </row>
    <row r="397" ht="20.1" customHeight="1">
      <c r="A397" s="142" t="n"/>
      <c r="B397" s="691" t="n"/>
      <c r="C397" s="692" t="n"/>
      <c r="D397" s="693" t="n"/>
      <c r="E397" s="694" t="n"/>
      <c r="F397" s="695" t="n"/>
      <c r="G397" s="696" t="n"/>
      <c r="H397" s="151" t="n"/>
      <c r="I397" s="152" t="n"/>
      <c r="J397" s="692" t="n"/>
    </row>
    <row r="398" ht="20.1" customHeight="1">
      <c r="A398" s="142" t="n"/>
      <c r="B398" s="691" t="n"/>
      <c r="C398" s="692" t="n"/>
      <c r="D398" s="693" t="n"/>
      <c r="E398" s="694" t="n"/>
      <c r="F398" s="695" t="n"/>
      <c r="G398" s="696" t="n"/>
      <c r="H398" s="151" t="n"/>
      <c r="I398" s="152" t="n"/>
      <c r="J398" s="692" t="n"/>
    </row>
    <row r="399" ht="20.1" customHeight="1">
      <c r="A399" s="142" t="n"/>
      <c r="B399" s="691" t="n"/>
      <c r="C399" s="692" t="n"/>
      <c r="D399" s="693" t="n"/>
      <c r="E399" s="694" t="n"/>
      <c r="F399" s="695" t="n"/>
      <c r="G399" s="696" t="n"/>
      <c r="H399" s="151" t="n"/>
      <c r="I399" s="152" t="n"/>
      <c r="J399" s="692" t="n"/>
    </row>
    <row r="400" ht="20.1" customHeight="1">
      <c r="A400" s="142" t="n"/>
      <c r="B400" s="691" t="n"/>
      <c r="C400" s="692" t="n"/>
      <c r="D400" s="693" t="n"/>
      <c r="E400" s="694" t="n"/>
      <c r="F400" s="695" t="n"/>
      <c r="G400" s="696" t="n"/>
      <c r="H400" s="151" t="n"/>
      <c r="I400" s="152" t="n"/>
      <c r="J400" s="692" t="n"/>
    </row>
    <row r="401" ht="20.1" customHeight="1">
      <c r="A401" s="142" t="n"/>
      <c r="B401" s="691" t="n"/>
      <c r="C401" s="692" t="n"/>
      <c r="D401" s="693" t="n"/>
      <c r="E401" s="694" t="n"/>
      <c r="F401" s="695" t="n"/>
      <c r="G401" s="696" t="n"/>
      <c r="H401" s="151" t="n"/>
      <c r="I401" s="152" t="n"/>
      <c r="J401" s="692" t="n"/>
    </row>
    <row r="402" ht="20.1" customHeight="1">
      <c r="A402" s="142" t="n"/>
      <c r="B402" s="691" t="n"/>
      <c r="C402" s="692" t="n"/>
      <c r="D402" s="693" t="n"/>
      <c r="E402" s="694" t="n"/>
      <c r="F402" s="695" t="n"/>
      <c r="G402" s="696" t="n"/>
      <c r="H402" s="151" t="n"/>
      <c r="I402" s="152" t="n"/>
      <c r="J402" s="692" t="n"/>
    </row>
    <row r="403" ht="20.1" customHeight="1">
      <c r="A403" s="142" t="n"/>
      <c r="B403" s="691" t="n"/>
      <c r="C403" s="692" t="n"/>
      <c r="D403" s="693" t="n"/>
      <c r="E403" s="694" t="n"/>
      <c r="F403" s="695" t="n"/>
      <c r="G403" s="696" t="n"/>
      <c r="H403" s="151" t="n"/>
      <c r="I403" s="152" t="n"/>
      <c r="J403" s="692" t="n"/>
    </row>
    <row r="404" ht="20.1" customHeight="1">
      <c r="A404" s="142" t="n"/>
      <c r="B404" s="691" t="n"/>
      <c r="C404" s="692" t="n"/>
      <c r="D404" s="693" t="n"/>
      <c r="E404" s="694" t="n"/>
      <c r="F404" s="695" t="n"/>
      <c r="G404" s="696" t="n"/>
      <c r="H404" s="151" t="n"/>
      <c r="I404" s="152" t="n"/>
      <c r="J404" s="692" t="n"/>
    </row>
    <row r="405" ht="20.1" customHeight="1">
      <c r="A405" s="142" t="n"/>
      <c r="B405" s="691" t="n"/>
      <c r="C405" s="692" t="n"/>
      <c r="D405" s="693" t="n"/>
      <c r="E405" s="694" t="n"/>
      <c r="F405" s="695" t="n"/>
      <c r="G405" s="696" t="n"/>
      <c r="H405" s="151" t="n"/>
      <c r="I405" s="152" t="n"/>
      <c r="J405" s="692" t="n"/>
    </row>
    <row r="406" ht="20.1" customHeight="1">
      <c r="A406" s="142" t="n"/>
      <c r="B406" s="691" t="n"/>
      <c r="C406" s="692" t="n"/>
      <c r="D406" s="693" t="n"/>
      <c r="E406" s="694" t="n"/>
      <c r="F406" s="695" t="n"/>
      <c r="G406" s="696" t="n"/>
      <c r="H406" s="151" t="n"/>
      <c r="I406" s="152" t="n"/>
      <c r="J406" s="692" t="n"/>
    </row>
    <row r="407" ht="20.1" customHeight="1">
      <c r="A407" s="142" t="n"/>
      <c r="B407" s="691" t="n"/>
      <c r="C407" s="692" t="n"/>
      <c r="D407" s="693" t="n"/>
      <c r="E407" s="694" t="n"/>
      <c r="F407" s="695" t="n"/>
      <c r="G407" s="696" t="n"/>
      <c r="H407" s="151" t="n"/>
      <c r="I407" s="152" t="n"/>
      <c r="J407" s="692" t="n"/>
    </row>
    <row r="408" ht="20.1" customHeight="1">
      <c r="A408" s="142" t="n"/>
      <c r="B408" s="691" t="n"/>
      <c r="C408" s="692" t="n"/>
      <c r="D408" s="693" t="n"/>
      <c r="E408" s="694" t="n"/>
      <c r="F408" s="695" t="n"/>
      <c r="G408" s="696" t="n"/>
      <c r="H408" s="151" t="n"/>
      <c r="I408" s="152" t="n"/>
      <c r="J408" s="692" t="n"/>
    </row>
    <row r="409" ht="20.1" customHeight="1">
      <c r="A409" s="142" t="n"/>
      <c r="B409" s="691" t="n"/>
      <c r="C409" s="692" t="n"/>
      <c r="D409" s="693" t="n"/>
      <c r="E409" s="694" t="n"/>
      <c r="F409" s="695" t="n"/>
      <c r="G409" s="696" t="n"/>
      <c r="H409" s="151" t="n"/>
      <c r="I409" s="152" t="n"/>
      <c r="J409" s="692" t="n"/>
    </row>
    <row r="410" ht="20.1" customHeight="1">
      <c r="A410" s="142" t="n"/>
      <c r="B410" s="691" t="n"/>
      <c r="C410" s="692" t="n"/>
      <c r="D410" s="693" t="n"/>
      <c r="E410" s="694" t="n"/>
      <c r="F410" s="695" t="n"/>
      <c r="G410" s="696" t="n"/>
      <c r="H410" s="151" t="n"/>
      <c r="I410" s="152" t="n"/>
      <c r="J410" s="692" t="n"/>
    </row>
    <row r="411" ht="20.1" customHeight="1">
      <c r="A411" s="142" t="n"/>
      <c r="B411" s="691" t="n"/>
      <c r="C411" s="692" t="n"/>
      <c r="D411" s="693" t="n"/>
      <c r="E411" s="694" t="n"/>
      <c r="F411" s="695" t="n"/>
      <c r="G411" s="696" t="n"/>
      <c r="H411" s="151" t="n"/>
      <c r="I411" s="152" t="n"/>
      <c r="J411" s="692" t="n"/>
    </row>
    <row r="412" ht="20.1" customHeight="1">
      <c r="A412" s="142" t="n"/>
      <c r="B412" s="691" t="n"/>
      <c r="C412" s="692" t="n"/>
      <c r="D412" s="693" t="n"/>
      <c r="E412" s="694" t="n"/>
      <c r="F412" s="695" t="n"/>
      <c r="G412" s="696" t="n"/>
      <c r="H412" s="151" t="n"/>
      <c r="I412" s="152" t="n"/>
      <c r="J412" s="692" t="n"/>
    </row>
    <row r="413" ht="20.1" customHeight="1">
      <c r="A413" s="142" t="n"/>
      <c r="B413" s="691" t="n"/>
      <c r="C413" s="692" t="n"/>
      <c r="D413" s="693" t="n"/>
      <c r="E413" s="694" t="n"/>
      <c r="F413" s="695" t="n"/>
      <c r="G413" s="696" t="n"/>
      <c r="H413" s="151" t="n"/>
      <c r="I413" s="152" t="n"/>
      <c r="J413" s="692" t="n"/>
    </row>
    <row r="414" ht="20.1" customHeight="1">
      <c r="A414" s="142" t="n"/>
      <c r="B414" s="691" t="n"/>
      <c r="C414" s="692" t="n"/>
      <c r="D414" s="693" t="n"/>
      <c r="E414" s="694" t="n"/>
      <c r="F414" s="695" t="n"/>
      <c r="G414" s="696" t="n"/>
      <c r="H414" s="151" t="n"/>
      <c r="I414" s="152" t="n"/>
      <c r="J414" s="692" t="n"/>
    </row>
    <row r="415" ht="20.1" customHeight="1">
      <c r="A415" s="142" t="n"/>
      <c r="B415" s="691" t="n"/>
      <c r="C415" s="692" t="n"/>
      <c r="D415" s="693" t="n"/>
      <c r="E415" s="694" t="n"/>
      <c r="F415" s="695" t="n"/>
      <c r="G415" s="696" t="n"/>
      <c r="H415" s="151" t="n"/>
      <c r="I415" s="152" t="n"/>
      <c r="J415" s="692" t="n"/>
    </row>
    <row r="416" ht="20.1" customHeight="1">
      <c r="A416" s="142" t="n"/>
      <c r="B416" s="691" t="n"/>
      <c r="C416" s="692" t="n"/>
      <c r="D416" s="693" t="n"/>
      <c r="E416" s="694" t="n"/>
      <c r="F416" s="695" t="n"/>
      <c r="G416" s="696" t="n"/>
      <c r="H416" s="151" t="n"/>
      <c r="I416" s="152" t="n"/>
      <c r="J416" s="692" t="n"/>
    </row>
    <row r="417" ht="20.1" customHeight="1">
      <c r="A417" s="142" t="n"/>
      <c r="B417" s="691" t="n"/>
      <c r="C417" s="692" t="n"/>
      <c r="D417" s="693" t="n"/>
      <c r="E417" s="694" t="n"/>
      <c r="F417" s="695" t="n"/>
      <c r="G417" s="696" t="n"/>
      <c r="H417" s="151" t="n"/>
      <c r="I417" s="152" t="n"/>
      <c r="J417" s="692" t="n"/>
    </row>
    <row r="418" ht="20.1" customHeight="1">
      <c r="A418" s="142" t="n"/>
      <c r="B418" s="691" t="n"/>
      <c r="C418" s="692" t="n"/>
      <c r="D418" s="693" t="n"/>
      <c r="E418" s="694" t="n"/>
      <c r="F418" s="695" t="n"/>
      <c r="G418" s="696" t="n"/>
      <c r="H418" s="151" t="n"/>
      <c r="I418" s="152" t="n"/>
      <c r="J418" s="692" t="n"/>
    </row>
    <row r="419" ht="20.1" customHeight="1">
      <c r="A419" s="142" t="n"/>
      <c r="B419" s="691" t="n"/>
      <c r="C419" s="692" t="n"/>
      <c r="D419" s="693" t="n"/>
      <c r="E419" s="694" t="n"/>
      <c r="F419" s="695" t="n"/>
      <c r="G419" s="696" t="n"/>
      <c r="H419" s="151" t="n"/>
      <c r="I419" s="152" t="n"/>
      <c r="J419" s="692" t="n"/>
    </row>
    <row r="420" ht="20.1" customHeight="1">
      <c r="A420" s="142" t="n"/>
      <c r="B420" s="697" t="n"/>
      <c r="C420" s="692" t="n"/>
      <c r="D420" s="698" t="n"/>
      <c r="E420" s="699" t="n"/>
      <c r="F420" s="695" t="n"/>
      <c r="G420" s="696" t="n"/>
      <c r="H420" s="151" t="n"/>
      <c r="I420" s="152" t="n"/>
      <c r="J420" s="692" t="n"/>
    </row>
    <row r="421" ht="20.1" customHeight="1">
      <c r="A421" s="142" t="n"/>
      <c r="B421" s="697" t="n"/>
      <c r="C421" s="692" t="n"/>
      <c r="D421" s="698" t="n"/>
      <c r="E421" s="699" t="n"/>
      <c r="F421" s="695" t="n"/>
      <c r="G421" s="696" t="n"/>
      <c r="H421" s="151" t="n"/>
      <c r="I421" s="152" t="n"/>
      <c r="J421" s="692" t="n"/>
    </row>
    <row r="422" ht="20.1" customHeight="1">
      <c r="A422" s="142" t="n"/>
      <c r="B422" s="691" t="n"/>
      <c r="C422" s="692" t="n"/>
      <c r="D422" s="693" t="n"/>
      <c r="E422" s="694" t="n"/>
      <c r="F422" s="695" t="n"/>
      <c r="G422" s="696" t="n"/>
      <c r="H422" s="151" t="n"/>
      <c r="I422" s="152" t="n"/>
      <c r="J422" s="692" t="n"/>
    </row>
    <row r="423" ht="20.1" customHeight="1">
      <c r="A423" s="142" t="n"/>
      <c r="B423" s="691" t="n"/>
      <c r="C423" s="692" t="n"/>
      <c r="D423" s="693" t="n"/>
      <c r="E423" s="694" t="n"/>
      <c r="F423" s="695" t="n"/>
      <c r="G423" s="696" t="n"/>
      <c r="H423" s="151" t="n"/>
      <c r="I423" s="152" t="n"/>
      <c r="J423" s="692" t="n"/>
    </row>
    <row r="424" ht="20.1" customHeight="1">
      <c r="A424" s="142" t="n"/>
      <c r="B424" s="691" t="n"/>
      <c r="C424" s="692" t="n"/>
      <c r="D424" s="693" t="n"/>
      <c r="E424" s="694" t="n"/>
      <c r="F424" s="695" t="n"/>
      <c r="G424" s="696" t="n"/>
      <c r="H424" s="151" t="n"/>
      <c r="I424" s="152" t="n"/>
      <c r="J424" s="692" t="n"/>
    </row>
    <row r="425" ht="20.1" customHeight="1">
      <c r="A425" s="142" t="n"/>
      <c r="B425" s="691" t="n"/>
      <c r="C425" s="692" t="n"/>
      <c r="D425" s="693" t="n"/>
      <c r="E425" s="694" t="n"/>
      <c r="F425" s="695" t="n"/>
      <c r="G425" s="696" t="n"/>
      <c r="H425" s="151" t="n"/>
      <c r="I425" s="152" t="n"/>
      <c r="J425" s="692" t="n"/>
    </row>
    <row r="426" ht="20.1" customHeight="1">
      <c r="A426" s="142" t="n"/>
      <c r="B426" s="691" t="n"/>
      <c r="C426" s="692" t="n"/>
      <c r="D426" s="693" t="n"/>
      <c r="E426" s="694" t="n"/>
      <c r="F426" s="695" t="n"/>
      <c r="G426" s="696" t="n"/>
      <c r="H426" s="151" t="n"/>
      <c r="I426" s="152" t="n"/>
      <c r="J426" s="692" t="n"/>
    </row>
    <row r="427" ht="20.1" customHeight="1">
      <c r="A427" s="142" t="n"/>
      <c r="B427" s="691" t="n"/>
      <c r="C427" s="692" t="n"/>
      <c r="D427" s="693" t="n"/>
      <c r="E427" s="694" t="n"/>
      <c r="F427" s="695" t="n"/>
      <c r="G427" s="696" t="n"/>
      <c r="H427" s="151" t="n"/>
      <c r="I427" s="152" t="n"/>
      <c r="J427" s="692" t="n"/>
    </row>
    <row r="428" ht="20.1" customHeight="1">
      <c r="A428" s="142" t="n"/>
      <c r="B428" s="691" t="n"/>
      <c r="C428" s="692" t="n"/>
      <c r="D428" s="693" t="n"/>
      <c r="E428" s="694" t="n"/>
      <c r="F428" s="695" t="n"/>
      <c r="G428" s="696" t="n"/>
      <c r="H428" s="151" t="n"/>
      <c r="I428" s="152" t="n"/>
      <c r="J428" s="692" t="n"/>
    </row>
    <row r="429" ht="20.1" customHeight="1">
      <c r="A429" s="142" t="n"/>
      <c r="B429" s="691" t="n"/>
      <c r="C429" s="692" t="n"/>
      <c r="D429" s="693" t="n"/>
      <c r="E429" s="694" t="n"/>
      <c r="F429" s="695" t="n"/>
      <c r="G429" s="696" t="n"/>
      <c r="H429" s="151" t="n"/>
      <c r="I429" s="152" t="n"/>
      <c r="J429" s="692" t="n"/>
    </row>
    <row r="430" ht="20.1" customHeight="1">
      <c r="A430" s="142" t="n"/>
      <c r="B430" s="691" t="n"/>
      <c r="C430" s="692" t="n"/>
      <c r="D430" s="693" t="n"/>
      <c r="E430" s="694" t="n"/>
      <c r="F430" s="695" t="n"/>
      <c r="G430" s="696" t="n"/>
      <c r="H430" s="151" t="n"/>
      <c r="I430" s="152" t="n"/>
      <c r="J430" s="692" t="n"/>
    </row>
    <row r="431" ht="20.1" customHeight="1">
      <c r="A431" s="142" t="n"/>
      <c r="B431" s="691" t="n"/>
      <c r="C431" s="692" t="n"/>
      <c r="D431" s="693" t="n"/>
      <c r="E431" s="694" t="n"/>
      <c r="F431" s="695" t="n"/>
      <c r="G431" s="696" t="n"/>
      <c r="H431" s="151" t="n"/>
      <c r="I431" s="152" t="n"/>
      <c r="J431" s="692" t="n"/>
    </row>
    <row r="432" ht="20.1" customHeight="1">
      <c r="A432" s="142" t="n"/>
      <c r="B432" s="691" t="n"/>
      <c r="C432" s="692" t="n"/>
      <c r="D432" s="693" t="n"/>
      <c r="E432" s="694" t="n"/>
      <c r="F432" s="695" t="n"/>
      <c r="G432" s="696" t="n"/>
      <c r="H432" s="151" t="n"/>
      <c r="I432" s="152" t="n"/>
      <c r="J432" s="692" t="n"/>
    </row>
    <row r="433" ht="20.1" customHeight="1">
      <c r="A433" s="142" t="n"/>
      <c r="B433" s="691" t="n"/>
      <c r="C433" s="692" t="n"/>
      <c r="D433" s="693" t="n"/>
      <c r="E433" s="694" t="n"/>
      <c r="F433" s="695" t="n"/>
      <c r="G433" s="696" t="n"/>
      <c r="H433" s="151" t="n"/>
      <c r="I433" s="152" t="n"/>
      <c r="J433" s="692" t="n"/>
    </row>
    <row r="434" ht="20.1" customHeight="1">
      <c r="A434" s="142" t="n"/>
      <c r="B434" s="691" t="n"/>
      <c r="C434" s="692" t="n"/>
      <c r="D434" s="693" t="n"/>
      <c r="E434" s="694" t="n"/>
      <c r="F434" s="695" t="n"/>
      <c r="G434" s="696" t="n"/>
      <c r="H434" s="151" t="n"/>
      <c r="I434" s="152" t="n"/>
      <c r="J434" s="692" t="n"/>
    </row>
    <row r="435" ht="20.1" customHeight="1">
      <c r="A435" s="142" t="n"/>
      <c r="B435" s="691" t="n"/>
      <c r="C435" s="692" t="n"/>
      <c r="D435" s="693" t="n"/>
      <c r="E435" s="694" t="n"/>
      <c r="F435" s="695" t="n"/>
      <c r="G435" s="696" t="n"/>
      <c r="H435" s="151" t="n"/>
      <c r="I435" s="152" t="n"/>
      <c r="J435" s="692" t="n"/>
    </row>
    <row r="436" ht="20.1" customHeight="1">
      <c r="A436" s="142" t="n"/>
      <c r="B436" s="691" t="n"/>
      <c r="C436" s="692" t="n"/>
      <c r="D436" s="693" t="n"/>
      <c r="E436" s="694" t="n"/>
      <c r="F436" s="695" t="n"/>
      <c r="G436" s="696" t="n"/>
      <c r="H436" s="151" t="n"/>
      <c r="I436" s="152" t="n"/>
      <c r="J436" s="692" t="n"/>
    </row>
    <row r="437" ht="20.1" customHeight="1">
      <c r="A437" s="142" t="n"/>
      <c r="B437" s="691" t="n"/>
      <c r="C437" s="692" t="n"/>
      <c r="D437" s="693" t="n"/>
      <c r="E437" s="694" t="n"/>
      <c r="F437" s="695" t="n"/>
      <c r="G437" s="696" t="n"/>
      <c r="H437" s="151" t="n"/>
      <c r="I437" s="152" t="n"/>
      <c r="J437" s="692" t="n"/>
    </row>
    <row r="438" ht="20.1" customHeight="1">
      <c r="A438" s="142" t="n"/>
      <c r="B438" s="691" t="n"/>
      <c r="C438" s="692" t="n"/>
      <c r="D438" s="693" t="n"/>
      <c r="E438" s="694" t="n"/>
      <c r="F438" s="695" t="n"/>
      <c r="G438" s="696" t="n"/>
      <c r="H438" s="151" t="n"/>
      <c r="I438" s="152" t="n"/>
      <c r="J438" s="692" t="n"/>
    </row>
    <row r="439" ht="20.1" customHeight="1">
      <c r="A439" s="142" t="n"/>
      <c r="B439" s="691" t="n"/>
      <c r="C439" s="692" t="n"/>
      <c r="D439" s="693" t="n"/>
      <c r="E439" s="694" t="n"/>
      <c r="F439" s="695" t="n"/>
      <c r="G439" s="696" t="n"/>
      <c r="H439" s="151" t="n"/>
      <c r="I439" s="152" t="n"/>
      <c r="J439" s="692" t="n"/>
    </row>
    <row r="440" ht="20.1" customHeight="1">
      <c r="A440" s="142" t="n"/>
      <c r="B440" s="691" t="n"/>
      <c r="C440" s="692" t="n"/>
      <c r="D440" s="693" t="n"/>
      <c r="E440" s="694" t="n"/>
      <c r="F440" s="695" t="n"/>
      <c r="G440" s="696" t="n"/>
      <c r="H440" s="151" t="n"/>
      <c r="I440" s="152" t="n"/>
      <c r="J440" s="692" t="n"/>
    </row>
    <row r="441" ht="20.1" customHeight="1">
      <c r="A441" s="142" t="n"/>
      <c r="B441" s="691" t="n"/>
      <c r="C441" s="692" t="n"/>
      <c r="D441" s="693" t="n"/>
      <c r="E441" s="694" t="n"/>
      <c r="F441" s="695" t="n"/>
      <c r="G441" s="696" t="n"/>
      <c r="H441" s="151" t="n"/>
      <c r="I441" s="152" t="n"/>
      <c r="J441" s="692" t="n"/>
    </row>
    <row r="442" ht="20.1" customHeight="1">
      <c r="A442" s="142" t="n"/>
      <c r="B442" s="691" t="n"/>
      <c r="C442" s="692" t="n"/>
      <c r="D442" s="693" t="n"/>
      <c r="E442" s="694" t="n"/>
      <c r="F442" s="695" t="n"/>
      <c r="G442" s="696" t="n"/>
      <c r="H442" s="151" t="n"/>
      <c r="I442" s="152" t="n"/>
      <c r="J442" s="692" t="n"/>
    </row>
    <row r="443" ht="20.1" customHeight="1">
      <c r="A443" s="142" t="n"/>
      <c r="B443" s="691" t="n"/>
      <c r="C443" s="692" t="n"/>
      <c r="D443" s="693" t="n"/>
      <c r="E443" s="694" t="n"/>
      <c r="F443" s="695" t="n"/>
      <c r="G443" s="696" t="n"/>
      <c r="H443" s="151" t="n"/>
      <c r="I443" s="152" t="n"/>
      <c r="J443" s="692" t="n"/>
    </row>
    <row r="444" ht="20.1" customHeight="1">
      <c r="A444" s="142" t="n"/>
      <c r="B444" s="691" t="n"/>
      <c r="C444" s="692" t="n"/>
      <c r="D444" s="693" t="n"/>
      <c r="E444" s="694" t="n"/>
      <c r="F444" s="695" t="n"/>
      <c r="G444" s="696" t="n"/>
      <c r="H444" s="151" t="n"/>
      <c r="I444" s="152" t="n"/>
      <c r="J444" s="692" t="n"/>
    </row>
    <row r="445" ht="20.1" customHeight="1">
      <c r="A445" s="142" t="n"/>
      <c r="B445" s="691" t="n"/>
      <c r="C445" s="692" t="n"/>
      <c r="D445" s="693" t="n"/>
      <c r="E445" s="694" t="n"/>
      <c r="F445" s="695" t="n"/>
      <c r="G445" s="696" t="n"/>
      <c r="H445" s="151" t="n"/>
      <c r="I445" s="152" t="n"/>
      <c r="J445" s="692" t="n"/>
    </row>
    <row r="446" ht="20.1" customHeight="1">
      <c r="A446" s="142" t="n"/>
      <c r="B446" s="691" t="n"/>
      <c r="C446" s="692" t="n"/>
      <c r="D446" s="693" t="n"/>
      <c r="E446" s="694" t="n"/>
      <c r="F446" s="695" t="n"/>
      <c r="G446" s="696" t="n"/>
      <c r="H446" s="151" t="n"/>
      <c r="I446" s="152" t="n"/>
      <c r="J446" s="692" t="n"/>
    </row>
    <row r="447" ht="20.1" customHeight="1">
      <c r="A447" s="142" t="n"/>
      <c r="B447" s="691" t="n"/>
      <c r="C447" s="692" t="n"/>
      <c r="D447" s="693" t="n"/>
      <c r="E447" s="694" t="n"/>
      <c r="F447" s="695" t="n"/>
      <c r="G447" s="696" t="n"/>
      <c r="H447" s="151" t="n"/>
      <c r="I447" s="152" t="n"/>
      <c r="J447" s="692" t="n"/>
    </row>
    <row r="448" ht="20.1" customHeight="1">
      <c r="A448" s="142" t="n"/>
      <c r="B448" s="691" t="n"/>
      <c r="C448" s="692" t="n"/>
      <c r="D448" s="693" t="n"/>
      <c r="E448" s="694" t="n"/>
      <c r="F448" s="695" t="n"/>
      <c r="G448" s="696" t="n"/>
      <c r="H448" s="151" t="n"/>
      <c r="I448" s="152" t="n"/>
      <c r="J448" s="692" t="n"/>
    </row>
    <row r="449" ht="20.1" customHeight="1">
      <c r="A449" s="142" t="n"/>
      <c r="B449" s="691" t="n"/>
      <c r="C449" s="692" t="n"/>
      <c r="D449" s="693" t="n"/>
      <c r="E449" s="694" t="n"/>
      <c r="F449" s="695" t="n"/>
      <c r="G449" s="696" t="n"/>
      <c r="H449" s="151" t="n"/>
      <c r="I449" s="152" t="n"/>
      <c r="J449" s="692" t="n"/>
    </row>
    <row r="450" ht="20.1" customHeight="1">
      <c r="A450" s="142" t="n"/>
      <c r="B450" s="691" t="n"/>
      <c r="C450" s="692" t="n"/>
      <c r="D450" s="693" t="n"/>
      <c r="E450" s="694" t="n"/>
      <c r="F450" s="695" t="n"/>
      <c r="G450" s="696" t="n"/>
      <c r="H450" s="151" t="n"/>
      <c r="I450" s="152" t="n"/>
      <c r="J450" s="692" t="n"/>
    </row>
    <row r="451" ht="20.1" customHeight="1">
      <c r="A451" s="142" t="n"/>
      <c r="B451" s="691" t="n"/>
      <c r="C451" s="692" t="n"/>
      <c r="D451" s="693" t="n"/>
      <c r="E451" s="694" t="n"/>
      <c r="F451" s="695" t="n"/>
      <c r="G451" s="696" t="n"/>
      <c r="H451" s="151" t="n"/>
      <c r="I451" s="152" t="n"/>
      <c r="J451" s="692" t="n"/>
    </row>
    <row r="452" ht="20.1" customHeight="1">
      <c r="A452" s="142" t="n"/>
      <c r="B452" s="691" t="n"/>
      <c r="C452" s="692" t="n"/>
      <c r="D452" s="693" t="n"/>
      <c r="E452" s="694" t="n"/>
      <c r="F452" s="695" t="n"/>
      <c r="G452" s="696" t="n"/>
      <c r="H452" s="151" t="n"/>
      <c r="I452" s="152" t="n"/>
      <c r="J452" s="692" t="n"/>
    </row>
    <row r="453" ht="20.1" customHeight="1">
      <c r="A453" s="142" t="n"/>
      <c r="B453" s="691" t="n"/>
      <c r="C453" s="692" t="n"/>
      <c r="D453" s="693" t="n"/>
      <c r="E453" s="694" t="n"/>
      <c r="F453" s="695" t="n"/>
      <c r="G453" s="696" t="n"/>
      <c r="H453" s="151" t="n"/>
      <c r="I453" s="152" t="n"/>
      <c r="J453" s="692" t="n"/>
    </row>
    <row r="454" ht="20.1" customHeight="1">
      <c r="A454" s="142" t="n"/>
      <c r="B454" s="691" t="n"/>
      <c r="C454" s="692" t="n"/>
      <c r="D454" s="693" t="n"/>
      <c r="E454" s="694" t="n"/>
      <c r="F454" s="695" t="n"/>
      <c r="G454" s="696" t="n"/>
      <c r="H454" s="151" t="n"/>
      <c r="I454" s="152" t="n"/>
      <c r="J454" s="692" t="n"/>
    </row>
    <row r="455" ht="20.1" customHeight="1">
      <c r="A455" s="142" t="n"/>
      <c r="B455" s="691" t="n"/>
      <c r="C455" s="692" t="n"/>
      <c r="D455" s="693" t="n"/>
      <c r="E455" s="694" t="n"/>
      <c r="F455" s="695" t="n"/>
      <c r="G455" s="696" t="n"/>
      <c r="H455" s="151" t="n"/>
      <c r="I455" s="152" t="n"/>
      <c r="J455" s="692" t="n"/>
    </row>
    <row r="456" ht="20.1" customHeight="1">
      <c r="A456" s="142" t="n"/>
      <c r="B456" s="691" t="n"/>
      <c r="C456" s="692" t="n"/>
      <c r="D456" s="693" t="n"/>
      <c r="E456" s="694" t="n"/>
      <c r="F456" s="695" t="n"/>
      <c r="G456" s="696" t="n"/>
      <c r="H456" s="151" t="n"/>
      <c r="I456" s="152" t="n"/>
      <c r="J456" s="692" t="n"/>
    </row>
    <row r="457" ht="20.1" customHeight="1">
      <c r="A457" s="142" t="n"/>
      <c r="B457" s="691" t="n"/>
      <c r="C457" s="692" t="n"/>
      <c r="D457" s="693" t="n"/>
      <c r="E457" s="694" t="n"/>
      <c r="F457" s="695" t="n"/>
      <c r="G457" s="696" t="n"/>
      <c r="H457" s="151" t="n"/>
      <c r="I457" s="152" t="n"/>
      <c r="J457" s="692" t="n"/>
    </row>
    <row r="458" ht="20.1" customHeight="1">
      <c r="A458" s="142" t="n"/>
      <c r="B458" s="691" t="n"/>
      <c r="C458" s="692" t="n"/>
      <c r="D458" s="693" t="n"/>
      <c r="E458" s="694" t="n"/>
      <c r="F458" s="695" t="n"/>
      <c r="G458" s="696" t="n"/>
      <c r="H458" s="151" t="n"/>
      <c r="I458" s="152" t="n"/>
      <c r="J458" s="692" t="n"/>
    </row>
    <row r="459" ht="20.1" customHeight="1">
      <c r="A459" s="142" t="n"/>
      <c r="B459" s="691" t="n"/>
      <c r="C459" s="692" t="n"/>
      <c r="D459" s="693" t="n"/>
      <c r="E459" s="694" t="n"/>
      <c r="F459" s="695" t="n"/>
      <c r="G459" s="696" t="n"/>
      <c r="H459" s="151" t="n"/>
      <c r="I459" s="152" t="n"/>
      <c r="J459" s="692" t="n"/>
    </row>
    <row r="460" ht="20.1" customHeight="1">
      <c r="A460" s="142" t="n"/>
      <c r="B460" s="691" t="n"/>
      <c r="C460" s="692" t="n"/>
      <c r="D460" s="693" t="n"/>
      <c r="E460" s="694" t="n"/>
      <c r="F460" s="695" t="n"/>
      <c r="G460" s="696" t="n"/>
      <c r="H460" s="151" t="n"/>
      <c r="I460" s="152" t="n"/>
      <c r="J460" s="692" t="n"/>
    </row>
    <row r="461" ht="20.1" customHeight="1">
      <c r="A461" s="142" t="n"/>
      <c r="B461" s="691" t="n"/>
      <c r="C461" s="692" t="n"/>
      <c r="D461" s="693" t="n"/>
      <c r="E461" s="694" t="n"/>
      <c r="F461" s="695" t="n"/>
      <c r="G461" s="696" t="n"/>
      <c r="H461" s="151" t="n"/>
      <c r="I461" s="152" t="n"/>
      <c r="J461" s="692" t="n"/>
    </row>
    <row r="462" ht="20.1" customHeight="1">
      <c r="A462" s="142" t="n"/>
      <c r="B462" s="691" t="n"/>
      <c r="C462" s="692" t="n"/>
      <c r="D462" s="693" t="n"/>
      <c r="E462" s="694" t="n"/>
      <c r="F462" s="695" t="n"/>
      <c r="G462" s="696" t="n"/>
      <c r="H462" s="151" t="n"/>
      <c r="I462" s="152" t="n"/>
      <c r="J462" s="692" t="n"/>
    </row>
    <row r="463" ht="20.1" customHeight="1">
      <c r="A463" s="142" t="n"/>
      <c r="B463" s="691" t="n"/>
      <c r="C463" s="692" t="n"/>
      <c r="D463" s="693" t="n"/>
      <c r="E463" s="694" t="n"/>
      <c r="F463" s="695" t="n"/>
      <c r="G463" s="696" t="n"/>
      <c r="H463" s="151" t="n"/>
      <c r="I463" s="152" t="n"/>
      <c r="J463" s="692" t="n"/>
    </row>
    <row r="464" ht="20.1" customHeight="1">
      <c r="A464" s="142" t="n"/>
      <c r="B464" s="691" t="n"/>
      <c r="C464" s="692" t="n"/>
      <c r="D464" s="693" t="n"/>
      <c r="E464" s="694" t="n"/>
      <c r="F464" s="695" t="n"/>
      <c r="G464" s="696" t="n"/>
      <c r="H464" s="151" t="n"/>
      <c r="I464" s="152" t="n"/>
      <c r="J464" s="692" t="n"/>
    </row>
    <row r="465" ht="20.1" customHeight="1">
      <c r="A465" s="142" t="n"/>
      <c r="B465" s="691" t="n"/>
      <c r="C465" s="692" t="n"/>
      <c r="D465" s="693" t="n"/>
      <c r="E465" s="694" t="n"/>
      <c r="F465" s="695" t="n"/>
      <c r="G465" s="696" t="n"/>
      <c r="H465" s="151" t="n"/>
      <c r="I465" s="152" t="n"/>
      <c r="J465" s="692" t="n"/>
    </row>
    <row r="466" ht="20.1" customHeight="1">
      <c r="A466" s="142" t="n"/>
      <c r="B466" s="691" t="n"/>
      <c r="C466" s="692" t="n"/>
      <c r="D466" s="693" t="n"/>
      <c r="E466" s="694" t="n"/>
      <c r="F466" s="695" t="n"/>
      <c r="G466" s="696" t="n"/>
      <c r="H466" s="151" t="n"/>
      <c r="I466" s="152" t="n"/>
      <c r="J466" s="692" t="n"/>
    </row>
    <row r="467" ht="20.1" customHeight="1">
      <c r="A467" s="142" t="n"/>
      <c r="B467" s="691" t="n"/>
      <c r="C467" s="692" t="n"/>
      <c r="D467" s="693" t="n"/>
      <c r="E467" s="694" t="n"/>
      <c r="F467" s="695" t="n"/>
      <c r="G467" s="696" t="n"/>
      <c r="H467" s="151" t="n"/>
      <c r="I467" s="152" t="n"/>
      <c r="J467" s="692" t="n"/>
    </row>
    <row r="468" ht="20.1" customHeight="1">
      <c r="A468" s="142" t="n"/>
      <c r="B468" s="691" t="n"/>
      <c r="C468" s="692" t="n"/>
      <c r="D468" s="693" t="n"/>
      <c r="E468" s="694" t="n"/>
      <c r="F468" s="695" t="n"/>
      <c r="G468" s="696" t="n"/>
      <c r="H468" s="151" t="n"/>
      <c r="I468" s="152" t="n"/>
      <c r="J468" s="692" t="n"/>
    </row>
    <row r="469" ht="20.1" customHeight="1">
      <c r="A469" s="142" t="n"/>
      <c r="B469" s="691" t="n"/>
      <c r="C469" s="692" t="n"/>
      <c r="D469" s="693" t="n"/>
      <c r="E469" s="694" t="n"/>
      <c r="F469" s="695" t="n"/>
      <c r="G469" s="696" t="n"/>
      <c r="H469" s="151" t="n"/>
      <c r="I469" s="152" t="n"/>
      <c r="J469" s="692" t="n"/>
    </row>
    <row r="470" ht="20.1" customHeight="1">
      <c r="A470" s="142" t="n"/>
      <c r="B470" s="691" t="n"/>
      <c r="C470" s="692" t="n"/>
      <c r="D470" s="693" t="n"/>
      <c r="E470" s="694" t="n"/>
      <c r="F470" s="695" t="n"/>
      <c r="G470" s="696" t="n"/>
      <c r="H470" s="151" t="n"/>
      <c r="I470" s="152" t="n"/>
      <c r="J470" s="692" t="n"/>
    </row>
    <row r="471" ht="20.1" customHeight="1">
      <c r="A471" s="142" t="n"/>
      <c r="B471" s="691" t="n"/>
      <c r="C471" s="692" t="n"/>
      <c r="D471" s="693" t="n"/>
      <c r="E471" s="694" t="n"/>
      <c r="F471" s="695" t="n"/>
      <c r="G471" s="696" t="n"/>
      <c r="H471" s="151" t="n"/>
      <c r="I471" s="152" t="n"/>
      <c r="J471" s="692" t="n"/>
    </row>
    <row r="472" ht="20.1" customHeight="1">
      <c r="A472" s="142" t="n"/>
      <c r="B472" s="691" t="n"/>
      <c r="C472" s="692" t="n"/>
      <c r="D472" s="693" t="n"/>
      <c r="E472" s="694" t="n"/>
      <c r="F472" s="695" t="n"/>
      <c r="G472" s="696" t="n"/>
      <c r="H472" s="151" t="n"/>
      <c r="I472" s="152" t="n"/>
      <c r="J472" s="692" t="n"/>
    </row>
    <row r="473" ht="20.1" customHeight="1">
      <c r="A473" s="142" t="n"/>
      <c r="B473" s="691" t="n"/>
      <c r="C473" s="692" t="n"/>
      <c r="D473" s="693" t="n"/>
      <c r="E473" s="694" t="n"/>
      <c r="F473" s="695" t="n"/>
      <c r="G473" s="696" t="n"/>
      <c r="H473" s="151" t="n"/>
      <c r="I473" s="152" t="n"/>
      <c r="J473" s="692" t="n"/>
    </row>
    <row r="474" ht="20.1" customHeight="1">
      <c r="A474" s="142" t="n"/>
      <c r="B474" s="691" t="n"/>
      <c r="C474" s="692" t="n"/>
      <c r="D474" s="693" t="n"/>
      <c r="E474" s="694" t="n"/>
      <c r="F474" s="695" t="n"/>
      <c r="G474" s="696" t="n"/>
      <c r="H474" s="151" t="n"/>
      <c r="I474" s="152" t="n"/>
      <c r="J474" s="692" t="n"/>
    </row>
    <row r="475" ht="20.1" customHeight="1">
      <c r="A475" s="142" t="n"/>
      <c r="B475" s="691" t="n"/>
      <c r="C475" s="692" t="n"/>
      <c r="D475" s="693" t="n"/>
      <c r="E475" s="694" t="n"/>
      <c r="F475" s="695" t="n"/>
      <c r="G475" s="696" t="n"/>
      <c r="H475" s="151" t="n"/>
      <c r="I475" s="152" t="n"/>
      <c r="J475" s="692" t="n"/>
    </row>
    <row r="476" ht="20.1" customHeight="1">
      <c r="A476" s="142" t="n"/>
      <c r="B476" s="691" t="n"/>
      <c r="C476" s="692" t="n"/>
      <c r="D476" s="693" t="n"/>
      <c r="E476" s="694" t="n"/>
      <c r="F476" s="695" t="n"/>
      <c r="G476" s="696" t="n"/>
      <c r="H476" s="151" t="n"/>
      <c r="I476" s="152" t="n"/>
      <c r="J476" s="692" t="n"/>
    </row>
    <row r="477" ht="20.1" customHeight="1">
      <c r="A477" s="142" t="n"/>
      <c r="B477" s="691" t="n"/>
      <c r="C477" s="692" t="n"/>
      <c r="D477" s="693" t="n"/>
      <c r="E477" s="694" t="n"/>
      <c r="F477" s="695" t="n"/>
      <c r="G477" s="696" t="n"/>
      <c r="H477" s="151" t="n"/>
      <c r="I477" s="152" t="n"/>
      <c r="J477" s="692" t="n"/>
    </row>
    <row r="478" ht="20.1" customHeight="1">
      <c r="A478" s="142" t="n"/>
      <c r="B478" s="691" t="n"/>
      <c r="C478" s="692" t="n"/>
      <c r="D478" s="693" t="n"/>
      <c r="E478" s="694" t="n"/>
      <c r="F478" s="695" t="n"/>
      <c r="G478" s="696" t="n"/>
      <c r="H478" s="151" t="n"/>
      <c r="I478" s="152" t="n"/>
      <c r="J478" s="692" t="n"/>
    </row>
    <row r="479" ht="20.1" customHeight="1">
      <c r="A479" s="142" t="n"/>
      <c r="B479" s="691" t="n"/>
      <c r="C479" s="692" t="n"/>
      <c r="D479" s="693" t="n"/>
      <c r="E479" s="694" t="n"/>
      <c r="F479" s="695" t="n"/>
      <c r="G479" s="696" t="n"/>
      <c r="H479" s="151" t="n"/>
      <c r="I479" s="152" t="n"/>
      <c r="J479" s="692" t="n"/>
    </row>
    <row r="480" ht="20.1" customHeight="1">
      <c r="A480" s="142" t="n"/>
      <c r="B480" s="691" t="n"/>
      <c r="C480" s="692" t="n"/>
      <c r="D480" s="693" t="n"/>
      <c r="E480" s="694" t="n"/>
      <c r="F480" s="695" t="n"/>
      <c r="G480" s="696" t="n"/>
      <c r="H480" s="151" t="n"/>
      <c r="I480" s="152" t="n"/>
      <c r="J480" s="692" t="n"/>
    </row>
    <row r="481" ht="20.1" customHeight="1">
      <c r="A481" s="142" t="n"/>
      <c r="B481" s="691" t="n"/>
      <c r="C481" s="692" t="n"/>
      <c r="D481" s="693" t="n"/>
      <c r="E481" s="694" t="n"/>
      <c r="F481" s="695" t="n"/>
      <c r="G481" s="696" t="n"/>
      <c r="H481" s="151" t="n"/>
      <c r="I481" s="152" t="n"/>
      <c r="J481" s="692" t="n"/>
    </row>
    <row r="482" ht="20.1" customHeight="1">
      <c r="A482" s="142" t="n"/>
      <c r="B482" s="691" t="n"/>
      <c r="C482" s="692" t="n"/>
      <c r="D482" s="693" t="n"/>
      <c r="E482" s="694" t="n"/>
      <c r="F482" s="695" t="n"/>
      <c r="G482" s="696" t="n"/>
      <c r="H482" s="151" t="n"/>
      <c r="I482" s="152" t="n"/>
      <c r="J482" s="692" t="n"/>
    </row>
    <row r="483" ht="20.1" customHeight="1">
      <c r="A483" s="142" t="n"/>
      <c r="B483" s="691" t="n"/>
      <c r="C483" s="692" t="n"/>
      <c r="D483" s="693" t="n"/>
      <c r="E483" s="694" t="n"/>
      <c r="F483" s="695" t="n"/>
      <c r="G483" s="696" t="n"/>
      <c r="H483" s="151" t="n"/>
      <c r="I483" s="152" t="n"/>
      <c r="J483" s="692" t="n"/>
    </row>
    <row r="484" ht="20.1" customHeight="1">
      <c r="A484" s="142" t="n"/>
      <c r="B484" s="691" t="n"/>
      <c r="C484" s="692" t="n"/>
      <c r="D484" s="693" t="n"/>
      <c r="E484" s="694" t="n"/>
      <c r="F484" s="695" t="n"/>
      <c r="G484" s="696" t="n"/>
      <c r="H484" s="151" t="n"/>
      <c r="I484" s="152" t="n"/>
      <c r="J484" s="692" t="n"/>
    </row>
    <row r="485" ht="20.1" customHeight="1">
      <c r="A485" s="142" t="n"/>
      <c r="B485" s="691" t="n"/>
      <c r="C485" s="692" t="n"/>
      <c r="D485" s="693" t="n"/>
      <c r="E485" s="694" t="n"/>
      <c r="F485" s="695" t="n"/>
      <c r="G485" s="696" t="n"/>
      <c r="H485" s="151" t="n"/>
      <c r="I485" s="152" t="n"/>
      <c r="J485" s="692" t="n"/>
    </row>
    <row r="486" ht="20.1" customHeight="1">
      <c r="A486" s="142" t="n"/>
      <c r="B486" s="691" t="n"/>
      <c r="C486" s="692" t="n"/>
      <c r="D486" s="693" t="n"/>
      <c r="E486" s="694" t="n"/>
      <c r="F486" s="695" t="n"/>
      <c r="G486" s="696" t="n"/>
      <c r="H486" s="151" t="n"/>
      <c r="I486" s="152" t="n"/>
      <c r="J486" s="692" t="n"/>
    </row>
    <row r="487" ht="20.1" customHeight="1">
      <c r="A487" s="142" t="n"/>
      <c r="B487" s="691" t="n"/>
      <c r="C487" s="692" t="n"/>
      <c r="D487" s="693" t="n"/>
      <c r="E487" s="694" t="n"/>
      <c r="F487" s="695" t="n"/>
      <c r="G487" s="696" t="n"/>
      <c r="H487" s="151" t="n"/>
      <c r="I487" s="152" t="n"/>
      <c r="J487" s="692" t="n"/>
    </row>
    <row r="488" ht="20.1" customHeight="1">
      <c r="A488" s="142" t="n"/>
      <c r="B488" s="691" t="n"/>
      <c r="C488" s="692" t="n"/>
      <c r="D488" s="693" t="n"/>
      <c r="E488" s="694" t="n"/>
      <c r="F488" s="695" t="n"/>
      <c r="G488" s="696" t="n"/>
      <c r="H488" s="151" t="n"/>
      <c r="I488" s="152" t="n"/>
      <c r="J488" s="692" t="n"/>
    </row>
    <row r="489" ht="20.1" customHeight="1">
      <c r="A489" s="142" t="n"/>
      <c r="B489" s="691" t="n"/>
      <c r="C489" s="692" t="n"/>
      <c r="D489" s="693" t="n"/>
      <c r="E489" s="694" t="n"/>
      <c r="F489" s="695" t="n"/>
      <c r="G489" s="696" t="n"/>
      <c r="H489" s="151" t="n"/>
      <c r="I489" s="152" t="n"/>
      <c r="J489" s="692" t="n"/>
    </row>
    <row r="490" ht="20.1" customHeight="1">
      <c r="A490" s="142" t="n"/>
      <c r="B490" s="691" t="n"/>
      <c r="C490" s="692" t="n"/>
      <c r="D490" s="693" t="n"/>
      <c r="E490" s="694" t="n"/>
      <c r="F490" s="695" t="n"/>
      <c r="G490" s="696" t="n"/>
      <c r="H490" s="151" t="n"/>
      <c r="I490" s="152" t="n"/>
      <c r="J490" s="692" t="n"/>
    </row>
    <row r="491" ht="20.1" customHeight="1">
      <c r="A491" s="142" t="n"/>
      <c r="B491" s="691" t="n"/>
      <c r="C491" s="692" t="n"/>
      <c r="D491" s="693" t="n"/>
      <c r="E491" s="694" t="n"/>
      <c r="F491" s="695" t="n"/>
      <c r="G491" s="696" t="n"/>
      <c r="H491" s="151" t="n"/>
      <c r="I491" s="152" t="n"/>
      <c r="J491" s="692" t="n"/>
    </row>
    <row r="492" ht="20.1" customHeight="1">
      <c r="A492" s="142" t="n"/>
      <c r="B492" s="691" t="n"/>
      <c r="C492" s="692" t="n"/>
      <c r="D492" s="693" t="n"/>
      <c r="E492" s="694" t="n"/>
      <c r="F492" s="695" t="n"/>
      <c r="G492" s="696" t="n"/>
      <c r="H492" s="151" t="n"/>
      <c r="I492" s="152" t="n"/>
      <c r="J492" s="692" t="n"/>
    </row>
    <row r="493" ht="20.1" customHeight="1">
      <c r="A493" s="142" t="n"/>
      <c r="B493" s="691" t="n"/>
      <c r="C493" s="692" t="n"/>
      <c r="D493" s="693" t="n"/>
      <c r="E493" s="694" t="n"/>
      <c r="F493" s="695" t="n"/>
      <c r="G493" s="696" t="n"/>
      <c r="H493" s="151" t="n"/>
      <c r="I493" s="152" t="n"/>
      <c r="J493" s="692" t="n"/>
    </row>
    <row r="494" ht="20.1" customHeight="1">
      <c r="A494" s="142" t="n"/>
      <c r="B494" s="691" t="n"/>
      <c r="C494" s="692" t="n"/>
      <c r="D494" s="693" t="n"/>
      <c r="E494" s="694" t="n"/>
      <c r="F494" s="695" t="n"/>
      <c r="G494" s="696" t="n"/>
      <c r="H494" s="151" t="n"/>
      <c r="I494" s="152" t="n"/>
      <c r="J494" s="692" t="n"/>
    </row>
    <row r="495" ht="20.1" customHeight="1">
      <c r="A495" s="142" t="n"/>
      <c r="B495" s="691" t="n"/>
      <c r="C495" s="692" t="n"/>
      <c r="D495" s="693" t="n"/>
      <c r="E495" s="694" t="n"/>
      <c r="F495" s="695" t="n"/>
      <c r="G495" s="696" t="n"/>
      <c r="H495" s="151" t="n"/>
      <c r="I495" s="152" t="n"/>
      <c r="J495" s="692" t="n"/>
    </row>
    <row r="496" ht="20.1" customHeight="1">
      <c r="A496" s="142" t="n"/>
      <c r="B496" s="691" t="n"/>
      <c r="C496" s="692" t="n"/>
      <c r="D496" s="693" t="n"/>
      <c r="E496" s="694" t="n"/>
      <c r="F496" s="695" t="n"/>
      <c r="G496" s="696" t="n"/>
      <c r="H496" s="151" t="n"/>
      <c r="I496" s="152" t="n"/>
      <c r="J496" s="692" t="n"/>
    </row>
    <row r="497" ht="20.1" customHeight="1">
      <c r="A497" s="142" t="n"/>
      <c r="B497" s="691" t="n"/>
      <c r="C497" s="692" t="n"/>
      <c r="D497" s="693" t="n"/>
      <c r="E497" s="694" t="n"/>
      <c r="F497" s="695" t="n"/>
      <c r="G497" s="696" t="n"/>
      <c r="H497" s="151" t="n"/>
      <c r="I497" s="152" t="n"/>
      <c r="J497" s="692" t="n"/>
    </row>
    <row r="498" ht="20.1" customHeight="1">
      <c r="A498" s="142" t="n"/>
      <c r="B498" s="691" t="n"/>
      <c r="C498" s="692" t="n"/>
      <c r="D498" s="693" t="n"/>
      <c r="E498" s="694" t="n"/>
      <c r="F498" s="695" t="n"/>
      <c r="G498" s="696" t="n"/>
      <c r="H498" s="151" t="n"/>
      <c r="I498" s="152" t="n"/>
      <c r="J498" s="692" t="n"/>
    </row>
    <row r="499" ht="20.1" customHeight="1">
      <c r="A499" s="142" t="n"/>
      <c r="B499" s="691" t="n"/>
      <c r="C499" s="692" t="n"/>
      <c r="D499" s="693" t="n"/>
      <c r="E499" s="694" t="n"/>
      <c r="F499" s="695" t="n"/>
      <c r="G499" s="696" t="n"/>
      <c r="H499" s="151" t="n"/>
      <c r="I499" s="152" t="n"/>
      <c r="J499" s="692" t="n"/>
    </row>
    <row r="500" ht="20.1" customHeight="1">
      <c r="A500" s="142" t="n"/>
      <c r="B500" s="691" t="n"/>
      <c r="C500" s="692" t="n"/>
      <c r="D500" s="693" t="n"/>
      <c r="E500" s="694" t="n"/>
      <c r="F500" s="695" t="n"/>
      <c r="G500" s="696" t="n"/>
      <c r="H500" s="151" t="n"/>
      <c r="I500" s="152" t="n"/>
      <c r="J500" s="692" t="n"/>
    </row>
    <row r="501" ht="20.1" customHeight="1">
      <c r="A501" s="142" t="n"/>
      <c r="B501" s="691" t="n"/>
      <c r="C501" s="692" t="n"/>
      <c r="D501" s="693" t="n"/>
      <c r="E501" s="694" t="n"/>
      <c r="F501" s="695" t="n"/>
      <c r="G501" s="696" t="n"/>
      <c r="H501" s="151" t="n"/>
      <c r="I501" s="152" t="n"/>
      <c r="J501" s="692" t="n"/>
    </row>
    <row r="502" ht="20.1" customHeight="1">
      <c r="A502" s="142" t="n"/>
      <c r="B502" s="691" t="n"/>
      <c r="C502" s="692" t="n"/>
      <c r="D502" s="693" t="n"/>
      <c r="E502" s="694" t="n"/>
      <c r="F502" s="695" t="n"/>
      <c r="G502" s="696" t="n"/>
      <c r="H502" s="151" t="n"/>
      <c r="I502" s="152" t="n"/>
      <c r="J502" s="692" t="n"/>
    </row>
    <row r="503" ht="20.1" customHeight="1">
      <c r="A503" s="142" t="n"/>
      <c r="B503" s="691" t="n"/>
      <c r="C503" s="692" t="n"/>
      <c r="D503" s="693" t="n"/>
      <c r="E503" s="694" t="n"/>
      <c r="F503" s="695" t="n"/>
      <c r="G503" s="696" t="n"/>
      <c r="H503" s="151" t="n"/>
      <c r="I503" s="152" t="n"/>
      <c r="J503" s="692" t="n"/>
    </row>
    <row r="504" ht="20.1" customHeight="1">
      <c r="A504" s="142" t="n"/>
      <c r="B504" s="691" t="n"/>
      <c r="C504" s="692" t="n"/>
      <c r="D504" s="693" t="n"/>
      <c r="E504" s="694" t="n"/>
      <c r="F504" s="695" t="n"/>
      <c r="G504" s="696" t="n"/>
      <c r="H504" s="151" t="n"/>
      <c r="I504" s="152" t="n"/>
      <c r="J504" s="692" t="n"/>
    </row>
    <row r="505" ht="20.1" customHeight="1">
      <c r="A505" s="142" t="n"/>
      <c r="B505" s="691" t="n"/>
      <c r="C505" s="692" t="n"/>
      <c r="D505" s="693" t="n"/>
      <c r="E505" s="694" t="n"/>
      <c r="F505" s="695" t="n"/>
      <c r="G505" s="696" t="n"/>
      <c r="H505" s="151" t="n"/>
      <c r="I505" s="152" t="n"/>
      <c r="J505" s="692" t="n"/>
    </row>
    <row r="506" ht="20.1" customHeight="1">
      <c r="A506" s="142" t="n"/>
      <c r="B506" s="691" t="n"/>
      <c r="C506" s="692" t="n"/>
      <c r="D506" s="693" t="n"/>
      <c r="E506" s="694" t="n"/>
      <c r="F506" s="695" t="n"/>
      <c r="G506" s="696" t="n"/>
      <c r="H506" s="151" t="n"/>
      <c r="I506" s="152" t="n"/>
      <c r="J506" s="692" t="n"/>
    </row>
    <row r="507" ht="20.1" customHeight="1">
      <c r="A507" s="142" t="n"/>
      <c r="B507" s="691" t="n"/>
      <c r="C507" s="692" t="n"/>
      <c r="D507" s="693" t="n"/>
      <c r="E507" s="694" t="n"/>
      <c r="F507" s="695" t="n"/>
      <c r="G507" s="696" t="n"/>
      <c r="H507" s="151" t="n"/>
      <c r="I507" s="152" t="n"/>
      <c r="J507" s="692" t="n"/>
    </row>
    <row r="508" ht="20.1" customHeight="1">
      <c r="A508" s="142" t="n"/>
      <c r="B508" s="691" t="n"/>
      <c r="C508" s="692" t="n"/>
      <c r="D508" s="693" t="n"/>
      <c r="E508" s="694" t="n"/>
      <c r="F508" s="695" t="n"/>
      <c r="G508" s="696" t="n"/>
      <c r="H508" s="151" t="n"/>
      <c r="I508" s="152" t="n"/>
      <c r="J508" s="692" t="n"/>
    </row>
    <row r="509" ht="20.1" customHeight="1">
      <c r="A509" s="142" t="n"/>
      <c r="B509" s="691" t="n"/>
      <c r="C509" s="692" t="n"/>
      <c r="D509" s="693" t="n"/>
      <c r="E509" s="694" t="n"/>
      <c r="F509" s="695" t="n"/>
      <c r="G509" s="696" t="n"/>
      <c r="H509" s="151" t="n"/>
      <c r="I509" s="152" t="n"/>
      <c r="J509" s="692" t="n"/>
    </row>
    <row r="510" ht="20.1" customHeight="1">
      <c r="A510" s="142" t="n"/>
      <c r="B510" s="691" t="n"/>
      <c r="C510" s="692" t="n"/>
      <c r="D510" s="693" t="n"/>
      <c r="E510" s="694" t="n"/>
      <c r="F510" s="695" t="n"/>
      <c r="G510" s="696" t="n"/>
      <c r="H510" s="151" t="n"/>
      <c r="I510" s="152" t="n"/>
      <c r="J510" s="692" t="n"/>
    </row>
    <row r="511" ht="20.1" customHeight="1">
      <c r="A511" s="142" t="n"/>
      <c r="B511" s="691" t="n"/>
      <c r="C511" s="692" t="n"/>
      <c r="D511" s="693" t="n"/>
      <c r="E511" s="694" t="n"/>
      <c r="F511" s="695" t="n"/>
      <c r="G511" s="696" t="n"/>
      <c r="H511" s="151" t="n"/>
      <c r="I511" s="152" t="n"/>
      <c r="J511" s="692" t="n"/>
    </row>
    <row r="512" ht="20.1" customHeight="1">
      <c r="A512" s="142" t="n"/>
      <c r="B512" s="691" t="n"/>
      <c r="C512" s="692" t="n"/>
      <c r="D512" s="693" t="n"/>
      <c r="E512" s="694" t="n"/>
      <c r="F512" s="695" t="n"/>
      <c r="G512" s="696" t="n"/>
      <c r="H512" s="151" t="n"/>
      <c r="I512" s="152" t="n"/>
      <c r="J512" s="692" t="n"/>
    </row>
    <row r="513" ht="20.1" customHeight="1">
      <c r="A513" s="142" t="n"/>
      <c r="B513" s="691" t="n"/>
      <c r="C513" s="692" t="n"/>
      <c r="D513" s="693" t="n"/>
      <c r="E513" s="694" t="n"/>
      <c r="F513" s="695" t="n"/>
      <c r="G513" s="696" t="n"/>
      <c r="H513" s="151" t="n"/>
      <c r="I513" s="152" t="n"/>
      <c r="J513" s="692" t="n"/>
    </row>
    <row r="514" ht="20.1" customHeight="1">
      <c r="A514" s="142" t="n"/>
      <c r="B514" s="691" t="n"/>
      <c r="C514" s="692" t="n"/>
      <c r="D514" s="693" t="n"/>
      <c r="E514" s="694" t="n"/>
      <c r="F514" s="695" t="n"/>
      <c r="G514" s="696" t="n"/>
      <c r="H514" s="151" t="n"/>
      <c r="I514" s="152" t="n"/>
      <c r="J514" s="692" t="n"/>
    </row>
    <row r="515" ht="20.1" customHeight="1">
      <c r="A515" s="142" t="n"/>
      <c r="B515" s="691" t="n"/>
      <c r="C515" s="692" t="n"/>
      <c r="D515" s="693" t="n"/>
      <c r="E515" s="694" t="n"/>
      <c r="F515" s="695" t="n"/>
      <c r="G515" s="696" t="n"/>
      <c r="H515" s="151" t="n"/>
      <c r="I515" s="152" t="n"/>
      <c r="J515" s="692" t="n"/>
    </row>
    <row r="516" ht="20.1" customHeight="1">
      <c r="A516" s="142" t="n"/>
      <c r="B516" s="691" t="n"/>
      <c r="C516" s="692" t="n"/>
      <c r="D516" s="693" t="n"/>
      <c r="E516" s="694" t="n"/>
      <c r="F516" s="695" t="n"/>
      <c r="G516" s="696" t="n"/>
      <c r="H516" s="151" t="n"/>
      <c r="I516" s="152" t="n"/>
      <c r="J516" s="692" t="n"/>
    </row>
    <row r="517" ht="20.1" customHeight="1">
      <c r="A517" s="142" t="n"/>
      <c r="B517" s="691" t="n"/>
      <c r="C517" s="692" t="n"/>
      <c r="D517" s="693" t="n"/>
      <c r="E517" s="694" t="n"/>
      <c r="F517" s="695" t="n"/>
      <c r="G517" s="696" t="n"/>
      <c r="H517" s="151" t="n"/>
      <c r="I517" s="152" t="n"/>
      <c r="J517" s="692" t="n"/>
    </row>
    <row r="518" ht="20.1" customHeight="1">
      <c r="A518" s="142" t="n"/>
      <c r="B518" s="691" t="n"/>
      <c r="C518" s="692" t="n"/>
      <c r="D518" s="693" t="n"/>
      <c r="E518" s="694" t="n"/>
      <c r="F518" s="695" t="n"/>
      <c r="G518" s="696" t="n"/>
      <c r="H518" s="151" t="n"/>
      <c r="I518" s="152" t="n"/>
      <c r="J518" s="692" t="n"/>
    </row>
    <row r="519" ht="20.1" customHeight="1">
      <c r="A519" s="142" t="n"/>
      <c r="B519" s="691" t="n"/>
      <c r="C519" s="692" t="n"/>
      <c r="D519" s="693" t="n"/>
      <c r="E519" s="694" t="n"/>
      <c r="F519" s="695" t="n"/>
      <c r="G519" s="696" t="n"/>
      <c r="H519" s="151" t="n"/>
      <c r="I519" s="152" t="n"/>
      <c r="J519" s="692" t="n"/>
    </row>
    <row r="520" ht="20.1" customHeight="1">
      <c r="A520" s="142" t="n"/>
      <c r="B520" s="691" t="n"/>
      <c r="C520" s="692" t="n"/>
      <c r="D520" s="693" t="n"/>
      <c r="E520" s="694" t="n"/>
      <c r="F520" s="695" t="n"/>
      <c r="G520" s="696" t="n"/>
      <c r="H520" s="151" t="n"/>
      <c r="I520" s="152" t="n"/>
      <c r="J520" s="692" t="n"/>
    </row>
    <row r="521" ht="20.1" customHeight="1">
      <c r="A521" s="142" t="n"/>
      <c r="B521" s="691" t="n"/>
      <c r="C521" s="692" t="n"/>
      <c r="D521" s="693" t="n"/>
      <c r="E521" s="694" t="n"/>
      <c r="F521" s="695" t="n"/>
      <c r="G521" s="696" t="n"/>
      <c r="H521" s="151" t="n"/>
      <c r="I521" s="152" t="n"/>
      <c r="J521" s="692" t="n"/>
    </row>
    <row r="522" ht="20.1" customHeight="1">
      <c r="A522" s="142" t="n"/>
      <c r="B522" s="691" t="n"/>
      <c r="C522" s="692" t="n"/>
      <c r="D522" s="693" t="n"/>
      <c r="E522" s="694" t="n"/>
      <c r="F522" s="695" t="n"/>
      <c r="G522" s="696" t="n"/>
      <c r="H522" s="151" t="n"/>
      <c r="I522" s="152" t="n"/>
      <c r="J522" s="692" t="n"/>
    </row>
    <row r="523" ht="20.1" customHeight="1">
      <c r="A523" s="142" t="n"/>
      <c r="B523" s="691" t="n"/>
      <c r="C523" s="692" t="n"/>
      <c r="D523" s="693" t="n"/>
      <c r="E523" s="694" t="n"/>
      <c r="F523" s="695" t="n"/>
      <c r="G523" s="696" t="n"/>
      <c r="H523" s="151" t="n"/>
      <c r="I523" s="152" t="n"/>
      <c r="J523" s="692" t="n"/>
    </row>
    <row r="524" ht="20.1" customHeight="1">
      <c r="A524" s="142" t="n"/>
      <c r="B524" s="691" t="n"/>
      <c r="C524" s="692" t="n"/>
      <c r="D524" s="693" t="n"/>
      <c r="E524" s="694" t="n"/>
      <c r="F524" s="695" t="n"/>
      <c r="G524" s="696" t="n"/>
      <c r="H524" s="151" t="n"/>
      <c r="I524" s="152" t="n"/>
      <c r="J524" s="692" t="n"/>
    </row>
    <row r="525" ht="20.1" customHeight="1">
      <c r="A525" s="142" t="n"/>
      <c r="B525" s="691" t="n"/>
      <c r="C525" s="692" t="n"/>
      <c r="D525" s="693" t="n"/>
      <c r="E525" s="694" t="n"/>
      <c r="F525" s="695" t="n"/>
      <c r="G525" s="696" t="n"/>
      <c r="H525" s="151" t="n"/>
      <c r="I525" s="152" t="n"/>
      <c r="J525" s="692" t="n"/>
    </row>
    <row r="526" ht="20.1" customHeight="1">
      <c r="A526" s="142" t="n"/>
      <c r="B526" s="691" t="n"/>
      <c r="C526" s="692" t="n"/>
      <c r="D526" s="693" t="n"/>
      <c r="E526" s="694" t="n"/>
      <c r="F526" s="695" t="n"/>
      <c r="G526" s="696" t="n"/>
      <c r="H526" s="151" t="n"/>
      <c r="I526" s="152" t="n"/>
      <c r="J526" s="692" t="n"/>
    </row>
    <row r="527" ht="20.1" customHeight="1">
      <c r="A527" s="142" t="n"/>
      <c r="B527" s="691" t="n"/>
      <c r="C527" s="692" t="n"/>
      <c r="D527" s="693" t="n"/>
      <c r="E527" s="694" t="n"/>
      <c r="F527" s="695" t="n"/>
      <c r="G527" s="696" t="n"/>
      <c r="H527" s="151" t="n"/>
      <c r="I527" s="152" t="n"/>
      <c r="J527" s="692" t="n"/>
    </row>
    <row r="528" ht="20.1" customHeight="1">
      <c r="A528" s="142" t="n"/>
      <c r="B528" s="691" t="n"/>
      <c r="C528" s="692" t="n"/>
      <c r="D528" s="693" t="n"/>
      <c r="E528" s="694" t="n"/>
      <c r="F528" s="695" t="n"/>
      <c r="G528" s="696" t="n"/>
      <c r="H528" s="151" t="n"/>
      <c r="I528" s="152" t="n"/>
      <c r="J528" s="692" t="n"/>
    </row>
    <row r="529" ht="20.1" customHeight="1">
      <c r="A529" s="142" t="n"/>
      <c r="B529" s="691" t="n"/>
      <c r="C529" s="692" t="n"/>
      <c r="D529" s="693" t="n"/>
      <c r="E529" s="694" t="n"/>
      <c r="F529" s="695" t="n"/>
      <c r="G529" s="696" t="n"/>
      <c r="H529" s="151" t="n"/>
      <c r="I529" s="152" t="n"/>
      <c r="J529" s="692" t="n"/>
    </row>
    <row r="530" ht="20.1" customHeight="1">
      <c r="A530" s="142" t="n"/>
      <c r="B530" s="691" t="n"/>
      <c r="C530" s="692" t="n"/>
      <c r="D530" s="693" t="n"/>
      <c r="E530" s="694" t="n"/>
      <c r="F530" s="695" t="n"/>
      <c r="G530" s="696" t="n"/>
      <c r="H530" s="151" t="n"/>
      <c r="I530" s="152" t="n"/>
      <c r="J530" s="692" t="n"/>
    </row>
    <row r="531" ht="20.1" customHeight="1">
      <c r="A531" s="142" t="n"/>
      <c r="B531" s="691" t="n"/>
      <c r="C531" s="692" t="n"/>
      <c r="D531" s="693" t="n"/>
      <c r="E531" s="694" t="n"/>
      <c r="F531" s="695" t="n"/>
      <c r="G531" s="696" t="n"/>
      <c r="H531" s="151" t="n"/>
      <c r="I531" s="152" t="n"/>
      <c r="J531" s="692" t="n"/>
    </row>
    <row r="532" ht="20.1" customHeight="1">
      <c r="A532" s="142" t="n"/>
      <c r="B532" s="691" t="n"/>
      <c r="C532" s="692" t="n"/>
      <c r="D532" s="693" t="n"/>
      <c r="E532" s="694" t="n"/>
      <c r="F532" s="695" t="n"/>
      <c r="G532" s="696" t="n"/>
      <c r="H532" s="151" t="n"/>
      <c r="I532" s="152" t="n"/>
      <c r="J532" s="692" t="n"/>
    </row>
    <row r="533" ht="20.1" customHeight="1">
      <c r="A533" s="142" t="n"/>
      <c r="B533" s="691" t="n"/>
      <c r="C533" s="692" t="n"/>
      <c r="D533" s="693" t="n"/>
      <c r="E533" s="694" t="n"/>
      <c r="F533" s="695" t="n"/>
      <c r="G533" s="696" t="n"/>
      <c r="H533" s="151" t="n"/>
      <c r="I533" s="152" t="n"/>
      <c r="J533" s="692" t="n"/>
    </row>
    <row r="534" ht="20.1" customHeight="1">
      <c r="A534" s="142" t="n"/>
      <c r="B534" s="691" t="n"/>
      <c r="C534" s="692" t="n"/>
      <c r="D534" s="693" t="n"/>
      <c r="E534" s="694" t="n"/>
      <c r="F534" s="695" t="n"/>
      <c r="G534" s="696" t="n"/>
      <c r="H534" s="151" t="n"/>
      <c r="I534" s="152" t="n"/>
      <c r="J534" s="692" t="n"/>
    </row>
    <row r="535" ht="20.1" customHeight="1">
      <c r="A535" s="142" t="n"/>
      <c r="B535" s="691" t="n"/>
      <c r="C535" s="692" t="n"/>
      <c r="D535" s="693" t="n"/>
      <c r="E535" s="694" t="n"/>
      <c r="F535" s="695" t="n"/>
      <c r="G535" s="696" t="n"/>
      <c r="H535" s="151" t="n"/>
      <c r="I535" s="152" t="n"/>
      <c r="J535" s="692" t="n"/>
    </row>
    <row r="536" ht="20.1" customHeight="1">
      <c r="A536" s="142" t="n"/>
      <c r="B536" s="691" t="n"/>
      <c r="C536" s="692" t="n"/>
      <c r="D536" s="693" t="n"/>
      <c r="E536" s="694" t="n"/>
      <c r="F536" s="695" t="n"/>
      <c r="G536" s="696" t="n"/>
      <c r="H536" s="151" t="n"/>
      <c r="I536" s="152" t="n"/>
      <c r="J536" s="692" t="n"/>
    </row>
    <row r="537" ht="20.1" customHeight="1">
      <c r="A537" s="142" t="n"/>
      <c r="B537" s="691" t="n"/>
      <c r="C537" s="692" t="n"/>
      <c r="D537" s="693" t="n"/>
      <c r="E537" s="694" t="n"/>
      <c r="F537" s="695" t="n"/>
      <c r="G537" s="696" t="n"/>
      <c r="H537" s="151" t="n"/>
      <c r="I537" s="152" t="n"/>
      <c r="J537" s="692" t="n"/>
    </row>
    <row r="538" ht="20.1" customHeight="1">
      <c r="A538" s="142" t="n"/>
      <c r="B538" s="691" t="n"/>
      <c r="C538" s="692" t="n"/>
      <c r="D538" s="693" t="n"/>
      <c r="E538" s="694" t="n"/>
      <c r="F538" s="695" t="n"/>
      <c r="G538" s="696" t="n"/>
      <c r="H538" s="151" t="n"/>
      <c r="I538" s="152" t="n"/>
      <c r="J538" s="692" t="n"/>
    </row>
    <row r="539" ht="20.1" customHeight="1">
      <c r="A539" s="142" t="n"/>
      <c r="B539" s="691" t="n"/>
      <c r="C539" s="692" t="n"/>
      <c r="D539" s="693" t="n"/>
      <c r="E539" s="694" t="n"/>
      <c r="F539" s="695" t="n"/>
      <c r="G539" s="696" t="n"/>
      <c r="H539" s="151" t="n"/>
      <c r="I539" s="152" t="n"/>
      <c r="J539" s="692" t="n"/>
    </row>
    <row r="540" ht="20.1" customHeight="1">
      <c r="A540" s="142" t="n"/>
      <c r="B540" s="691" t="n"/>
      <c r="C540" s="692" t="n"/>
      <c r="D540" s="693" t="n"/>
      <c r="E540" s="694" t="n"/>
      <c r="F540" s="695" t="n"/>
      <c r="G540" s="696" t="n"/>
      <c r="H540" s="151" t="n"/>
      <c r="I540" s="152" t="n"/>
      <c r="J540" s="692" t="n"/>
    </row>
    <row r="541" ht="20.1" customHeight="1">
      <c r="A541" s="142" t="n"/>
      <c r="B541" s="691" t="n"/>
      <c r="C541" s="692" t="n"/>
      <c r="D541" s="693" t="n"/>
      <c r="E541" s="694" t="n"/>
      <c r="F541" s="695" t="n"/>
      <c r="G541" s="696" t="n"/>
      <c r="H541" s="151" t="n"/>
      <c r="I541" s="152" t="n"/>
      <c r="J541" s="692" t="n"/>
    </row>
    <row r="542" ht="20.1" customHeight="1">
      <c r="A542" s="142" t="n"/>
      <c r="B542" s="691" t="n"/>
      <c r="C542" s="692" t="n"/>
      <c r="D542" s="693" t="n"/>
      <c r="E542" s="694" t="n"/>
      <c r="F542" s="695" t="n"/>
      <c r="G542" s="696" t="n"/>
      <c r="H542" s="151" t="n"/>
      <c r="I542" s="152" t="n"/>
      <c r="J542" s="692" t="n"/>
    </row>
    <row r="543" ht="20.1" customHeight="1">
      <c r="A543" s="142" t="n"/>
      <c r="B543" s="691" t="n"/>
      <c r="C543" s="692" t="n"/>
      <c r="D543" s="693" t="n"/>
      <c r="E543" s="694" t="n"/>
      <c r="F543" s="695" t="n"/>
      <c r="G543" s="696" t="n"/>
      <c r="H543" s="151" t="n"/>
      <c r="I543" s="152" t="n"/>
      <c r="J543" s="692" t="n"/>
    </row>
    <row r="544" ht="20.1" customHeight="1">
      <c r="A544" s="142" t="n"/>
      <c r="B544" s="691" t="n"/>
      <c r="C544" s="692" t="n"/>
      <c r="D544" s="693" t="n"/>
      <c r="E544" s="694" t="n"/>
      <c r="F544" s="695" t="n"/>
      <c r="G544" s="696" t="n"/>
      <c r="H544" s="151" t="n"/>
      <c r="I544" s="152" t="n"/>
      <c r="J544" s="692" t="n"/>
    </row>
    <row r="545" ht="20.1" customHeight="1">
      <c r="A545" s="142" t="n"/>
      <c r="B545" s="691" t="n"/>
      <c r="C545" s="692" t="n"/>
      <c r="D545" s="693" t="n"/>
      <c r="E545" s="694" t="n"/>
      <c r="F545" s="695" t="n"/>
      <c r="G545" s="696" t="n"/>
      <c r="H545" s="151" t="n"/>
      <c r="I545" s="152" t="n"/>
      <c r="J545" s="692" t="n"/>
    </row>
    <row r="546" ht="20.1" customHeight="1">
      <c r="A546" s="142" t="n"/>
      <c r="B546" s="691" t="n"/>
      <c r="C546" s="692" t="n"/>
      <c r="D546" s="693" t="n"/>
      <c r="E546" s="694" t="n"/>
      <c r="F546" s="695" t="n"/>
      <c r="G546" s="696" t="n"/>
      <c r="H546" s="151" t="n"/>
      <c r="I546" s="152" t="n"/>
      <c r="J546" s="692" t="n"/>
    </row>
    <row r="547" ht="20.1" customHeight="1">
      <c r="A547" s="142" t="n"/>
      <c r="B547" s="691" t="n"/>
      <c r="C547" s="692" t="n"/>
      <c r="D547" s="693" t="n"/>
      <c r="E547" s="694" t="n"/>
      <c r="F547" s="695" t="n"/>
      <c r="G547" s="696" t="n"/>
      <c r="H547" s="151" t="n"/>
      <c r="I547" s="152" t="n"/>
      <c r="J547" s="692" t="n"/>
    </row>
    <row r="548" ht="20.1" customHeight="1">
      <c r="A548" s="142" t="n"/>
      <c r="B548" s="691" t="n"/>
      <c r="C548" s="692" t="n"/>
      <c r="D548" s="693" t="n"/>
      <c r="E548" s="694" t="n"/>
      <c r="F548" s="695" t="n"/>
      <c r="G548" s="696" t="n"/>
      <c r="H548" s="151" t="n"/>
      <c r="I548" s="152" t="n"/>
      <c r="J548" s="692" t="n"/>
    </row>
    <row r="549" ht="20.1" customHeight="1">
      <c r="A549" s="142" t="n"/>
      <c r="B549" s="691" t="n"/>
      <c r="C549" s="692" t="n"/>
      <c r="D549" s="693" t="n"/>
      <c r="E549" s="694" t="n"/>
      <c r="F549" s="695" t="n"/>
      <c r="G549" s="696" t="n"/>
      <c r="H549" s="151" t="n"/>
      <c r="I549" s="152" t="n"/>
      <c r="J549" s="692" t="n"/>
    </row>
    <row r="550" ht="20.1" customHeight="1">
      <c r="A550" s="142" t="n"/>
      <c r="B550" s="691" t="n"/>
      <c r="C550" s="692" t="n"/>
      <c r="D550" s="693" t="n"/>
      <c r="E550" s="694" t="n"/>
      <c r="F550" s="695" t="n"/>
      <c r="G550" s="696" t="n"/>
      <c r="H550" s="151" t="n"/>
      <c r="I550" s="152" t="n"/>
      <c r="J550" s="692" t="n"/>
    </row>
    <row r="551" ht="20.1" customHeight="1">
      <c r="A551" s="142" t="n"/>
      <c r="B551" s="691" t="n"/>
      <c r="C551" s="692" t="n"/>
      <c r="D551" s="693" t="n"/>
      <c r="E551" s="694" t="n"/>
      <c r="F551" s="695" t="n"/>
      <c r="G551" s="696" t="n"/>
      <c r="H551" s="151" t="n"/>
      <c r="I551" s="152" t="n"/>
      <c r="J551" s="692" t="n"/>
    </row>
    <row r="552" ht="20.1" customHeight="1">
      <c r="A552" s="142" t="n"/>
      <c r="B552" s="691" t="n"/>
      <c r="C552" s="692" t="n"/>
      <c r="D552" s="693" t="n"/>
      <c r="E552" s="694" t="n"/>
      <c r="F552" s="695" t="n"/>
      <c r="G552" s="696" t="n"/>
      <c r="H552" s="151" t="n"/>
      <c r="I552" s="152" t="n"/>
      <c r="J552" s="692" t="n"/>
    </row>
    <row r="553" ht="20.1" customHeight="1">
      <c r="A553" s="142" t="n"/>
      <c r="B553" s="691" t="n"/>
      <c r="C553" s="692" t="n"/>
      <c r="D553" s="693" t="n"/>
      <c r="E553" s="694" t="n"/>
      <c r="F553" s="695" t="n"/>
      <c r="G553" s="696" t="n"/>
      <c r="H553" s="151" t="n"/>
      <c r="I553" s="152" t="n"/>
      <c r="J553" s="692" t="n"/>
    </row>
    <row r="554" ht="20.1" customHeight="1">
      <c r="A554" s="142" t="n"/>
      <c r="B554" s="691" t="n"/>
      <c r="C554" s="692" t="n"/>
      <c r="D554" s="693" t="n"/>
      <c r="E554" s="694" t="n"/>
      <c r="F554" s="695" t="n"/>
      <c r="G554" s="696" t="n"/>
      <c r="H554" s="151" t="n"/>
      <c r="I554" s="152" t="n"/>
      <c r="J554" s="692" t="n"/>
    </row>
    <row r="555" ht="20.1" customHeight="1">
      <c r="A555" s="142" t="n"/>
      <c r="B555" s="691" t="n"/>
      <c r="C555" s="692" t="n"/>
      <c r="D555" s="693" t="n"/>
      <c r="E555" s="694" t="n"/>
      <c r="F555" s="695" t="n"/>
      <c r="G555" s="696" t="n"/>
      <c r="H555" s="151" t="n"/>
      <c r="I555" s="152" t="n"/>
      <c r="J555" s="692" t="n"/>
    </row>
    <row r="556" ht="20.1" customHeight="1">
      <c r="A556" s="142" t="n"/>
      <c r="B556" s="691" t="n"/>
      <c r="C556" s="692" t="n"/>
      <c r="D556" s="693" t="n"/>
      <c r="E556" s="694" t="n"/>
      <c r="F556" s="695" t="n"/>
      <c r="G556" s="696" t="n"/>
      <c r="H556" s="151" t="n"/>
      <c r="I556" s="152" t="n"/>
      <c r="J556" s="692" t="n"/>
    </row>
    <row r="557" ht="20.1" customHeight="1">
      <c r="A557" s="142" t="n"/>
      <c r="B557" s="691" t="n"/>
      <c r="C557" s="692" t="n"/>
      <c r="D557" s="693" t="n"/>
      <c r="E557" s="694" t="n"/>
      <c r="F557" s="695" t="n"/>
      <c r="G557" s="696" t="n"/>
      <c r="H557" s="151" t="n"/>
      <c r="I557" s="152" t="n"/>
      <c r="J557" s="692" t="n"/>
    </row>
    <row r="558" ht="20.1" customHeight="1">
      <c r="A558" s="142" t="n"/>
      <c r="B558" s="691" t="n"/>
      <c r="C558" s="692" t="n"/>
      <c r="D558" s="693" t="n"/>
      <c r="E558" s="694" t="n"/>
      <c r="F558" s="695" t="n"/>
      <c r="G558" s="696" t="n"/>
      <c r="H558" s="151" t="n"/>
      <c r="I558" s="152" t="n"/>
      <c r="J558" s="692" t="n"/>
    </row>
    <row r="559" ht="20.1" customHeight="1">
      <c r="A559" s="142" t="n"/>
      <c r="B559" s="691" t="n"/>
      <c r="C559" s="692" t="n"/>
      <c r="D559" s="693" t="n"/>
      <c r="E559" s="694" t="n"/>
      <c r="F559" s="695" t="n"/>
      <c r="G559" s="696" t="n"/>
      <c r="H559" s="151" t="n"/>
      <c r="I559" s="152" t="n"/>
      <c r="J559" s="692" t="n"/>
    </row>
    <row r="560" ht="20.1" customHeight="1">
      <c r="A560" s="142" t="n"/>
      <c r="B560" s="691" t="n"/>
      <c r="C560" s="692" t="n"/>
      <c r="D560" s="693" t="n"/>
      <c r="E560" s="694" t="n"/>
      <c r="F560" s="695" t="n"/>
      <c r="G560" s="696" t="n"/>
      <c r="H560" s="151" t="n"/>
      <c r="I560" s="152" t="n"/>
      <c r="J560" s="692" t="n"/>
    </row>
    <row r="561" ht="20.1" customHeight="1">
      <c r="A561" s="142" t="n"/>
      <c r="B561" s="691" t="n"/>
      <c r="C561" s="692" t="n"/>
      <c r="D561" s="693" t="n"/>
      <c r="E561" s="694" t="n"/>
      <c r="F561" s="695" t="n"/>
      <c r="G561" s="696" t="n"/>
      <c r="H561" s="151" t="n"/>
      <c r="I561" s="152" t="n"/>
      <c r="J561" s="692" t="n"/>
    </row>
    <row r="562" ht="20.1" customHeight="1">
      <c r="A562" s="142" t="n"/>
      <c r="B562" s="691" t="n"/>
      <c r="C562" s="692" t="n"/>
      <c r="D562" s="693" t="n"/>
      <c r="E562" s="694" t="n"/>
      <c r="F562" s="695" t="n"/>
      <c r="G562" s="696" t="n"/>
      <c r="H562" s="151" t="n"/>
      <c r="I562" s="152" t="n"/>
      <c r="J562" s="692" t="n"/>
    </row>
    <row r="563" ht="20.1" customHeight="1">
      <c r="A563" s="142" t="n"/>
      <c r="B563" s="691" t="n"/>
      <c r="C563" s="692" t="n"/>
      <c r="D563" s="693" t="n"/>
      <c r="E563" s="694" t="n"/>
      <c r="F563" s="695" t="n"/>
      <c r="G563" s="696" t="n"/>
      <c r="H563" s="151" t="n"/>
      <c r="I563" s="152" t="n"/>
      <c r="J563" s="692" t="n"/>
    </row>
    <row r="564" ht="20.1" customHeight="1">
      <c r="A564" s="142" t="n"/>
      <c r="B564" s="691" t="n"/>
      <c r="C564" s="692" t="n"/>
      <c r="D564" s="693" t="n"/>
      <c r="E564" s="694" t="n"/>
      <c r="F564" s="695" t="n"/>
      <c r="G564" s="696" t="n"/>
      <c r="H564" s="151" t="n"/>
      <c r="I564" s="152" t="n"/>
      <c r="J564" s="692" t="n"/>
    </row>
    <row r="565" ht="20.1" customHeight="1">
      <c r="A565" s="142" t="n"/>
      <c r="B565" s="691" t="n"/>
      <c r="C565" s="692" t="n"/>
      <c r="D565" s="693" t="n"/>
      <c r="E565" s="694" t="n"/>
      <c r="F565" s="695" t="n"/>
      <c r="G565" s="696" t="n"/>
      <c r="H565" s="151" t="n"/>
      <c r="I565" s="152" t="n"/>
      <c r="J565" s="692" t="n"/>
    </row>
    <row r="566" ht="20.1" customHeight="1">
      <c r="A566" s="142" t="n"/>
      <c r="B566" s="691" t="n"/>
      <c r="C566" s="692" t="n"/>
      <c r="D566" s="693" t="n"/>
      <c r="E566" s="694" t="n"/>
      <c r="F566" s="695" t="n"/>
      <c r="G566" s="696" t="n"/>
      <c r="H566" s="151" t="n"/>
      <c r="I566" s="152" t="n"/>
      <c r="J566" s="692" t="n"/>
    </row>
    <row r="567" ht="20.1" customHeight="1">
      <c r="A567" s="142" t="n"/>
      <c r="B567" s="691" t="n"/>
      <c r="C567" s="692" t="n"/>
      <c r="D567" s="693" t="n"/>
      <c r="E567" s="694" t="n"/>
      <c r="F567" s="695" t="n"/>
      <c r="G567" s="696" t="n"/>
      <c r="H567" s="151" t="n"/>
      <c r="I567" s="152" t="n"/>
      <c r="J567" s="692" t="n"/>
    </row>
    <row r="568" ht="20.1" customHeight="1">
      <c r="A568" s="142" t="n"/>
      <c r="B568" s="691" t="n"/>
      <c r="C568" s="692" t="n"/>
      <c r="D568" s="693" t="n"/>
      <c r="E568" s="694" t="n"/>
      <c r="F568" s="695" t="n"/>
      <c r="G568" s="696" t="n"/>
      <c r="H568" s="151" t="n"/>
      <c r="I568" s="152" t="n"/>
      <c r="J568" s="692" t="n"/>
    </row>
    <row r="569" ht="20.1" customHeight="1">
      <c r="A569" s="142" t="n"/>
      <c r="B569" s="691" t="n"/>
      <c r="C569" s="692" t="n"/>
      <c r="D569" s="693" t="n"/>
      <c r="E569" s="694" t="n"/>
      <c r="F569" s="695" t="n"/>
      <c r="G569" s="696" t="n"/>
      <c r="H569" s="151" t="n"/>
      <c r="I569" s="152" t="n"/>
      <c r="J569" s="692" t="n"/>
    </row>
    <row r="570" ht="20.1" customHeight="1">
      <c r="A570" s="142" t="n"/>
      <c r="B570" s="691" t="n"/>
      <c r="C570" s="692" t="n"/>
      <c r="D570" s="693" t="n"/>
      <c r="E570" s="694" t="n"/>
      <c r="F570" s="695" t="n"/>
      <c r="G570" s="696" t="n"/>
      <c r="H570" s="151" t="n"/>
      <c r="I570" s="152" t="n"/>
      <c r="J570" s="692" t="n"/>
    </row>
    <row r="571" ht="20.1" customHeight="1">
      <c r="A571" s="142" t="n"/>
      <c r="B571" s="691" t="n"/>
      <c r="C571" s="692" t="n"/>
      <c r="D571" s="693" t="n"/>
      <c r="E571" s="694" t="n"/>
      <c r="F571" s="695" t="n"/>
      <c r="G571" s="696" t="n"/>
      <c r="H571" s="151" t="n"/>
      <c r="I571" s="152" t="n"/>
      <c r="J571" s="692" t="n"/>
    </row>
    <row r="572" ht="20.1" customHeight="1">
      <c r="A572" s="142" t="n"/>
      <c r="B572" s="691" t="n"/>
      <c r="C572" s="692" t="n"/>
      <c r="D572" s="693" t="n"/>
      <c r="E572" s="694" t="n"/>
      <c r="F572" s="695" t="n"/>
      <c r="G572" s="696" t="n"/>
      <c r="H572" s="151" t="n"/>
      <c r="I572" s="152" t="n"/>
      <c r="J572" s="692" t="n"/>
    </row>
    <row r="573" ht="20.1" customHeight="1">
      <c r="A573" s="142" t="n"/>
      <c r="B573" s="691" t="n"/>
      <c r="C573" s="692" t="n"/>
      <c r="D573" s="693" t="n"/>
      <c r="E573" s="694" t="n"/>
      <c r="F573" s="695" t="n"/>
      <c r="G573" s="696" t="n"/>
      <c r="H573" s="151" t="n"/>
      <c r="I573" s="152" t="n"/>
      <c r="J573" s="692" t="n"/>
    </row>
    <row r="574" ht="20.1" customHeight="1">
      <c r="A574" s="142" t="n"/>
      <c r="B574" s="691" t="n"/>
      <c r="C574" s="692" t="n"/>
      <c r="D574" s="693" t="n"/>
      <c r="E574" s="694" t="n"/>
      <c r="F574" s="695" t="n"/>
      <c r="G574" s="696" t="n"/>
      <c r="H574" s="151" t="n"/>
      <c r="I574" s="152" t="n"/>
      <c r="J574" s="692" t="n"/>
    </row>
    <row r="575" ht="20.1" customHeight="1">
      <c r="A575" s="142" t="n"/>
      <c r="B575" s="691" t="n"/>
      <c r="C575" s="692" t="n"/>
      <c r="D575" s="693" t="n"/>
      <c r="E575" s="694" t="n"/>
      <c r="F575" s="695" t="n"/>
      <c r="G575" s="696" t="n"/>
      <c r="H575" s="151" t="n"/>
      <c r="I575" s="152" t="n"/>
      <c r="J575" s="692" t="n"/>
    </row>
    <row r="576" ht="20.1" customHeight="1">
      <c r="A576" s="142" t="n"/>
      <c r="B576" s="691" t="n"/>
      <c r="C576" s="692" t="n"/>
      <c r="D576" s="693" t="n"/>
      <c r="E576" s="694" t="n"/>
      <c r="F576" s="695" t="n"/>
      <c r="G576" s="696" t="n"/>
      <c r="H576" s="151" t="n"/>
      <c r="I576" s="152" t="n"/>
      <c r="J576" s="692" t="n"/>
    </row>
    <row r="577" ht="20.1" customHeight="1">
      <c r="A577" s="142" t="n"/>
      <c r="B577" s="691" t="n"/>
      <c r="C577" s="692" t="n"/>
      <c r="D577" s="693" t="n"/>
      <c r="E577" s="694" t="n"/>
      <c r="F577" s="695" t="n"/>
      <c r="G577" s="696" t="n"/>
      <c r="H577" s="151" t="n"/>
      <c r="I577" s="152" t="n"/>
      <c r="J577" s="692" t="n"/>
    </row>
    <row r="578" ht="20.1" customHeight="1">
      <c r="A578" s="142" t="n"/>
      <c r="B578" s="691" t="n"/>
      <c r="C578" s="692" t="n"/>
      <c r="D578" s="693" t="n"/>
      <c r="E578" s="694" t="n"/>
      <c r="F578" s="695" t="n"/>
      <c r="G578" s="696" t="n"/>
      <c r="H578" s="151" t="n"/>
      <c r="I578" s="152" t="n"/>
      <c r="J578" s="692" t="n"/>
    </row>
    <row r="579" ht="20.1" customHeight="1">
      <c r="A579" s="142" t="n"/>
      <c r="B579" s="691" t="n"/>
      <c r="C579" s="692" t="n"/>
      <c r="D579" s="693" t="n"/>
      <c r="E579" s="694" t="n"/>
      <c r="F579" s="695" t="n"/>
      <c r="G579" s="696" t="n"/>
      <c r="H579" s="151" t="n"/>
      <c r="I579" s="152" t="n"/>
      <c r="J579" s="692" t="n"/>
    </row>
    <row r="580" ht="20.1" customHeight="1">
      <c r="A580" s="142" t="n"/>
      <c r="B580" s="691" t="n"/>
      <c r="C580" s="692" t="n"/>
      <c r="D580" s="693" t="n"/>
      <c r="E580" s="694" t="n"/>
      <c r="F580" s="695" t="n"/>
      <c r="G580" s="696" t="n"/>
      <c r="H580" s="151" t="n"/>
      <c r="I580" s="152" t="n"/>
      <c r="J580" s="692" t="n"/>
    </row>
    <row r="581" ht="20.1" customHeight="1">
      <c r="A581" s="142" t="n"/>
      <c r="B581" s="691" t="n"/>
      <c r="C581" s="692" t="n"/>
      <c r="D581" s="693" t="n"/>
      <c r="E581" s="694" t="n"/>
      <c r="F581" s="695" t="n"/>
      <c r="G581" s="696" t="n"/>
      <c r="H581" s="151" t="n"/>
      <c r="I581" s="152" t="n"/>
      <c r="J581" s="692" t="n"/>
    </row>
    <row r="582" ht="20.1" customHeight="1">
      <c r="A582" s="142" t="n"/>
      <c r="B582" s="691" t="n"/>
      <c r="C582" s="692" t="n"/>
      <c r="D582" s="693" t="n"/>
      <c r="E582" s="694" t="n"/>
      <c r="F582" s="695" t="n"/>
      <c r="G582" s="696" t="n"/>
      <c r="H582" s="151" t="n"/>
      <c r="I582" s="152" t="n"/>
      <c r="J582" s="692" t="n"/>
    </row>
    <row r="583" ht="20.1" customHeight="1">
      <c r="A583" s="142" t="n"/>
      <c r="B583" s="691" t="n"/>
      <c r="C583" s="692" t="n"/>
      <c r="D583" s="693" t="n"/>
      <c r="E583" s="694" t="n"/>
      <c r="F583" s="695" t="n"/>
      <c r="G583" s="696" t="n"/>
      <c r="H583" s="151" t="n"/>
      <c r="I583" s="152" t="n"/>
      <c r="J583" s="692" t="n"/>
    </row>
    <row r="584" ht="20.1" customHeight="1">
      <c r="A584" s="142" t="n"/>
      <c r="B584" s="700" t="n"/>
      <c r="C584" s="692" t="n"/>
      <c r="D584" s="701" t="n"/>
      <c r="E584" s="702" t="n"/>
      <c r="F584" s="695" t="n"/>
      <c r="G584" s="696" t="n"/>
      <c r="H584" s="151" t="n"/>
      <c r="I584" s="152" t="n"/>
      <c r="J584" s="692" t="n"/>
    </row>
    <row r="585" ht="20.1" customHeight="1">
      <c r="A585" s="142" t="n"/>
      <c r="B585" s="700" t="n"/>
      <c r="C585" s="692" t="n"/>
      <c r="D585" s="701" t="n"/>
      <c r="E585" s="702" t="n"/>
      <c r="F585" s="695" t="n"/>
      <c r="G585" s="696" t="n"/>
      <c r="H585" s="151" t="n"/>
      <c r="I585" s="152" t="n"/>
      <c r="J585" s="692" t="n"/>
    </row>
    <row r="586" ht="20.1" customHeight="1">
      <c r="A586" s="142" t="n"/>
      <c r="B586" s="700" t="n"/>
      <c r="C586" s="692" t="n"/>
      <c r="D586" s="701" t="n"/>
      <c r="E586" s="702" t="n"/>
      <c r="F586" s="695" t="n"/>
      <c r="G586" s="696" t="n"/>
      <c r="H586" s="151" t="n"/>
      <c r="I586" s="152" t="n"/>
      <c r="J586" s="692" t="n"/>
    </row>
    <row r="587" ht="20.1" customHeight="1">
      <c r="A587" s="142" t="n"/>
      <c r="B587" s="700" t="n"/>
      <c r="C587" s="692" t="n"/>
      <c r="D587" s="701" t="n"/>
      <c r="E587" s="702" t="n"/>
      <c r="F587" s="695" t="n"/>
      <c r="G587" s="696" t="n"/>
      <c r="H587" s="151" t="n"/>
      <c r="I587" s="152" t="n"/>
      <c r="J587" s="692" t="n"/>
    </row>
    <row r="588" ht="20.1" customHeight="1">
      <c r="A588" s="142" t="n"/>
      <c r="B588" s="700" t="n"/>
      <c r="C588" s="692" t="n"/>
      <c r="D588" s="701" t="n"/>
      <c r="E588" s="702" t="n"/>
      <c r="F588" s="695" t="n"/>
      <c r="G588" s="696" t="n"/>
      <c r="H588" s="151" t="n"/>
      <c r="I588" s="152" t="n"/>
      <c r="J588" s="692" t="n"/>
    </row>
    <row r="589" ht="20.1" customHeight="1">
      <c r="A589" s="142" t="n"/>
      <c r="B589" s="691" t="n"/>
      <c r="C589" s="692" t="n"/>
      <c r="D589" s="693" t="n"/>
      <c r="E589" s="694" t="n"/>
      <c r="F589" s="695" t="n"/>
      <c r="G589" s="696" t="n"/>
      <c r="H589" s="151" t="n"/>
      <c r="I589" s="152" t="n"/>
      <c r="J589" s="692" t="n"/>
    </row>
    <row r="590" ht="20.1" customHeight="1">
      <c r="A590" s="142" t="n"/>
      <c r="B590" s="700" t="n"/>
      <c r="C590" s="692" t="n"/>
      <c r="D590" s="701" t="n"/>
      <c r="E590" s="702" t="n"/>
      <c r="F590" s="695" t="n"/>
      <c r="G590" s="696" t="n"/>
      <c r="H590" s="151" t="n"/>
      <c r="I590" s="152" t="n"/>
      <c r="J590" s="692" t="n"/>
    </row>
    <row r="591" ht="20.1" customHeight="1">
      <c r="A591" s="142" t="n"/>
      <c r="B591" s="691" t="n"/>
      <c r="C591" s="692" t="n"/>
      <c r="D591" s="693" t="n"/>
      <c r="E591" s="694" t="n"/>
      <c r="F591" s="695" t="n"/>
      <c r="G591" s="696" t="n"/>
      <c r="H591" s="151" t="n"/>
      <c r="I591" s="152" t="n"/>
      <c r="J591" s="692" t="n"/>
    </row>
    <row r="592" ht="20.1" customHeight="1">
      <c r="A592" s="142" t="n"/>
      <c r="B592" s="691" t="n"/>
      <c r="C592" s="692" t="n"/>
      <c r="D592" s="693" t="n"/>
      <c r="E592" s="694" t="n"/>
      <c r="F592" s="695" t="n"/>
      <c r="G592" s="696" t="n"/>
      <c r="H592" s="151" t="n"/>
      <c r="I592" s="152" t="n"/>
      <c r="J592" s="692" t="n"/>
    </row>
    <row r="593" ht="20.1" customHeight="1">
      <c r="A593" s="142" t="n"/>
      <c r="B593" s="691" t="n"/>
      <c r="C593" s="692" t="n"/>
      <c r="D593" s="693" t="n"/>
      <c r="E593" s="694" t="n"/>
      <c r="F593" s="695" t="n"/>
      <c r="G593" s="696" t="n"/>
      <c r="H593" s="151" t="n"/>
      <c r="I593" s="152" t="n"/>
      <c r="J593" s="692" t="n"/>
    </row>
    <row r="594" ht="20.1" customHeight="1">
      <c r="A594" s="142" t="n"/>
      <c r="B594" s="691" t="n"/>
      <c r="C594" s="692" t="n"/>
      <c r="D594" s="693" t="n"/>
      <c r="E594" s="694" t="n"/>
      <c r="F594" s="695" t="n"/>
      <c r="G594" s="696" t="n"/>
      <c r="H594" s="151" t="n"/>
      <c r="I594" s="152" t="n"/>
      <c r="J594" s="692" t="n"/>
    </row>
    <row r="595" ht="20.1" customHeight="1">
      <c r="A595" s="142" t="n"/>
      <c r="B595" s="691" t="n"/>
      <c r="C595" s="692" t="n"/>
      <c r="D595" s="693" t="n"/>
      <c r="E595" s="694" t="n"/>
      <c r="F595" s="695" t="n"/>
      <c r="G595" s="696" t="n"/>
      <c r="H595" s="151" t="n"/>
      <c r="I595" s="152" t="n"/>
      <c r="J595" s="692" t="n"/>
    </row>
    <row r="596" ht="20.1" customHeight="1">
      <c r="A596" s="142" t="n"/>
      <c r="B596" s="691" t="n"/>
      <c r="C596" s="692" t="n"/>
      <c r="D596" s="693" t="n"/>
      <c r="E596" s="694" t="n"/>
      <c r="F596" s="695" t="n"/>
      <c r="G596" s="696" t="n"/>
      <c r="H596" s="151" t="n"/>
      <c r="I596" s="152" t="n"/>
      <c r="J596" s="692" t="n"/>
    </row>
    <row r="597" ht="20.1" customHeight="1">
      <c r="A597" s="142" t="n"/>
      <c r="B597" s="691" t="n"/>
      <c r="C597" s="692" t="n"/>
      <c r="D597" s="693" t="n"/>
      <c r="E597" s="694" t="n"/>
      <c r="F597" s="695" t="n"/>
      <c r="G597" s="696" t="n"/>
      <c r="H597" s="151" t="n"/>
      <c r="I597" s="152" t="n"/>
      <c r="J597" s="692" t="n"/>
    </row>
    <row r="598" ht="20.1" customHeight="1">
      <c r="A598" s="142" t="n"/>
      <c r="B598" s="691" t="n"/>
      <c r="C598" s="692" t="n"/>
      <c r="D598" s="693" t="n"/>
      <c r="E598" s="694" t="n"/>
      <c r="F598" s="695" t="n"/>
      <c r="G598" s="696" t="n"/>
      <c r="H598" s="151" t="n"/>
      <c r="I598" s="152" t="n"/>
      <c r="J598" s="692" t="n"/>
    </row>
    <row r="599" ht="20.1" customHeight="1">
      <c r="A599" s="142" t="n"/>
      <c r="B599" s="691" t="n"/>
      <c r="C599" s="692" t="n"/>
      <c r="D599" s="693" t="n"/>
      <c r="E599" s="694" t="n"/>
      <c r="F599" s="695" t="n"/>
      <c r="G599" s="696" t="n"/>
      <c r="H599" s="151" t="n"/>
      <c r="I599" s="152" t="n"/>
      <c r="J599" s="692" t="n"/>
    </row>
    <row r="600" ht="20.1" customHeight="1">
      <c r="A600" s="142" t="n"/>
      <c r="B600" s="691" t="n"/>
      <c r="C600" s="692" t="n"/>
      <c r="D600" s="693" t="n"/>
      <c r="E600" s="694" t="n"/>
      <c r="F600" s="695" t="n"/>
      <c r="G600" s="696" t="n"/>
      <c r="H600" s="151" t="n"/>
      <c r="I600" s="152" t="n"/>
      <c r="J600" s="692" t="n"/>
    </row>
    <row r="601" ht="20.1" customHeight="1">
      <c r="A601" s="142" t="n"/>
      <c r="B601" s="691" t="n"/>
      <c r="C601" s="692" t="n"/>
      <c r="D601" s="693" t="n"/>
      <c r="E601" s="694" t="n"/>
      <c r="F601" s="695" t="n"/>
      <c r="G601" s="696" t="n"/>
      <c r="H601" s="151" t="n"/>
      <c r="I601" s="152" t="n"/>
      <c r="J601" s="692" t="n"/>
    </row>
    <row r="602" ht="20.1" customHeight="1">
      <c r="A602" s="142" t="n"/>
      <c r="B602" s="691" t="n"/>
      <c r="C602" s="692" t="n"/>
      <c r="D602" s="693" t="n"/>
      <c r="E602" s="694" t="n"/>
      <c r="F602" s="695" t="n"/>
      <c r="G602" s="696" t="n"/>
      <c r="H602" s="151" t="n"/>
      <c r="I602" s="152" t="n"/>
      <c r="J602" s="692" t="n"/>
    </row>
    <row r="603" ht="20.1" customHeight="1">
      <c r="A603" s="142" t="n"/>
      <c r="B603" s="691" t="n"/>
      <c r="C603" s="692" t="n"/>
      <c r="D603" s="693" t="n"/>
      <c r="E603" s="694" t="n"/>
      <c r="F603" s="695" t="n"/>
      <c r="G603" s="696" t="n"/>
      <c r="H603" s="151" t="n"/>
      <c r="I603" s="152" t="n"/>
      <c r="J603" s="692" t="n"/>
    </row>
    <row r="604" ht="20.1" customHeight="1">
      <c r="A604" s="142" t="n"/>
      <c r="B604" s="691" t="n"/>
      <c r="C604" s="692" t="n"/>
      <c r="D604" s="693" t="n"/>
      <c r="E604" s="694" t="n"/>
      <c r="F604" s="695" t="n"/>
      <c r="G604" s="696" t="n"/>
      <c r="H604" s="151" t="n"/>
      <c r="I604" s="152" t="n"/>
      <c r="J604" s="692" t="n"/>
    </row>
    <row r="605" ht="20.1" customHeight="1">
      <c r="A605" s="142" t="n"/>
      <c r="B605" s="691" t="n"/>
      <c r="C605" s="692" t="n"/>
      <c r="D605" s="693" t="n"/>
      <c r="E605" s="694" t="n"/>
      <c r="F605" s="695" t="n"/>
      <c r="G605" s="696" t="n"/>
      <c r="H605" s="151" t="n"/>
      <c r="I605" s="152" t="n"/>
      <c r="J605" s="692" t="n"/>
    </row>
    <row r="606" ht="20.1" customHeight="1">
      <c r="A606" s="142" t="n"/>
      <c r="B606" s="691" t="n"/>
      <c r="C606" s="692" t="n"/>
      <c r="D606" s="693" t="n"/>
      <c r="E606" s="694" t="n"/>
      <c r="F606" s="695" t="n"/>
      <c r="G606" s="696" t="n"/>
      <c r="H606" s="151" t="n"/>
      <c r="I606" s="152" t="n"/>
      <c r="J606" s="692" t="n"/>
    </row>
    <row r="607" ht="20.1" customHeight="1">
      <c r="A607" s="142" t="n"/>
      <c r="B607" s="691" t="n"/>
      <c r="C607" s="692" t="n"/>
      <c r="D607" s="693" t="n"/>
      <c r="E607" s="694" t="n"/>
      <c r="F607" s="695" t="n"/>
      <c r="G607" s="696" t="n"/>
      <c r="H607" s="151" t="n"/>
      <c r="I607" s="152" t="n"/>
      <c r="J607" s="692" t="n"/>
    </row>
    <row r="608" ht="20.1" customHeight="1">
      <c r="A608" s="142" t="n"/>
      <c r="B608" s="691" t="n"/>
      <c r="C608" s="692" t="n"/>
      <c r="D608" s="693" t="n"/>
      <c r="E608" s="694" t="n"/>
      <c r="F608" s="695" t="n"/>
      <c r="G608" s="696" t="n"/>
      <c r="H608" s="151" t="n"/>
      <c r="I608" s="152" t="n"/>
      <c r="J608" s="692" t="n"/>
    </row>
    <row r="609" ht="20.1" customHeight="1">
      <c r="A609" s="142" t="n"/>
      <c r="B609" s="691" t="n"/>
      <c r="C609" s="692" t="n"/>
      <c r="D609" s="693" t="n"/>
      <c r="E609" s="694" t="n"/>
      <c r="F609" s="695" t="n"/>
      <c r="G609" s="696" t="n"/>
      <c r="H609" s="151" t="n"/>
      <c r="I609" s="152" t="n"/>
      <c r="J609" s="692" t="n"/>
    </row>
    <row r="610" ht="20.1" customHeight="1">
      <c r="A610" s="142" t="n"/>
      <c r="B610" s="691" t="n"/>
      <c r="C610" s="692" t="n"/>
      <c r="D610" s="693" t="n"/>
      <c r="E610" s="694" t="n"/>
      <c r="F610" s="695" t="n"/>
      <c r="G610" s="696" t="n"/>
      <c r="H610" s="151" t="n"/>
      <c r="I610" s="152" t="n"/>
      <c r="J610" s="692" t="n"/>
    </row>
    <row r="611" ht="20.1" customHeight="1">
      <c r="A611" s="142" t="n"/>
      <c r="B611" s="691" t="n"/>
      <c r="C611" s="692" t="n"/>
      <c r="D611" s="693" t="n"/>
      <c r="E611" s="694" t="n"/>
      <c r="F611" s="695" t="n"/>
      <c r="G611" s="696" t="n"/>
      <c r="H611" s="151" t="n"/>
      <c r="I611" s="152" t="n"/>
      <c r="J611" s="692" t="n"/>
    </row>
    <row r="612" ht="20.1" customHeight="1">
      <c r="A612" s="142" t="n"/>
      <c r="B612" s="691" t="n"/>
      <c r="C612" s="692" t="n"/>
      <c r="D612" s="693" t="n"/>
      <c r="E612" s="694" t="n"/>
      <c r="F612" s="695" t="n"/>
      <c r="G612" s="696" t="n"/>
      <c r="H612" s="151" t="n"/>
      <c r="I612" s="152" t="n"/>
      <c r="J612" s="692" t="n"/>
    </row>
    <row r="613" ht="20.1" customHeight="1">
      <c r="A613" s="142" t="n"/>
      <c r="B613" s="691" t="n"/>
      <c r="C613" s="692" t="n"/>
      <c r="D613" s="693" t="n"/>
      <c r="E613" s="694" t="n"/>
      <c r="F613" s="695" t="n"/>
      <c r="G613" s="696" t="n"/>
      <c r="H613" s="151" t="n"/>
      <c r="I613" s="152" t="n"/>
      <c r="J613" s="692" t="n"/>
    </row>
    <row r="614" ht="20.1" customHeight="1">
      <c r="A614" s="142" t="n"/>
      <c r="B614" s="691" t="n"/>
      <c r="C614" s="692" t="n"/>
      <c r="D614" s="693" t="n"/>
      <c r="E614" s="694" t="n"/>
      <c r="F614" s="695" t="n"/>
      <c r="G614" s="696" t="n"/>
      <c r="H614" s="151" t="n"/>
      <c r="I614" s="152" t="n"/>
      <c r="J614" s="692" t="n"/>
    </row>
    <row r="615" ht="20.1" customHeight="1">
      <c r="A615" s="142" t="n"/>
      <c r="B615" s="691" t="n"/>
      <c r="C615" s="692" t="n"/>
      <c r="D615" s="693" t="n"/>
      <c r="E615" s="694" t="n"/>
      <c r="F615" s="695" t="n"/>
      <c r="G615" s="696" t="n"/>
      <c r="H615" s="151" t="n"/>
      <c r="I615" s="152" t="n"/>
      <c r="J615" s="692" t="n"/>
    </row>
    <row r="616" ht="20.1" customHeight="1">
      <c r="A616" s="142" t="n"/>
      <c r="B616" s="691" t="n"/>
      <c r="C616" s="692" t="n"/>
      <c r="D616" s="693" t="n"/>
      <c r="E616" s="694" t="n"/>
      <c r="F616" s="695" t="n"/>
      <c r="G616" s="696" t="n"/>
      <c r="H616" s="151" t="n"/>
      <c r="I616" s="152" t="n"/>
      <c r="J616" s="692" t="n"/>
    </row>
    <row r="617" ht="20.1" customHeight="1">
      <c r="A617" s="142" t="n"/>
      <c r="B617" s="691" t="n"/>
      <c r="C617" s="692" t="n"/>
      <c r="D617" s="693" t="n"/>
      <c r="E617" s="694" t="n"/>
      <c r="F617" s="695" t="n"/>
      <c r="G617" s="696" t="n"/>
      <c r="H617" s="151" t="n"/>
      <c r="I617" s="152" t="n"/>
      <c r="J617" s="692" t="n"/>
    </row>
    <row r="618" ht="20.1" customHeight="1">
      <c r="A618" s="142" t="n"/>
      <c r="B618" s="691" t="n"/>
      <c r="C618" s="692" t="n"/>
      <c r="D618" s="693" t="n"/>
      <c r="E618" s="694" t="n"/>
      <c r="F618" s="695" t="n"/>
      <c r="G618" s="696" t="n"/>
      <c r="H618" s="151" t="n"/>
      <c r="I618" s="152" t="n"/>
      <c r="J618" s="692" t="n"/>
    </row>
    <row r="619" ht="20.1" customHeight="1">
      <c r="A619" s="142" t="n"/>
      <c r="B619" s="691" t="n"/>
      <c r="C619" s="692" t="n"/>
      <c r="D619" s="693" t="n"/>
      <c r="E619" s="694" t="n"/>
      <c r="F619" s="695" t="n"/>
      <c r="G619" s="696" t="n"/>
      <c r="H619" s="151" t="n"/>
      <c r="I619" s="152" t="n"/>
      <c r="J619" s="692" t="n"/>
    </row>
    <row r="620" ht="20.1" customHeight="1">
      <c r="A620" s="142" t="n"/>
      <c r="B620" s="691" t="n"/>
      <c r="C620" s="692" t="n"/>
      <c r="D620" s="693" t="n"/>
      <c r="E620" s="694" t="n"/>
      <c r="F620" s="695" t="n"/>
      <c r="G620" s="696" t="n"/>
      <c r="H620" s="151" t="n"/>
      <c r="I620" s="152" t="n"/>
      <c r="J620" s="692" t="n"/>
    </row>
    <row r="621" ht="20.1" customHeight="1">
      <c r="A621" s="142" t="n"/>
      <c r="B621" s="691" t="n"/>
      <c r="C621" s="692" t="n"/>
      <c r="D621" s="693" t="n"/>
      <c r="E621" s="694" t="n"/>
      <c r="F621" s="695" t="n"/>
      <c r="G621" s="696" t="n"/>
      <c r="H621" s="151" t="n"/>
      <c r="I621" s="152" t="n"/>
      <c r="J621" s="692" t="n"/>
    </row>
    <row r="622" ht="20.1" customHeight="1">
      <c r="A622" s="142" t="n"/>
      <c r="B622" s="691" t="n"/>
      <c r="C622" s="692" t="n"/>
      <c r="D622" s="693" t="n"/>
      <c r="E622" s="694" t="n"/>
      <c r="F622" s="695" t="n"/>
      <c r="G622" s="696" t="n"/>
      <c r="H622" s="151" t="n"/>
      <c r="I622" s="152" t="n"/>
      <c r="J622" s="692" t="n"/>
    </row>
    <row r="623" ht="20.1" customHeight="1">
      <c r="A623" s="142" t="n"/>
      <c r="B623" s="691" t="n"/>
      <c r="C623" s="692" t="n"/>
      <c r="D623" s="693" t="n"/>
      <c r="E623" s="694" t="n"/>
      <c r="F623" s="695" t="n"/>
      <c r="G623" s="696" t="n"/>
      <c r="H623" s="151" t="n"/>
      <c r="I623" s="152" t="n"/>
      <c r="J623" s="692" t="n"/>
    </row>
    <row r="624" ht="20.1" customHeight="1">
      <c r="A624" s="142" t="n"/>
      <c r="B624" s="691" t="n"/>
      <c r="C624" s="692" t="n"/>
      <c r="D624" s="693" t="n"/>
      <c r="E624" s="694" t="n"/>
      <c r="F624" s="695" t="n"/>
      <c r="G624" s="696" t="n"/>
      <c r="H624" s="151" t="n"/>
      <c r="I624" s="152" t="n"/>
      <c r="J624" s="692" t="n"/>
    </row>
    <row r="625" ht="20.1" customHeight="1">
      <c r="A625" s="142" t="n"/>
      <c r="B625" s="691" t="n"/>
      <c r="C625" s="692" t="n"/>
      <c r="D625" s="693" t="n"/>
      <c r="E625" s="694" t="n"/>
      <c r="F625" s="695" t="n"/>
      <c r="G625" s="696" t="n"/>
      <c r="H625" s="151" t="n"/>
      <c r="I625" s="152" t="n"/>
      <c r="J625" s="692" t="n"/>
    </row>
    <row r="626" ht="20.1" customHeight="1">
      <c r="A626" s="142" t="n"/>
      <c r="B626" s="691" t="n"/>
      <c r="C626" s="692" t="n"/>
      <c r="D626" s="693" t="n"/>
      <c r="E626" s="694" t="n"/>
      <c r="F626" s="695" t="n"/>
      <c r="G626" s="696" t="n"/>
      <c r="H626" s="151" t="n"/>
      <c r="I626" s="152" t="n"/>
      <c r="J626" s="692" t="n"/>
    </row>
    <row r="627" ht="20.1" customHeight="1">
      <c r="A627" s="142" t="n"/>
      <c r="B627" s="691" t="n"/>
      <c r="C627" s="692" t="n"/>
      <c r="D627" s="693" t="n"/>
      <c r="E627" s="694" t="n"/>
      <c r="F627" s="695" t="n"/>
      <c r="G627" s="696" t="n"/>
      <c r="H627" s="151" t="n"/>
      <c r="I627" s="152" t="n"/>
      <c r="J627" s="692" t="n"/>
    </row>
    <row r="628" ht="20.1" customHeight="1">
      <c r="A628" s="142" t="n"/>
      <c r="B628" s="691" t="n"/>
      <c r="C628" s="692" t="n"/>
      <c r="D628" s="693" t="n"/>
      <c r="E628" s="694" t="n"/>
      <c r="F628" s="695" t="n"/>
      <c r="G628" s="696" t="n"/>
      <c r="H628" s="151" t="n"/>
      <c r="I628" s="152" t="n"/>
      <c r="J628" s="692" t="n"/>
    </row>
    <row r="629" ht="20.1" customHeight="1">
      <c r="A629" s="142" t="n"/>
      <c r="B629" s="691" t="n"/>
      <c r="C629" s="692" t="n"/>
      <c r="D629" s="693" t="n"/>
      <c r="E629" s="694" t="n"/>
      <c r="F629" s="695" t="n"/>
      <c r="G629" s="696" t="n"/>
      <c r="H629" s="151" t="n"/>
      <c r="I629" s="152" t="n"/>
      <c r="J629" s="692" t="n"/>
    </row>
    <row r="630" ht="20.1" customHeight="1">
      <c r="A630" s="142" t="n"/>
      <c r="B630" s="691" t="n"/>
      <c r="C630" s="692" t="n"/>
      <c r="D630" s="693" t="n"/>
      <c r="E630" s="694" t="n"/>
      <c r="F630" s="695" t="n"/>
      <c r="G630" s="696" t="n"/>
      <c r="H630" s="151" t="n"/>
      <c r="I630" s="152" t="n"/>
      <c r="J630" s="692" t="n"/>
    </row>
    <row r="631" ht="20.1" customHeight="1">
      <c r="A631" s="142" t="n"/>
      <c r="B631" s="691" t="n"/>
      <c r="C631" s="692" t="n"/>
      <c r="D631" s="693" t="n"/>
      <c r="E631" s="694" t="n"/>
      <c r="F631" s="695" t="n"/>
      <c r="G631" s="696" t="n"/>
      <c r="H631" s="151" t="n"/>
      <c r="I631" s="152" t="n"/>
      <c r="J631" s="692" t="n"/>
    </row>
    <row r="632" ht="20.1" customHeight="1">
      <c r="A632" s="142" t="n"/>
      <c r="B632" s="691" t="n"/>
      <c r="C632" s="692" t="n"/>
      <c r="D632" s="693" t="n"/>
      <c r="E632" s="694" t="n"/>
      <c r="F632" s="695" t="n"/>
      <c r="G632" s="696" t="n"/>
      <c r="H632" s="151" t="n"/>
      <c r="I632" s="152" t="n"/>
      <c r="J632" s="692" t="n"/>
    </row>
    <row r="633" ht="20.1" customHeight="1">
      <c r="A633" s="142" t="n"/>
      <c r="B633" s="691" t="n"/>
      <c r="C633" s="692" t="n"/>
      <c r="D633" s="693" t="n"/>
      <c r="E633" s="694" t="n"/>
      <c r="F633" s="695" t="n"/>
      <c r="G633" s="696" t="n"/>
      <c r="H633" s="151" t="n"/>
      <c r="I633" s="152" t="n"/>
      <c r="J633" s="692" t="n"/>
    </row>
    <row r="634" ht="20.1" customHeight="1">
      <c r="A634" s="142" t="n"/>
      <c r="B634" s="691" t="n"/>
      <c r="C634" s="692" t="n"/>
      <c r="D634" s="693" t="n"/>
      <c r="E634" s="694" t="n"/>
      <c r="F634" s="695" t="n"/>
      <c r="G634" s="696" t="n"/>
      <c r="H634" s="151" t="n"/>
      <c r="I634" s="152" t="n"/>
      <c r="J634" s="692" t="n"/>
    </row>
    <row r="635" ht="20.1" customHeight="1">
      <c r="A635" s="142" t="n"/>
      <c r="B635" s="691" t="n"/>
      <c r="C635" s="692" t="n"/>
      <c r="D635" s="693" t="n"/>
      <c r="E635" s="694" t="n"/>
      <c r="F635" s="695" t="n"/>
      <c r="G635" s="696" t="n"/>
      <c r="H635" s="151" t="n"/>
      <c r="I635" s="152" t="n"/>
      <c r="J635" s="692" t="n"/>
    </row>
    <row r="636" ht="20.1" customHeight="1">
      <c r="A636" s="142" t="n"/>
      <c r="B636" s="691" t="n"/>
      <c r="C636" s="692" t="n"/>
      <c r="D636" s="693" t="n"/>
      <c r="E636" s="694" t="n"/>
      <c r="F636" s="695" t="n"/>
      <c r="G636" s="696" t="n"/>
      <c r="H636" s="151" t="n"/>
      <c r="I636" s="152" t="n"/>
      <c r="J636" s="692" t="n"/>
    </row>
    <row r="637" ht="20.1" customHeight="1">
      <c r="A637" s="142" t="n"/>
      <c r="B637" s="691" t="n"/>
      <c r="C637" s="692" t="n"/>
      <c r="D637" s="693" t="n"/>
      <c r="E637" s="694" t="n"/>
      <c r="F637" s="695" t="n"/>
      <c r="G637" s="696" t="n"/>
      <c r="H637" s="151" t="n"/>
      <c r="I637" s="152" t="n"/>
      <c r="J637" s="692" t="n"/>
    </row>
    <row r="638" ht="20.1" customHeight="1">
      <c r="A638" s="142" t="n"/>
      <c r="B638" s="691" t="n"/>
      <c r="C638" s="692" t="n"/>
      <c r="D638" s="693" t="n"/>
      <c r="E638" s="694" t="n"/>
      <c r="F638" s="695" t="n"/>
      <c r="G638" s="696" t="n"/>
      <c r="H638" s="151" t="n"/>
      <c r="I638" s="152" t="n"/>
      <c r="J638" s="692" t="n"/>
    </row>
    <row r="639" ht="20.1" customHeight="1">
      <c r="A639" s="142" t="n"/>
      <c r="B639" s="691" t="n"/>
      <c r="C639" s="692" t="n"/>
      <c r="D639" s="693" t="n"/>
      <c r="E639" s="694" t="n"/>
      <c r="F639" s="695" t="n"/>
      <c r="G639" s="696" t="n"/>
      <c r="H639" s="151" t="n"/>
      <c r="I639" s="152" t="n"/>
      <c r="J639" s="692" t="n"/>
    </row>
    <row r="640" ht="20.1" customHeight="1">
      <c r="A640" s="142" t="n"/>
      <c r="B640" s="691" t="n"/>
      <c r="C640" s="692" t="n"/>
      <c r="D640" s="693" t="n"/>
      <c r="E640" s="694" t="n"/>
      <c r="F640" s="695" t="n"/>
      <c r="G640" s="696" t="n"/>
      <c r="H640" s="151" t="n"/>
      <c r="I640" s="152" t="n"/>
      <c r="J640" s="692" t="n"/>
    </row>
    <row r="641" ht="20.1" customHeight="1">
      <c r="A641" s="142" t="n"/>
      <c r="B641" s="691" t="n"/>
      <c r="C641" s="692" t="n"/>
      <c r="D641" s="693" t="n"/>
      <c r="E641" s="694" t="n"/>
      <c r="F641" s="695" t="n"/>
      <c r="G641" s="696" t="n"/>
      <c r="H641" s="151" t="n"/>
      <c r="I641" s="152" t="n"/>
      <c r="J641" s="692" t="n"/>
    </row>
    <row r="642" ht="20.1" customHeight="1">
      <c r="A642" s="142" t="n"/>
      <c r="B642" s="691" t="n"/>
      <c r="C642" s="692" t="n"/>
      <c r="D642" s="693" t="n"/>
      <c r="E642" s="694" t="n"/>
      <c r="F642" s="695" t="n"/>
      <c r="G642" s="696" t="n"/>
      <c r="H642" s="151" t="n"/>
      <c r="I642" s="152" t="n"/>
      <c r="J642" s="692" t="n"/>
    </row>
    <row r="643" ht="20.1" customHeight="1">
      <c r="A643" s="142" t="n"/>
      <c r="B643" s="691" t="n"/>
      <c r="C643" s="692" t="n"/>
      <c r="D643" s="693" t="n"/>
      <c r="E643" s="694" t="n"/>
      <c r="F643" s="695" t="n"/>
      <c r="G643" s="696" t="n"/>
      <c r="H643" s="151" t="n"/>
      <c r="I643" s="152" t="n"/>
      <c r="J643" s="692" t="n"/>
    </row>
    <row r="644" ht="20.1" customHeight="1">
      <c r="A644" s="142" t="n"/>
      <c r="B644" s="691" t="n"/>
      <c r="C644" s="692" t="n"/>
      <c r="D644" s="693" t="n"/>
      <c r="E644" s="694" t="n"/>
      <c r="F644" s="695" t="n"/>
      <c r="G644" s="696" t="n"/>
      <c r="H644" s="151" t="n"/>
      <c r="I644" s="152" t="n"/>
      <c r="J644" s="692" t="n"/>
    </row>
    <row r="645" ht="20.1" customHeight="1">
      <c r="A645" s="142" t="n"/>
      <c r="B645" s="691" t="n"/>
      <c r="C645" s="692" t="n"/>
      <c r="D645" s="693" t="n"/>
      <c r="E645" s="694" t="n"/>
      <c r="F645" s="695" t="n"/>
      <c r="G645" s="696" t="n"/>
      <c r="H645" s="151" t="n"/>
      <c r="I645" s="152" t="n"/>
      <c r="J645" s="692" t="n"/>
    </row>
    <row r="646" ht="20.1" customHeight="1">
      <c r="A646" s="142" t="n"/>
      <c r="B646" s="700" t="n"/>
      <c r="C646" s="692" t="n"/>
      <c r="D646" s="701" t="n"/>
      <c r="E646" s="702" t="n"/>
      <c r="F646" s="695" t="n"/>
      <c r="G646" s="696" t="n"/>
      <c r="H646" s="151" t="n"/>
      <c r="I646" s="152" t="n"/>
      <c r="J646" s="692" t="n"/>
    </row>
    <row r="647" ht="20.1" customHeight="1">
      <c r="A647" s="142" t="n"/>
      <c r="B647" s="691" t="n"/>
      <c r="C647" s="692" t="n"/>
      <c r="D647" s="693" t="n"/>
      <c r="E647" s="694" t="n"/>
      <c r="F647" s="695" t="n"/>
      <c r="G647" s="696" t="n"/>
      <c r="H647" s="151" t="n"/>
      <c r="I647" s="152" t="n"/>
      <c r="J647" s="692" t="n"/>
    </row>
    <row r="648" ht="20.1" customHeight="1">
      <c r="A648" s="142" t="n"/>
      <c r="B648" s="691" t="n"/>
      <c r="C648" s="692" t="n"/>
      <c r="D648" s="693" t="n"/>
      <c r="E648" s="694" t="n"/>
      <c r="F648" s="695" t="n"/>
      <c r="G648" s="696" t="n"/>
      <c r="H648" s="151" t="n"/>
      <c r="I648" s="152" t="n"/>
      <c r="J648" s="692" t="n"/>
    </row>
    <row r="649" ht="20.1" customHeight="1">
      <c r="A649" s="142" t="n"/>
      <c r="B649" s="691" t="n"/>
      <c r="C649" s="692" t="n"/>
      <c r="D649" s="693" t="n"/>
      <c r="E649" s="694" t="n"/>
      <c r="F649" s="695" t="n"/>
      <c r="G649" s="696" t="n"/>
      <c r="H649" s="151" t="n"/>
      <c r="I649" s="152" t="n"/>
      <c r="J649" s="692" t="n"/>
    </row>
    <row r="650" ht="20.1" customHeight="1">
      <c r="A650" s="142" t="n"/>
      <c r="B650" s="691" t="n"/>
      <c r="C650" s="692" t="n"/>
      <c r="D650" s="693" t="n"/>
      <c r="E650" s="694" t="n"/>
      <c r="F650" s="695" t="n"/>
      <c r="G650" s="696" t="n"/>
      <c r="H650" s="151" t="n"/>
      <c r="I650" s="152" t="n"/>
      <c r="J650" s="692" t="n"/>
    </row>
    <row r="651" ht="20.1" customHeight="1">
      <c r="A651" s="142" t="n"/>
      <c r="B651" s="691" t="n"/>
      <c r="C651" s="692" t="n"/>
      <c r="D651" s="693" t="n"/>
      <c r="E651" s="694" t="n"/>
      <c r="F651" s="695" t="n"/>
      <c r="G651" s="696" t="n"/>
      <c r="H651" s="151" t="n"/>
      <c r="I651" s="152" t="n"/>
      <c r="J651" s="692" t="n"/>
    </row>
    <row r="652" ht="20.1" customHeight="1">
      <c r="A652" s="142" t="n"/>
      <c r="B652" s="691" t="n"/>
      <c r="C652" s="692" t="n"/>
      <c r="D652" s="693" t="n"/>
      <c r="E652" s="694" t="n"/>
      <c r="F652" s="695" t="n"/>
      <c r="G652" s="696" t="n"/>
      <c r="H652" s="151" t="n"/>
      <c r="I652" s="152" t="n"/>
      <c r="J652" s="692" t="n"/>
    </row>
    <row r="653" ht="20.1" customHeight="1">
      <c r="A653" s="142" t="n"/>
      <c r="B653" s="691" t="n"/>
      <c r="C653" s="692" t="n"/>
      <c r="D653" s="693" t="n"/>
      <c r="E653" s="694" t="n"/>
      <c r="F653" s="695" t="n"/>
      <c r="G653" s="696" t="n"/>
      <c r="H653" s="151" t="n"/>
      <c r="I653" s="152" t="n"/>
      <c r="J653" s="692" t="n"/>
    </row>
    <row r="654" ht="20.1" customHeight="1">
      <c r="A654" s="142" t="n"/>
      <c r="B654" s="691" t="n"/>
      <c r="C654" s="692" t="n"/>
      <c r="D654" s="693" t="n"/>
      <c r="E654" s="694" t="n"/>
      <c r="F654" s="695" t="n"/>
      <c r="G654" s="696" t="n"/>
      <c r="H654" s="151" t="n"/>
      <c r="I654" s="152" t="n"/>
      <c r="J654" s="692" t="n"/>
    </row>
    <row r="655" ht="20.1" customHeight="1">
      <c r="A655" s="142" t="n"/>
      <c r="B655" s="691" t="n"/>
      <c r="C655" s="692" t="n"/>
      <c r="D655" s="693" t="n"/>
      <c r="E655" s="694" t="n"/>
      <c r="F655" s="695" t="n"/>
      <c r="G655" s="696" t="n"/>
      <c r="H655" s="151" t="n"/>
      <c r="I655" s="152" t="n"/>
      <c r="J655" s="692" t="n"/>
    </row>
    <row r="656" ht="20.1" customHeight="1">
      <c r="A656" s="142" t="n"/>
      <c r="B656" s="691" t="n"/>
      <c r="C656" s="692" t="n"/>
      <c r="D656" s="693" t="n"/>
      <c r="E656" s="694" t="n"/>
      <c r="F656" s="695" t="n"/>
      <c r="G656" s="696" t="n"/>
      <c r="H656" s="151" t="n"/>
      <c r="I656" s="152" t="n"/>
      <c r="J656" s="692" t="n"/>
    </row>
    <row r="657" ht="20.1" customHeight="1">
      <c r="A657" s="142" t="n"/>
      <c r="B657" s="691" t="n"/>
      <c r="C657" s="692" t="n"/>
      <c r="D657" s="693" t="n"/>
      <c r="E657" s="694" t="n"/>
      <c r="F657" s="695" t="n"/>
      <c r="G657" s="696" t="n"/>
      <c r="H657" s="151" t="n"/>
      <c r="I657" s="152" t="n"/>
      <c r="J657" s="692" t="n"/>
    </row>
    <row r="658" ht="20.1" customHeight="1">
      <c r="A658" s="142" t="n"/>
      <c r="B658" s="691" t="n"/>
      <c r="C658" s="692" t="n"/>
      <c r="D658" s="693" t="n"/>
      <c r="E658" s="694" t="n"/>
      <c r="F658" s="695" t="n"/>
      <c r="G658" s="696" t="n"/>
      <c r="H658" s="151" t="n"/>
      <c r="I658" s="152" t="n"/>
      <c r="J658" s="692" t="n"/>
    </row>
    <row r="659">
      <c r="A659" s="142" t="n"/>
      <c r="B659" s="691" t="n"/>
      <c r="C659" s="692" t="n"/>
      <c r="D659" s="693" t="n"/>
      <c r="E659" s="694" t="n"/>
      <c r="F659" s="695" t="n"/>
      <c r="G659" s="696" t="n"/>
      <c r="H659" s="151" t="n"/>
      <c r="I659" s="152" t="n"/>
      <c r="J659" s="692" t="n"/>
      <c r="K659">
        <f>+(37168.41*1.13)/(0.93*5.45)</f>
        <v/>
      </c>
    </row>
    <row r="660">
      <c r="A660" s="142" t="n"/>
      <c r="B660" s="691" t="n"/>
      <c r="C660" s="692" t="n"/>
      <c r="D660" s="693" t="n"/>
      <c r="E660" s="694" t="n"/>
      <c r="F660" s="695" t="n"/>
      <c r="G660" s="696" t="n"/>
      <c r="H660" s="151" t="n"/>
      <c r="I660" s="152" t="n"/>
      <c r="J660" s="692" t="n"/>
    </row>
    <row r="661" ht="20.1" customHeight="1">
      <c r="A661" s="142" t="n"/>
      <c r="B661" s="691" t="n"/>
      <c r="C661" s="692" t="n"/>
      <c r="D661" s="693" t="n"/>
      <c r="E661" s="694" t="n"/>
      <c r="F661" s="695" t="n"/>
      <c r="G661" s="696" t="n"/>
      <c r="H661" s="151" t="n"/>
      <c r="I661" s="152" t="n"/>
      <c r="J661" s="692" t="n"/>
    </row>
    <row r="662" ht="20.1" customHeight="1">
      <c r="A662" s="142" t="n"/>
      <c r="B662" s="691" t="n"/>
      <c r="C662" s="692" t="n"/>
      <c r="D662" s="693" t="n"/>
      <c r="E662" s="694" t="n"/>
      <c r="F662" s="695" t="n"/>
      <c r="G662" s="696" t="n"/>
      <c r="H662" s="151" t="n"/>
      <c r="I662" s="152" t="n"/>
      <c r="J662" s="692" t="n"/>
    </row>
    <row r="663" ht="20.1" customHeight="1">
      <c r="A663" s="142" t="n"/>
      <c r="B663" s="691" t="n"/>
      <c r="C663" s="692" t="n"/>
      <c r="D663" s="693" t="n"/>
      <c r="E663" s="694" t="n"/>
      <c r="F663" s="695" t="n"/>
      <c r="G663" s="696" t="n"/>
      <c r="H663" s="151" t="n"/>
      <c r="I663" s="152" t="n"/>
      <c r="J663" s="692" t="n"/>
    </row>
    <row r="664" ht="20.1" customHeight="1">
      <c r="A664" s="142" t="n"/>
      <c r="B664" s="691" t="n"/>
      <c r="C664" s="692" t="n"/>
      <c r="D664" s="693" t="n"/>
      <c r="E664" s="694" t="n"/>
      <c r="F664" s="695" t="n"/>
      <c r="G664" s="696" t="n"/>
      <c r="H664" s="151" t="n"/>
      <c r="I664" s="152" t="n"/>
      <c r="J664" s="692" t="n"/>
    </row>
    <row r="665" ht="20.1" customHeight="1">
      <c r="A665" s="142" t="n"/>
      <c r="B665" s="691" t="n"/>
      <c r="C665" s="692" t="n"/>
      <c r="D665" s="693" t="n"/>
      <c r="E665" s="694" t="n"/>
      <c r="F665" s="695" t="n"/>
      <c r="G665" s="696" t="n"/>
      <c r="H665" s="151" t="n"/>
      <c r="I665" s="152" t="n"/>
      <c r="J665" s="692" t="n"/>
    </row>
    <row r="666" ht="20.1" customHeight="1">
      <c r="A666" s="142" t="n"/>
      <c r="B666" s="691" t="n"/>
      <c r="C666" s="692" t="n"/>
      <c r="D666" s="693" t="n"/>
      <c r="E666" s="694" t="n"/>
      <c r="F666" s="695" t="n"/>
      <c r="G666" s="696" t="n"/>
      <c r="H666" s="151" t="n"/>
      <c r="I666" s="152" t="n"/>
      <c r="J666" s="692" t="n"/>
    </row>
    <row r="667" ht="20.1" customHeight="1">
      <c r="A667" s="142" t="n"/>
      <c r="B667" s="691" t="n"/>
      <c r="C667" s="692" t="n"/>
      <c r="D667" s="693" t="n"/>
      <c r="E667" s="694" t="n"/>
      <c r="F667" s="695" t="n"/>
      <c r="G667" s="696" t="n"/>
      <c r="H667" s="151" t="n"/>
      <c r="I667" s="152" t="n"/>
      <c r="J667" s="692" t="n"/>
    </row>
    <row r="668" ht="20.1" customHeight="1">
      <c r="A668" s="142" t="n"/>
      <c r="B668" s="697" t="n"/>
      <c r="C668" s="692" t="n"/>
      <c r="D668" s="698" t="n"/>
      <c r="E668" s="699" t="n"/>
      <c r="F668" s="695" t="n"/>
      <c r="G668" s="696" t="n"/>
      <c r="H668" s="151" t="n"/>
      <c r="I668" s="152" t="n"/>
      <c r="J668" s="692" t="n"/>
    </row>
    <row r="669" ht="20.1" customHeight="1">
      <c r="A669" s="142" t="n"/>
      <c r="B669" s="697" t="n"/>
      <c r="C669" s="692" t="n"/>
      <c r="D669" s="698" t="n"/>
      <c r="E669" s="699" t="n"/>
      <c r="F669" s="695" t="n"/>
      <c r="G669" s="696" t="n"/>
      <c r="H669" s="151" t="n"/>
      <c r="I669" s="152" t="n"/>
      <c r="J669" s="692" t="n"/>
    </row>
    <row r="670" ht="20.1" customHeight="1">
      <c r="A670" s="142" t="n"/>
      <c r="B670" s="691" t="n"/>
      <c r="C670" s="692" t="n"/>
      <c r="D670" s="693" t="n"/>
      <c r="E670" s="694" t="n"/>
      <c r="F670" s="695" t="n"/>
      <c r="G670" s="696" t="n"/>
      <c r="H670" s="151" t="n"/>
      <c r="I670" s="152" t="n"/>
      <c r="J670" s="692" t="n"/>
    </row>
    <row r="671" ht="20.1" customHeight="1">
      <c r="A671" s="142" t="n"/>
      <c r="B671" s="691" t="n"/>
      <c r="C671" s="692" t="n"/>
      <c r="D671" s="693" t="n"/>
      <c r="E671" s="694" t="n"/>
      <c r="F671" s="695" t="n"/>
      <c r="G671" s="696" t="n"/>
      <c r="H671" s="151" t="n"/>
      <c r="I671" s="152" t="n"/>
      <c r="J671" s="692" t="n"/>
    </row>
    <row r="672" ht="20.1" customHeight="1">
      <c r="A672" s="142" t="n"/>
      <c r="B672" s="691" t="n"/>
      <c r="C672" s="692" t="n"/>
      <c r="D672" s="693" t="n"/>
      <c r="E672" s="694" t="n"/>
      <c r="F672" s="695" t="n"/>
      <c r="G672" s="696" t="n"/>
      <c r="H672" s="151" t="n"/>
      <c r="I672" s="152" t="n"/>
      <c r="J672" s="692" t="n"/>
    </row>
    <row r="673" ht="20.1" customHeight="1">
      <c r="A673" s="142" t="n"/>
      <c r="B673" s="691" t="n"/>
      <c r="C673" s="692" t="n"/>
      <c r="D673" s="693" t="n"/>
      <c r="E673" s="694" t="n"/>
      <c r="F673" s="695" t="n"/>
      <c r="G673" s="696" t="n"/>
      <c r="H673" s="151" t="n"/>
      <c r="I673" s="152" t="n"/>
      <c r="J673" s="692" t="n"/>
    </row>
    <row r="674" ht="20.1" customHeight="1">
      <c r="A674" s="142" t="n"/>
      <c r="B674" s="691" t="n"/>
      <c r="C674" s="692" t="n"/>
      <c r="D674" s="693" t="n"/>
      <c r="E674" s="694" t="n"/>
      <c r="F674" s="695" t="n"/>
      <c r="G674" s="696" t="n"/>
      <c r="H674" s="151" t="n"/>
      <c r="I674" s="152" t="n"/>
      <c r="J674" s="692" t="n"/>
    </row>
    <row r="675" ht="20.1" customHeight="1">
      <c r="A675" s="142" t="n"/>
      <c r="B675" s="691" t="n"/>
      <c r="C675" s="692" t="n"/>
      <c r="D675" s="693" t="n"/>
      <c r="E675" s="694" t="n"/>
      <c r="F675" s="695" t="n"/>
      <c r="G675" s="696" t="n"/>
      <c r="H675" s="151" t="n"/>
      <c r="I675" s="152" t="n"/>
      <c r="J675" s="692" t="n"/>
    </row>
    <row r="676" ht="20.1" customHeight="1">
      <c r="A676" s="142" t="n"/>
      <c r="B676" s="691" t="n"/>
      <c r="C676" s="692" t="n"/>
      <c r="D676" s="693" t="n"/>
      <c r="E676" s="694" t="n"/>
      <c r="F676" s="695" t="n"/>
      <c r="G676" s="696" t="n"/>
      <c r="H676" s="151" t="n"/>
      <c r="I676" s="152" t="n"/>
      <c r="J676" s="692" t="n"/>
    </row>
    <row r="677" ht="20.1" customHeight="1">
      <c r="A677" s="142" t="n"/>
      <c r="B677" s="691" t="n"/>
      <c r="C677" s="692" t="n"/>
      <c r="D677" s="693" t="n"/>
      <c r="E677" s="694" t="n"/>
      <c r="F677" s="695" t="n"/>
      <c r="G677" s="696" t="n"/>
      <c r="H677" s="151" t="n"/>
      <c r="I677" s="152" t="n"/>
      <c r="J677" s="692" t="n"/>
    </row>
    <row r="678" ht="20.1" customHeight="1">
      <c r="A678" s="142" t="n"/>
      <c r="B678" s="691" t="n"/>
      <c r="C678" s="692" t="n"/>
      <c r="D678" s="693" t="n"/>
      <c r="E678" s="694" t="n"/>
      <c r="F678" s="695" t="n"/>
      <c r="G678" s="696" t="n"/>
      <c r="H678" s="151" t="n"/>
      <c r="I678" s="152" t="n"/>
      <c r="J678" s="692" t="n"/>
    </row>
    <row r="679" ht="20.1" customHeight="1">
      <c r="A679" s="142" t="n"/>
      <c r="B679" s="691" t="n"/>
      <c r="C679" s="692" t="n"/>
      <c r="D679" s="693" t="n"/>
      <c r="E679" s="694" t="n"/>
      <c r="F679" s="695" t="n"/>
      <c r="G679" s="696" t="n"/>
      <c r="H679" s="151" t="n"/>
      <c r="I679" s="152" t="n"/>
      <c r="J679" s="692" t="n"/>
    </row>
    <row r="680" ht="20.1" customHeight="1">
      <c r="A680" s="142" t="n"/>
      <c r="B680" s="691" t="n"/>
      <c r="C680" s="692" t="n"/>
      <c r="D680" s="693" t="n"/>
      <c r="E680" s="694" t="n"/>
      <c r="F680" s="695" t="n"/>
      <c r="G680" s="696" t="n"/>
      <c r="H680" s="151" t="n"/>
      <c r="I680" s="152" t="n"/>
      <c r="J680" s="692" t="n"/>
    </row>
    <row r="681" ht="20.1" customHeight="1">
      <c r="A681" s="142" t="n"/>
      <c r="B681" s="691" t="n"/>
      <c r="C681" s="692" t="n"/>
      <c r="D681" s="693" t="n"/>
      <c r="E681" s="694" t="n"/>
      <c r="F681" s="695" t="n"/>
      <c r="G681" s="696" t="n"/>
      <c r="H681" s="151" t="n"/>
      <c r="I681" s="152" t="n"/>
      <c r="J681" s="692" t="n"/>
    </row>
    <row r="682" ht="20.1" customHeight="1">
      <c r="A682" s="142" t="n"/>
      <c r="B682" s="691" t="n"/>
      <c r="C682" s="692" t="n"/>
      <c r="D682" s="693" t="n"/>
      <c r="E682" s="694" t="n"/>
      <c r="F682" s="695" t="n"/>
      <c r="G682" s="696" t="n"/>
      <c r="H682" s="151" t="n"/>
      <c r="I682" s="152" t="n"/>
      <c r="J682" s="692" t="n"/>
    </row>
    <row r="683" ht="20.1" customHeight="1">
      <c r="A683" s="142" t="n"/>
      <c r="B683" s="691" t="n"/>
      <c r="C683" s="692" t="n"/>
      <c r="D683" s="693" t="n"/>
      <c r="E683" s="694" t="n"/>
      <c r="F683" s="695" t="n"/>
      <c r="G683" s="696" t="n"/>
      <c r="H683" s="151" t="n"/>
      <c r="I683" s="152" t="n"/>
      <c r="J683" s="692" t="n"/>
    </row>
    <row r="684" ht="20.1" customHeight="1">
      <c r="A684" s="142" t="n"/>
      <c r="B684" s="691" t="n"/>
      <c r="C684" s="692" t="n"/>
      <c r="D684" s="693" t="n"/>
      <c r="E684" s="694" t="n"/>
      <c r="F684" s="695" t="n"/>
      <c r="G684" s="696" t="n"/>
      <c r="H684" s="151" t="n"/>
      <c r="I684" s="152" t="n"/>
      <c r="J684" s="692" t="n"/>
    </row>
    <row r="685" ht="20.1" customHeight="1">
      <c r="A685" s="142" t="n"/>
      <c r="B685" s="691" t="n"/>
      <c r="C685" s="692" t="n"/>
      <c r="D685" s="693" t="n"/>
      <c r="E685" s="694" t="n"/>
      <c r="F685" s="695" t="n"/>
      <c r="G685" s="696" t="n"/>
      <c r="H685" s="151" t="n"/>
      <c r="I685" s="152" t="n"/>
      <c r="J685" s="692" t="n"/>
    </row>
    <row r="686" ht="20.1" customHeight="1">
      <c r="A686" s="142" t="n"/>
      <c r="B686" s="691" t="n"/>
      <c r="C686" s="692" t="n"/>
      <c r="D686" s="693" t="n"/>
      <c r="E686" s="694" t="n"/>
      <c r="F686" s="695" t="n"/>
      <c r="G686" s="696" t="n"/>
      <c r="H686" s="151" t="n"/>
      <c r="I686" s="152" t="n"/>
      <c r="J686" s="692" t="n"/>
    </row>
    <row r="687" ht="20.1" customHeight="1">
      <c r="A687" s="142" t="n"/>
      <c r="B687" s="691" t="n"/>
      <c r="C687" s="692" t="n"/>
      <c r="D687" s="693" t="n"/>
      <c r="E687" s="694" t="n"/>
      <c r="F687" s="695" t="n"/>
      <c r="G687" s="696" t="n"/>
      <c r="H687" s="151" t="n"/>
      <c r="I687" s="152" t="n"/>
      <c r="J687" s="692" t="n"/>
    </row>
    <row r="688" ht="20.1" customHeight="1">
      <c r="A688" s="142" t="n"/>
      <c r="B688" s="691" t="n"/>
      <c r="C688" s="692" t="n"/>
      <c r="D688" s="693" t="n"/>
      <c r="E688" s="694" t="n"/>
      <c r="F688" s="695" t="n"/>
      <c r="G688" s="696" t="n"/>
      <c r="H688" s="151" t="n"/>
      <c r="I688" s="152" t="n"/>
      <c r="J688" s="692" t="n"/>
    </row>
    <row r="689" ht="20.1" customHeight="1">
      <c r="A689" s="142" t="n"/>
      <c r="B689" s="691" t="n"/>
      <c r="C689" s="692" t="n"/>
      <c r="D689" s="693" t="n"/>
      <c r="E689" s="694" t="n"/>
      <c r="F689" s="695" t="n"/>
      <c r="G689" s="696" t="n"/>
      <c r="H689" s="151" t="n"/>
      <c r="I689" s="152" t="n"/>
      <c r="J689" s="692" t="n"/>
    </row>
    <row r="690" ht="20.1" customHeight="1">
      <c r="A690" s="142" t="n"/>
      <c r="B690" s="691" t="n"/>
      <c r="C690" s="692" t="n"/>
      <c r="D690" s="693" t="n"/>
      <c r="E690" s="694" t="n"/>
      <c r="F690" s="695" t="n"/>
      <c r="G690" s="696" t="n"/>
      <c r="H690" s="151" t="n"/>
      <c r="I690" s="152" t="n"/>
      <c r="J690" s="692" t="n"/>
    </row>
    <row r="691" ht="20.1" customHeight="1">
      <c r="A691" s="142" t="n"/>
      <c r="B691" s="697" t="n"/>
      <c r="C691" s="692" t="n"/>
      <c r="D691" s="698" t="n"/>
      <c r="E691" s="699" t="n"/>
      <c r="F691" s="695" t="n"/>
      <c r="G691" s="696" t="n"/>
      <c r="H691" s="151" t="n"/>
      <c r="I691" s="152" t="n"/>
      <c r="J691" s="692" t="n"/>
    </row>
    <row r="692" ht="20.1" customHeight="1">
      <c r="A692" s="142" t="n"/>
      <c r="B692" s="691" t="n"/>
      <c r="C692" s="692" t="n"/>
      <c r="D692" s="693" t="n"/>
      <c r="E692" s="694" t="n"/>
      <c r="F692" s="695" t="n"/>
      <c r="G692" s="696" t="n"/>
      <c r="H692" s="151" t="n"/>
      <c r="I692" s="152" t="n"/>
      <c r="J692" s="692" t="n"/>
    </row>
    <row r="693" ht="20.1" customHeight="1">
      <c r="A693" s="142" t="n"/>
      <c r="B693" s="691" t="n"/>
      <c r="C693" s="692" t="n"/>
      <c r="D693" s="693" t="n"/>
      <c r="E693" s="694" t="n"/>
      <c r="F693" s="695" t="n"/>
      <c r="G693" s="696" t="n"/>
      <c r="H693" s="151" t="n"/>
      <c r="I693" s="152" t="n"/>
      <c r="J693" s="692" t="n"/>
    </row>
    <row r="694" ht="20.1" customHeight="1">
      <c r="A694" s="142" t="n"/>
      <c r="B694" s="691" t="n"/>
      <c r="C694" s="692" t="n"/>
      <c r="D694" s="693" t="n"/>
      <c r="E694" s="694" t="n"/>
      <c r="F694" s="695" t="n"/>
      <c r="G694" s="696" t="n"/>
      <c r="H694" s="151" t="n"/>
      <c r="I694" s="152" t="n"/>
      <c r="J694" s="692" t="n"/>
    </row>
    <row r="695" ht="20.1" customHeight="1">
      <c r="A695" s="142" t="n"/>
      <c r="B695" s="691" t="n"/>
      <c r="C695" s="692" t="n"/>
      <c r="D695" s="693" t="n"/>
      <c r="E695" s="694" t="n"/>
      <c r="F695" s="695" t="n"/>
      <c r="G695" s="696" t="n"/>
      <c r="H695" s="151" t="n"/>
      <c r="I695" s="152" t="n"/>
      <c r="J695" s="692" t="n"/>
    </row>
    <row r="696" ht="20.1" customHeight="1">
      <c r="A696" s="142" t="n"/>
      <c r="B696" s="691" t="n"/>
      <c r="C696" s="692" t="n"/>
      <c r="D696" s="693" t="n"/>
      <c r="E696" s="694" t="n"/>
      <c r="F696" s="695" t="n"/>
      <c r="G696" s="696" t="n"/>
      <c r="H696" s="151" t="n"/>
      <c r="I696" s="152" t="n"/>
      <c r="J696" s="692" t="n"/>
    </row>
    <row r="697" ht="20.1" customHeight="1">
      <c r="A697" s="142" t="n"/>
      <c r="B697" s="691" t="n"/>
      <c r="C697" s="692" t="n"/>
      <c r="D697" s="693" t="n"/>
      <c r="E697" s="694" t="n"/>
      <c r="F697" s="695" t="n"/>
      <c r="G697" s="696" t="n"/>
      <c r="H697" s="151" t="n"/>
      <c r="I697" s="152" t="n"/>
      <c r="J697" s="692" t="n"/>
    </row>
    <row r="698" ht="20.1" customHeight="1">
      <c r="A698" s="142" t="n"/>
      <c r="B698" s="691" t="n"/>
      <c r="C698" s="692" t="n"/>
      <c r="D698" s="693" t="n"/>
      <c r="E698" s="694" t="n"/>
      <c r="F698" s="695" t="n"/>
      <c r="G698" s="696" t="n"/>
      <c r="H698" s="151" t="n"/>
      <c r="I698" s="152" t="n"/>
      <c r="J698" s="692" t="n"/>
    </row>
    <row r="699" ht="20.1" customHeight="1">
      <c r="A699" s="142" t="n"/>
      <c r="B699" s="691" t="n"/>
      <c r="C699" s="692" t="n"/>
      <c r="D699" s="693" t="n"/>
      <c r="E699" s="694" t="n"/>
      <c r="F699" s="695" t="n"/>
      <c r="G699" s="696" t="n"/>
      <c r="H699" s="151" t="n"/>
      <c r="I699" s="152" t="n"/>
      <c r="J699" s="692" t="n"/>
    </row>
    <row r="700" ht="20.1" customHeight="1">
      <c r="A700" s="142" t="n"/>
      <c r="B700" s="691" t="n"/>
      <c r="C700" s="692" t="n"/>
      <c r="D700" s="693" t="n"/>
      <c r="E700" s="694" t="n"/>
      <c r="F700" s="695" t="n"/>
      <c r="G700" s="696" t="n"/>
      <c r="H700" s="151" t="n"/>
      <c r="I700" s="152" t="n"/>
      <c r="J700" s="692" t="n"/>
    </row>
    <row r="701" ht="20.1" customHeight="1">
      <c r="A701" s="142" t="n"/>
      <c r="B701" s="691" t="n"/>
      <c r="C701" s="692" t="n"/>
      <c r="D701" s="693" t="n"/>
      <c r="E701" s="694" t="n"/>
      <c r="F701" s="695" t="n"/>
      <c r="G701" s="696" t="n"/>
      <c r="H701" s="151" t="n"/>
      <c r="I701" s="152" t="n"/>
      <c r="J701" s="692" t="n"/>
    </row>
    <row r="702">
      <c r="A702" s="142" t="n"/>
      <c r="B702" s="691" t="n"/>
      <c r="C702" s="692" t="n"/>
      <c r="D702" s="693" t="n"/>
      <c r="E702" s="694" t="n"/>
      <c r="F702" s="695" t="n"/>
      <c r="G702" s="696" t="n"/>
      <c r="H702" s="151" t="n"/>
      <c r="I702" s="152" t="n"/>
      <c r="J702" s="692" t="n"/>
    </row>
    <row r="703" ht="20.1" customHeight="1">
      <c r="A703" s="142" t="n"/>
      <c r="B703" s="691" t="n"/>
      <c r="C703" s="692" t="n"/>
      <c r="D703" s="693" t="n"/>
      <c r="E703" s="694" t="n"/>
      <c r="F703" s="695" t="n"/>
      <c r="G703" s="696" t="n"/>
      <c r="H703" s="151" t="n"/>
      <c r="I703" s="152" t="n"/>
      <c r="J703" s="692" t="n"/>
    </row>
    <row r="704" ht="20.1" customHeight="1">
      <c r="A704" s="142" t="n"/>
      <c r="B704" s="691" t="n"/>
      <c r="C704" s="692" t="n"/>
      <c r="D704" s="693" t="n"/>
      <c r="E704" s="694" t="n"/>
      <c r="F704" s="695" t="n"/>
      <c r="G704" s="696" t="n"/>
      <c r="H704" s="151" t="n"/>
      <c r="I704" s="152" t="n"/>
      <c r="J704" s="692" t="n"/>
    </row>
    <row r="705" ht="20.1" customHeight="1">
      <c r="A705" s="142" t="n"/>
      <c r="B705" s="691" t="n"/>
      <c r="C705" s="692" t="n"/>
      <c r="D705" s="693" t="n"/>
      <c r="E705" s="694" t="n"/>
      <c r="F705" s="695" t="n"/>
      <c r="G705" s="696" t="n"/>
      <c r="H705" s="151" t="n"/>
      <c r="I705" s="152" t="n"/>
      <c r="J705" s="692" t="n"/>
    </row>
    <row r="706" ht="20.1" customHeight="1">
      <c r="A706" s="142" t="n"/>
      <c r="B706" s="691" t="n"/>
      <c r="C706" s="692" t="n"/>
      <c r="D706" s="693" t="n"/>
      <c r="E706" s="694" t="n"/>
      <c r="F706" s="695" t="n"/>
      <c r="G706" s="696" t="n"/>
      <c r="H706" s="151" t="n"/>
      <c r="I706" s="152" t="n"/>
      <c r="J706" s="692" t="n"/>
    </row>
    <row r="707" ht="20.1" customHeight="1">
      <c r="A707" s="142" t="n"/>
      <c r="B707" s="691" t="n"/>
      <c r="C707" s="692" t="n"/>
      <c r="D707" s="693" t="n"/>
      <c r="E707" s="694" t="n"/>
      <c r="F707" s="695" t="n"/>
      <c r="G707" s="696" t="n"/>
      <c r="H707" s="151" t="n"/>
      <c r="I707" s="152" t="n"/>
      <c r="J707" s="692" t="n"/>
    </row>
    <row r="708" ht="20.1" customHeight="1">
      <c r="A708" s="142" t="n"/>
      <c r="B708" s="691" t="n"/>
      <c r="C708" s="692" t="n"/>
      <c r="D708" s="693" t="n"/>
      <c r="E708" s="694" t="n"/>
      <c r="F708" s="695" t="n"/>
      <c r="G708" s="696" t="n"/>
      <c r="H708" s="151" t="n"/>
      <c r="I708" s="152" t="n"/>
      <c r="J708" s="692" t="n"/>
    </row>
    <row r="709" ht="20.1" customHeight="1">
      <c r="A709" s="142" t="n"/>
      <c r="B709" s="691" t="n"/>
      <c r="C709" s="692" t="n"/>
      <c r="D709" s="693" t="n"/>
      <c r="E709" s="694" t="n"/>
      <c r="F709" s="695" t="n"/>
      <c r="G709" s="696" t="n"/>
      <c r="H709" s="151" t="n"/>
      <c r="I709" s="152" t="n"/>
      <c r="J709" s="692" t="n"/>
    </row>
    <row r="710" ht="20.1" customHeight="1">
      <c r="A710" s="142" t="n"/>
      <c r="B710" s="691" t="n"/>
      <c r="C710" s="692" t="n"/>
      <c r="D710" s="693" t="n"/>
      <c r="E710" s="694" t="n"/>
      <c r="F710" s="695" t="n"/>
      <c r="G710" s="696" t="n"/>
      <c r="H710" s="151" t="n"/>
      <c r="I710" s="152" t="n"/>
      <c r="J710" s="692" t="n"/>
    </row>
    <row r="711" ht="20.1" customHeight="1">
      <c r="A711" s="142" t="n"/>
      <c r="B711" s="691" t="n"/>
      <c r="C711" s="692" t="n"/>
      <c r="D711" s="693" t="n"/>
      <c r="E711" s="694" t="n"/>
      <c r="F711" s="695" t="n"/>
      <c r="G711" s="696" t="n"/>
      <c r="H711" s="151" t="n"/>
      <c r="I711" s="152" t="n"/>
      <c r="J711" s="692" t="n"/>
    </row>
    <row r="712" ht="20.1" customHeight="1">
      <c r="A712" s="142" t="n"/>
      <c r="B712" s="691" t="n"/>
      <c r="C712" s="692" t="n"/>
      <c r="D712" s="693" t="n"/>
      <c r="E712" s="694" t="n"/>
      <c r="F712" s="695" t="n"/>
      <c r="G712" s="696" t="n"/>
      <c r="H712" s="151" t="n"/>
      <c r="I712" s="152" t="n"/>
      <c r="J712" s="692" t="n"/>
    </row>
    <row r="713" ht="20.1" customHeight="1">
      <c r="A713" s="142" t="n"/>
      <c r="B713" s="691" t="n"/>
      <c r="C713" s="692" t="n"/>
      <c r="D713" s="693" t="n"/>
      <c r="E713" s="694" t="n"/>
      <c r="F713" s="695" t="n"/>
      <c r="G713" s="696" t="n"/>
      <c r="H713" s="151" t="n"/>
      <c r="I713" s="152" t="n"/>
      <c r="J713" s="692" t="n"/>
    </row>
    <row r="714" ht="20.1" customHeight="1">
      <c r="A714" s="142" t="n"/>
      <c r="B714" s="707" t="n"/>
      <c r="C714" s="692" t="n"/>
      <c r="D714" s="707" t="n"/>
      <c r="E714" s="679" t="n"/>
      <c r="F714" s="695" t="n"/>
      <c r="G714" s="695" t="n"/>
      <c r="H714" s="129" t="n"/>
      <c r="I714" s="166" t="n"/>
      <c r="J714" s="692" t="n"/>
    </row>
    <row r="715">
      <c r="B715" s="158" t="n"/>
      <c r="C715" s="726" t="n"/>
      <c r="I715" s="158" t="n"/>
      <c r="J715" s="159" t="n"/>
    </row>
    <row r="716">
      <c r="B716" s="158" t="n"/>
      <c r="C716" s="726" t="n"/>
      <c r="I716" s="158" t="n"/>
      <c r="J716" s="159" t="n"/>
    </row>
    <row r="717">
      <c r="B717" s="158" t="n"/>
      <c r="C717" s="726" t="n"/>
      <c r="I717" s="158" t="n"/>
      <c r="J717" s="159" t="n"/>
    </row>
    <row r="718">
      <c r="B718" s="158" t="n"/>
      <c r="C718" s="726" t="n"/>
      <c r="I718" s="158" t="n"/>
      <c r="J718" s="159" t="n"/>
    </row>
    <row r="719">
      <c r="B719" s="158" t="n"/>
      <c r="C719" s="726" t="n"/>
      <c r="I719" s="158" t="n"/>
      <c r="J719" s="159" t="n"/>
    </row>
    <row r="720">
      <c r="B720" s="158" t="n"/>
      <c r="C720" s="726" t="n"/>
      <c r="I720" s="158" t="n"/>
      <c r="J720" s="159" t="n"/>
    </row>
    <row r="721">
      <c r="B721" s="158" t="n"/>
      <c r="C721" s="726" t="n"/>
      <c r="I721" s="158" t="n"/>
      <c r="J721" s="159" t="n"/>
    </row>
    <row r="722">
      <c r="B722" s="158" t="n"/>
      <c r="C722" s="726" t="n"/>
      <c r="I722" s="158" t="n"/>
      <c r="J722" s="159" t="n"/>
    </row>
    <row r="723">
      <c r="B723" s="158" t="n"/>
      <c r="C723" s="726" t="n"/>
      <c r="I723" s="158" t="n"/>
      <c r="J723" s="159" t="n"/>
    </row>
    <row r="724">
      <c r="B724" s="158" t="n"/>
      <c r="C724" s="726" t="n"/>
      <c r="I724" s="158" t="n"/>
      <c r="J724" s="159" t="n"/>
    </row>
    <row r="725">
      <c r="B725" s="158" t="n"/>
      <c r="C725" s="726" t="n"/>
      <c r="I725" s="158" t="n"/>
      <c r="J725" s="159" t="n"/>
    </row>
    <row r="726">
      <c r="B726" s="158" t="n"/>
      <c r="C726" s="726" t="n"/>
      <c r="I726" s="158" t="n"/>
      <c r="J726" s="159" t="n"/>
    </row>
    <row r="727">
      <c r="B727" s="158" t="n"/>
      <c r="C727" s="726" t="n"/>
      <c r="I727" s="158" t="n"/>
      <c r="J727" s="159" t="n"/>
    </row>
    <row r="728">
      <c r="B728" s="158" t="n"/>
      <c r="C728" s="726" t="n"/>
      <c r="I728" s="158" t="n"/>
      <c r="J728" s="159" t="n"/>
    </row>
    <row r="729">
      <c r="B729" s="158" t="n"/>
      <c r="C729" s="726" t="n"/>
      <c r="I729" s="158" t="n"/>
      <c r="J729" s="159" t="n"/>
    </row>
    <row r="730">
      <c r="B730" s="158" t="n"/>
      <c r="C730" s="726" t="n"/>
      <c r="I730" s="158" t="n"/>
      <c r="J730" s="159" t="n"/>
    </row>
    <row r="731">
      <c r="B731" s="158" t="n"/>
      <c r="C731" s="726" t="n"/>
      <c r="I731" s="158" t="n"/>
      <c r="J731" s="159" t="n"/>
    </row>
    <row r="732">
      <c r="B732" s="158" t="n"/>
      <c r="C732" s="726" t="n"/>
      <c r="I732" s="158" t="n"/>
      <c r="J732" s="159" t="n"/>
    </row>
    <row r="733">
      <c r="B733" s="158" t="n"/>
      <c r="C733" s="726" t="n"/>
      <c r="I733" s="158" t="n"/>
      <c r="J733" s="159" t="n"/>
    </row>
    <row r="734">
      <c r="B734" s="158" t="n"/>
      <c r="C734" s="726" t="n"/>
      <c r="I734" s="158" t="n"/>
      <c r="J734" s="159" t="n"/>
    </row>
    <row r="735">
      <c r="B735" s="158" t="n"/>
      <c r="C735" s="726" t="n"/>
      <c r="I735" s="158" t="n"/>
      <c r="J735" s="159" t="n"/>
    </row>
    <row r="736">
      <c r="B736" s="158" t="n"/>
      <c r="C736" s="158" t="n"/>
      <c r="I736" s="158" t="n"/>
      <c r="J736" s="159" t="n"/>
    </row>
    <row r="737">
      <c r="B737" s="158" t="n"/>
      <c r="C737" s="158" t="n"/>
      <c r="I737" s="158" t="n"/>
      <c r="J737" s="159" t="n"/>
    </row>
    <row r="738">
      <c r="B738" s="158" t="n"/>
      <c r="C738" s="158" t="n"/>
      <c r="I738" s="158" t="n"/>
      <c r="J738" s="159" t="n"/>
    </row>
    <row r="739">
      <c r="B739" s="158" t="n"/>
      <c r="C739" s="158" t="n"/>
      <c r="I739" s="158" t="n"/>
      <c r="J739" s="159" t="n"/>
    </row>
    <row r="740">
      <c r="B740" s="158" t="n"/>
      <c r="C740" s="158" t="n"/>
      <c r="I740" s="158" t="n"/>
      <c r="J740" s="159" t="n"/>
    </row>
    <row r="741">
      <c r="B741" s="158" t="n"/>
      <c r="C741" s="158" t="n"/>
      <c r="I741" s="158" t="n"/>
      <c r="J741" s="159" t="n"/>
    </row>
    <row r="742">
      <c r="B742" s="158" t="n"/>
      <c r="C742" s="158" t="n"/>
      <c r="I742" s="158" t="n"/>
      <c r="J742" s="159" t="n"/>
    </row>
    <row r="743">
      <c r="B743" s="158" t="n"/>
      <c r="C743" s="158" t="n"/>
      <c r="I743" s="158" t="n"/>
      <c r="J743" s="159" t="n"/>
    </row>
    <row r="744">
      <c r="B744" s="158" t="n"/>
      <c r="C744" s="158" t="n"/>
      <c r="I744" s="158" t="n"/>
      <c r="J744" s="159" t="n"/>
    </row>
    <row r="745">
      <c r="B745" s="158" t="n"/>
      <c r="C745" s="158" t="n"/>
      <c r="I745" s="158" t="n"/>
      <c r="J745" s="159" t="n"/>
    </row>
    <row r="746">
      <c r="B746" s="158" t="n"/>
      <c r="C746" s="158" t="n"/>
      <c r="I746" s="158" t="n"/>
      <c r="J746" s="159" t="n"/>
    </row>
    <row r="747">
      <c r="B747" s="158" t="n"/>
      <c r="C747" s="158" t="n"/>
      <c r="I747" s="158" t="n"/>
      <c r="J747" s="159" t="n"/>
    </row>
    <row r="748">
      <c r="B748" s="158" t="n"/>
      <c r="C748" s="158" t="n"/>
      <c r="I748" s="158" t="n"/>
      <c r="J748" s="159" t="n"/>
    </row>
    <row r="749">
      <c r="B749" s="158" t="n"/>
      <c r="C749" s="158" t="n"/>
      <c r="I749" s="158" t="n"/>
      <c r="J749" s="159" t="n"/>
    </row>
    <row r="750">
      <c r="B750" s="158" t="n"/>
      <c r="C750" s="158" t="n"/>
      <c r="I750" s="158" t="n"/>
      <c r="J750" s="159" t="n"/>
    </row>
    <row r="751">
      <c r="B751" s="158" t="n"/>
      <c r="C751" s="158" t="n"/>
      <c r="I751" s="158" t="n"/>
      <c r="J751" s="159" t="n"/>
    </row>
    <row r="752">
      <c r="B752" s="158" t="n"/>
      <c r="C752" s="158" t="n"/>
      <c r="I752" s="158" t="n"/>
      <c r="J752" s="159" t="n"/>
    </row>
    <row r="753">
      <c r="B753" s="158" t="n"/>
      <c r="C753" s="158" t="n"/>
      <c r="I753" s="158" t="n"/>
      <c r="J753" s="159" t="n"/>
    </row>
    <row r="754">
      <c r="B754" s="158" t="n"/>
      <c r="C754" s="158" t="n"/>
      <c r="I754" s="158" t="n"/>
      <c r="J754" s="159" t="n"/>
    </row>
    <row r="755">
      <c r="B755" s="158" t="n"/>
      <c r="C755" s="158" t="n"/>
      <c r="I755" s="158" t="n"/>
      <c r="J755" s="159" t="n"/>
    </row>
    <row r="756">
      <c r="B756" s="158" t="n"/>
      <c r="C756" s="158" t="n"/>
      <c r="I756" s="158" t="n"/>
      <c r="J756" s="159" t="n"/>
    </row>
    <row r="757">
      <c r="B757" s="158" t="n"/>
      <c r="C757" s="158" t="n"/>
      <c r="I757" s="158" t="n"/>
      <c r="J757" s="159" t="n"/>
    </row>
    <row r="758">
      <c r="B758" s="158" t="n"/>
      <c r="C758" s="158" t="n"/>
      <c r="I758" s="158" t="n"/>
      <c r="J758" s="159" t="n"/>
    </row>
    <row r="759">
      <c r="B759" s="158" t="n"/>
      <c r="C759" s="158" t="n"/>
      <c r="I759" s="158" t="n"/>
      <c r="J759" s="159" t="n"/>
    </row>
    <row r="760">
      <c r="B760" s="158" t="n"/>
      <c r="C760" s="158" t="n"/>
      <c r="I760" s="158" t="n"/>
      <c r="J760" s="159" t="n"/>
    </row>
    <row r="761">
      <c r="B761" s="158" t="n"/>
      <c r="C761" s="158" t="n"/>
      <c r="I761" s="158" t="n"/>
      <c r="J761" s="159" t="n"/>
    </row>
    <row r="762">
      <c r="B762" s="158" t="n"/>
      <c r="C762" s="158" t="n"/>
      <c r="I762" s="158" t="n"/>
      <c r="J762" s="159" t="n"/>
    </row>
    <row r="763">
      <c r="B763" s="158" t="n"/>
      <c r="C763" s="158" t="n"/>
      <c r="I763" s="158" t="n"/>
      <c r="J763" s="159" t="n"/>
    </row>
    <row r="764">
      <c r="B764" s="158" t="n"/>
      <c r="C764" s="158" t="n"/>
      <c r="I764" s="158" t="n"/>
      <c r="J764" s="159" t="n"/>
    </row>
    <row r="765">
      <c r="B765" s="158" t="n"/>
      <c r="C765" s="158" t="n"/>
      <c r="I765" s="158" t="n"/>
      <c r="J765" s="159" t="n"/>
    </row>
    <row r="766">
      <c r="B766" s="158" t="n"/>
      <c r="C766" s="158" t="n"/>
      <c r="I766" s="158" t="n"/>
      <c r="J766" s="159" t="n"/>
    </row>
    <row r="767">
      <c r="B767" s="158" t="n"/>
      <c r="C767" s="158" t="n"/>
      <c r="I767" s="158" t="n"/>
      <c r="J767" s="159" t="n"/>
    </row>
    <row r="768">
      <c r="B768" s="158" t="n"/>
      <c r="C768" s="158" t="n"/>
      <c r="I768" s="158" t="n"/>
      <c r="J768" s="159" t="n"/>
    </row>
    <row r="769">
      <c r="B769" s="158" t="n"/>
      <c r="C769" s="158" t="n"/>
      <c r="I769" s="158" t="n"/>
      <c r="J769" s="159" t="n"/>
    </row>
    <row r="770">
      <c r="B770" s="158" t="n"/>
      <c r="C770" s="158" t="n"/>
      <c r="I770" s="158" t="n"/>
      <c r="J770" s="159" t="n"/>
    </row>
    <row r="771">
      <c r="B771" s="158" t="n"/>
      <c r="C771" s="158" t="n"/>
      <c r="I771" s="158" t="n"/>
      <c r="J771" s="159" t="n"/>
    </row>
    <row r="772">
      <c r="B772" s="158" t="n"/>
      <c r="C772" s="158" t="n"/>
      <c r="I772" s="158" t="n"/>
      <c r="J772" s="159" t="n"/>
    </row>
    <row r="773">
      <c r="B773" s="158" t="n"/>
      <c r="C773" s="158" t="n"/>
      <c r="I773" s="158" t="n"/>
      <c r="J773" s="159" t="n"/>
    </row>
    <row r="774">
      <c r="B774" s="158" t="n"/>
      <c r="C774" s="158" t="n"/>
      <c r="I774" s="158" t="n"/>
      <c r="J774" s="159" t="n"/>
    </row>
    <row r="775">
      <c r="B775" s="158" t="n"/>
      <c r="C775" s="158" t="n"/>
      <c r="I775" s="158" t="n"/>
      <c r="J775" s="159" t="n"/>
    </row>
    <row r="776">
      <c r="B776" s="158" t="n"/>
      <c r="C776" s="158" t="n"/>
      <c r="I776" s="158" t="n"/>
      <c r="J776" s="159" t="n"/>
    </row>
    <row r="777">
      <c r="B777" s="158" t="n"/>
      <c r="C777" s="158" t="n"/>
      <c r="I777" s="158" t="n"/>
      <c r="J777" s="159" t="n"/>
    </row>
    <row r="778">
      <c r="B778" s="158" t="n"/>
      <c r="C778" s="158" t="n"/>
      <c r="I778" s="158" t="n"/>
      <c r="J778" s="159" t="n"/>
    </row>
    <row r="779">
      <c r="B779" s="158" t="n"/>
      <c r="C779" s="158" t="n"/>
      <c r="I779" s="158" t="n"/>
      <c r="J779" s="159" t="n"/>
    </row>
    <row r="780">
      <c r="B780" s="158" t="n"/>
      <c r="C780" s="158" t="n"/>
      <c r="I780" s="158" t="n"/>
      <c r="J780" s="159" t="n"/>
    </row>
    <row r="781">
      <c r="B781" s="158" t="n"/>
      <c r="C781" s="158" t="n"/>
      <c r="I781" s="158" t="n"/>
      <c r="J781" s="159" t="n"/>
    </row>
    <row r="782">
      <c r="B782" s="158" t="n"/>
      <c r="C782" s="158" t="n"/>
      <c r="I782" s="158" t="n"/>
      <c r="J782" s="159" t="n"/>
    </row>
    <row r="783">
      <c r="B783" s="158" t="n"/>
      <c r="C783" s="158" t="n"/>
      <c r="I783" s="158" t="n"/>
      <c r="J783" s="159" t="n"/>
    </row>
    <row r="784">
      <c r="B784" s="158" t="n"/>
      <c r="C784" s="158" t="n"/>
      <c r="I784" s="158" t="n"/>
      <c r="J784" s="159" t="n"/>
    </row>
    <row r="785">
      <c r="B785" s="158" t="n"/>
      <c r="C785" s="158" t="n"/>
      <c r="I785" s="158" t="n"/>
      <c r="J785" s="159" t="n"/>
    </row>
    <row r="786">
      <c r="B786" s="158" t="n"/>
      <c r="C786" s="158" t="n"/>
      <c r="I786" s="158" t="n"/>
      <c r="J786" s="159" t="n"/>
    </row>
    <row r="787">
      <c r="B787" s="158" t="n"/>
      <c r="C787" s="158" t="n"/>
      <c r="I787" s="158" t="n"/>
      <c r="J787" s="159" t="n"/>
    </row>
    <row r="788">
      <c r="B788" s="158" t="n"/>
      <c r="C788" s="158" t="n"/>
      <c r="I788" s="158" t="n"/>
      <c r="J788" s="159" t="n"/>
    </row>
    <row r="789">
      <c r="B789" s="158" t="n"/>
      <c r="C789" s="158" t="n"/>
      <c r="I789" s="158" t="n"/>
      <c r="J789" s="159" t="n"/>
    </row>
    <row r="790">
      <c r="B790" s="158" t="n"/>
      <c r="C790" s="158" t="n"/>
      <c r="I790" s="158" t="n"/>
      <c r="J790" s="159" t="n"/>
    </row>
    <row r="791">
      <c r="B791" s="158" t="n"/>
      <c r="C791" s="158" t="n"/>
      <c r="I791" s="158" t="n"/>
      <c r="J791" s="159" t="n"/>
    </row>
    <row r="792">
      <c r="B792" s="158" t="n"/>
      <c r="C792" s="158" t="n"/>
      <c r="I792" s="158" t="n"/>
      <c r="J792" s="159" t="n"/>
    </row>
    <row r="793">
      <c r="B793" s="158" t="n"/>
      <c r="C793" s="158" t="n"/>
      <c r="I793" s="158" t="n"/>
      <c r="J793" s="159" t="n"/>
    </row>
    <row r="794">
      <c r="B794" s="158" t="n"/>
      <c r="C794" s="158" t="n"/>
      <c r="I794" s="158" t="n"/>
      <c r="J794" s="159" t="n"/>
    </row>
    <row r="795">
      <c r="B795" s="158" t="n"/>
      <c r="C795" s="158" t="n"/>
      <c r="I795" s="158" t="n"/>
      <c r="J795" s="159" t="n"/>
    </row>
    <row r="796">
      <c r="B796" s="158" t="n"/>
      <c r="C796" s="158" t="n"/>
      <c r="I796" s="158" t="n"/>
      <c r="J796" s="159" t="n"/>
    </row>
    <row r="797">
      <c r="B797" s="158" t="n"/>
      <c r="C797" s="158" t="n"/>
      <c r="I797" s="158" t="n"/>
      <c r="J797" s="159" t="n"/>
    </row>
    <row r="798">
      <c r="B798" s="158" t="n"/>
      <c r="C798" s="158" t="n"/>
      <c r="I798" s="158" t="n"/>
      <c r="J798" s="159" t="n"/>
    </row>
    <row r="799">
      <c r="B799" s="158" t="n"/>
      <c r="C799" s="158" t="n"/>
      <c r="I799" s="158" t="n"/>
      <c r="J799" s="159" t="n"/>
    </row>
    <row r="800">
      <c r="B800" s="158" t="n"/>
      <c r="C800" s="158" t="n"/>
      <c r="I800" s="158" t="n"/>
      <c r="J800" s="159" t="n"/>
    </row>
    <row r="801">
      <c r="B801" s="158" t="n"/>
      <c r="C801" s="158" t="n"/>
      <c r="I801" s="158" t="n"/>
      <c r="J801" s="159" t="n"/>
    </row>
    <row r="802">
      <c r="B802" s="158" t="n"/>
      <c r="C802" s="158" t="n"/>
      <c r="I802" s="158" t="n"/>
      <c r="J802" s="159" t="n"/>
    </row>
    <row r="803">
      <c r="B803" s="158" t="n"/>
      <c r="C803" s="158" t="n"/>
      <c r="I803" s="158" t="n"/>
      <c r="J803" s="159" t="n"/>
    </row>
    <row r="804">
      <c r="B804" s="158" t="n"/>
      <c r="C804" s="158" t="n"/>
      <c r="I804" s="158" t="n"/>
      <c r="J804" s="159" t="n"/>
    </row>
    <row r="805">
      <c r="B805" s="158" t="n"/>
      <c r="C805" s="158" t="n"/>
      <c r="I805" s="158" t="n"/>
      <c r="J805" s="159" t="n"/>
    </row>
    <row r="806">
      <c r="B806" s="158" t="n"/>
      <c r="C806" s="158" t="n"/>
      <c r="I806" s="158" t="n"/>
      <c r="J806" s="159" t="n"/>
    </row>
    <row r="807">
      <c r="B807" s="158" t="n"/>
      <c r="C807" s="158" t="n"/>
      <c r="I807" s="158" t="n"/>
      <c r="J807" s="159" t="n"/>
    </row>
    <row r="808">
      <c r="B808" s="158" t="n"/>
      <c r="C808" s="158" t="n"/>
      <c r="I808" s="158" t="n"/>
      <c r="J808" s="159" t="n"/>
    </row>
    <row r="809">
      <c r="B809" s="158" t="n"/>
      <c r="C809" s="158" t="n"/>
      <c r="I809" s="158" t="n"/>
      <c r="J809" s="159" t="n"/>
    </row>
    <row r="810">
      <c r="B810" s="158" t="n"/>
      <c r="C810" s="158" t="n"/>
      <c r="I810" s="158" t="n"/>
      <c r="J810" s="159" t="n"/>
    </row>
    <row r="811">
      <c r="B811" s="158" t="n"/>
      <c r="C811" s="158" t="n"/>
      <c r="I811" s="158" t="n"/>
      <c r="J811" s="159" t="n"/>
    </row>
    <row r="812">
      <c r="B812" s="158" t="n"/>
      <c r="C812" s="158" t="n"/>
      <c r="I812" s="158" t="n"/>
      <c r="J812" s="159" t="n"/>
    </row>
    <row r="813">
      <c r="B813" s="158" t="n"/>
      <c r="C813" s="158" t="n"/>
      <c r="I813" s="158" t="n"/>
      <c r="J813" s="159" t="n"/>
    </row>
    <row r="814">
      <c r="B814" s="158" t="n"/>
      <c r="C814" s="158" t="n"/>
      <c r="I814" s="158" t="n"/>
      <c r="J814" s="159" t="n"/>
    </row>
    <row r="815">
      <c r="B815" s="158" t="n"/>
      <c r="C815" s="158" t="n"/>
      <c r="I815" s="158" t="n"/>
      <c r="J815" s="159" t="n"/>
    </row>
    <row r="816">
      <c r="B816" s="158" t="n"/>
      <c r="C816" s="158" t="n"/>
      <c r="I816" s="158" t="n"/>
      <c r="J816" s="159" t="n"/>
    </row>
    <row r="817">
      <c r="B817" s="158" t="n"/>
      <c r="C817" s="158" t="n"/>
      <c r="I817" s="158" t="n"/>
      <c r="J817" s="159" t="n"/>
    </row>
    <row r="818">
      <c r="B818" s="158" t="n"/>
      <c r="C818" s="158" t="n"/>
      <c r="I818" s="158" t="n"/>
      <c r="J818" s="159" t="n"/>
    </row>
    <row r="819">
      <c r="B819" s="158" t="n"/>
      <c r="C819" s="158" t="n"/>
      <c r="I819" s="158" t="n"/>
      <c r="J819" s="159" t="n"/>
    </row>
    <row r="820">
      <c r="B820" s="158" t="n"/>
      <c r="C820" s="158" t="n"/>
      <c r="I820" s="158" t="n"/>
      <c r="J820" s="159" t="n"/>
    </row>
    <row r="821">
      <c r="B821" s="158" t="n"/>
      <c r="C821" s="158" t="n"/>
      <c r="I821" s="158" t="n"/>
      <c r="J821" s="159" t="n"/>
    </row>
    <row r="822">
      <c r="B822" s="158" t="n"/>
      <c r="C822" s="158" t="n"/>
      <c r="I822" s="158" t="n"/>
      <c r="J822" s="159" t="n"/>
    </row>
    <row r="823">
      <c r="B823" s="158" t="n"/>
      <c r="C823" s="158" t="n"/>
      <c r="I823" s="158" t="n"/>
      <c r="J823" s="159" t="n"/>
    </row>
    <row r="824">
      <c r="B824" s="158" t="n"/>
      <c r="C824" s="158" t="n"/>
      <c r="I824" s="158" t="n"/>
      <c r="J824" s="159" t="n"/>
    </row>
    <row r="825">
      <c r="B825" s="158" t="n"/>
      <c r="C825" s="158" t="n"/>
      <c r="I825" s="158" t="n"/>
      <c r="J825" s="159" t="n"/>
    </row>
    <row r="826">
      <c r="B826" s="158" t="n"/>
      <c r="C826" s="158" t="n"/>
      <c r="I826" s="158" t="n"/>
      <c r="J826" s="159" t="n"/>
    </row>
    <row r="827">
      <c r="B827" s="158" t="n"/>
      <c r="C827" s="158" t="n"/>
      <c r="I827" s="158" t="n"/>
      <c r="J827" s="159" t="n"/>
    </row>
    <row r="828">
      <c r="B828" s="158" t="n"/>
      <c r="C828" s="158" t="n"/>
      <c r="I828" s="158" t="n"/>
      <c r="J828" s="159" t="n"/>
    </row>
    <row r="829">
      <c r="B829" s="158" t="n"/>
      <c r="C829" s="158" t="n"/>
      <c r="I829" s="158" t="n"/>
      <c r="J829" s="159" t="n"/>
    </row>
    <row r="830">
      <c r="B830" s="158" t="n"/>
      <c r="C830" s="158" t="n"/>
      <c r="I830" s="158" t="n"/>
      <c r="J830" s="159" t="n"/>
    </row>
    <row r="831">
      <c r="B831" s="158" t="n"/>
      <c r="C831" s="158" t="n"/>
      <c r="I831" s="158" t="n"/>
      <c r="J831" s="159" t="n"/>
    </row>
    <row r="832">
      <c r="B832" s="158" t="n"/>
      <c r="C832" s="158" t="n"/>
      <c r="I832" s="158" t="n"/>
      <c r="J832" s="159" t="n"/>
    </row>
    <row r="833">
      <c r="B833" s="158" t="n"/>
      <c r="C833" s="158" t="n"/>
      <c r="I833" s="158" t="n"/>
      <c r="J833" s="159" t="n"/>
    </row>
    <row r="834">
      <c r="B834" s="158" t="n"/>
      <c r="C834" s="158" t="n"/>
      <c r="I834" s="158" t="n"/>
      <c r="J834" s="159" t="n"/>
    </row>
    <row r="835">
      <c r="B835" s="158" t="n"/>
      <c r="C835" s="158" t="n"/>
      <c r="I835" s="158" t="n"/>
      <c r="J835" s="159" t="n"/>
    </row>
    <row r="836">
      <c r="B836" s="158" t="n"/>
      <c r="C836" s="158" t="n"/>
      <c r="I836" s="158" t="n"/>
      <c r="J836" s="159" t="n"/>
    </row>
    <row r="837">
      <c r="B837" s="158" t="n"/>
      <c r="C837" s="158" t="n"/>
      <c r="I837" s="158" t="n"/>
      <c r="J837" s="159" t="n"/>
    </row>
    <row r="838">
      <c r="B838" s="158" t="n"/>
      <c r="C838" s="158" t="n"/>
      <c r="I838" s="158" t="n"/>
      <c r="J838" s="159" t="n"/>
    </row>
    <row r="839">
      <c r="B839" s="158" t="n"/>
      <c r="C839" s="158" t="n"/>
      <c r="I839" s="158" t="n"/>
      <c r="J839" s="159" t="n"/>
    </row>
    <row r="840">
      <c r="B840" s="158" t="n"/>
      <c r="C840" s="158" t="n"/>
      <c r="I840" s="158" t="n"/>
      <c r="J840" s="159" t="n"/>
    </row>
    <row r="841">
      <c r="B841" s="158" t="n"/>
      <c r="C841" s="158" t="n"/>
      <c r="I841" s="158" t="n"/>
      <c r="J841" s="159" t="n"/>
    </row>
    <row r="842">
      <c r="B842" s="158" t="n"/>
      <c r="C842" s="158" t="n"/>
      <c r="I842" s="158" t="n"/>
      <c r="J842" s="159" t="n"/>
    </row>
    <row r="843">
      <c r="B843" s="158" t="n"/>
      <c r="C843" s="158" t="n"/>
      <c r="I843" s="158" t="n"/>
      <c r="J843" s="159" t="n"/>
    </row>
    <row r="844">
      <c r="B844" s="158" t="n"/>
      <c r="C844" s="158" t="n"/>
      <c r="I844" s="158" t="n"/>
      <c r="J844" s="159" t="n"/>
    </row>
    <row r="845">
      <c r="B845" s="158" t="n"/>
      <c r="C845" s="158" t="n"/>
      <c r="I845" s="158" t="n"/>
      <c r="J845" s="159" t="n"/>
    </row>
    <row r="846">
      <c r="B846" s="158" t="n"/>
      <c r="C846" s="158" t="n"/>
      <c r="I846" s="158" t="n"/>
      <c r="J846" s="159" t="n"/>
    </row>
    <row r="847">
      <c r="B847" s="158" t="n"/>
      <c r="C847" s="158" t="n"/>
      <c r="I847" s="158" t="n"/>
      <c r="J847" s="159" t="n"/>
    </row>
    <row r="848">
      <c r="B848" s="158" t="n"/>
      <c r="C848" s="158" t="n"/>
      <c r="I848" s="158" t="n"/>
      <c r="J848" s="159" t="n"/>
    </row>
    <row r="849">
      <c r="B849" s="158" t="n"/>
      <c r="C849" s="158" t="n"/>
      <c r="I849" s="158" t="n"/>
      <c r="J849" s="159" t="n"/>
    </row>
    <row r="850">
      <c r="B850" s="158" t="n"/>
      <c r="C850" s="158" t="n"/>
      <c r="I850" s="158" t="n"/>
      <c r="J850" s="159" t="n"/>
    </row>
    <row r="851">
      <c r="B851" s="158" t="n"/>
      <c r="C851" s="158" t="n"/>
      <c r="I851" s="158" t="n"/>
      <c r="J851" s="159" t="n"/>
    </row>
    <row r="852">
      <c r="B852" s="158" t="n"/>
      <c r="C852" s="158" t="n"/>
      <c r="I852" s="158" t="n"/>
      <c r="J852" s="159" t="n"/>
    </row>
    <row r="853">
      <c r="B853" s="158" t="n"/>
      <c r="C853" s="158" t="n"/>
      <c r="I853" s="158" t="n"/>
      <c r="J853" s="159" t="n"/>
    </row>
    <row r="854">
      <c r="B854" s="158" t="n"/>
      <c r="C854" s="158" t="n"/>
      <c r="I854" s="158" t="n"/>
      <c r="J854" s="159" t="n"/>
    </row>
    <row r="855">
      <c r="B855" s="158" t="n"/>
      <c r="C855" s="158" t="n"/>
      <c r="I855" s="158" t="n"/>
      <c r="J855" s="159" t="n"/>
    </row>
    <row r="856">
      <c r="B856" s="158" t="n"/>
      <c r="C856" s="158" t="n"/>
      <c r="I856" s="158" t="n"/>
      <c r="J856" s="159" t="n"/>
    </row>
    <row r="857">
      <c r="B857" s="158" t="n"/>
      <c r="C857" s="158" t="n"/>
      <c r="I857" s="158" t="n"/>
      <c r="J857" s="159" t="n"/>
    </row>
    <row r="858">
      <c r="B858" s="158" t="n"/>
      <c r="C858" s="158" t="n"/>
      <c r="I858" s="158" t="n"/>
      <c r="J858" s="159" t="n"/>
    </row>
    <row r="859">
      <c r="B859" s="158" t="n"/>
      <c r="C859" s="158" t="n"/>
      <c r="I859" s="158" t="n"/>
      <c r="J859" s="159" t="n"/>
    </row>
    <row r="860">
      <c r="B860" s="158" t="n"/>
      <c r="C860" s="158" t="n"/>
      <c r="I860" s="158" t="n"/>
      <c r="J860" s="159" t="n"/>
    </row>
    <row r="861">
      <c r="B861" s="158" t="n"/>
      <c r="C861" s="158" t="n"/>
      <c r="I861" s="158" t="n"/>
      <c r="J861" s="159" t="n"/>
    </row>
    <row r="862">
      <c r="B862" s="158" t="n"/>
      <c r="C862" s="158" t="n"/>
      <c r="I862" s="158" t="n"/>
      <c r="J862" s="159" t="n"/>
    </row>
    <row r="863">
      <c r="B863" s="158" t="n"/>
      <c r="C863" s="158" t="n"/>
      <c r="I863" s="158" t="n"/>
      <c r="J863" s="159" t="n"/>
    </row>
    <row r="864">
      <c r="B864" s="158" t="n"/>
      <c r="C864" s="158" t="n"/>
      <c r="I864" s="158" t="n"/>
      <c r="J864" s="159" t="n"/>
    </row>
    <row r="865">
      <c r="B865" s="158" t="n"/>
      <c r="C865" s="158" t="n"/>
      <c r="I865" s="158" t="n"/>
      <c r="J865" s="159" t="n"/>
    </row>
    <row r="866">
      <c r="B866" s="158" t="n"/>
      <c r="C866" s="158" t="n"/>
      <c r="I866" s="158" t="n"/>
      <c r="J866" s="159" t="n"/>
    </row>
    <row r="867">
      <c r="B867" s="158" t="n"/>
      <c r="C867" s="158" t="n"/>
      <c r="I867" s="158" t="n"/>
      <c r="J867" s="159" t="n"/>
    </row>
    <row r="868">
      <c r="B868" s="158" t="n"/>
      <c r="C868" s="158" t="n"/>
      <c r="I868" s="158" t="n"/>
      <c r="J868" s="159" t="n"/>
    </row>
    <row r="869">
      <c r="B869" s="158" t="n"/>
      <c r="C869" s="158" t="n"/>
      <c r="I869" s="158" t="n"/>
      <c r="J869" s="159" t="n"/>
    </row>
    <row r="870">
      <c r="B870" s="158" t="n"/>
      <c r="C870" s="158" t="n"/>
      <c r="I870" s="158" t="n"/>
      <c r="J870" s="159" t="n"/>
    </row>
    <row r="871">
      <c r="B871" s="158" t="n"/>
      <c r="C871" s="158" t="n"/>
      <c r="I871" s="158" t="n"/>
      <c r="J871" s="159" t="n"/>
    </row>
    <row r="872">
      <c r="B872" s="158" t="n"/>
      <c r="C872" s="158" t="n"/>
      <c r="I872" s="158" t="n"/>
      <c r="J872" s="159" t="n"/>
    </row>
    <row r="873">
      <c r="B873" s="158" t="n"/>
      <c r="C873" s="158" t="n"/>
      <c r="I873" s="158" t="n"/>
      <c r="J873" s="159" t="n"/>
    </row>
    <row r="874">
      <c r="B874" s="158" t="n"/>
      <c r="C874" s="158" t="n"/>
      <c r="I874" s="158" t="n"/>
      <c r="J874" s="159" t="n"/>
    </row>
    <row r="875">
      <c r="B875" s="158" t="n"/>
      <c r="C875" s="158" t="n"/>
      <c r="I875" s="158" t="n"/>
      <c r="J875" s="159" t="n"/>
    </row>
    <row r="876">
      <c r="B876" s="158" t="n"/>
      <c r="C876" s="158" t="n"/>
      <c r="I876" s="158" t="n"/>
      <c r="J876" s="159" t="n"/>
    </row>
    <row r="877">
      <c r="B877" s="158" t="n"/>
      <c r="C877" s="158" t="n"/>
      <c r="I877" s="158" t="n"/>
      <c r="J877" s="159" t="n"/>
    </row>
    <row r="878">
      <c r="B878" s="158" t="n"/>
      <c r="C878" s="158" t="n"/>
      <c r="I878" s="158" t="n"/>
      <c r="J878" s="159" t="n"/>
    </row>
    <row r="879">
      <c r="B879" s="158" t="n"/>
      <c r="C879" s="158" t="n"/>
      <c r="I879" s="158" t="n"/>
      <c r="J879" s="159" t="n"/>
    </row>
    <row r="880">
      <c r="B880" s="158" t="n"/>
      <c r="C880" s="158" t="n"/>
      <c r="I880" s="158" t="n"/>
      <c r="J880" s="159" t="n"/>
    </row>
    <row r="881">
      <c r="B881" s="158" t="n"/>
      <c r="C881" s="158" t="n"/>
      <c r="I881" s="158" t="n"/>
      <c r="J881" s="159" t="n"/>
    </row>
    <row r="882">
      <c r="B882" s="158" t="n"/>
      <c r="C882" s="158" t="n"/>
      <c r="I882" s="158" t="n"/>
      <c r="J882" s="159" t="n"/>
    </row>
    <row r="883">
      <c r="B883" s="158" t="n"/>
      <c r="C883" s="158" t="n"/>
      <c r="I883" s="158" t="n"/>
      <c r="J883" s="159" t="n"/>
    </row>
    <row r="884">
      <c r="B884" s="158" t="n"/>
      <c r="C884" s="158" t="n"/>
      <c r="I884" s="158" t="n"/>
      <c r="J884" s="159" t="n"/>
    </row>
    <row r="885">
      <c r="B885" s="158" t="n"/>
      <c r="C885" s="158" t="n"/>
      <c r="I885" s="158" t="n"/>
      <c r="J885" s="159" t="n"/>
    </row>
    <row r="886">
      <c r="B886" s="158" t="n"/>
      <c r="C886" s="158" t="n"/>
      <c r="I886" s="158" t="n"/>
      <c r="J886" s="159" t="n"/>
    </row>
    <row r="887">
      <c r="B887" s="158" t="n"/>
      <c r="C887" s="158" t="n"/>
      <c r="I887" s="158" t="n"/>
      <c r="J887" s="159" t="n"/>
    </row>
    <row r="888">
      <c r="B888" s="158" t="n"/>
      <c r="C888" s="158" t="n"/>
      <c r="I888" s="158" t="n"/>
      <c r="J888" s="159" t="n"/>
    </row>
    <row r="889">
      <c r="B889" s="158" t="n"/>
      <c r="C889" s="158" t="n"/>
      <c r="I889" s="158" t="n"/>
      <c r="J889" s="159" t="n"/>
    </row>
    <row r="890">
      <c r="B890" s="158" t="n"/>
      <c r="C890" s="158" t="n"/>
      <c r="I890" s="158" t="n"/>
      <c r="J890" s="159" t="n"/>
    </row>
    <row r="891">
      <c r="B891" s="158" t="n"/>
      <c r="C891" s="158" t="n"/>
      <c r="I891" s="158" t="n"/>
      <c r="J891" s="159" t="n"/>
    </row>
    <row r="892">
      <c r="B892" s="158" t="n"/>
      <c r="C892" s="158" t="n"/>
      <c r="I892" s="158" t="n"/>
      <c r="J892" s="159" t="n"/>
    </row>
    <row r="893">
      <c r="B893" s="158" t="n"/>
      <c r="C893" s="158" t="n"/>
      <c r="I893" s="158" t="n"/>
      <c r="J893" s="159" t="n"/>
    </row>
    <row r="894">
      <c r="B894" s="158" t="n"/>
      <c r="C894" s="158" t="n"/>
      <c r="I894" s="158" t="n"/>
      <c r="J894" s="159" t="n"/>
    </row>
    <row r="895">
      <c r="B895" s="158" t="n"/>
      <c r="C895" s="158" t="n"/>
      <c r="I895" s="158" t="n"/>
      <c r="J895" s="159" t="n"/>
    </row>
    <row r="896">
      <c r="B896" s="158" t="n"/>
      <c r="C896" s="158" t="n"/>
      <c r="I896" s="158" t="n"/>
      <c r="J896" s="159" t="n"/>
    </row>
    <row r="897">
      <c r="B897" s="158" t="n"/>
      <c r="C897" s="158" t="n"/>
      <c r="I897" s="158" t="n"/>
      <c r="J897" s="159" t="n"/>
    </row>
    <row r="898">
      <c r="B898" s="158" t="n"/>
      <c r="C898" s="158" t="n"/>
      <c r="I898" s="158" t="n"/>
      <c r="J898" s="159" t="n"/>
    </row>
    <row r="899">
      <c r="B899" s="158" t="n"/>
      <c r="C899" s="158" t="n"/>
      <c r="I899" s="158" t="n"/>
      <c r="J899" s="159" t="n"/>
    </row>
    <row r="900">
      <c r="B900" s="158" t="n"/>
      <c r="C900" s="158" t="n"/>
      <c r="I900" s="158" t="n"/>
      <c r="J900" s="159" t="n"/>
    </row>
    <row r="901">
      <c r="B901" s="158" t="n"/>
      <c r="C901" s="158" t="n"/>
      <c r="I901" s="158" t="n"/>
      <c r="J901" s="159" t="n"/>
    </row>
    <row r="902">
      <c r="B902" s="158" t="n"/>
      <c r="C902" s="158" t="n"/>
      <c r="I902" s="158" t="n"/>
      <c r="J902" s="159" t="n"/>
    </row>
    <row r="903">
      <c r="B903" s="158" t="n"/>
      <c r="C903" s="158" t="n"/>
      <c r="I903" s="158" t="n"/>
      <c r="J903" s="159" t="n"/>
    </row>
    <row r="904">
      <c r="B904" s="158" t="n"/>
      <c r="C904" s="158" t="n"/>
      <c r="I904" s="158" t="n"/>
      <c r="J904" s="159" t="n"/>
    </row>
    <row r="905">
      <c r="B905" s="158" t="n"/>
      <c r="C905" s="158" t="n"/>
      <c r="I905" s="158" t="n"/>
      <c r="J905" s="159" t="n"/>
    </row>
    <row r="906">
      <c r="B906" s="158" t="n"/>
      <c r="C906" s="158" t="n"/>
      <c r="I906" s="158" t="n"/>
      <c r="J906" s="159" t="n"/>
    </row>
    <row r="907">
      <c r="B907" s="158" t="n"/>
      <c r="C907" s="158" t="n"/>
      <c r="I907" s="158" t="n"/>
      <c r="J907" s="159" t="n"/>
    </row>
    <row r="908">
      <c r="B908" s="158" t="n"/>
      <c r="C908" s="158" t="n"/>
      <c r="I908" s="158" t="n"/>
      <c r="J908" s="159" t="n"/>
    </row>
    <row r="909">
      <c r="B909" s="158" t="n"/>
      <c r="C909" s="158" t="n"/>
      <c r="I909" s="158" t="n"/>
      <c r="J909" s="159" t="n"/>
    </row>
    <row r="910">
      <c r="B910" s="158" t="n"/>
      <c r="C910" s="158" t="n"/>
      <c r="I910" s="158" t="n"/>
      <c r="J910" s="159" t="n"/>
    </row>
    <row r="911">
      <c r="B911" s="158" t="n"/>
      <c r="C911" s="158" t="n"/>
      <c r="I911" s="158" t="n"/>
      <c r="J911" s="159" t="n"/>
    </row>
    <row r="912">
      <c r="B912" s="158" t="n"/>
      <c r="C912" s="158" t="n"/>
      <c r="I912" s="158" t="n"/>
      <c r="J912" s="159" t="n"/>
    </row>
    <row r="913">
      <c r="B913" s="158" t="n"/>
      <c r="C913" s="158" t="n"/>
      <c r="I913" s="158" t="n"/>
      <c r="J913" s="159" t="n"/>
    </row>
    <row r="914">
      <c r="B914" s="158" t="n"/>
      <c r="C914" s="158" t="n"/>
      <c r="I914" s="158" t="n"/>
      <c r="J914" s="159" t="n"/>
    </row>
    <row r="915">
      <c r="B915" s="158" t="n"/>
      <c r="C915" s="158" t="n"/>
      <c r="I915" s="158" t="n"/>
      <c r="J915" s="159" t="n"/>
    </row>
    <row r="916">
      <c r="B916" s="158" t="n"/>
      <c r="C916" s="158" t="n"/>
      <c r="I916" s="158" t="n"/>
      <c r="J916" s="159" t="n"/>
    </row>
    <row r="917">
      <c r="B917" s="158" t="n"/>
      <c r="C917" s="158" t="n"/>
      <c r="I917" s="158" t="n"/>
      <c r="J917" s="159" t="n"/>
    </row>
    <row r="918">
      <c r="B918" s="158" t="n"/>
      <c r="C918" s="158" t="n"/>
      <c r="I918" s="158" t="n"/>
      <c r="J918" s="159" t="n"/>
    </row>
    <row r="919">
      <c r="B919" s="158" t="n"/>
      <c r="C919" s="158" t="n"/>
      <c r="I919" s="158" t="n"/>
      <c r="J919" s="159" t="n"/>
    </row>
    <row r="920">
      <c r="B920" s="158" t="n"/>
      <c r="C920" s="158" t="n"/>
      <c r="I920" s="158" t="n"/>
      <c r="J920" s="159" t="n"/>
    </row>
    <row r="921">
      <c r="B921" s="158" t="n"/>
      <c r="C921" s="158" t="n"/>
      <c r="I921" s="158" t="n"/>
      <c r="J921" s="159" t="n"/>
    </row>
    <row r="922">
      <c r="B922" s="158" t="n"/>
      <c r="C922" s="158" t="n"/>
      <c r="I922" s="158" t="n"/>
      <c r="J922" s="159" t="n"/>
    </row>
    <row r="923">
      <c r="B923" s="158" t="n"/>
      <c r="C923" s="158" t="n"/>
      <c r="I923" s="158" t="n"/>
      <c r="J923" s="159" t="n"/>
    </row>
    <row r="924">
      <c r="B924" s="158" t="n"/>
      <c r="C924" s="158" t="n"/>
      <c r="I924" s="158" t="n"/>
      <c r="J924" s="159" t="n"/>
    </row>
    <row r="925">
      <c r="B925" s="158" t="n"/>
      <c r="C925" s="158" t="n"/>
      <c r="I925" s="158" t="n"/>
      <c r="J925" s="159" t="n"/>
    </row>
    <row r="926">
      <c r="B926" s="158" t="n"/>
      <c r="C926" s="158" t="n"/>
      <c r="I926" s="158" t="n"/>
      <c r="J926" s="159" t="n"/>
    </row>
    <row r="927">
      <c r="B927" s="158" t="n"/>
      <c r="C927" s="158" t="n"/>
      <c r="I927" s="158" t="n"/>
      <c r="J927" s="159" t="n"/>
    </row>
    <row r="928">
      <c r="B928" s="158" t="n"/>
      <c r="C928" s="158" t="n"/>
      <c r="I928" s="158" t="n"/>
      <c r="J928" s="159" t="n"/>
    </row>
    <row r="929">
      <c r="B929" s="158" t="n"/>
      <c r="C929" s="158" t="n"/>
      <c r="I929" s="158" t="n"/>
      <c r="J929" s="159" t="n"/>
    </row>
    <row r="930">
      <c r="B930" s="158" t="n"/>
      <c r="C930" s="158" t="n"/>
      <c r="I930" s="158" t="n"/>
      <c r="J930" s="159" t="n"/>
    </row>
    <row r="931">
      <c r="B931" s="158" t="n"/>
      <c r="C931" s="158" t="n"/>
      <c r="I931" s="158" t="n"/>
      <c r="J931" s="159" t="n"/>
    </row>
    <row r="932">
      <c r="B932" s="158" t="n"/>
      <c r="C932" s="158" t="n"/>
      <c r="I932" s="158" t="n"/>
      <c r="J932" s="159" t="n"/>
    </row>
    <row r="933">
      <c r="B933" s="158" t="n"/>
      <c r="C933" s="158" t="n"/>
      <c r="I933" s="158" t="n"/>
      <c r="J933" s="159" t="n"/>
    </row>
    <row r="934">
      <c r="B934" s="158" t="n"/>
      <c r="C934" s="158" t="n"/>
      <c r="I934" s="158" t="n"/>
      <c r="J934" s="159" t="n"/>
    </row>
    <row r="935">
      <c r="B935" s="158" t="n"/>
      <c r="C935" s="158" t="n"/>
      <c r="I935" s="158" t="n"/>
      <c r="J935" s="159" t="n"/>
    </row>
    <row r="936">
      <c r="B936" s="158" t="n"/>
      <c r="C936" s="158" t="n"/>
      <c r="I936" s="158" t="n"/>
      <c r="J936" s="159" t="n"/>
    </row>
    <row r="937">
      <c r="B937" s="158" t="n"/>
      <c r="C937" s="158" t="n"/>
      <c r="I937" s="158" t="n"/>
      <c r="J937" s="159" t="n"/>
    </row>
    <row r="938">
      <c r="B938" s="158" t="n"/>
      <c r="C938" s="158" t="n"/>
      <c r="I938" s="158" t="n"/>
      <c r="J938" s="159" t="n"/>
    </row>
    <row r="939">
      <c r="B939" s="158" t="n"/>
      <c r="C939" s="158" t="n"/>
      <c r="I939" s="158" t="n"/>
      <c r="J939" s="159" t="n"/>
    </row>
    <row r="940">
      <c r="B940" s="158" t="n"/>
      <c r="C940" s="158" t="n"/>
      <c r="I940" s="158" t="n"/>
      <c r="J940" s="159" t="n"/>
    </row>
    <row r="941">
      <c r="B941" s="158" t="n"/>
      <c r="C941" s="158" t="n"/>
      <c r="I941" s="158" t="n"/>
      <c r="J941" s="159" t="n"/>
    </row>
    <row r="942">
      <c r="B942" s="158" t="n"/>
      <c r="C942" s="158" t="n"/>
      <c r="I942" s="158" t="n"/>
      <c r="J942" s="159" t="n"/>
    </row>
    <row r="943">
      <c r="B943" s="158" t="n"/>
      <c r="C943" s="158" t="n"/>
      <c r="I943" s="158" t="n"/>
      <c r="J943" s="159" t="n"/>
    </row>
    <row r="944">
      <c r="B944" s="158" t="n"/>
      <c r="C944" s="158" t="n"/>
      <c r="I944" s="158" t="n"/>
      <c r="J944" s="159" t="n"/>
    </row>
    <row r="945">
      <c r="B945" s="158" t="n"/>
      <c r="C945" s="158" t="n"/>
      <c r="I945" s="158" t="n"/>
      <c r="J945" s="159" t="n"/>
    </row>
    <row r="946">
      <c r="B946" s="158" t="n"/>
      <c r="C946" s="158" t="n"/>
      <c r="I946" s="158" t="n"/>
      <c r="J946" s="159" t="n"/>
    </row>
    <row r="947">
      <c r="B947" s="158" t="n"/>
      <c r="C947" s="158" t="n"/>
      <c r="I947" s="158" t="n"/>
      <c r="J947" s="159" t="n"/>
    </row>
    <row r="948">
      <c r="B948" s="158" t="n"/>
      <c r="C948" s="158" t="n"/>
      <c r="I948" s="158" t="n"/>
      <c r="J948" s="159" t="n"/>
    </row>
    <row r="949">
      <c r="B949" s="158" t="n"/>
      <c r="C949" s="158" t="n"/>
      <c r="I949" s="158" t="n"/>
      <c r="J949" s="159" t="n"/>
    </row>
    <row r="950">
      <c r="B950" s="158" t="n"/>
      <c r="C950" s="158" t="n"/>
      <c r="I950" s="158" t="n"/>
      <c r="J950" s="159" t="n"/>
    </row>
    <row r="951">
      <c r="B951" s="158" t="n"/>
      <c r="C951" s="158" t="n"/>
      <c r="I951" s="158" t="n"/>
      <c r="J951" s="159" t="n"/>
    </row>
    <row r="952">
      <c r="B952" s="158" t="n"/>
      <c r="C952" s="158" t="n"/>
      <c r="I952" s="158" t="n"/>
      <c r="J952" s="159" t="n"/>
    </row>
    <row r="953">
      <c r="B953" s="158" t="n"/>
      <c r="C953" s="158" t="n"/>
      <c r="I953" s="158" t="n"/>
      <c r="J953" s="159" t="n"/>
    </row>
    <row r="954">
      <c r="B954" s="158" t="n"/>
      <c r="C954" s="158" t="n"/>
      <c r="I954" s="158" t="n"/>
      <c r="J954" s="159" t="n"/>
    </row>
    <row r="955">
      <c r="B955" s="158" t="n"/>
      <c r="C955" s="158" t="n"/>
      <c r="I955" s="158" t="n"/>
      <c r="J955" s="159" t="n"/>
    </row>
    <row r="956">
      <c r="B956" s="158" t="n"/>
      <c r="C956" s="158" t="n"/>
      <c r="I956" s="158" t="n"/>
      <c r="J956" s="159" t="n"/>
    </row>
    <row r="957">
      <c r="B957" s="158" t="n"/>
      <c r="C957" s="158" t="n"/>
      <c r="I957" s="158" t="n"/>
      <c r="J957" s="159" t="n"/>
    </row>
    <row r="958">
      <c r="B958" s="158" t="n"/>
      <c r="C958" s="158" t="n"/>
      <c r="I958" s="158" t="n"/>
      <c r="J958" s="159" t="n"/>
    </row>
    <row r="959">
      <c r="B959" s="158" t="n"/>
      <c r="C959" s="158" t="n"/>
      <c r="I959" s="158" t="n"/>
      <c r="J959" s="159" t="n"/>
    </row>
    <row r="960">
      <c r="B960" s="158" t="n"/>
      <c r="C960" s="158" t="n"/>
      <c r="I960" s="158" t="n"/>
      <c r="J960" s="159" t="n"/>
    </row>
    <row r="961">
      <c r="B961" s="158" t="n"/>
      <c r="C961" s="158" t="n"/>
      <c r="I961" s="158" t="n"/>
      <c r="J961" s="159" t="n"/>
    </row>
    <row r="962">
      <c r="B962" s="158" t="n"/>
      <c r="C962" s="158" t="n"/>
      <c r="I962" s="158" t="n"/>
      <c r="J962" s="159" t="n"/>
    </row>
    <row r="963">
      <c r="B963" s="158" t="n"/>
      <c r="C963" s="158" t="n"/>
      <c r="I963" s="158" t="n"/>
      <c r="J963" s="159" t="n"/>
    </row>
    <row r="964">
      <c r="B964" s="158" t="n"/>
      <c r="C964" s="158" t="n"/>
      <c r="I964" s="158" t="n"/>
      <c r="J964" s="159" t="n"/>
    </row>
    <row r="965">
      <c r="B965" s="158" t="n"/>
      <c r="C965" s="158" t="n"/>
      <c r="I965" s="158" t="n"/>
      <c r="J965" s="159" t="n"/>
    </row>
    <row r="966">
      <c r="B966" s="158" t="n"/>
      <c r="C966" s="158" t="n"/>
      <c r="I966" s="158" t="n"/>
      <c r="J966" s="159" t="n"/>
    </row>
    <row r="967">
      <c r="B967" s="158" t="n"/>
      <c r="C967" s="158" t="n"/>
      <c r="I967" s="158" t="n"/>
      <c r="J967" s="159" t="n"/>
    </row>
    <row r="968">
      <c r="B968" s="158" t="n"/>
      <c r="C968" s="158" t="n"/>
      <c r="I968" s="158" t="n"/>
      <c r="J968" s="159" t="n"/>
    </row>
    <row r="969">
      <c r="B969" s="158" t="n"/>
      <c r="C969" s="158" t="n"/>
      <c r="I969" s="158" t="n"/>
      <c r="J969" s="159" t="n"/>
    </row>
    <row r="970">
      <c r="B970" s="158" t="n"/>
      <c r="C970" s="158" t="n"/>
      <c r="I970" s="158" t="n"/>
      <c r="J970" s="159" t="n"/>
    </row>
    <row r="971">
      <c r="B971" s="158" t="n"/>
      <c r="C971" s="158" t="n"/>
      <c r="I971" s="158" t="n"/>
      <c r="J971" s="159" t="n"/>
    </row>
    <row r="972">
      <c r="B972" s="158" t="n"/>
      <c r="C972" s="158" t="n"/>
      <c r="I972" s="158" t="n"/>
      <c r="J972" s="159" t="n"/>
    </row>
    <row r="973">
      <c r="B973" s="158" t="n"/>
      <c r="C973" s="158" t="n"/>
      <c r="I973" s="158" t="n"/>
      <c r="J973" s="159" t="n"/>
    </row>
    <row r="974">
      <c r="B974" s="158" t="n"/>
      <c r="C974" s="158" t="n"/>
      <c r="I974" s="158" t="n"/>
      <c r="J974" s="159" t="n"/>
    </row>
    <row r="975">
      <c r="B975" s="158" t="n"/>
      <c r="C975" s="158" t="n"/>
      <c r="I975" s="158" t="n"/>
      <c r="J975" s="159" t="n"/>
    </row>
    <row r="976">
      <c r="B976" s="158" t="n"/>
      <c r="C976" s="158" t="n"/>
      <c r="I976" s="158" t="n"/>
      <c r="J976" s="159" t="n"/>
    </row>
    <row r="977">
      <c r="B977" s="158" t="n"/>
      <c r="C977" s="158" t="n"/>
      <c r="I977" s="158" t="n"/>
      <c r="J977" s="159" t="n"/>
    </row>
    <row r="978">
      <c r="B978" s="158" t="n"/>
      <c r="C978" s="158" t="n"/>
      <c r="I978" s="158" t="n"/>
      <c r="J978" s="159" t="n"/>
    </row>
    <row r="979">
      <c r="B979" s="158" t="n"/>
      <c r="C979" s="158" t="n"/>
      <c r="I979" s="158" t="n"/>
      <c r="J979" s="159" t="n"/>
    </row>
    <row r="980">
      <c r="B980" s="158" t="n"/>
      <c r="C980" s="158" t="n"/>
      <c r="I980" s="158" t="n"/>
      <c r="J980" s="159" t="n"/>
    </row>
    <row r="981">
      <c r="B981" s="158" t="n"/>
      <c r="C981" s="158" t="n"/>
      <c r="I981" s="158" t="n"/>
      <c r="J981" s="159" t="n"/>
    </row>
    <row r="982">
      <c r="B982" s="158" t="n"/>
      <c r="C982" s="158" t="n"/>
      <c r="I982" s="158" t="n"/>
      <c r="J982" s="159" t="n"/>
    </row>
    <row r="983">
      <c r="B983" s="158" t="n"/>
      <c r="C983" s="158" t="n"/>
      <c r="I983" s="158" t="n"/>
      <c r="J983" s="159" t="n"/>
    </row>
    <row r="984">
      <c r="B984" s="158" t="n"/>
      <c r="C984" s="158" t="n"/>
      <c r="I984" s="158" t="n"/>
      <c r="J984" s="159" t="n"/>
    </row>
    <row r="985">
      <c r="B985" s="158" t="n"/>
      <c r="C985" s="158" t="n"/>
      <c r="I985" s="158" t="n"/>
      <c r="J985" s="159" t="n"/>
    </row>
    <row r="986">
      <c r="B986" s="158" t="n"/>
      <c r="C986" s="158" t="n"/>
      <c r="I986" s="158" t="n"/>
      <c r="J986" s="159" t="n"/>
    </row>
    <row r="987">
      <c r="B987" s="158" t="n"/>
      <c r="C987" s="158" t="n"/>
      <c r="I987" s="158" t="n"/>
      <c r="J987" s="159" t="n"/>
    </row>
    <row r="988">
      <c r="B988" s="158" t="n"/>
      <c r="C988" s="158" t="n"/>
      <c r="I988" s="158" t="n"/>
      <c r="J988" s="159" t="n"/>
    </row>
    <row r="989">
      <c r="B989" s="158" t="n"/>
      <c r="C989" s="158" t="n"/>
      <c r="I989" s="158" t="n"/>
      <c r="J989" s="159" t="n"/>
    </row>
    <row r="990">
      <c r="B990" s="158" t="n"/>
      <c r="C990" s="158" t="n"/>
      <c r="I990" s="158" t="n"/>
      <c r="J990" s="159" t="n"/>
    </row>
    <row r="991">
      <c r="B991" s="158" t="n"/>
      <c r="C991" s="158" t="n"/>
      <c r="I991" s="158" t="n"/>
      <c r="J991" s="159" t="n"/>
    </row>
    <row r="992">
      <c r="B992" s="158" t="n"/>
      <c r="C992" s="158" t="n"/>
      <c r="I992" s="158" t="n"/>
      <c r="J992" s="159" t="n"/>
    </row>
    <row r="993">
      <c r="B993" s="158" t="n"/>
      <c r="C993" s="158" t="n"/>
      <c r="I993" s="158" t="n"/>
      <c r="J993" s="159" t="n"/>
    </row>
    <row r="994">
      <c r="B994" s="158" t="n"/>
      <c r="C994" s="158" t="n"/>
      <c r="I994" s="158" t="n"/>
      <c r="J994" s="159" t="n"/>
    </row>
    <row r="995">
      <c r="B995" s="158" t="n"/>
      <c r="C995" s="158" t="n"/>
      <c r="I995" s="158" t="n"/>
      <c r="J995" s="159" t="n"/>
    </row>
    <row r="996">
      <c r="B996" s="158" t="n"/>
      <c r="C996" s="158" t="n"/>
      <c r="I996" s="158" t="n"/>
      <c r="J996" s="159" t="n"/>
    </row>
    <row r="997">
      <c r="B997" s="158" t="n"/>
      <c r="C997" s="158" t="n"/>
      <c r="I997" s="158" t="n"/>
      <c r="J997" s="159" t="n"/>
    </row>
    <row r="998">
      <c r="B998" s="158" t="n"/>
      <c r="C998" s="158" t="n"/>
      <c r="I998" s="158" t="n"/>
      <c r="J998" s="159" t="n"/>
    </row>
    <row r="999">
      <c r="B999" s="158" t="n"/>
      <c r="C999" s="158" t="n"/>
      <c r="I999" s="158" t="n"/>
      <c r="J999" s="159" t="n"/>
    </row>
    <row r="1000">
      <c r="B1000" s="158" t="n"/>
      <c r="C1000" s="158" t="n"/>
      <c r="I1000" s="158" t="n"/>
      <c r="J1000" s="159" t="n"/>
    </row>
    <row r="1001">
      <c r="B1001" s="158" t="n"/>
      <c r="C1001" s="158" t="n"/>
      <c r="I1001" s="158" t="n"/>
      <c r="J1001" s="159" t="n"/>
    </row>
    <row r="1002">
      <c r="B1002" s="158" t="n"/>
      <c r="C1002" s="158" t="n"/>
      <c r="I1002" s="158" t="n"/>
      <c r="J1002" s="159" t="n"/>
    </row>
    <row r="1003">
      <c r="B1003" s="158" t="n"/>
      <c r="C1003" s="158" t="n"/>
      <c r="I1003" s="158" t="n"/>
      <c r="J1003" s="159" t="n"/>
    </row>
    <row r="1004">
      <c r="B1004" s="158" t="n"/>
      <c r="C1004" s="158" t="n"/>
      <c r="I1004" s="158" t="n"/>
      <c r="J1004" s="159" t="n"/>
    </row>
    <row r="1005">
      <c r="B1005" s="158" t="n"/>
      <c r="C1005" s="158" t="n"/>
      <c r="I1005" s="158" t="n"/>
      <c r="J1005" s="159" t="n"/>
    </row>
    <row r="1006">
      <c r="B1006" s="158" t="n"/>
      <c r="C1006" s="158" t="n"/>
      <c r="I1006" s="158" t="n"/>
      <c r="J1006" s="159" t="n"/>
    </row>
    <row r="1007">
      <c r="B1007" s="158" t="n"/>
      <c r="C1007" s="158" t="n"/>
      <c r="I1007" s="158" t="n"/>
      <c r="J1007" s="159" t="n"/>
    </row>
    <row r="1008">
      <c r="B1008" s="158" t="n"/>
      <c r="C1008" s="158" t="n"/>
      <c r="I1008" s="158" t="n"/>
      <c r="J1008" s="159" t="n"/>
    </row>
    <row r="1009">
      <c r="B1009" s="158" t="n"/>
      <c r="C1009" s="158" t="n"/>
      <c r="I1009" s="158" t="n"/>
      <c r="J1009" s="159" t="n"/>
    </row>
    <row r="1010">
      <c r="B1010" s="158" t="n"/>
      <c r="C1010" s="158" t="n"/>
      <c r="I1010" s="158" t="n"/>
      <c r="J1010" s="159" t="n"/>
    </row>
    <row r="1011">
      <c r="B1011" s="158" t="n"/>
      <c r="C1011" s="158" t="n"/>
      <c r="I1011" s="158" t="n"/>
      <c r="J1011" s="159" t="n"/>
    </row>
    <row r="1012">
      <c r="B1012" s="158" t="n"/>
      <c r="C1012" s="158" t="n"/>
      <c r="I1012" s="158" t="n"/>
      <c r="J1012" s="159" t="n"/>
    </row>
    <row r="1013">
      <c r="B1013" s="158" t="n"/>
      <c r="C1013" s="158" t="n"/>
      <c r="I1013" s="158" t="n"/>
      <c r="J1013" s="159" t="n"/>
    </row>
    <row r="1014">
      <c r="B1014" s="158" t="n"/>
      <c r="C1014" s="158" t="n"/>
      <c r="I1014" s="158" t="n"/>
      <c r="J1014" s="159" t="n"/>
    </row>
    <row r="1015">
      <c r="B1015" s="158" t="n"/>
      <c r="C1015" s="158" t="n"/>
      <c r="I1015" s="158" t="n"/>
      <c r="J1015" s="159" t="n"/>
    </row>
    <row r="1016">
      <c r="B1016" s="158" t="n"/>
      <c r="C1016" s="158" t="n"/>
      <c r="I1016" s="158" t="n"/>
      <c r="J1016" s="159" t="n"/>
    </row>
    <row r="1017">
      <c r="B1017" s="158" t="n"/>
      <c r="C1017" s="158" t="n"/>
      <c r="I1017" s="158" t="n"/>
      <c r="J1017" s="159" t="n"/>
    </row>
    <row r="1018">
      <c r="B1018" s="158" t="n"/>
      <c r="C1018" s="158" t="n"/>
      <c r="I1018" s="158" t="n"/>
      <c r="J1018" s="159" t="n"/>
    </row>
    <row r="1019">
      <c r="B1019" s="158" t="n"/>
      <c r="C1019" s="158" t="n"/>
      <c r="I1019" s="158" t="n"/>
      <c r="J1019" s="159" t="n"/>
    </row>
    <row r="1020">
      <c r="B1020" s="158" t="n"/>
      <c r="C1020" s="158" t="n"/>
      <c r="I1020" s="158" t="n"/>
      <c r="J1020" s="159" t="n"/>
    </row>
    <row r="1021">
      <c r="B1021" s="158" t="n"/>
      <c r="C1021" s="158" t="n"/>
      <c r="I1021" s="158" t="n"/>
      <c r="J1021" s="159" t="n"/>
    </row>
    <row r="1022">
      <c r="B1022" s="158" t="n"/>
      <c r="C1022" s="158" t="n"/>
      <c r="I1022" s="158" t="n"/>
      <c r="J1022" s="159" t="n"/>
    </row>
    <row r="1023">
      <c r="B1023" s="158" t="n"/>
      <c r="C1023" s="158" t="n"/>
      <c r="I1023" s="158" t="n"/>
      <c r="J1023" s="159" t="n"/>
    </row>
    <row r="1024">
      <c r="B1024" s="158" t="n"/>
      <c r="C1024" s="158" t="n"/>
      <c r="I1024" s="158" t="n"/>
      <c r="J1024" s="159" t="n"/>
    </row>
    <row r="1025">
      <c r="B1025" s="158" t="n"/>
      <c r="C1025" s="158" t="n"/>
      <c r="I1025" s="158" t="n"/>
      <c r="J1025" s="159" t="n"/>
    </row>
    <row r="1026">
      <c r="B1026" s="158" t="n"/>
      <c r="C1026" s="158" t="n"/>
      <c r="I1026" s="158" t="n"/>
      <c r="J1026" s="159" t="n"/>
    </row>
    <row r="1027">
      <c r="B1027" s="158" t="n"/>
      <c r="C1027" s="158" t="n"/>
      <c r="I1027" s="158" t="n"/>
      <c r="J1027" s="159" t="n"/>
    </row>
    <row r="1028">
      <c r="B1028" s="158" t="n"/>
      <c r="C1028" s="158" t="n"/>
      <c r="I1028" s="158" t="n"/>
      <c r="J1028" s="159" t="n"/>
    </row>
    <row r="1029">
      <c r="B1029" s="158" t="n"/>
      <c r="C1029" s="158" t="n"/>
      <c r="I1029" s="158" t="n"/>
      <c r="J1029" s="159" t="n"/>
    </row>
    <row r="1030">
      <c r="B1030" s="158" t="n"/>
      <c r="C1030" s="158" t="n"/>
      <c r="I1030" s="158" t="n"/>
      <c r="J1030" s="159" t="n"/>
    </row>
    <row r="1031">
      <c r="B1031" s="158" t="n"/>
      <c r="C1031" s="158" t="n"/>
      <c r="I1031" s="158" t="n"/>
      <c r="J1031" s="159" t="n"/>
    </row>
    <row r="1032">
      <c r="B1032" s="158" t="n"/>
      <c r="C1032" s="158" t="n"/>
      <c r="I1032" s="158" t="n"/>
      <c r="J1032" s="159" t="n"/>
    </row>
    <row r="1033">
      <c r="B1033" s="158" t="n"/>
      <c r="C1033" s="158" t="n"/>
      <c r="I1033" s="158" t="n"/>
      <c r="J1033" s="159" t="n"/>
    </row>
    <row r="1034">
      <c r="B1034" s="158" t="n"/>
      <c r="C1034" s="158" t="n"/>
      <c r="I1034" s="158" t="n"/>
      <c r="J1034" s="159" t="n"/>
    </row>
    <row r="1035">
      <c r="B1035" s="158" t="n"/>
      <c r="C1035" s="158" t="n"/>
      <c r="I1035" s="158" t="n"/>
      <c r="J1035" s="159" t="n"/>
    </row>
    <row r="1036">
      <c r="B1036" s="158" t="n"/>
      <c r="C1036" s="158" t="n"/>
      <c r="I1036" s="158" t="n"/>
      <c r="J1036" s="159" t="n"/>
    </row>
    <row r="1037">
      <c r="B1037" s="158" t="n"/>
      <c r="C1037" s="158" t="n"/>
      <c r="I1037" s="158" t="n"/>
      <c r="J1037" s="159" t="n"/>
    </row>
    <row r="1038">
      <c r="B1038" s="158" t="n"/>
      <c r="C1038" s="158" t="n"/>
      <c r="I1038" s="158" t="n"/>
      <c r="J1038" s="159" t="n"/>
    </row>
    <row r="1039">
      <c r="B1039" s="158" t="n"/>
      <c r="C1039" s="158" t="n"/>
      <c r="I1039" s="158" t="n"/>
      <c r="J1039" s="159" t="n"/>
    </row>
    <row r="1040">
      <c r="B1040" s="158" t="n"/>
      <c r="C1040" s="158" t="n"/>
      <c r="I1040" s="158" t="n"/>
      <c r="J1040" s="159" t="n"/>
    </row>
    <row r="1041">
      <c r="B1041" s="158" t="n"/>
      <c r="C1041" s="158" t="n"/>
      <c r="I1041" s="158" t="n"/>
      <c r="J1041" s="159" t="n"/>
    </row>
    <row r="1042">
      <c r="B1042" s="158" t="n"/>
      <c r="C1042" s="158" t="n"/>
      <c r="I1042" s="158" t="n"/>
      <c r="J1042" s="159" t="n"/>
    </row>
    <row r="1043">
      <c r="B1043" s="158" t="n"/>
      <c r="C1043" s="158" t="n"/>
      <c r="I1043" s="158" t="n"/>
      <c r="J1043" s="159" t="n"/>
    </row>
    <row r="1044">
      <c r="B1044" s="158" t="n"/>
      <c r="C1044" s="158" t="n"/>
      <c r="I1044" s="158" t="n"/>
      <c r="J1044" s="159" t="n"/>
    </row>
    <row r="1045">
      <c r="B1045" s="158" t="n"/>
      <c r="C1045" s="158" t="n"/>
      <c r="I1045" s="158" t="n"/>
      <c r="J1045" s="159" t="n"/>
    </row>
    <row r="1046">
      <c r="B1046" s="158" t="n"/>
      <c r="C1046" s="158" t="n"/>
      <c r="I1046" s="158" t="n"/>
      <c r="J1046" s="159" t="n"/>
    </row>
    <row r="1047">
      <c r="B1047" s="158" t="n"/>
      <c r="C1047" s="158" t="n"/>
      <c r="I1047" s="158" t="n"/>
      <c r="J1047" s="159" t="n"/>
    </row>
    <row r="1048">
      <c r="B1048" s="158" t="n"/>
      <c r="C1048" s="158" t="n"/>
      <c r="I1048" s="158" t="n"/>
      <c r="J1048" s="159" t="n"/>
    </row>
    <row r="1049">
      <c r="B1049" s="158" t="n"/>
      <c r="C1049" s="158" t="n"/>
      <c r="I1049" s="158" t="n"/>
      <c r="J1049" s="159" t="n"/>
    </row>
    <row r="1050">
      <c r="B1050" s="158" t="n"/>
      <c r="C1050" s="158" t="n"/>
      <c r="I1050" s="158" t="n"/>
      <c r="J1050" s="159" t="n"/>
    </row>
    <row r="1051">
      <c r="B1051" s="158" t="n"/>
      <c r="C1051" s="158" t="n"/>
      <c r="I1051" s="158" t="n"/>
      <c r="J1051" s="159" t="n"/>
    </row>
    <row r="1052">
      <c r="B1052" s="158" t="n"/>
      <c r="C1052" s="158" t="n"/>
      <c r="I1052" s="158" t="n"/>
      <c r="J1052" s="159" t="n"/>
    </row>
    <row r="1053">
      <c r="B1053" s="158" t="n"/>
      <c r="C1053" s="158" t="n"/>
      <c r="I1053" s="158" t="n"/>
      <c r="J1053" s="159" t="n"/>
    </row>
    <row r="1054">
      <c r="B1054" s="158" t="n"/>
      <c r="C1054" s="158" t="n"/>
      <c r="I1054" s="158" t="n"/>
      <c r="J1054" s="159" t="n"/>
    </row>
    <row r="1055">
      <c r="B1055" s="158" t="n"/>
      <c r="C1055" s="158" t="n"/>
      <c r="I1055" s="158" t="n"/>
      <c r="J1055" s="159" t="n"/>
    </row>
    <row r="1056">
      <c r="B1056" s="158" t="n"/>
      <c r="C1056" s="158" t="n"/>
      <c r="I1056" s="158" t="n"/>
      <c r="J1056" s="159" t="n"/>
    </row>
    <row r="1057">
      <c r="B1057" s="158" t="n"/>
      <c r="C1057" s="158" t="n"/>
      <c r="I1057" s="158" t="n"/>
      <c r="J1057" s="159" t="n"/>
    </row>
    <row r="1058">
      <c r="B1058" s="158" t="n"/>
      <c r="C1058" s="158" t="n"/>
      <c r="I1058" s="158" t="n"/>
      <c r="J1058" s="159" t="n"/>
    </row>
    <row r="1059">
      <c r="B1059" s="158" t="n"/>
      <c r="C1059" s="158" t="n"/>
      <c r="I1059" s="158" t="n"/>
      <c r="J1059" s="159" t="n"/>
    </row>
    <row r="1060">
      <c r="B1060" s="158" t="n"/>
      <c r="C1060" s="158" t="n"/>
      <c r="I1060" s="158" t="n"/>
      <c r="J1060" s="159" t="n"/>
    </row>
    <row r="1061">
      <c r="B1061" s="158" t="n"/>
      <c r="C1061" s="158" t="n"/>
      <c r="I1061" s="158" t="n"/>
      <c r="J1061" s="159" t="n"/>
    </row>
    <row r="1062">
      <c r="B1062" s="158" t="n"/>
      <c r="C1062" s="158" t="n"/>
      <c r="I1062" s="158" t="n"/>
      <c r="J1062" s="159" t="n"/>
    </row>
    <row r="1063">
      <c r="B1063" s="158" t="n"/>
      <c r="C1063" s="158" t="n"/>
      <c r="I1063" s="158" t="n"/>
      <c r="J1063" s="159" t="n"/>
    </row>
    <row r="1064">
      <c r="B1064" s="158" t="n"/>
      <c r="C1064" s="158" t="n"/>
      <c r="I1064" s="158" t="n"/>
      <c r="J1064" s="159" t="n"/>
    </row>
    <row r="1065">
      <c r="B1065" s="158" t="n"/>
      <c r="C1065" s="158" t="n"/>
      <c r="I1065" s="158" t="n"/>
      <c r="J1065" s="159" t="n"/>
    </row>
    <row r="1066">
      <c r="B1066" s="158" t="n"/>
      <c r="C1066" s="158" t="n"/>
      <c r="I1066" s="158" t="n"/>
      <c r="J1066" s="159" t="n"/>
    </row>
    <row r="1067">
      <c r="B1067" s="158" t="n"/>
      <c r="C1067" s="158" t="n"/>
      <c r="I1067" s="158" t="n"/>
      <c r="J1067" s="159" t="n"/>
    </row>
    <row r="1068">
      <c r="B1068" s="158" t="n"/>
      <c r="C1068" s="158" t="n"/>
      <c r="I1068" s="158" t="n"/>
      <c r="J1068" s="159" t="n"/>
    </row>
    <row r="1069">
      <c r="B1069" s="158" t="n"/>
      <c r="C1069" s="158" t="n"/>
      <c r="I1069" s="158" t="n"/>
      <c r="J1069" s="159" t="n"/>
    </row>
    <row r="1070">
      <c r="B1070" s="158" t="n"/>
      <c r="C1070" s="158" t="n"/>
      <c r="I1070" s="158" t="n"/>
      <c r="J1070" s="159" t="n"/>
    </row>
    <row r="1071">
      <c r="B1071" s="158" t="n"/>
      <c r="C1071" s="158" t="n"/>
      <c r="I1071" s="158" t="n"/>
      <c r="J1071" s="159" t="n"/>
    </row>
    <row r="1072">
      <c r="B1072" s="158" t="n"/>
      <c r="C1072" s="158" t="n"/>
      <c r="I1072" s="158" t="n"/>
      <c r="J1072" s="159" t="n"/>
    </row>
    <row r="1073">
      <c r="B1073" s="158" t="n"/>
      <c r="C1073" s="158" t="n"/>
      <c r="I1073" s="158" t="n"/>
      <c r="J1073" s="159" t="n"/>
    </row>
    <row r="1074">
      <c r="B1074" s="158" t="n"/>
      <c r="C1074" s="158" t="n"/>
      <c r="I1074" s="158" t="n"/>
      <c r="J1074" s="159" t="n"/>
    </row>
    <row r="1075">
      <c r="B1075" s="158" t="n"/>
      <c r="C1075" s="158" t="n"/>
      <c r="I1075" s="158" t="n"/>
      <c r="J1075" s="159" t="n"/>
    </row>
    <row r="1076">
      <c r="B1076" s="158" t="n"/>
      <c r="C1076" s="158" t="n"/>
      <c r="I1076" s="158" t="n"/>
      <c r="J1076" s="159" t="n"/>
    </row>
    <row r="1077">
      <c r="B1077" s="158" t="n"/>
      <c r="C1077" s="158" t="n"/>
      <c r="I1077" s="158" t="n"/>
      <c r="J1077" s="159" t="n"/>
    </row>
    <row r="1078">
      <c r="B1078" s="158" t="n"/>
      <c r="C1078" s="158" t="n"/>
      <c r="I1078" s="158" t="n"/>
      <c r="J1078" s="159" t="n"/>
    </row>
    <row r="1079">
      <c r="B1079" s="158" t="n"/>
      <c r="C1079" s="158" t="n"/>
      <c r="I1079" s="158" t="n"/>
      <c r="J1079" s="159" t="n"/>
    </row>
    <row r="1080">
      <c r="B1080" s="158" t="n"/>
      <c r="C1080" s="158" t="n"/>
      <c r="I1080" s="158" t="n"/>
      <c r="J1080" s="159" t="n"/>
    </row>
    <row r="1081">
      <c r="B1081" s="158" t="n"/>
      <c r="C1081" s="158" t="n"/>
      <c r="I1081" s="158" t="n"/>
      <c r="J1081" s="159" t="n"/>
    </row>
    <row r="1082">
      <c r="B1082" s="158" t="n"/>
      <c r="C1082" s="158" t="n"/>
      <c r="I1082" s="158" t="n"/>
      <c r="J1082" s="159" t="n"/>
    </row>
    <row r="1083">
      <c r="B1083" s="158" t="n"/>
      <c r="C1083" s="158" t="n"/>
      <c r="I1083" s="158" t="n"/>
      <c r="J1083" s="159" t="n"/>
    </row>
    <row r="1084">
      <c r="B1084" s="158" t="n"/>
      <c r="C1084" s="158" t="n"/>
      <c r="I1084" s="158" t="n"/>
      <c r="J1084" s="159" t="n"/>
    </row>
    <row r="1085">
      <c r="B1085" s="158" t="n"/>
      <c r="C1085" s="158" t="n"/>
      <c r="I1085" s="158" t="n"/>
      <c r="J1085" s="159" t="n"/>
    </row>
    <row r="1086">
      <c r="B1086" s="158" t="n"/>
      <c r="C1086" s="158" t="n"/>
      <c r="I1086" s="158" t="n"/>
      <c r="J1086" s="159" t="n"/>
    </row>
    <row r="1087">
      <c r="B1087" s="158" t="n"/>
      <c r="C1087" s="158" t="n"/>
      <c r="I1087" s="158" t="n"/>
      <c r="J1087" s="159" t="n"/>
    </row>
    <row r="1088">
      <c r="B1088" s="158" t="n"/>
      <c r="C1088" s="158" t="n"/>
      <c r="I1088" s="158" t="n"/>
      <c r="J1088" s="159" t="n"/>
    </row>
    <row r="1089">
      <c r="B1089" s="158" t="n"/>
      <c r="C1089" s="158" t="n"/>
      <c r="I1089" s="158" t="n"/>
      <c r="J1089" s="159" t="n"/>
    </row>
    <row r="1090">
      <c r="B1090" s="158" t="n"/>
      <c r="C1090" s="158" t="n"/>
      <c r="I1090" s="158" t="n"/>
      <c r="J1090" s="159" t="n"/>
    </row>
    <row r="1091">
      <c r="B1091" s="158" t="n"/>
      <c r="C1091" s="158" t="n"/>
      <c r="I1091" s="158" t="n"/>
      <c r="J1091" s="159" t="n"/>
    </row>
    <row r="1092">
      <c r="B1092" s="158" t="n"/>
      <c r="C1092" s="158" t="n"/>
      <c r="I1092" s="158" t="n"/>
      <c r="J1092" s="159" t="n"/>
    </row>
    <row r="1093">
      <c r="B1093" s="158" t="n"/>
      <c r="C1093" s="158" t="n"/>
      <c r="I1093" s="158" t="n"/>
      <c r="J1093" s="159" t="n"/>
    </row>
    <row r="1094">
      <c r="B1094" s="158" t="n"/>
      <c r="C1094" s="158" t="n"/>
      <c r="I1094" s="158" t="n"/>
      <c r="J1094" s="159" t="n"/>
    </row>
    <row r="1095">
      <c r="B1095" s="158" t="n"/>
      <c r="C1095" s="158" t="n"/>
      <c r="I1095" s="158" t="n"/>
      <c r="J1095" s="159" t="n"/>
    </row>
    <row r="1096">
      <c r="B1096" s="158" t="n"/>
      <c r="C1096" s="158" t="n"/>
      <c r="I1096" s="158" t="n"/>
      <c r="J1096" s="159" t="n"/>
    </row>
    <row r="1097">
      <c r="B1097" s="158" t="n"/>
      <c r="C1097" s="158" t="n"/>
      <c r="I1097" s="158" t="n"/>
      <c r="J1097" s="159" t="n"/>
    </row>
    <row r="1098">
      <c r="B1098" s="158" t="n"/>
      <c r="C1098" s="158" t="n"/>
      <c r="I1098" s="158" t="n"/>
      <c r="J1098" s="159" t="n"/>
    </row>
    <row r="1099">
      <c r="B1099" s="158" t="n"/>
      <c r="C1099" s="158" t="n"/>
      <c r="I1099" s="158" t="n"/>
      <c r="J1099" s="159" t="n"/>
    </row>
    <row r="1100">
      <c r="B1100" s="158" t="n"/>
      <c r="C1100" s="158" t="n"/>
      <c r="I1100" s="158" t="n"/>
      <c r="J1100" s="159" t="n"/>
    </row>
    <row r="1101">
      <c r="B1101" s="158" t="n"/>
      <c r="C1101" s="158" t="n"/>
      <c r="I1101" s="158" t="n"/>
      <c r="J1101" s="159" t="n"/>
    </row>
    <row r="1102">
      <c r="B1102" s="158" t="n"/>
      <c r="C1102" s="158" t="n"/>
      <c r="I1102" s="158" t="n"/>
      <c r="J1102" s="159" t="n"/>
    </row>
    <row r="1103">
      <c r="B1103" s="158" t="n"/>
      <c r="C1103" s="158" t="n"/>
      <c r="I1103" s="158" t="n"/>
      <c r="J1103" s="159" t="n"/>
    </row>
    <row r="1104">
      <c r="B1104" s="158" t="n"/>
      <c r="C1104" s="158" t="n"/>
      <c r="I1104" s="158" t="n"/>
      <c r="J1104" s="159" t="n"/>
    </row>
    <row r="1105">
      <c r="B1105" s="158" t="n"/>
      <c r="C1105" s="158" t="n"/>
      <c r="I1105" s="158" t="n"/>
      <c r="J1105" s="159" t="n"/>
    </row>
    <row r="1106">
      <c r="B1106" s="158" t="n"/>
      <c r="C1106" s="158" t="n"/>
      <c r="I1106" s="158" t="n"/>
      <c r="J1106" s="159" t="n"/>
    </row>
    <row r="1107">
      <c r="B1107" s="158" t="n"/>
      <c r="C1107" s="158" t="n"/>
      <c r="I1107" s="158" t="n"/>
      <c r="J1107" s="159" t="n"/>
    </row>
    <row r="1108">
      <c r="B1108" s="158" t="n"/>
      <c r="C1108" s="158" t="n"/>
      <c r="I1108" s="158" t="n"/>
      <c r="J1108" s="159" t="n"/>
    </row>
    <row r="1109">
      <c r="B1109" s="158" t="n"/>
      <c r="C1109" s="158" t="n"/>
      <c r="I1109" s="158" t="n"/>
      <c r="J1109" s="159" t="n"/>
    </row>
    <row r="1110">
      <c r="B1110" s="158" t="n"/>
      <c r="C1110" s="158" t="n"/>
      <c r="I1110" s="158" t="n"/>
      <c r="J1110" s="159" t="n"/>
    </row>
    <row r="1111">
      <c r="B1111" s="158" t="n"/>
      <c r="C1111" s="158" t="n"/>
      <c r="I1111" s="158" t="n"/>
      <c r="J1111" s="159" t="n"/>
    </row>
    <row r="1112">
      <c r="B1112" s="158" t="n"/>
      <c r="C1112" s="158" t="n"/>
      <c r="I1112" s="158" t="n"/>
      <c r="J1112" s="159" t="n"/>
    </row>
    <row r="1113">
      <c r="B1113" s="158" t="n"/>
      <c r="C1113" s="158" t="n"/>
      <c r="I1113" s="158" t="n"/>
      <c r="J1113" s="159" t="n"/>
    </row>
    <row r="1114">
      <c r="B1114" s="158" t="n"/>
      <c r="C1114" s="158" t="n"/>
      <c r="I1114" s="158" t="n"/>
      <c r="J1114" s="159" t="n"/>
    </row>
    <row r="1115">
      <c r="B1115" s="158" t="n"/>
      <c r="C1115" s="158" t="n"/>
      <c r="I1115" s="158" t="n"/>
      <c r="J1115" s="159" t="n"/>
    </row>
    <row r="1116">
      <c r="B1116" s="158" t="n"/>
      <c r="C1116" s="158" t="n"/>
      <c r="I1116" s="158" t="n"/>
      <c r="J1116" s="159" t="n"/>
    </row>
    <row r="1117">
      <c r="B1117" s="158" t="n"/>
      <c r="C1117" s="158" t="n"/>
      <c r="I1117" s="158" t="n"/>
      <c r="J1117" s="159" t="n"/>
    </row>
    <row r="1118">
      <c r="B1118" s="158" t="n"/>
      <c r="C1118" s="158" t="n"/>
      <c r="I1118" s="158" t="n"/>
      <c r="J1118" s="159" t="n"/>
    </row>
    <row r="1119">
      <c r="B1119" s="158" t="n"/>
      <c r="C1119" s="158" t="n"/>
      <c r="I1119" s="158" t="n"/>
      <c r="J1119" s="159" t="n"/>
    </row>
    <row r="1120">
      <c r="B1120" s="158" t="n"/>
      <c r="C1120" s="158" t="n"/>
      <c r="I1120" s="158" t="n"/>
      <c r="J1120" s="159" t="n"/>
    </row>
    <row r="1121">
      <c r="B1121" s="158" t="n"/>
      <c r="C1121" s="158" t="n"/>
      <c r="I1121" s="158" t="n"/>
      <c r="J1121" s="159" t="n"/>
    </row>
    <row r="1122">
      <c r="B1122" s="158" t="n"/>
      <c r="C1122" s="158" t="n"/>
      <c r="I1122" s="158" t="n"/>
      <c r="J1122" s="159" t="n"/>
    </row>
    <row r="1123">
      <c r="B1123" s="158" t="n"/>
      <c r="C1123" s="158" t="n"/>
      <c r="I1123" s="158" t="n"/>
      <c r="J1123" s="159" t="n"/>
    </row>
    <row r="1124">
      <c r="B1124" s="158" t="n"/>
      <c r="C1124" s="158" t="n"/>
      <c r="I1124" s="158" t="n"/>
      <c r="J1124" s="159" t="n"/>
    </row>
    <row r="1125">
      <c r="B1125" s="158" t="n"/>
      <c r="C1125" s="158" t="n"/>
      <c r="I1125" s="158" t="n"/>
      <c r="J1125" s="159" t="n"/>
    </row>
    <row r="1126">
      <c r="B1126" s="158" t="n"/>
      <c r="C1126" s="158" t="n"/>
      <c r="I1126" s="158" t="n"/>
      <c r="J1126" s="159" t="n"/>
    </row>
    <row r="1127">
      <c r="B1127" s="158" t="n"/>
      <c r="C1127" s="158" t="n"/>
      <c r="I1127" s="158" t="n"/>
      <c r="J1127" s="159" t="n"/>
    </row>
    <row r="1128">
      <c r="B1128" s="158" t="n"/>
      <c r="C1128" s="158" t="n"/>
      <c r="I1128" s="158" t="n"/>
      <c r="J1128" s="159" t="n"/>
    </row>
    <row r="1129">
      <c r="B1129" s="158" t="n"/>
      <c r="C1129" s="158" t="n"/>
      <c r="I1129" s="158" t="n"/>
      <c r="J1129" s="159" t="n"/>
    </row>
    <row r="1130">
      <c r="B1130" s="158" t="n"/>
      <c r="C1130" s="158" t="n"/>
      <c r="I1130" s="158" t="n"/>
      <c r="J1130" s="159" t="n"/>
    </row>
    <row r="1131">
      <c r="B1131" s="158" t="n"/>
      <c r="C1131" s="158" t="n"/>
      <c r="I1131" s="158" t="n"/>
      <c r="J1131" s="159" t="n"/>
    </row>
    <row r="1132">
      <c r="B1132" s="158" t="n"/>
      <c r="C1132" s="158" t="n"/>
      <c r="I1132" s="158" t="n"/>
      <c r="J1132" s="159" t="n"/>
    </row>
    <row r="1133">
      <c r="B1133" s="158" t="n"/>
      <c r="C1133" s="158" t="n"/>
      <c r="I1133" s="158" t="n"/>
      <c r="J1133" s="159" t="n"/>
    </row>
    <row r="1134">
      <c r="B1134" s="158" t="n"/>
      <c r="C1134" s="158" t="n"/>
      <c r="I1134" s="158" t="n"/>
      <c r="J1134" s="159" t="n"/>
    </row>
    <row r="1135">
      <c r="B1135" s="158" t="n"/>
      <c r="C1135" s="158" t="n"/>
      <c r="I1135" s="158" t="n"/>
      <c r="J1135" s="159" t="n"/>
    </row>
    <row r="1136">
      <c r="B1136" s="158" t="n"/>
      <c r="C1136" s="158" t="n"/>
      <c r="I1136" s="158" t="n"/>
      <c r="J1136" s="159" t="n"/>
    </row>
    <row r="1137">
      <c r="B1137" s="158" t="n"/>
      <c r="C1137" s="158" t="n"/>
      <c r="I1137" s="158" t="n"/>
      <c r="J1137" s="159" t="n"/>
    </row>
    <row r="1138">
      <c r="B1138" s="158" t="n"/>
      <c r="C1138" s="158" t="n"/>
      <c r="I1138" s="158" t="n"/>
      <c r="J1138" s="159" t="n"/>
    </row>
    <row r="1139">
      <c r="B1139" s="158" t="n"/>
      <c r="C1139" s="158" t="n"/>
      <c r="I1139" s="158" t="n"/>
      <c r="J1139" s="159" t="n"/>
    </row>
    <row r="1140">
      <c r="B1140" s="158" t="n"/>
      <c r="C1140" s="158" t="n"/>
      <c r="I1140" s="158" t="n"/>
      <c r="J1140" s="159" t="n"/>
    </row>
    <row r="1141">
      <c r="B1141" s="158" t="n"/>
      <c r="C1141" s="158" t="n"/>
      <c r="I1141" s="158" t="n"/>
      <c r="J1141" s="159" t="n"/>
    </row>
    <row r="1142">
      <c r="B1142" s="158" t="n"/>
      <c r="C1142" s="158" t="n"/>
      <c r="I1142" s="158" t="n"/>
      <c r="J1142" s="159" t="n"/>
    </row>
    <row r="1143">
      <c r="B1143" s="158" t="n"/>
      <c r="C1143" s="158" t="n"/>
      <c r="I1143" s="158" t="n"/>
      <c r="J1143" s="159" t="n"/>
    </row>
    <row r="1144">
      <c r="B1144" s="158" t="n"/>
      <c r="C1144" s="158" t="n"/>
      <c r="I1144" s="158" t="n"/>
      <c r="J1144" s="159" t="n"/>
    </row>
    <row r="1145">
      <c r="B1145" s="158" t="n"/>
      <c r="C1145" s="158" t="n"/>
      <c r="I1145" s="158" t="n"/>
      <c r="J1145" s="159" t="n"/>
    </row>
    <row r="1146">
      <c r="B1146" s="158" t="n"/>
      <c r="C1146" s="158" t="n"/>
      <c r="I1146" s="158" t="n"/>
      <c r="J1146" s="159" t="n"/>
    </row>
    <row r="1147">
      <c r="B1147" s="158" t="n"/>
      <c r="C1147" s="158" t="n"/>
      <c r="I1147" s="158" t="n"/>
      <c r="J1147" s="159" t="n"/>
    </row>
    <row r="1148">
      <c r="B1148" s="158" t="n"/>
      <c r="C1148" s="158" t="n"/>
      <c r="I1148" s="158" t="n"/>
      <c r="J1148" s="159" t="n"/>
    </row>
    <row r="1149">
      <c r="B1149" s="158" t="n"/>
      <c r="C1149" s="158" t="n"/>
      <c r="I1149" s="158" t="n"/>
      <c r="J1149" s="159" t="n"/>
    </row>
    <row r="1150">
      <c r="B1150" s="158" t="n"/>
      <c r="C1150" s="158" t="n"/>
      <c r="I1150" s="158" t="n"/>
      <c r="J1150" s="159" t="n"/>
    </row>
    <row r="1151">
      <c r="B1151" s="158" t="n"/>
      <c r="C1151" s="158" t="n"/>
      <c r="I1151" s="158" t="n"/>
      <c r="J1151" s="159" t="n"/>
    </row>
    <row r="1152">
      <c r="B1152" s="158" t="n"/>
      <c r="C1152" s="158" t="n"/>
      <c r="I1152" s="158" t="n"/>
      <c r="J1152" s="159" t="n"/>
    </row>
    <row r="1153">
      <c r="B1153" s="158" t="n"/>
      <c r="C1153" s="158" t="n"/>
      <c r="I1153" s="158" t="n"/>
      <c r="J1153" s="159" t="n"/>
    </row>
    <row r="1154">
      <c r="B1154" s="158" t="n"/>
      <c r="C1154" s="158" t="n"/>
      <c r="I1154" s="158" t="n"/>
      <c r="J1154" s="159" t="n"/>
    </row>
    <row r="1155">
      <c r="B1155" s="158" t="n"/>
      <c r="C1155" s="158" t="n"/>
      <c r="I1155" s="158" t="n"/>
      <c r="J1155" s="159" t="n"/>
    </row>
    <row r="1156">
      <c r="B1156" s="158" t="n"/>
      <c r="C1156" s="158" t="n"/>
      <c r="I1156" s="158" t="n"/>
      <c r="J1156" s="159" t="n"/>
    </row>
    <row r="1157">
      <c r="B1157" s="158" t="n"/>
      <c r="C1157" s="158" t="n"/>
      <c r="I1157" s="158" t="n"/>
      <c r="J1157" s="159" t="n"/>
    </row>
    <row r="1158">
      <c r="B1158" s="158" t="n"/>
      <c r="C1158" s="158" t="n"/>
      <c r="I1158" s="158" t="n"/>
      <c r="J1158" s="159" t="n"/>
    </row>
    <row r="1159">
      <c r="B1159" s="158" t="n"/>
      <c r="C1159" s="158" t="n"/>
      <c r="I1159" s="158" t="n"/>
      <c r="J1159" s="159" t="n"/>
    </row>
    <row r="1160">
      <c r="B1160" s="158" t="n"/>
      <c r="C1160" s="158" t="n"/>
      <c r="I1160" s="158" t="n"/>
      <c r="J1160" s="159" t="n"/>
    </row>
    <row r="1161">
      <c r="B1161" s="158" t="n"/>
      <c r="C1161" s="158" t="n"/>
      <c r="I1161" s="158" t="n"/>
      <c r="J1161" s="159" t="n"/>
    </row>
    <row r="1162">
      <c r="B1162" s="158" t="n"/>
      <c r="C1162" s="158" t="n"/>
      <c r="I1162" s="158" t="n"/>
      <c r="J1162" s="159" t="n"/>
    </row>
    <row r="1163">
      <c r="B1163" s="158" t="n"/>
      <c r="C1163" s="158" t="n"/>
      <c r="I1163" s="158" t="n"/>
      <c r="J1163" s="159" t="n"/>
    </row>
    <row r="1164">
      <c r="B1164" s="158" t="n"/>
      <c r="C1164" s="158" t="n"/>
      <c r="I1164" s="158" t="n"/>
      <c r="J1164" s="159" t="n"/>
    </row>
    <row r="1165">
      <c r="B1165" s="158" t="n"/>
      <c r="C1165" s="158" t="n"/>
      <c r="I1165" s="158" t="n"/>
      <c r="J1165" s="159" t="n"/>
    </row>
    <row r="1166">
      <c r="B1166" s="158" t="n"/>
      <c r="C1166" s="158" t="n"/>
      <c r="I1166" s="158" t="n"/>
      <c r="J1166" s="159" t="n"/>
    </row>
    <row r="1167">
      <c r="B1167" s="158" t="n"/>
      <c r="C1167" s="158" t="n"/>
      <c r="I1167" s="158" t="n"/>
      <c r="J1167" s="159" t="n"/>
    </row>
    <row r="1168">
      <c r="B1168" s="158" t="n"/>
      <c r="C1168" s="158" t="n"/>
      <c r="I1168" s="158" t="n"/>
      <c r="J1168" s="159" t="n"/>
    </row>
    <row r="1169">
      <c r="B1169" s="158" t="n"/>
      <c r="C1169" s="158" t="n"/>
      <c r="I1169" s="158" t="n"/>
      <c r="J1169" s="159" t="n"/>
    </row>
    <row r="1170">
      <c r="B1170" s="158" t="n"/>
      <c r="C1170" s="158" t="n"/>
      <c r="I1170" s="158" t="n"/>
      <c r="J1170" s="159" t="n"/>
    </row>
    <row r="1171">
      <c r="B1171" s="158" t="n"/>
      <c r="C1171" s="158" t="n"/>
      <c r="I1171" s="158" t="n"/>
      <c r="J1171" s="159" t="n"/>
    </row>
    <row r="1172">
      <c r="B1172" s="158" t="n"/>
      <c r="C1172" s="158" t="n"/>
      <c r="I1172" s="158" t="n"/>
      <c r="J1172" s="159" t="n"/>
    </row>
    <row r="1173">
      <c r="B1173" s="158" t="n"/>
      <c r="C1173" s="158" t="n"/>
      <c r="I1173" s="158" t="n"/>
      <c r="J1173" s="159" t="n"/>
    </row>
    <row r="1174">
      <c r="B1174" s="158" t="n"/>
      <c r="C1174" s="158" t="n"/>
      <c r="I1174" s="158" t="n"/>
      <c r="J1174" s="159" t="n"/>
    </row>
    <row r="1175">
      <c r="B1175" s="158" t="n"/>
      <c r="C1175" s="158" t="n"/>
      <c r="I1175" s="158" t="n"/>
      <c r="J1175" s="159" t="n"/>
    </row>
    <row r="1176">
      <c r="B1176" s="158" t="n"/>
      <c r="C1176" s="158" t="n"/>
      <c r="I1176" s="158" t="n"/>
      <c r="J1176" s="159" t="n"/>
    </row>
    <row r="1177">
      <c r="B1177" s="158" t="n"/>
      <c r="C1177" s="158" t="n"/>
      <c r="I1177" s="158" t="n"/>
      <c r="J1177" s="159" t="n"/>
    </row>
    <row r="1178">
      <c r="B1178" s="158" t="n"/>
      <c r="C1178" s="158" t="n"/>
      <c r="I1178" s="158" t="n"/>
      <c r="J1178" s="159" t="n"/>
    </row>
    <row r="1179">
      <c r="B1179" s="158" t="n"/>
      <c r="C1179" s="158" t="n"/>
      <c r="I1179" s="158" t="n"/>
      <c r="J1179" s="159" t="n"/>
    </row>
    <row r="1180">
      <c r="B1180" s="158" t="n"/>
      <c r="C1180" s="158" t="n"/>
      <c r="I1180" s="158" t="n"/>
      <c r="J1180" s="159" t="n"/>
    </row>
    <row r="1181">
      <c r="B1181" s="158" t="n"/>
      <c r="C1181" s="158" t="n"/>
      <c r="I1181" s="158" t="n"/>
      <c r="J1181" s="159" t="n"/>
    </row>
    <row r="1182">
      <c r="B1182" s="158" t="n"/>
      <c r="C1182" s="158" t="n"/>
      <c r="I1182" s="158" t="n"/>
      <c r="J1182" s="159" t="n"/>
    </row>
    <row r="1183">
      <c r="B1183" s="158" t="n"/>
      <c r="C1183" s="158" t="n"/>
      <c r="I1183" s="158" t="n"/>
      <c r="J1183" s="159" t="n"/>
    </row>
    <row r="1184">
      <c r="B1184" s="158" t="n"/>
      <c r="C1184" s="158" t="n"/>
      <c r="I1184" s="158" t="n"/>
      <c r="J1184" s="159" t="n"/>
    </row>
    <row r="1185">
      <c r="B1185" s="158" t="n"/>
      <c r="C1185" s="158" t="n"/>
      <c r="I1185" s="158" t="n"/>
      <c r="J1185" s="159" t="n"/>
    </row>
    <row r="1186">
      <c r="B1186" s="158" t="n"/>
      <c r="C1186" s="158" t="n"/>
      <c r="I1186" s="158" t="n"/>
      <c r="J1186" s="159" t="n"/>
    </row>
    <row r="1187">
      <c r="B1187" s="158" t="n"/>
      <c r="C1187" s="158" t="n"/>
      <c r="I1187" s="158" t="n"/>
      <c r="J1187" s="159" t="n"/>
    </row>
    <row r="1188">
      <c r="B1188" s="158" t="n"/>
      <c r="C1188" s="158" t="n"/>
      <c r="I1188" s="158" t="n"/>
      <c r="J1188" s="159" t="n"/>
    </row>
    <row r="1189">
      <c r="B1189" s="158" t="n"/>
      <c r="C1189" s="158" t="n"/>
      <c r="I1189" s="158" t="n"/>
      <c r="J1189" s="159" t="n"/>
    </row>
    <row r="1190">
      <c r="B1190" s="158" t="n"/>
      <c r="C1190" s="158" t="n"/>
      <c r="I1190" s="158" t="n"/>
      <c r="J1190" s="159" t="n"/>
    </row>
    <row r="1191">
      <c r="B1191" s="158" t="n"/>
      <c r="C1191" s="158" t="n"/>
      <c r="I1191" s="158" t="n"/>
      <c r="J1191" s="159" t="n"/>
    </row>
    <row r="1192">
      <c r="B1192" s="158" t="n"/>
      <c r="C1192" s="158" t="n"/>
      <c r="I1192" s="158" t="n"/>
      <c r="J1192" s="159" t="n"/>
    </row>
    <row r="1193">
      <c r="B1193" s="158" t="n"/>
      <c r="C1193" s="158" t="n"/>
      <c r="I1193" s="158" t="n"/>
      <c r="J1193" s="159" t="n"/>
    </row>
    <row r="1194">
      <c r="B1194" s="158" t="n"/>
      <c r="C1194" s="158" t="n"/>
      <c r="I1194" s="158" t="n"/>
      <c r="J1194" s="159" t="n"/>
    </row>
    <row r="1195">
      <c r="B1195" s="158" t="n"/>
      <c r="C1195" s="158" t="n"/>
      <c r="I1195" s="158" t="n"/>
      <c r="J1195" s="159" t="n"/>
    </row>
    <row r="1196">
      <c r="B1196" s="158" t="n"/>
      <c r="C1196" s="158" t="n"/>
      <c r="I1196" s="158" t="n"/>
      <c r="J1196" s="159" t="n"/>
    </row>
    <row r="1197">
      <c r="B1197" s="158" t="n"/>
      <c r="C1197" s="158" t="n"/>
      <c r="I1197" s="158" t="n"/>
      <c r="J1197" s="159" t="n"/>
    </row>
    <row r="1198">
      <c r="B1198" s="158" t="n"/>
      <c r="C1198" s="158" t="n"/>
      <c r="I1198" s="158" t="n"/>
      <c r="J1198" s="159" t="n"/>
    </row>
    <row r="1199">
      <c r="B1199" s="158" t="n"/>
      <c r="C1199" s="158" t="n"/>
      <c r="I1199" s="158" t="n"/>
      <c r="J1199" s="159" t="n"/>
    </row>
    <row r="1200">
      <c r="B1200" s="158" t="n"/>
      <c r="C1200" s="158" t="n"/>
      <c r="I1200" s="158" t="n"/>
      <c r="J1200" s="159" t="n"/>
    </row>
    <row r="1201">
      <c r="B1201" s="158" t="n"/>
      <c r="C1201" s="158" t="n"/>
      <c r="I1201" s="158" t="n"/>
      <c r="J1201" s="159" t="n"/>
    </row>
    <row r="1202">
      <c r="B1202" s="158" t="n"/>
      <c r="C1202" s="158" t="n"/>
      <c r="I1202" s="158" t="n"/>
      <c r="J1202" s="159" t="n"/>
    </row>
    <row r="1203">
      <c r="B1203" s="158" t="n"/>
      <c r="C1203" s="158" t="n"/>
      <c r="I1203" s="158" t="n"/>
      <c r="J1203" s="159" t="n"/>
    </row>
    <row r="1204">
      <c r="B1204" s="158" t="n"/>
      <c r="C1204" s="158" t="n"/>
      <c r="I1204" s="158" t="n"/>
      <c r="J1204" s="159" t="n"/>
    </row>
    <row r="1205">
      <c r="B1205" s="158" t="n"/>
      <c r="C1205" s="158" t="n"/>
      <c r="I1205" s="158" t="n"/>
      <c r="J1205" s="159" t="n"/>
    </row>
    <row r="1206">
      <c r="B1206" s="158" t="n"/>
      <c r="C1206" s="158" t="n"/>
      <c r="I1206" s="158" t="n"/>
      <c r="J1206" s="159" t="n"/>
    </row>
    <row r="1207">
      <c r="B1207" s="158" t="n"/>
      <c r="C1207" s="158" t="n"/>
      <c r="I1207" s="158" t="n"/>
      <c r="J1207" s="159" t="n"/>
    </row>
    <row r="1208">
      <c r="B1208" s="158" t="n"/>
      <c r="C1208" s="158" t="n"/>
      <c r="I1208" s="158" t="n"/>
      <c r="J1208" s="159" t="n"/>
    </row>
    <row r="1209">
      <c r="B1209" s="158" t="n"/>
      <c r="C1209" s="158" t="n"/>
      <c r="I1209" s="158" t="n"/>
      <c r="J1209" s="159" t="n"/>
    </row>
    <row r="1210">
      <c r="B1210" s="158" t="n"/>
      <c r="C1210" s="158" t="n"/>
      <c r="I1210" s="158" t="n"/>
      <c r="J1210" s="159" t="n"/>
    </row>
    <row r="1211">
      <c r="B1211" s="158" t="n"/>
      <c r="C1211" s="158" t="n"/>
      <c r="I1211" s="158" t="n"/>
      <c r="J1211" s="159" t="n"/>
    </row>
    <row r="1212">
      <c r="B1212" s="158" t="n"/>
      <c r="C1212" s="158" t="n"/>
      <c r="I1212" s="158" t="n"/>
      <c r="J1212" s="159" t="n"/>
    </row>
    <row r="1213">
      <c r="B1213" s="158" t="n"/>
      <c r="C1213" s="158" t="n"/>
      <c r="I1213" s="158" t="n"/>
      <c r="J1213" s="159" t="n"/>
    </row>
    <row r="1214">
      <c r="B1214" s="158" t="n"/>
      <c r="C1214" s="158" t="n"/>
      <c r="I1214" s="158" t="n"/>
      <c r="J1214" s="159" t="n"/>
    </row>
    <row r="1215">
      <c r="B1215" s="158" t="n"/>
      <c r="C1215" s="158" t="n"/>
      <c r="I1215" s="158" t="n"/>
      <c r="J1215" s="159" t="n"/>
    </row>
    <row r="1216">
      <c r="B1216" s="158" t="n"/>
      <c r="C1216" s="158" t="n"/>
      <c r="I1216" s="158" t="n"/>
      <c r="J1216" s="159" t="n"/>
    </row>
    <row r="1217">
      <c r="B1217" s="158" t="n"/>
      <c r="C1217" s="158" t="n"/>
      <c r="I1217" s="158" t="n"/>
      <c r="J1217" s="159" t="n"/>
    </row>
    <row r="1218">
      <c r="B1218" s="158" t="n"/>
      <c r="C1218" s="158" t="n"/>
      <c r="I1218" s="158" t="n"/>
      <c r="J1218" s="159" t="n"/>
    </row>
    <row r="1219">
      <c r="B1219" s="158" t="n"/>
      <c r="C1219" s="158" t="n"/>
      <c r="I1219" s="158" t="n"/>
      <c r="J1219" s="159" t="n"/>
    </row>
    <row r="1220">
      <c r="B1220" s="158" t="n"/>
      <c r="C1220" s="158" t="n"/>
      <c r="I1220" s="158" t="n"/>
      <c r="J1220" s="159" t="n"/>
    </row>
    <row r="1221">
      <c r="B1221" s="158" t="n"/>
      <c r="C1221" s="158" t="n"/>
      <c r="I1221" s="158" t="n"/>
      <c r="J1221" s="159" t="n"/>
    </row>
    <row r="1222">
      <c r="B1222" s="158" t="n"/>
      <c r="C1222" s="158" t="n"/>
      <c r="I1222" s="158" t="n"/>
      <c r="J1222" s="159" t="n"/>
    </row>
    <row r="1223">
      <c r="B1223" s="158" t="n"/>
      <c r="C1223" s="158" t="n"/>
      <c r="I1223" s="158" t="n"/>
      <c r="J1223" s="159" t="n"/>
    </row>
    <row r="1224">
      <c r="B1224" s="158" t="n"/>
      <c r="C1224" s="158" t="n"/>
      <c r="I1224" s="158" t="n"/>
      <c r="J1224" s="159" t="n"/>
    </row>
    <row r="1225">
      <c r="B1225" s="158" t="n"/>
      <c r="C1225" s="158" t="n"/>
      <c r="I1225" s="158" t="n"/>
      <c r="J1225" s="159" t="n"/>
    </row>
    <row r="1226">
      <c r="B1226" s="158" t="n"/>
      <c r="C1226" s="158" t="n"/>
      <c r="I1226" s="158" t="n"/>
      <c r="J1226" s="159" t="n"/>
    </row>
    <row r="1227">
      <c r="B1227" s="158" t="n"/>
      <c r="C1227" s="158" t="n"/>
      <c r="I1227" s="158" t="n"/>
      <c r="J1227" s="159" t="n"/>
    </row>
    <row r="1228">
      <c r="B1228" s="158" t="n"/>
      <c r="C1228" s="158" t="n"/>
      <c r="I1228" s="158" t="n"/>
      <c r="J1228" s="159" t="n"/>
    </row>
    <row r="1229">
      <c r="B1229" s="158" t="n"/>
      <c r="C1229" s="158" t="n"/>
      <c r="I1229" s="158" t="n"/>
      <c r="J1229" s="159" t="n"/>
    </row>
    <row r="1230">
      <c r="B1230" s="158" t="n"/>
      <c r="C1230" s="158" t="n"/>
      <c r="I1230" s="158" t="n"/>
      <c r="J1230" s="159" t="n"/>
    </row>
    <row r="1231">
      <c r="B1231" s="158" t="n"/>
      <c r="C1231" s="158" t="n"/>
      <c r="I1231" s="158" t="n"/>
      <c r="J1231" s="159" t="n"/>
    </row>
    <row r="1232">
      <c r="B1232" s="158" t="n"/>
      <c r="C1232" s="158" t="n"/>
      <c r="I1232" s="158" t="n"/>
      <c r="J1232" s="159" t="n"/>
    </row>
    <row r="1233">
      <c r="B1233" s="158" t="n"/>
      <c r="C1233" s="158" t="n"/>
      <c r="I1233" s="158" t="n"/>
      <c r="J1233" s="159" t="n"/>
    </row>
    <row r="1234">
      <c r="B1234" s="158" t="n"/>
      <c r="C1234" s="158" t="n"/>
      <c r="I1234" s="158" t="n"/>
      <c r="J1234" s="159" t="n"/>
    </row>
    <row r="1235">
      <c r="B1235" s="158" t="n"/>
      <c r="C1235" s="158" t="n"/>
      <c r="I1235" s="158" t="n"/>
      <c r="J1235" s="159" t="n"/>
    </row>
    <row r="1236">
      <c r="B1236" s="158" t="n"/>
      <c r="C1236" s="158" t="n"/>
      <c r="I1236" s="158" t="n"/>
      <c r="J1236" s="159" t="n"/>
    </row>
    <row r="1237">
      <c r="B1237" s="158" t="n"/>
      <c r="C1237" s="158" t="n"/>
      <c r="I1237" s="158" t="n"/>
      <c r="J1237" s="159" t="n"/>
    </row>
    <row r="1238">
      <c r="B1238" s="158" t="n"/>
      <c r="C1238" s="158" t="n"/>
      <c r="I1238" s="158" t="n"/>
      <c r="J1238" s="159" t="n"/>
    </row>
    <row r="1239">
      <c r="B1239" s="158" t="n"/>
      <c r="C1239" s="158" t="n"/>
      <c r="I1239" s="158" t="n"/>
      <c r="J1239" s="159" t="n"/>
    </row>
    <row r="1240">
      <c r="B1240" s="158" t="n"/>
      <c r="C1240" s="158" t="n"/>
      <c r="I1240" s="158" t="n"/>
      <c r="J1240" s="159" t="n"/>
    </row>
    <row r="1241">
      <c r="B1241" s="158" t="n"/>
      <c r="C1241" s="158" t="n"/>
      <c r="I1241" s="158" t="n"/>
      <c r="J1241" s="159" t="n"/>
    </row>
    <row r="1242">
      <c r="B1242" s="158" t="n"/>
      <c r="C1242" s="158" t="n"/>
      <c r="I1242" s="158" t="n"/>
      <c r="J1242" s="159" t="n"/>
    </row>
    <row r="1243">
      <c r="B1243" s="158" t="n"/>
      <c r="C1243" s="158" t="n"/>
      <c r="I1243" s="158" t="n"/>
      <c r="J1243" s="159" t="n"/>
    </row>
    <row r="1244">
      <c r="B1244" s="158" t="n"/>
      <c r="C1244" s="158" t="n"/>
      <c r="I1244" s="158" t="n"/>
      <c r="J1244" s="159" t="n"/>
    </row>
    <row r="1245">
      <c r="B1245" s="158" t="n"/>
      <c r="C1245" s="158" t="n"/>
      <c r="I1245" s="158" t="n"/>
      <c r="J1245" s="159" t="n"/>
    </row>
    <row r="1246">
      <c r="B1246" s="158" t="n"/>
      <c r="C1246" s="158" t="n"/>
      <c r="I1246" s="158" t="n"/>
      <c r="J1246" s="159" t="n"/>
    </row>
    <row r="1247">
      <c r="B1247" s="158" t="n"/>
      <c r="C1247" s="158" t="n"/>
      <c r="I1247" s="158" t="n"/>
      <c r="J1247" s="159" t="n"/>
    </row>
    <row r="1248">
      <c r="B1248" s="158" t="n"/>
      <c r="C1248" s="158" t="n"/>
      <c r="I1248" s="158" t="n"/>
      <c r="J1248" s="159" t="n"/>
    </row>
    <row r="1249">
      <c r="B1249" s="158" t="n"/>
      <c r="C1249" s="158" t="n"/>
      <c r="I1249" s="158" t="n"/>
      <c r="J1249" s="159" t="n"/>
    </row>
    <row r="1250">
      <c r="B1250" s="158" t="n"/>
      <c r="C1250" s="158" t="n"/>
      <c r="I1250" s="158" t="n"/>
      <c r="J1250" s="159" t="n"/>
    </row>
    <row r="1251">
      <c r="B1251" s="158" t="n"/>
      <c r="C1251" s="158" t="n"/>
      <c r="I1251" s="158" t="n"/>
      <c r="J1251" s="159" t="n"/>
    </row>
    <row r="1252">
      <c r="B1252" s="158" t="n"/>
      <c r="C1252" s="158" t="n"/>
      <c r="I1252" s="158" t="n"/>
      <c r="J1252" s="159" t="n"/>
    </row>
    <row r="1253">
      <c r="B1253" s="158" t="n"/>
      <c r="C1253" s="158" t="n"/>
      <c r="I1253" s="158" t="n"/>
      <c r="J1253" s="159" t="n"/>
    </row>
    <row r="1254">
      <c r="B1254" s="158" t="n"/>
      <c r="C1254" s="158" t="n"/>
      <c r="I1254" s="158" t="n"/>
      <c r="J1254" s="159" t="n"/>
    </row>
    <row r="1255">
      <c r="B1255" s="158" t="n"/>
      <c r="C1255" s="158" t="n"/>
      <c r="I1255" s="158" t="n"/>
      <c r="J1255" s="159" t="n"/>
    </row>
    <row r="1256">
      <c r="B1256" s="158" t="n"/>
      <c r="C1256" s="158" t="n"/>
      <c r="I1256" s="158" t="n"/>
      <c r="J1256" s="159" t="n"/>
    </row>
    <row r="1257">
      <c r="B1257" s="158" t="n"/>
      <c r="C1257" s="158" t="n"/>
      <c r="I1257" s="158" t="n"/>
      <c r="J1257" s="159" t="n"/>
    </row>
    <row r="1258">
      <c r="B1258" s="158" t="n"/>
      <c r="C1258" s="158" t="n"/>
      <c r="I1258" s="158" t="n"/>
      <c r="J1258" s="159" t="n"/>
    </row>
    <row r="1259">
      <c r="B1259" s="158" t="n"/>
      <c r="C1259" s="158" t="n"/>
      <c r="I1259" s="158" t="n"/>
      <c r="J1259" s="159" t="n"/>
    </row>
    <row r="1260">
      <c r="B1260" s="158" t="n"/>
      <c r="C1260" s="158" t="n"/>
      <c r="I1260" s="158" t="n"/>
      <c r="J1260" s="159" t="n"/>
    </row>
    <row r="1261">
      <c r="B1261" s="158" t="n"/>
      <c r="C1261" s="158" t="n"/>
      <c r="I1261" s="158" t="n"/>
      <c r="J1261" s="159" t="n"/>
    </row>
    <row r="1262">
      <c r="B1262" s="158" t="n"/>
      <c r="C1262" s="158" t="n"/>
      <c r="I1262" s="158" t="n"/>
      <c r="J1262" s="159" t="n"/>
    </row>
    <row r="1263">
      <c r="B1263" s="158" t="n"/>
      <c r="C1263" s="158" t="n"/>
      <c r="I1263" s="158" t="n"/>
      <c r="J1263" s="159" t="n"/>
    </row>
    <row r="1264">
      <c r="B1264" s="158" t="n"/>
      <c r="C1264" s="158" t="n"/>
      <c r="I1264" s="158" t="n"/>
      <c r="J1264" s="159" t="n"/>
    </row>
    <row r="1265">
      <c r="B1265" s="158" t="n"/>
      <c r="C1265" s="158" t="n"/>
      <c r="I1265" s="158" t="n"/>
      <c r="J1265" s="159" t="n"/>
    </row>
    <row r="1266">
      <c r="B1266" s="158" t="n"/>
      <c r="C1266" s="158" t="n"/>
      <c r="I1266" s="158" t="n"/>
      <c r="J1266" s="159" t="n"/>
    </row>
    <row r="1267">
      <c r="B1267" s="158" t="n"/>
      <c r="C1267" s="158" t="n"/>
      <c r="I1267" s="158" t="n"/>
      <c r="J1267" s="159" t="n"/>
    </row>
    <row r="1268">
      <c r="B1268" s="158" t="n"/>
      <c r="C1268" s="158" t="n"/>
      <c r="I1268" s="158" t="n"/>
      <c r="J1268" s="159" t="n"/>
    </row>
    <row r="1269">
      <c r="B1269" s="158" t="n"/>
      <c r="C1269" s="158" t="n"/>
      <c r="I1269" s="158" t="n"/>
      <c r="J1269" s="159" t="n"/>
    </row>
    <row r="1270">
      <c r="B1270" s="158" t="n"/>
      <c r="C1270" s="158" t="n"/>
      <c r="I1270" s="158" t="n"/>
      <c r="J1270" s="159" t="n"/>
    </row>
    <row r="1271">
      <c r="B1271" s="158" t="n"/>
      <c r="C1271" s="158" t="n"/>
      <c r="I1271" s="158" t="n"/>
      <c r="J1271" s="159" t="n"/>
    </row>
    <row r="1272">
      <c r="B1272" s="158" t="n"/>
      <c r="C1272" s="158" t="n"/>
      <c r="I1272" s="158" t="n"/>
      <c r="J1272" s="159" t="n"/>
    </row>
    <row r="1273">
      <c r="B1273" s="158" t="n"/>
      <c r="C1273" s="158" t="n"/>
      <c r="I1273" s="158" t="n"/>
      <c r="J1273" s="159" t="n"/>
    </row>
    <row r="1274">
      <c r="B1274" s="158" t="n"/>
      <c r="C1274" s="158" t="n"/>
      <c r="I1274" s="158" t="n"/>
      <c r="J1274" s="159" t="n"/>
    </row>
    <row r="1275">
      <c r="B1275" s="158" t="n"/>
      <c r="C1275" s="158" t="n"/>
      <c r="I1275" s="158" t="n"/>
      <c r="J1275" s="159" t="n"/>
    </row>
    <row r="1276">
      <c r="B1276" s="158" t="n"/>
      <c r="C1276" s="158" t="n"/>
      <c r="I1276" s="158" t="n"/>
      <c r="J1276" s="159" t="n"/>
    </row>
    <row r="1277">
      <c r="B1277" s="158" t="n"/>
      <c r="C1277" s="158" t="n"/>
      <c r="I1277" s="158" t="n"/>
      <c r="J1277" s="159" t="n"/>
    </row>
    <row r="1278">
      <c r="B1278" s="158" t="n"/>
      <c r="C1278" s="158" t="n"/>
      <c r="I1278" s="158" t="n"/>
      <c r="J1278" s="159" t="n"/>
    </row>
    <row r="1279">
      <c r="B1279" s="158" t="n"/>
      <c r="C1279" s="158" t="n"/>
      <c r="I1279" s="158" t="n"/>
      <c r="J1279" s="159" t="n"/>
    </row>
    <row r="1280">
      <c r="B1280" s="158" t="n"/>
      <c r="C1280" s="158" t="n"/>
      <c r="I1280" s="158" t="n"/>
      <c r="J1280" s="159" t="n"/>
    </row>
    <row r="1281">
      <c r="B1281" s="158" t="n"/>
      <c r="C1281" s="158" t="n"/>
      <c r="I1281" s="158" t="n"/>
      <c r="J1281" s="159" t="n"/>
    </row>
    <row r="1282">
      <c r="B1282" s="158" t="n"/>
      <c r="C1282" s="158" t="n"/>
      <c r="I1282" s="158" t="n"/>
      <c r="J1282" s="159" t="n"/>
    </row>
    <row r="1283">
      <c r="B1283" s="158" t="n"/>
      <c r="C1283" s="158" t="n"/>
      <c r="I1283" s="158" t="n"/>
      <c r="J1283" s="159" t="n"/>
    </row>
    <row r="1284">
      <c r="B1284" s="158" t="n"/>
      <c r="C1284" s="158" t="n"/>
      <c r="I1284" s="158" t="n"/>
      <c r="J1284" s="159" t="n"/>
    </row>
    <row r="1285">
      <c r="B1285" s="158" t="n"/>
      <c r="C1285" s="158" t="n"/>
      <c r="I1285" s="158" t="n"/>
      <c r="J1285" s="159" t="n"/>
    </row>
    <row r="1286">
      <c r="B1286" s="158" t="n"/>
      <c r="C1286" s="158" t="n"/>
      <c r="I1286" s="158" t="n"/>
      <c r="J1286" s="159" t="n"/>
    </row>
    <row r="1287">
      <c r="B1287" s="158" t="n"/>
      <c r="C1287" s="158" t="n"/>
      <c r="I1287" s="158" t="n"/>
      <c r="J1287" s="159" t="n"/>
    </row>
    <row r="1288">
      <c r="B1288" s="158" t="n"/>
      <c r="C1288" s="158" t="n"/>
      <c r="I1288" s="158" t="n"/>
      <c r="J1288" s="159" t="n"/>
    </row>
    <row r="1289">
      <c r="B1289" s="158" t="n"/>
      <c r="C1289" s="158" t="n"/>
      <c r="I1289" s="158" t="n"/>
      <c r="J1289" s="159" t="n"/>
    </row>
    <row r="1290">
      <c r="B1290" s="158" t="n"/>
      <c r="C1290" s="158" t="n"/>
      <c r="I1290" s="158" t="n"/>
      <c r="J1290" s="159" t="n"/>
    </row>
    <row r="1291">
      <c r="B1291" s="158" t="n"/>
      <c r="C1291" s="158" t="n"/>
      <c r="I1291" s="158" t="n"/>
      <c r="J1291" s="159" t="n"/>
    </row>
    <row r="1292">
      <c r="B1292" s="158" t="n"/>
      <c r="C1292" s="158" t="n"/>
      <c r="I1292" s="158" t="n"/>
      <c r="J1292" s="159" t="n"/>
    </row>
    <row r="1293">
      <c r="B1293" s="158" t="n"/>
      <c r="C1293" s="158" t="n"/>
      <c r="I1293" s="158" t="n"/>
      <c r="J1293" s="159" t="n"/>
    </row>
    <row r="1294">
      <c r="B1294" s="158" t="n"/>
      <c r="C1294" s="158" t="n"/>
      <c r="I1294" s="158" t="n"/>
      <c r="J1294" s="159" t="n"/>
    </row>
    <row r="1295">
      <c r="B1295" s="158" t="n"/>
      <c r="C1295" s="158" t="n"/>
      <c r="I1295" s="158" t="n"/>
      <c r="J1295" s="159" t="n"/>
    </row>
    <row r="1296">
      <c r="B1296" s="158" t="n"/>
      <c r="C1296" s="158" t="n"/>
      <c r="I1296" s="158" t="n"/>
      <c r="J1296" s="159" t="n"/>
    </row>
    <row r="1297">
      <c r="B1297" s="158" t="n"/>
      <c r="C1297" s="158" t="n"/>
      <c r="I1297" s="158" t="n"/>
      <c r="J1297" s="159" t="n"/>
    </row>
    <row r="1298">
      <c r="B1298" s="158" t="n"/>
      <c r="C1298" s="158" t="n"/>
      <c r="I1298" s="158" t="n"/>
      <c r="J1298" s="159" t="n"/>
    </row>
    <row r="1299">
      <c r="B1299" s="158" t="n"/>
      <c r="C1299" s="158" t="n"/>
      <c r="I1299" s="158" t="n"/>
      <c r="J1299" s="159" t="n"/>
    </row>
    <row r="1300">
      <c r="B1300" s="158" t="n"/>
      <c r="C1300" s="158" t="n"/>
      <c r="I1300" s="158" t="n"/>
      <c r="J1300" s="159" t="n"/>
    </row>
    <row r="1301">
      <c r="B1301" s="158" t="n"/>
      <c r="C1301" s="158" t="n"/>
      <c r="I1301" s="158" t="n"/>
      <c r="J1301" s="159" t="n"/>
    </row>
    <row r="1302">
      <c r="B1302" s="158" t="n"/>
      <c r="C1302" s="158" t="n"/>
      <c r="I1302" s="158" t="n"/>
      <c r="J1302" s="159" t="n"/>
    </row>
    <row r="1303">
      <c r="B1303" s="158" t="n"/>
      <c r="C1303" s="158" t="n"/>
      <c r="I1303" s="158" t="n"/>
      <c r="J1303" s="159" t="n"/>
    </row>
    <row r="1304">
      <c r="B1304" s="158" t="n"/>
      <c r="C1304" s="158" t="n"/>
      <c r="I1304" s="158" t="n"/>
      <c r="J1304" s="159" t="n"/>
    </row>
    <row r="1305">
      <c r="B1305" s="158" t="n"/>
      <c r="C1305" s="158" t="n"/>
      <c r="I1305" s="158" t="n"/>
      <c r="J1305" s="159" t="n"/>
    </row>
    <row r="1306">
      <c r="B1306" s="158" t="n"/>
      <c r="C1306" s="158" t="n"/>
      <c r="I1306" s="158" t="n"/>
      <c r="J1306" s="159" t="n"/>
    </row>
    <row r="1307">
      <c r="B1307" s="158" t="n"/>
      <c r="C1307" s="158" t="n"/>
      <c r="I1307" s="158" t="n"/>
      <c r="J1307" s="159" t="n"/>
    </row>
    <row r="1308">
      <c r="B1308" s="158" t="n"/>
      <c r="C1308" s="158" t="n"/>
      <c r="I1308" s="158" t="n"/>
      <c r="J1308" s="159" t="n"/>
    </row>
    <row r="1309">
      <c r="B1309" s="158" t="n"/>
      <c r="C1309" s="158" t="n"/>
      <c r="I1309" s="158" t="n"/>
      <c r="J1309" s="159" t="n"/>
    </row>
    <row r="1310">
      <c r="B1310" s="158" t="n"/>
      <c r="C1310" s="158" t="n"/>
      <c r="I1310" s="158" t="n"/>
      <c r="J1310" s="159" t="n"/>
    </row>
    <row r="1311">
      <c r="B1311" s="158" t="n"/>
      <c r="C1311" s="158" t="n"/>
      <c r="I1311" s="158" t="n"/>
      <c r="J1311" s="159" t="n"/>
    </row>
    <row r="1312">
      <c r="B1312" s="158" t="n"/>
      <c r="C1312" s="158" t="n"/>
      <c r="I1312" s="158" t="n"/>
      <c r="J1312" s="159" t="n"/>
    </row>
    <row r="1313">
      <c r="B1313" s="158" t="n"/>
      <c r="C1313" s="158" t="n"/>
      <c r="I1313" s="158" t="n"/>
      <c r="J1313" s="159" t="n"/>
    </row>
    <row r="1314">
      <c r="B1314" s="158" t="n"/>
      <c r="C1314" s="158" t="n"/>
      <c r="I1314" s="158" t="n"/>
      <c r="J1314" s="159" t="n"/>
    </row>
    <row r="1315">
      <c r="B1315" s="158" t="n"/>
      <c r="C1315" s="158" t="n"/>
      <c r="I1315" s="158" t="n"/>
      <c r="J1315" s="159" t="n"/>
    </row>
    <row r="1316">
      <c r="B1316" s="158" t="n"/>
      <c r="C1316" s="158" t="n"/>
      <c r="I1316" s="158" t="n"/>
      <c r="J1316" s="159" t="n"/>
    </row>
    <row r="1317">
      <c r="B1317" s="158" t="n"/>
      <c r="C1317" s="158" t="n"/>
      <c r="I1317" s="158" t="n"/>
      <c r="J1317" s="159" t="n"/>
    </row>
    <row r="1318">
      <c r="B1318" s="158" t="n"/>
      <c r="C1318" s="158" t="n"/>
      <c r="I1318" s="158" t="n"/>
      <c r="J1318" s="159" t="n"/>
    </row>
    <row r="1319">
      <c r="B1319" s="158" t="n"/>
      <c r="C1319" s="158" t="n"/>
      <c r="I1319" s="158" t="n"/>
      <c r="J1319" s="159" t="n"/>
    </row>
    <row r="1320">
      <c r="B1320" s="158" t="n"/>
      <c r="C1320" s="158" t="n"/>
      <c r="I1320" s="158" t="n"/>
      <c r="J1320" s="159" t="n"/>
    </row>
    <row r="1321">
      <c r="B1321" s="158" t="n"/>
      <c r="C1321" s="158" t="n"/>
      <c r="I1321" s="158" t="n"/>
      <c r="J1321" s="159" t="n"/>
    </row>
    <row r="1322">
      <c r="B1322" s="158" t="n"/>
      <c r="C1322" s="158" t="n"/>
      <c r="I1322" s="158" t="n"/>
      <c r="J1322" s="159" t="n"/>
    </row>
    <row r="1323">
      <c r="B1323" s="158" t="n"/>
      <c r="C1323" s="158" t="n"/>
      <c r="I1323" s="158" t="n"/>
      <c r="J1323" s="159" t="n"/>
    </row>
    <row r="1324">
      <c r="B1324" s="158" t="n"/>
      <c r="C1324" s="158" t="n"/>
      <c r="I1324" s="158" t="n"/>
      <c r="J1324" s="159" t="n"/>
    </row>
    <row r="1325">
      <c r="B1325" s="158" t="n"/>
      <c r="C1325" s="158" t="n"/>
      <c r="I1325" s="158" t="n"/>
      <c r="J1325" s="159" t="n"/>
    </row>
    <row r="1326">
      <c r="B1326" s="158" t="n"/>
      <c r="C1326" s="158" t="n"/>
      <c r="I1326" s="158" t="n"/>
      <c r="J1326" s="159" t="n"/>
    </row>
    <row r="1327">
      <c r="B1327" s="158" t="n"/>
      <c r="C1327" s="158" t="n"/>
      <c r="I1327" s="158" t="n"/>
      <c r="J1327" s="159" t="n"/>
    </row>
    <row r="1328">
      <c r="B1328" s="158" t="n"/>
      <c r="C1328" s="158" t="n"/>
      <c r="I1328" s="158" t="n"/>
      <c r="J1328" s="159" t="n"/>
    </row>
    <row r="1329">
      <c r="B1329" s="158" t="n"/>
      <c r="C1329" s="158" t="n"/>
      <c r="I1329" s="158" t="n"/>
      <c r="J1329" s="159" t="n"/>
    </row>
    <row r="1330">
      <c r="B1330" s="158" t="n"/>
      <c r="C1330" s="158" t="n"/>
      <c r="I1330" s="158" t="n"/>
      <c r="J1330" s="159" t="n"/>
    </row>
    <row r="1331">
      <c r="B1331" s="158" t="n"/>
      <c r="C1331" s="158" t="n"/>
      <c r="I1331" s="158" t="n"/>
      <c r="J1331" s="159" t="n"/>
    </row>
    <row r="1332">
      <c r="B1332" s="158" t="n"/>
      <c r="C1332" s="158" t="n"/>
      <c r="I1332" s="158" t="n"/>
      <c r="J1332" s="159" t="n"/>
    </row>
    <row r="1333">
      <c r="B1333" s="158" t="n"/>
      <c r="C1333" s="158" t="n"/>
      <c r="I1333" s="158" t="n"/>
      <c r="J1333" s="159" t="n"/>
    </row>
    <row r="1334">
      <c r="B1334" s="158" t="n"/>
      <c r="C1334" s="158" t="n"/>
      <c r="I1334" s="158" t="n"/>
      <c r="J1334" s="159" t="n"/>
    </row>
    <row r="1335">
      <c r="B1335" s="158" t="n"/>
      <c r="C1335" s="158" t="n"/>
      <c r="I1335" s="158" t="n"/>
      <c r="J1335" s="159" t="n"/>
    </row>
    <row r="1336">
      <c r="B1336" s="158" t="n"/>
      <c r="C1336" s="158" t="n"/>
      <c r="I1336" s="158" t="n"/>
      <c r="J1336" s="159" t="n"/>
    </row>
    <row r="1337">
      <c r="B1337" s="158" t="n"/>
      <c r="C1337" s="158" t="n"/>
      <c r="I1337" s="158" t="n"/>
      <c r="J1337" s="159" t="n"/>
    </row>
    <row r="1338">
      <c r="B1338" s="158" t="n"/>
      <c r="C1338" s="158" t="n"/>
      <c r="I1338" s="158" t="n"/>
      <c r="J1338" s="159" t="n"/>
    </row>
    <row r="1339">
      <c r="B1339" s="158" t="n"/>
      <c r="C1339" s="158" t="n"/>
      <c r="I1339" s="158" t="n"/>
      <c r="J1339" s="159" t="n"/>
    </row>
    <row r="1340">
      <c r="B1340" s="158" t="n"/>
      <c r="C1340" s="158" t="n"/>
      <c r="I1340" s="158" t="n"/>
      <c r="J1340" s="159" t="n"/>
    </row>
    <row r="1341">
      <c r="B1341" s="158" t="n"/>
      <c r="C1341" s="158" t="n"/>
      <c r="I1341" s="158" t="n"/>
      <c r="J1341" s="159" t="n"/>
    </row>
    <row r="1342">
      <c r="B1342" s="158" t="n"/>
      <c r="C1342" s="158" t="n"/>
      <c r="I1342" s="158" t="n"/>
      <c r="J1342" s="159" t="n"/>
    </row>
    <row r="1343">
      <c r="B1343" s="158" t="n"/>
      <c r="C1343" s="158" t="n"/>
      <c r="I1343" s="158" t="n"/>
      <c r="J1343" s="159" t="n"/>
    </row>
    <row r="1344">
      <c r="B1344" s="158" t="n"/>
      <c r="C1344" s="158" t="n"/>
      <c r="I1344" s="158" t="n"/>
      <c r="J1344" s="159" t="n"/>
    </row>
    <row r="1345">
      <c r="B1345" s="158" t="n"/>
      <c r="C1345" s="158" t="n"/>
      <c r="I1345" s="158" t="n"/>
      <c r="J1345" s="159" t="n"/>
    </row>
    <row r="1346">
      <c r="B1346" s="158" t="n"/>
      <c r="C1346" s="158" t="n"/>
      <c r="I1346" s="158" t="n"/>
      <c r="J1346" s="159" t="n"/>
    </row>
    <row r="1347">
      <c r="B1347" s="158" t="n"/>
      <c r="C1347" s="158" t="n"/>
      <c r="I1347" s="158" t="n"/>
      <c r="J1347" s="159" t="n"/>
    </row>
    <row r="1348">
      <c r="B1348" s="158" t="n"/>
      <c r="C1348" s="158" t="n"/>
      <c r="I1348" s="158" t="n"/>
      <c r="J1348" s="159" t="n"/>
    </row>
    <row r="1349">
      <c r="B1349" s="158" t="n"/>
      <c r="C1349" s="158" t="n"/>
      <c r="I1349" s="158" t="n"/>
      <c r="J1349" s="159" t="n"/>
    </row>
    <row r="1350">
      <c r="B1350" s="158" t="n"/>
      <c r="C1350" s="158" t="n"/>
      <c r="I1350" s="158" t="n"/>
      <c r="J1350" s="159" t="n"/>
    </row>
    <row r="1351">
      <c r="B1351" s="158" t="n"/>
      <c r="C1351" s="158" t="n"/>
      <c r="I1351" s="158" t="n"/>
      <c r="J1351" s="159" t="n"/>
    </row>
    <row r="1352">
      <c r="B1352" s="158" t="n"/>
      <c r="C1352" s="158" t="n"/>
      <c r="I1352" s="158" t="n"/>
      <c r="J1352" s="159" t="n"/>
    </row>
    <row r="1353">
      <c r="B1353" s="158" t="n"/>
      <c r="C1353" s="158" t="n"/>
      <c r="I1353" s="158" t="n"/>
      <c r="J1353" s="159" t="n"/>
    </row>
    <row r="1354">
      <c r="B1354" s="158" t="n"/>
      <c r="C1354" s="158" t="n"/>
      <c r="I1354" s="158" t="n"/>
      <c r="J1354" s="159" t="n"/>
    </row>
    <row r="1355">
      <c r="B1355" s="158" t="n"/>
      <c r="C1355" s="158" t="n"/>
      <c r="I1355" s="158" t="n"/>
      <c r="J1355" s="159" t="n"/>
    </row>
    <row r="1356">
      <c r="B1356" s="158" t="n"/>
      <c r="C1356" s="158" t="n"/>
      <c r="I1356" s="158" t="n"/>
      <c r="J1356" s="159" t="n"/>
    </row>
    <row r="1357">
      <c r="B1357" s="158" t="n"/>
      <c r="C1357" s="158" t="n"/>
      <c r="I1357" s="158" t="n"/>
      <c r="J1357" s="159" t="n"/>
    </row>
    <row r="1358">
      <c r="B1358" s="158" t="n"/>
      <c r="C1358" s="158" t="n"/>
      <c r="I1358" s="158" t="n"/>
      <c r="J1358" s="159" t="n"/>
    </row>
    <row r="1359">
      <c r="B1359" s="158" t="n"/>
      <c r="C1359" s="158" t="n"/>
      <c r="I1359" s="158" t="n"/>
      <c r="J1359" s="159" t="n"/>
    </row>
    <row r="1360">
      <c r="B1360" s="158" t="n"/>
      <c r="C1360" s="158" t="n"/>
      <c r="I1360" s="158" t="n"/>
      <c r="J1360" s="159" t="n"/>
    </row>
    <row r="1361">
      <c r="B1361" s="158" t="n"/>
      <c r="C1361" s="158" t="n"/>
      <c r="I1361" s="158" t="n"/>
      <c r="J1361" s="159" t="n"/>
    </row>
    <row r="1362">
      <c r="B1362" s="158" t="n"/>
      <c r="C1362" s="158" t="n"/>
      <c r="I1362" s="158" t="n"/>
      <c r="J1362" s="159" t="n"/>
    </row>
    <row r="1363">
      <c r="B1363" s="158" t="n"/>
      <c r="C1363" s="158" t="n"/>
      <c r="I1363" s="158" t="n"/>
      <c r="J1363" s="159" t="n"/>
    </row>
    <row r="1364">
      <c r="B1364" s="158" t="n"/>
      <c r="C1364" s="158" t="n"/>
      <c r="I1364" s="158" t="n"/>
      <c r="J1364" s="159" t="n"/>
    </row>
    <row r="1365">
      <c r="B1365" s="158" t="n"/>
      <c r="C1365" s="158" t="n"/>
      <c r="I1365" s="158" t="n"/>
      <c r="J1365" s="159" t="n"/>
    </row>
    <row r="1366">
      <c r="B1366" s="158" t="n"/>
      <c r="C1366" s="158" t="n"/>
      <c r="I1366" s="158" t="n"/>
      <c r="J1366" s="159" t="n"/>
    </row>
    <row r="1367">
      <c r="B1367" s="158" t="n"/>
      <c r="C1367" s="158" t="n"/>
      <c r="I1367" s="158" t="n"/>
      <c r="J1367" s="159" t="n"/>
    </row>
    <row r="1368">
      <c r="B1368" s="158" t="n"/>
      <c r="C1368" s="158" t="n"/>
      <c r="I1368" s="158" t="n"/>
      <c r="J1368" s="159" t="n"/>
    </row>
    <row r="1369">
      <c r="B1369" s="158" t="n"/>
      <c r="C1369" s="158" t="n"/>
      <c r="I1369" s="158" t="n"/>
      <c r="J1369" s="159" t="n"/>
    </row>
    <row r="1370">
      <c r="B1370" s="158" t="n"/>
      <c r="C1370" s="158" t="n"/>
      <c r="I1370" s="158" t="n"/>
      <c r="J1370" s="159" t="n"/>
    </row>
    <row r="1371">
      <c r="B1371" s="158" t="n"/>
      <c r="C1371" s="158" t="n"/>
      <c r="I1371" s="158" t="n"/>
      <c r="J1371" s="159" t="n"/>
    </row>
    <row r="1372">
      <c r="B1372" s="158" t="n"/>
      <c r="C1372" s="158" t="n"/>
      <c r="I1372" s="158" t="n"/>
      <c r="J1372" s="159" t="n"/>
    </row>
    <row r="1373">
      <c r="B1373" s="158" t="n"/>
      <c r="C1373" s="158" t="n"/>
      <c r="I1373" s="158" t="n"/>
      <c r="J1373" s="159" t="n"/>
    </row>
    <row r="1374">
      <c r="B1374" s="158" t="n"/>
      <c r="C1374" s="158" t="n"/>
      <c r="I1374" s="158" t="n"/>
      <c r="J1374" s="159" t="n"/>
    </row>
    <row r="1375">
      <c r="B1375" s="158" t="n"/>
      <c r="C1375" s="158" t="n"/>
      <c r="I1375" s="158" t="n"/>
      <c r="J1375" s="159" t="n"/>
    </row>
    <row r="1376">
      <c r="B1376" s="158" t="n"/>
      <c r="C1376" s="158" t="n"/>
      <c r="I1376" s="158" t="n"/>
      <c r="J1376" s="159" t="n"/>
    </row>
    <row r="1377">
      <c r="B1377" s="158" t="n"/>
      <c r="C1377" s="158" t="n"/>
      <c r="I1377" s="158" t="n"/>
      <c r="J1377" s="159" t="n"/>
    </row>
    <row r="1378">
      <c r="B1378" s="158" t="n"/>
      <c r="C1378" s="158" t="n"/>
      <c r="I1378" s="158" t="n"/>
      <c r="J1378" s="159" t="n"/>
    </row>
    <row r="1379">
      <c r="B1379" s="158" t="n"/>
      <c r="C1379" s="158" t="n"/>
      <c r="I1379" s="158" t="n"/>
      <c r="J1379" s="159" t="n"/>
    </row>
    <row r="1380">
      <c r="B1380" s="158" t="n"/>
      <c r="C1380" s="158" t="n"/>
      <c r="I1380" s="158" t="n"/>
      <c r="J1380" s="159" t="n"/>
    </row>
    <row r="1381">
      <c r="B1381" s="158" t="n"/>
      <c r="C1381" s="158" t="n"/>
      <c r="I1381" s="158" t="n"/>
      <c r="J1381" s="159" t="n"/>
    </row>
    <row r="1382">
      <c r="B1382" s="158" t="n"/>
      <c r="C1382" s="158" t="n"/>
      <c r="I1382" s="158" t="n"/>
      <c r="J1382" s="159" t="n"/>
    </row>
    <row r="1383">
      <c r="B1383" s="158" t="n"/>
      <c r="C1383" s="158" t="n"/>
      <c r="I1383" s="158" t="n"/>
      <c r="J1383" s="159" t="n"/>
    </row>
    <row r="1384">
      <c r="B1384" s="158" t="n"/>
      <c r="C1384" s="158" t="n"/>
      <c r="I1384" s="158" t="n"/>
      <c r="J1384" s="159" t="n"/>
    </row>
    <row r="1385">
      <c r="B1385" s="158" t="n"/>
      <c r="C1385" s="158" t="n"/>
      <c r="I1385" s="158" t="n"/>
      <c r="J1385" s="159" t="n"/>
    </row>
    <row r="1386">
      <c r="B1386" s="158" t="n"/>
      <c r="C1386" s="158" t="n"/>
      <c r="I1386" s="158" t="n"/>
      <c r="J1386" s="159" t="n"/>
    </row>
    <row r="1387">
      <c r="B1387" s="158" t="n"/>
      <c r="C1387" s="158" t="n"/>
      <c r="I1387" s="158" t="n"/>
      <c r="J1387" s="159" t="n"/>
    </row>
    <row r="1388">
      <c r="B1388" s="158" t="n"/>
      <c r="C1388" s="158" t="n"/>
      <c r="I1388" s="158" t="n"/>
      <c r="J1388" s="159" t="n"/>
    </row>
    <row r="1389">
      <c r="B1389" s="158" t="n"/>
      <c r="C1389" s="158" t="n"/>
      <c r="I1389" s="158" t="n"/>
      <c r="J1389" s="159" t="n"/>
    </row>
    <row r="1390">
      <c r="B1390" s="158" t="n"/>
      <c r="C1390" s="158" t="n"/>
      <c r="I1390" s="158" t="n"/>
      <c r="J1390" s="159" t="n"/>
    </row>
    <row r="1391">
      <c r="B1391" s="158" t="n"/>
      <c r="C1391" s="158" t="n"/>
      <c r="I1391" s="158" t="n"/>
      <c r="J1391" s="159" t="n"/>
    </row>
    <row r="1392">
      <c r="B1392" s="158" t="n"/>
      <c r="C1392" s="158" t="n"/>
      <c r="I1392" s="158" t="n"/>
      <c r="J1392" s="159" t="n"/>
    </row>
    <row r="1393">
      <c r="B1393" s="158" t="n"/>
      <c r="C1393" s="158" t="n"/>
      <c r="I1393" s="158" t="n"/>
      <c r="J1393" s="159" t="n"/>
    </row>
    <row r="1394">
      <c r="B1394" s="158" t="n"/>
      <c r="C1394" s="158" t="n"/>
      <c r="I1394" s="158" t="n"/>
      <c r="J1394" s="159" t="n"/>
    </row>
    <row r="1395">
      <c r="B1395" s="158" t="n"/>
      <c r="C1395" s="158" t="n"/>
      <c r="I1395" s="158" t="n"/>
      <c r="J1395" s="159" t="n"/>
    </row>
    <row r="1396">
      <c r="B1396" s="158" t="n"/>
      <c r="C1396" s="158" t="n"/>
      <c r="I1396" s="158" t="n"/>
      <c r="J1396" s="159" t="n"/>
    </row>
    <row r="1397">
      <c r="B1397" s="158" t="n"/>
      <c r="C1397" s="158" t="n"/>
      <c r="I1397" s="158" t="n"/>
      <c r="J1397" s="159" t="n"/>
    </row>
    <row r="1398">
      <c r="B1398" s="158" t="n"/>
      <c r="C1398" s="158" t="n"/>
      <c r="I1398" s="158" t="n"/>
      <c r="J1398" s="159" t="n"/>
    </row>
    <row r="1399">
      <c r="B1399" s="158" t="n"/>
      <c r="C1399" s="158" t="n"/>
      <c r="I1399" s="158" t="n"/>
      <c r="J1399" s="159" t="n"/>
    </row>
    <row r="1400">
      <c r="B1400" s="158" t="n"/>
      <c r="C1400" s="158" t="n"/>
      <c r="I1400" s="158" t="n"/>
      <c r="J1400" s="159" t="n"/>
    </row>
    <row r="1401">
      <c r="B1401" s="158" t="n"/>
      <c r="C1401" s="158" t="n"/>
      <c r="I1401" s="158" t="n"/>
      <c r="J1401" s="159" t="n"/>
    </row>
    <row r="1402">
      <c r="B1402" s="158" t="n"/>
      <c r="C1402" s="158" t="n"/>
      <c r="I1402" s="158" t="n"/>
      <c r="J1402" s="159" t="n"/>
    </row>
    <row r="1403">
      <c r="B1403" s="158" t="n"/>
      <c r="C1403" s="158" t="n"/>
      <c r="I1403" s="158" t="n"/>
      <c r="J1403" s="159" t="n"/>
    </row>
    <row r="1404">
      <c r="B1404" s="158" t="n"/>
      <c r="C1404" s="158" t="n"/>
      <c r="I1404" s="158" t="n"/>
      <c r="J1404" s="159" t="n"/>
    </row>
    <row r="1405">
      <c r="B1405" s="158" t="n"/>
      <c r="C1405" s="158" t="n"/>
      <c r="I1405" s="158" t="n"/>
      <c r="J1405" s="159" t="n"/>
    </row>
    <row r="1406">
      <c r="B1406" s="158" t="n"/>
      <c r="C1406" s="158" t="n"/>
      <c r="I1406" s="158" t="n"/>
      <c r="J1406" s="159" t="n"/>
    </row>
    <row r="1407">
      <c r="B1407" s="158" t="n"/>
      <c r="C1407" s="158" t="n"/>
      <c r="I1407" s="158" t="n"/>
      <c r="J1407" s="159" t="n"/>
    </row>
    <row r="1408">
      <c r="B1408" s="158" t="n"/>
      <c r="C1408" s="158" t="n"/>
      <c r="I1408" s="158" t="n"/>
      <c r="J1408" s="159" t="n"/>
    </row>
    <row r="1409">
      <c r="B1409" s="158" t="n"/>
      <c r="C1409" s="158" t="n"/>
      <c r="I1409" s="158" t="n"/>
      <c r="J1409" s="159" t="n"/>
    </row>
    <row r="1410">
      <c r="B1410" s="158" t="n"/>
      <c r="C1410" s="158" t="n"/>
      <c r="I1410" s="158" t="n"/>
      <c r="J1410" s="159" t="n"/>
    </row>
    <row r="1411">
      <c r="B1411" s="158" t="n"/>
      <c r="C1411" s="158" t="n"/>
      <c r="I1411" s="158" t="n"/>
      <c r="J1411" s="159" t="n"/>
    </row>
    <row r="1412">
      <c r="B1412" s="158" t="n"/>
      <c r="C1412" s="158" t="n"/>
      <c r="I1412" s="158" t="n"/>
      <c r="J1412" s="159" t="n"/>
    </row>
    <row r="1413">
      <c r="B1413" s="158" t="n"/>
      <c r="C1413" s="158" t="n"/>
      <c r="I1413" s="158" t="n"/>
      <c r="J1413" s="159" t="n"/>
    </row>
    <row r="1414">
      <c r="B1414" s="158" t="n"/>
      <c r="C1414" s="158" t="n"/>
      <c r="I1414" s="158" t="n"/>
      <c r="J1414" s="159" t="n"/>
    </row>
    <row r="1415">
      <c r="B1415" s="158" t="n"/>
      <c r="C1415" s="158" t="n"/>
      <c r="I1415" s="158" t="n"/>
      <c r="J1415" s="159" t="n"/>
    </row>
    <row r="1416">
      <c r="B1416" s="158" t="n"/>
      <c r="C1416" s="158" t="n"/>
      <c r="I1416" s="158" t="n"/>
      <c r="J1416" s="159" t="n"/>
    </row>
    <row r="1417">
      <c r="B1417" s="158" t="n"/>
      <c r="C1417" s="158" t="n"/>
      <c r="I1417" s="158" t="n"/>
      <c r="J1417" s="159" t="n"/>
    </row>
    <row r="1418">
      <c r="B1418" s="158" t="n"/>
      <c r="C1418" s="158" t="n"/>
      <c r="I1418" s="158" t="n"/>
      <c r="J1418" s="159" t="n"/>
    </row>
    <row r="1419">
      <c r="B1419" s="158" t="n"/>
      <c r="C1419" s="158" t="n"/>
      <c r="I1419" s="158" t="n"/>
      <c r="J1419" s="159" t="n"/>
    </row>
    <row r="1420">
      <c r="B1420" s="158" t="n"/>
      <c r="C1420" s="158" t="n"/>
      <c r="I1420" s="158" t="n"/>
      <c r="J1420" s="159" t="n"/>
    </row>
    <row r="1421">
      <c r="B1421" s="158" t="n"/>
      <c r="C1421" s="158" t="n"/>
      <c r="I1421" s="158" t="n"/>
      <c r="J1421" s="159" t="n"/>
    </row>
    <row r="1422">
      <c r="B1422" s="158" t="n"/>
      <c r="C1422" s="158" t="n"/>
      <c r="I1422" s="158" t="n"/>
      <c r="J1422" s="159" t="n"/>
    </row>
    <row r="1423">
      <c r="B1423" s="158" t="n"/>
      <c r="C1423" s="158" t="n"/>
      <c r="I1423" s="158" t="n"/>
      <c r="J1423" s="159" t="n"/>
    </row>
    <row r="1424">
      <c r="B1424" s="158" t="n"/>
      <c r="C1424" s="158" t="n"/>
      <c r="I1424" s="158" t="n"/>
      <c r="J1424" s="159" t="n"/>
    </row>
    <row r="1425">
      <c r="B1425" s="158" t="n"/>
      <c r="C1425" s="158" t="n"/>
      <c r="I1425" s="158" t="n"/>
      <c r="J1425" s="159" t="n"/>
    </row>
    <row r="1426">
      <c r="B1426" s="158" t="n"/>
      <c r="C1426" s="158" t="n"/>
      <c r="I1426" s="158" t="n"/>
      <c r="J1426" s="159" t="n"/>
    </row>
    <row r="1427">
      <c r="B1427" s="158" t="n"/>
      <c r="C1427" s="158" t="n"/>
      <c r="I1427" s="158" t="n"/>
      <c r="J1427" s="159" t="n"/>
    </row>
    <row r="1428">
      <c r="B1428" s="158" t="n"/>
      <c r="C1428" s="158" t="n"/>
      <c r="I1428" s="158" t="n"/>
      <c r="J1428" s="159" t="n"/>
    </row>
    <row r="1429">
      <c r="B1429" s="158" t="n"/>
      <c r="C1429" s="158" t="n"/>
      <c r="I1429" s="158" t="n"/>
      <c r="J1429" s="159" t="n"/>
    </row>
    <row r="1430">
      <c r="B1430" s="158" t="n"/>
      <c r="C1430" s="158" t="n"/>
      <c r="I1430" s="158" t="n"/>
      <c r="J1430" s="159" t="n"/>
    </row>
    <row r="1431">
      <c r="B1431" s="158" t="n"/>
      <c r="C1431" s="158" t="n"/>
      <c r="I1431" s="158" t="n"/>
      <c r="J1431" s="159" t="n"/>
    </row>
    <row r="1432">
      <c r="B1432" s="158" t="n"/>
      <c r="C1432" s="158" t="n"/>
      <c r="I1432" s="158" t="n"/>
      <c r="J1432" s="159" t="n"/>
    </row>
    <row r="1433">
      <c r="B1433" s="158" t="n"/>
      <c r="C1433" s="158" t="n"/>
      <c r="I1433" s="158" t="n"/>
      <c r="J1433" s="159" t="n"/>
    </row>
    <row r="1434">
      <c r="B1434" s="158" t="n"/>
      <c r="C1434" s="158" t="n"/>
      <c r="I1434" s="158" t="n"/>
      <c r="J1434" s="159" t="n"/>
    </row>
    <row r="1435">
      <c r="B1435" s="158" t="n"/>
      <c r="C1435" s="158" t="n"/>
      <c r="I1435" s="158" t="n"/>
      <c r="J1435" s="159" t="n"/>
    </row>
    <row r="1436">
      <c r="B1436" s="158" t="n"/>
      <c r="C1436" s="158" t="n"/>
      <c r="I1436" s="158" t="n"/>
      <c r="J1436" s="159" t="n"/>
    </row>
    <row r="1437">
      <c r="B1437" s="158" t="n"/>
      <c r="C1437" s="158" t="n"/>
      <c r="I1437" s="158" t="n"/>
      <c r="J1437" s="159" t="n"/>
    </row>
    <row r="1438">
      <c r="B1438" s="158" t="n"/>
      <c r="C1438" s="158" t="n"/>
      <c r="I1438" s="158" t="n"/>
      <c r="J1438" s="159" t="n"/>
    </row>
    <row r="1439">
      <c r="B1439" s="158" t="n"/>
      <c r="C1439" s="158" t="n"/>
      <c r="I1439" s="158" t="n"/>
      <c r="J1439" s="159" t="n"/>
    </row>
    <row r="1440">
      <c r="B1440" s="158" t="n"/>
      <c r="C1440" s="158" t="n"/>
      <c r="I1440" s="158" t="n"/>
      <c r="J1440" s="159" t="n"/>
    </row>
    <row r="1441">
      <c r="B1441" s="158" t="n"/>
      <c r="C1441" s="158" t="n"/>
      <c r="I1441" s="158" t="n"/>
      <c r="J1441" s="159" t="n"/>
    </row>
    <row r="1442">
      <c r="B1442" s="158" t="n"/>
      <c r="C1442" s="158" t="n"/>
      <c r="I1442" s="158" t="n"/>
      <c r="J1442" s="159" t="n"/>
    </row>
    <row r="1443">
      <c r="B1443" s="158" t="n"/>
      <c r="C1443" s="158" t="n"/>
      <c r="I1443" s="158" t="n"/>
      <c r="J1443" s="159" t="n"/>
    </row>
    <row r="1444">
      <c r="B1444" s="158" t="n"/>
      <c r="C1444" s="158" t="n"/>
      <c r="I1444" s="158" t="n"/>
      <c r="J1444" s="159" t="n"/>
    </row>
    <row r="1445">
      <c r="B1445" s="158" t="n"/>
      <c r="C1445" s="158" t="n"/>
      <c r="I1445" s="158" t="n"/>
      <c r="J1445" s="159" t="n"/>
    </row>
    <row r="1446">
      <c r="B1446" s="158" t="n"/>
      <c r="C1446" s="158" t="n"/>
      <c r="I1446" s="158" t="n"/>
      <c r="J1446" s="159" t="n"/>
    </row>
    <row r="1447">
      <c r="B1447" s="158" t="n"/>
      <c r="C1447" s="158" t="n"/>
      <c r="I1447" s="158" t="n"/>
      <c r="J1447" s="159" t="n"/>
    </row>
    <row r="1448">
      <c r="B1448" s="158" t="n"/>
      <c r="C1448" s="158" t="n"/>
      <c r="I1448" s="158" t="n"/>
      <c r="J1448" s="159" t="n"/>
    </row>
    <row r="1449">
      <c r="B1449" s="158" t="n"/>
      <c r="C1449" s="158" t="n"/>
      <c r="I1449" s="158" t="n"/>
      <c r="J1449" s="159" t="n"/>
    </row>
    <row r="1450">
      <c r="B1450" s="158" t="n"/>
      <c r="C1450" s="158" t="n"/>
      <c r="I1450" s="158" t="n"/>
      <c r="J1450" s="159" t="n"/>
    </row>
    <row r="1451">
      <c r="B1451" s="158" t="n"/>
      <c r="C1451" s="158" t="n"/>
      <c r="I1451" s="158" t="n"/>
      <c r="J1451" s="159" t="n"/>
    </row>
    <row r="1452">
      <c r="B1452" s="158" t="n"/>
      <c r="C1452" s="158" t="n"/>
      <c r="I1452" s="158" t="n"/>
      <c r="J1452" s="159" t="n"/>
    </row>
    <row r="1453">
      <c r="B1453" s="158" t="n"/>
      <c r="C1453" s="158" t="n"/>
      <c r="I1453" s="158" t="n"/>
      <c r="J1453" s="159" t="n"/>
    </row>
    <row r="1454">
      <c r="B1454" s="158" t="n"/>
      <c r="C1454" s="158" t="n"/>
      <c r="I1454" s="158" t="n"/>
      <c r="J1454" s="159" t="n"/>
    </row>
    <row r="1455">
      <c r="B1455" s="158" t="n"/>
      <c r="C1455" s="158" t="n"/>
      <c r="I1455" s="158" t="n"/>
      <c r="J1455" s="159" t="n"/>
    </row>
    <row r="1456">
      <c r="B1456" s="158" t="n"/>
      <c r="C1456" s="158" t="n"/>
      <c r="I1456" s="158" t="n"/>
      <c r="J1456" s="159" t="n"/>
    </row>
    <row r="1457">
      <c r="B1457" s="158" t="n"/>
      <c r="C1457" s="158" t="n"/>
      <c r="I1457" s="158" t="n"/>
      <c r="J1457" s="159" t="n"/>
    </row>
    <row r="1458">
      <c r="B1458" s="158" t="n"/>
      <c r="C1458" s="158" t="n"/>
      <c r="I1458" s="158" t="n"/>
      <c r="J1458" s="159" t="n"/>
    </row>
    <row r="1459">
      <c r="B1459" s="158" t="n"/>
      <c r="C1459" s="158" t="n"/>
      <c r="I1459" s="158" t="n"/>
      <c r="J1459" s="159" t="n"/>
    </row>
    <row r="1460">
      <c r="B1460" s="158" t="n"/>
      <c r="C1460" s="158" t="n"/>
      <c r="I1460" s="158" t="n"/>
      <c r="J1460" s="159" t="n"/>
    </row>
    <row r="1461">
      <c r="B1461" s="158" t="n"/>
      <c r="C1461" s="158" t="n"/>
      <c r="I1461" s="158" t="n"/>
      <c r="J1461" s="159" t="n"/>
    </row>
    <row r="1462">
      <c r="B1462" s="158" t="n"/>
      <c r="C1462" s="158" t="n"/>
      <c r="I1462" s="158" t="n"/>
      <c r="J1462" s="159" t="n"/>
    </row>
    <row r="1463">
      <c r="B1463" s="158" t="n"/>
      <c r="C1463" s="158" t="n"/>
      <c r="I1463" s="158" t="n"/>
      <c r="J1463" s="159" t="n"/>
    </row>
    <row r="1464">
      <c r="B1464" s="158" t="n"/>
      <c r="C1464" s="158" t="n"/>
      <c r="I1464" s="158" t="n"/>
      <c r="J1464" s="159" t="n"/>
    </row>
    <row r="1465">
      <c r="B1465" s="158" t="n"/>
      <c r="C1465" s="158" t="n"/>
      <c r="I1465" s="158" t="n"/>
      <c r="J1465" s="159" t="n"/>
    </row>
    <row r="1466">
      <c r="B1466" s="158" t="n"/>
      <c r="C1466" s="158" t="n"/>
      <c r="I1466" s="158" t="n"/>
      <c r="J1466" s="159" t="n"/>
    </row>
    <row r="1467">
      <c r="B1467" s="158" t="n"/>
      <c r="C1467" s="158" t="n"/>
      <c r="I1467" s="158" t="n"/>
      <c r="J1467" s="159" t="n"/>
    </row>
    <row r="1468">
      <c r="B1468" s="158" t="n"/>
      <c r="C1468" s="158" t="n"/>
      <c r="I1468" s="158" t="n"/>
      <c r="J1468" s="159" t="n"/>
    </row>
    <row r="1469">
      <c r="B1469" s="158" t="n"/>
      <c r="C1469" s="158" t="n"/>
      <c r="I1469" s="158" t="n"/>
      <c r="J1469" s="159" t="n"/>
    </row>
    <row r="1470">
      <c r="B1470" s="158" t="n"/>
      <c r="C1470" s="158" t="n"/>
      <c r="I1470" s="158" t="n"/>
      <c r="J1470" s="159" t="n"/>
    </row>
    <row r="1471">
      <c r="B1471" s="158" t="n"/>
      <c r="C1471" s="158" t="n"/>
      <c r="I1471" s="158" t="n"/>
      <c r="J1471" s="159" t="n"/>
    </row>
    <row r="1472">
      <c r="B1472" s="158" t="n"/>
      <c r="C1472" s="158" t="n"/>
      <c r="I1472" s="158" t="n"/>
      <c r="J1472" s="159" t="n"/>
    </row>
    <row r="1473">
      <c r="B1473" s="158" t="n"/>
      <c r="C1473" s="158" t="n"/>
      <c r="I1473" s="158" t="n"/>
      <c r="J1473" s="159" t="n"/>
    </row>
    <row r="1474">
      <c r="B1474" s="158" t="n"/>
      <c r="C1474" s="158" t="n"/>
      <c r="I1474" s="158" t="n"/>
      <c r="J1474" s="159" t="n"/>
    </row>
    <row r="1475">
      <c r="B1475" s="158" t="n"/>
      <c r="C1475" s="158" t="n"/>
      <c r="I1475" s="158" t="n"/>
      <c r="J1475" s="159" t="n"/>
    </row>
    <row r="1476">
      <c r="B1476" s="158" t="n"/>
      <c r="C1476" s="158" t="n"/>
      <c r="I1476" s="158" t="n"/>
      <c r="J1476" s="159" t="n"/>
    </row>
    <row r="1477">
      <c r="B1477" s="158" t="n"/>
      <c r="C1477" s="158" t="n"/>
      <c r="I1477" s="158" t="n"/>
      <c r="J1477" s="159" t="n"/>
    </row>
    <row r="1478">
      <c r="B1478" s="158" t="n"/>
      <c r="C1478" s="158" t="n"/>
      <c r="I1478" s="158" t="n"/>
      <c r="J1478" s="159" t="n"/>
    </row>
    <row r="1479">
      <c r="B1479" s="158" t="n"/>
      <c r="C1479" s="158" t="n"/>
      <c r="I1479" s="158" t="n"/>
      <c r="J1479" s="159" t="n"/>
    </row>
    <row r="1480">
      <c r="B1480" s="158" t="n"/>
      <c r="C1480" s="158" t="n"/>
      <c r="I1480" s="158" t="n"/>
      <c r="J1480" s="159" t="n"/>
    </row>
    <row r="1481">
      <c r="B1481" s="158" t="n"/>
      <c r="C1481" s="158" t="n"/>
      <c r="I1481" s="158" t="n"/>
      <c r="J1481" s="159" t="n"/>
    </row>
    <row r="1482">
      <c r="B1482" s="158" t="n"/>
      <c r="C1482" s="158" t="n"/>
      <c r="I1482" s="158" t="n"/>
      <c r="J1482" s="159" t="n"/>
    </row>
    <row r="1483">
      <c r="B1483" s="158" t="n"/>
      <c r="C1483" s="158" t="n"/>
      <c r="I1483" s="158" t="n"/>
      <c r="J1483" s="159" t="n"/>
    </row>
    <row r="1484">
      <c r="B1484" s="158" t="n"/>
      <c r="C1484" s="158" t="n"/>
      <c r="I1484" s="158" t="n"/>
      <c r="J1484" s="159" t="n"/>
    </row>
    <row r="1485">
      <c r="B1485" s="158" t="n"/>
      <c r="C1485" s="158" t="n"/>
      <c r="I1485" s="158" t="n"/>
      <c r="J1485" s="159" t="n"/>
    </row>
    <row r="1486">
      <c r="B1486" s="158" t="n"/>
      <c r="C1486" s="158" t="n"/>
      <c r="I1486" s="158" t="n"/>
      <c r="J1486" s="159" t="n"/>
    </row>
    <row r="1487">
      <c r="B1487" s="158" t="n"/>
      <c r="C1487" s="158" t="n"/>
      <c r="I1487" s="158" t="n"/>
      <c r="J1487" s="159" t="n"/>
    </row>
    <row r="1488">
      <c r="B1488" s="158" t="n"/>
      <c r="C1488" s="158" t="n"/>
      <c r="I1488" s="158" t="n"/>
      <c r="J1488" s="159" t="n"/>
    </row>
    <row r="1489">
      <c r="B1489" s="158" t="n"/>
      <c r="C1489" s="158" t="n"/>
      <c r="I1489" s="158" t="n"/>
      <c r="J1489" s="159" t="n"/>
    </row>
    <row r="1490">
      <c r="B1490" s="158" t="n"/>
      <c r="C1490" s="158" t="n"/>
      <c r="I1490" s="158" t="n"/>
      <c r="J1490" s="159" t="n"/>
    </row>
    <row r="1491">
      <c r="B1491" s="158" t="n"/>
      <c r="C1491" s="158" t="n"/>
      <c r="I1491" s="158" t="n"/>
      <c r="J1491" s="159" t="n"/>
    </row>
    <row r="1492">
      <c r="B1492" s="158" t="n"/>
      <c r="C1492" s="158" t="n"/>
      <c r="I1492" s="158" t="n"/>
      <c r="J1492" s="159" t="n"/>
    </row>
    <row r="1493">
      <c r="B1493" s="158" t="n"/>
      <c r="C1493" s="158" t="n"/>
      <c r="I1493" s="158" t="n"/>
      <c r="J1493" s="159" t="n"/>
    </row>
    <row r="1494">
      <c r="B1494" s="158" t="n"/>
      <c r="C1494" s="158" t="n"/>
      <c r="I1494" s="158" t="n"/>
      <c r="J1494" s="159" t="n"/>
    </row>
    <row r="1495">
      <c r="B1495" s="158" t="n"/>
      <c r="C1495" s="158" t="n"/>
      <c r="I1495" s="158" t="n"/>
      <c r="J1495" s="159" t="n"/>
    </row>
    <row r="1496">
      <c r="B1496" s="158" t="n"/>
      <c r="C1496" s="158" t="n"/>
      <c r="I1496" s="158" t="n"/>
      <c r="J1496" s="159" t="n"/>
    </row>
    <row r="1497">
      <c r="B1497" s="158" t="n"/>
      <c r="C1497" s="158" t="n"/>
      <c r="I1497" s="158" t="n"/>
      <c r="J1497" s="159" t="n"/>
    </row>
    <row r="1498">
      <c r="B1498" s="158" t="n"/>
      <c r="C1498" s="158" t="n"/>
      <c r="I1498" s="158" t="n"/>
      <c r="J1498" s="159" t="n"/>
    </row>
    <row r="1499">
      <c r="B1499" s="158" t="n"/>
      <c r="C1499" s="158" t="n"/>
      <c r="I1499" s="158" t="n"/>
      <c r="J1499" s="159" t="n"/>
    </row>
    <row r="1500">
      <c r="B1500" s="158" t="n"/>
      <c r="C1500" s="158" t="n"/>
      <c r="I1500" s="158" t="n"/>
      <c r="J1500" s="159" t="n"/>
    </row>
    <row r="1501">
      <c r="B1501" s="158" t="n"/>
      <c r="C1501" s="158" t="n"/>
      <c r="I1501" s="158" t="n"/>
      <c r="J1501" s="159" t="n"/>
    </row>
    <row r="1502">
      <c r="B1502" s="158" t="n"/>
      <c r="C1502" s="158" t="n"/>
      <c r="I1502" s="158" t="n"/>
      <c r="J1502" s="159" t="n"/>
    </row>
    <row r="1503">
      <c r="B1503" s="158" t="n"/>
      <c r="C1503" s="158" t="n"/>
      <c r="I1503" s="158" t="n"/>
      <c r="J1503" s="159" t="n"/>
    </row>
    <row r="1504">
      <c r="B1504" s="158" t="n"/>
      <c r="C1504" s="158" t="n"/>
      <c r="I1504" s="158" t="n"/>
      <c r="J1504" s="159" t="n"/>
    </row>
    <row r="1505">
      <c r="B1505" s="158" t="n"/>
      <c r="C1505" s="158" t="n"/>
      <c r="I1505" s="158" t="n"/>
      <c r="J1505" s="159" t="n"/>
    </row>
    <row r="1506">
      <c r="B1506" s="158" t="n"/>
      <c r="C1506" s="158" t="n"/>
      <c r="I1506" s="158" t="n"/>
      <c r="J1506" s="159" t="n"/>
    </row>
    <row r="1507">
      <c r="B1507" s="158" t="n"/>
      <c r="C1507" s="158" t="n"/>
      <c r="I1507" s="158" t="n"/>
      <c r="J1507" s="159" t="n"/>
    </row>
    <row r="1508">
      <c r="B1508" s="158" t="n"/>
      <c r="C1508" s="158" t="n"/>
      <c r="I1508" s="158" t="n"/>
      <c r="J1508" s="159" t="n"/>
    </row>
    <row r="1509">
      <c r="B1509" s="158" t="n"/>
      <c r="C1509" s="158" t="n"/>
      <c r="I1509" s="158" t="n"/>
      <c r="J1509" s="159" t="n"/>
    </row>
    <row r="1510">
      <c r="B1510" s="158" t="n"/>
      <c r="C1510" s="158" t="n"/>
      <c r="I1510" s="158" t="n"/>
      <c r="J1510" s="159" t="n"/>
    </row>
    <row r="1511">
      <c r="B1511" s="158" t="n"/>
      <c r="C1511" s="158" t="n"/>
      <c r="I1511" s="158" t="n"/>
      <c r="J1511" s="159" t="n"/>
    </row>
    <row r="1512">
      <c r="B1512" s="158" t="n"/>
      <c r="C1512" s="158" t="n"/>
      <c r="I1512" s="158" t="n"/>
      <c r="J1512" s="159" t="n"/>
    </row>
    <row r="1513">
      <c r="B1513" s="158" t="n"/>
      <c r="C1513" s="158" t="n"/>
      <c r="I1513" s="158" t="n"/>
      <c r="J1513" s="159" t="n"/>
    </row>
    <row r="1514">
      <c r="B1514" s="158" t="n"/>
      <c r="C1514" s="158" t="n"/>
      <c r="I1514" s="158" t="n"/>
      <c r="J1514" s="159" t="n"/>
    </row>
    <row r="1515">
      <c r="B1515" s="158" t="n"/>
      <c r="C1515" s="158" t="n"/>
      <c r="I1515" s="158" t="n"/>
      <c r="J1515" s="159" t="n"/>
    </row>
    <row r="1516">
      <c r="B1516" s="158" t="n"/>
      <c r="C1516" s="158" t="n"/>
      <c r="I1516" s="158" t="n"/>
      <c r="J1516" s="159" t="n"/>
    </row>
    <row r="1517">
      <c r="B1517" s="158" t="n"/>
      <c r="C1517" s="158" t="n"/>
      <c r="I1517" s="158" t="n"/>
      <c r="J1517" s="159" t="n"/>
    </row>
    <row r="1518">
      <c r="B1518" s="158" t="n"/>
      <c r="C1518" s="158" t="n"/>
      <c r="I1518" s="158" t="n"/>
      <c r="J1518" s="159" t="n"/>
    </row>
    <row r="1519">
      <c r="B1519" s="158" t="n"/>
      <c r="C1519" s="158" t="n"/>
      <c r="I1519" s="158" t="n"/>
      <c r="J1519" s="159" t="n"/>
    </row>
    <row r="1520">
      <c r="B1520" s="158" t="n"/>
      <c r="C1520" s="158" t="n"/>
      <c r="I1520" s="158" t="n"/>
      <c r="J1520" s="159" t="n"/>
    </row>
    <row r="1521">
      <c r="B1521" s="158" t="n"/>
      <c r="C1521" s="158" t="n"/>
      <c r="I1521" s="158" t="n"/>
      <c r="J1521" s="159" t="n"/>
    </row>
    <row r="1522">
      <c r="B1522" s="158" t="n"/>
      <c r="C1522" s="158" t="n"/>
      <c r="I1522" s="158" t="n"/>
      <c r="J1522" s="159" t="n"/>
    </row>
    <row r="1523">
      <c r="B1523" s="158" t="n"/>
      <c r="C1523" s="158" t="n"/>
      <c r="I1523" s="158" t="n"/>
      <c r="J1523" s="159" t="n"/>
    </row>
    <row r="1524">
      <c r="B1524" s="158" t="n"/>
      <c r="C1524" s="158" t="n"/>
      <c r="I1524" s="158" t="n"/>
      <c r="J1524" s="159" t="n"/>
    </row>
    <row r="1525">
      <c r="B1525" s="158" t="n"/>
      <c r="C1525" s="158" t="n"/>
      <c r="I1525" s="158" t="n"/>
      <c r="J1525" s="159" t="n"/>
    </row>
    <row r="1526">
      <c r="B1526" s="158" t="n"/>
      <c r="C1526" s="158" t="n"/>
      <c r="I1526" s="158" t="n"/>
      <c r="J1526" s="159" t="n"/>
    </row>
    <row r="1527">
      <c r="B1527" s="158" t="n"/>
      <c r="C1527" s="158" t="n"/>
      <c r="I1527" s="158" t="n"/>
      <c r="J1527" s="159" t="n"/>
    </row>
    <row r="1528">
      <c r="B1528" s="158" t="n"/>
      <c r="C1528" s="158" t="n"/>
      <c r="I1528" s="158" t="n"/>
      <c r="J1528" s="159" t="n"/>
    </row>
    <row r="1529">
      <c r="B1529" s="158" t="n"/>
      <c r="C1529" s="158" t="n"/>
      <c r="I1529" s="158" t="n"/>
      <c r="J1529" s="159" t="n"/>
    </row>
    <row r="1530">
      <c r="B1530" s="158" t="n"/>
      <c r="C1530" s="158" t="n"/>
      <c r="I1530" s="158" t="n"/>
      <c r="J1530" s="159" t="n"/>
    </row>
    <row r="1531">
      <c r="B1531" s="158" t="n"/>
      <c r="C1531" s="158" t="n"/>
      <c r="I1531" s="158" t="n"/>
      <c r="J1531" s="159" t="n"/>
    </row>
    <row r="1532">
      <c r="B1532" s="158" t="n"/>
      <c r="C1532" s="158" t="n"/>
      <c r="I1532" s="158" t="n"/>
      <c r="J1532" s="159" t="n"/>
    </row>
    <row r="1533">
      <c r="B1533" s="158" t="n"/>
      <c r="C1533" s="158" t="n"/>
      <c r="I1533" s="158" t="n"/>
      <c r="J1533" s="159" t="n"/>
    </row>
    <row r="1534">
      <c r="B1534" s="158" t="n"/>
      <c r="C1534" s="158" t="n"/>
      <c r="I1534" s="158" t="n"/>
      <c r="J1534" s="159" t="n"/>
    </row>
    <row r="1535">
      <c r="B1535" s="158" t="n"/>
      <c r="C1535" s="158" t="n"/>
      <c r="I1535" s="158" t="n"/>
      <c r="J1535" s="159" t="n"/>
    </row>
    <row r="1536">
      <c r="B1536" s="158" t="n"/>
      <c r="C1536" s="158" t="n"/>
      <c r="I1536" s="158" t="n"/>
      <c r="J1536" s="159" t="n"/>
    </row>
    <row r="1537">
      <c r="B1537" s="158" t="n"/>
      <c r="C1537" s="158" t="n"/>
      <c r="I1537" s="158" t="n"/>
      <c r="J1537" s="159" t="n"/>
    </row>
    <row r="1538">
      <c r="B1538" s="158" t="n"/>
      <c r="C1538" s="158" t="n"/>
      <c r="I1538" s="158" t="n"/>
      <c r="J1538" s="159" t="n"/>
    </row>
    <row r="1539">
      <c r="B1539" s="158" t="n"/>
      <c r="C1539" s="158" t="n"/>
      <c r="I1539" s="158" t="n"/>
      <c r="J1539" s="159" t="n"/>
    </row>
    <row r="1540">
      <c r="B1540" s="158" t="n"/>
      <c r="C1540" s="158" t="n"/>
      <c r="I1540" s="158" t="n"/>
      <c r="J1540" s="159" t="n"/>
    </row>
    <row r="1541">
      <c r="B1541" s="158" t="n"/>
      <c r="C1541" s="158" t="n"/>
      <c r="I1541" s="158" t="n"/>
      <c r="J1541" s="159" t="n"/>
    </row>
    <row r="1542">
      <c r="B1542" s="158" t="n"/>
      <c r="C1542" s="158" t="n"/>
      <c r="I1542" s="158" t="n"/>
      <c r="J1542" s="159" t="n"/>
    </row>
    <row r="1543">
      <c r="B1543" s="158" t="n"/>
      <c r="C1543" s="158" t="n"/>
      <c r="I1543" s="158" t="n"/>
      <c r="J1543" s="159" t="n"/>
    </row>
    <row r="1544">
      <c r="B1544" s="158" t="n"/>
      <c r="C1544" s="158" t="n"/>
      <c r="I1544" s="158" t="n"/>
      <c r="J1544" s="159" t="n"/>
    </row>
    <row r="1545">
      <c r="B1545" s="158" t="n"/>
      <c r="C1545" s="158" t="n"/>
      <c r="I1545" s="158" t="n"/>
      <c r="J1545" s="159" t="n"/>
    </row>
    <row r="1546">
      <c r="B1546" s="158" t="n"/>
      <c r="C1546" s="158" t="n"/>
      <c r="I1546" s="158" t="n"/>
      <c r="J1546" s="159" t="n"/>
    </row>
    <row r="1547">
      <c r="B1547" s="158" t="n"/>
      <c r="C1547" s="158" t="n"/>
      <c r="I1547" s="158" t="n"/>
      <c r="J1547" s="159" t="n"/>
    </row>
    <row r="1548">
      <c r="B1548" s="158" t="n"/>
      <c r="C1548" s="158" t="n"/>
      <c r="I1548" s="158" t="n"/>
      <c r="J1548" s="159" t="n"/>
    </row>
    <row r="1549">
      <c r="B1549" s="158" t="n"/>
      <c r="C1549" s="158" t="n"/>
      <c r="I1549" s="158" t="n"/>
      <c r="J1549" s="159" t="n"/>
    </row>
    <row r="1550">
      <c r="B1550" s="158" t="n"/>
      <c r="C1550" s="158" t="n"/>
      <c r="I1550" s="158" t="n"/>
      <c r="J1550" s="159" t="n"/>
    </row>
    <row r="1551">
      <c r="B1551" s="158" t="n"/>
      <c r="C1551" s="158" t="n"/>
      <c r="I1551" s="158" t="n"/>
      <c r="J1551" s="159" t="n"/>
    </row>
    <row r="1552">
      <c r="B1552" s="158" t="n"/>
      <c r="C1552" s="158" t="n"/>
      <c r="I1552" s="158" t="n"/>
      <c r="J1552" s="159" t="n"/>
    </row>
    <row r="1553">
      <c r="B1553" s="158" t="n"/>
      <c r="C1553" s="158" t="n"/>
      <c r="I1553" s="158" t="n"/>
      <c r="J1553" s="159" t="n"/>
    </row>
    <row r="1554">
      <c r="B1554" s="158" t="n"/>
      <c r="C1554" s="158" t="n"/>
      <c r="I1554" s="158" t="n"/>
      <c r="J1554" s="159" t="n"/>
    </row>
    <row r="1555">
      <c r="B1555" s="158" t="n"/>
      <c r="C1555" s="158" t="n"/>
      <c r="I1555" s="158" t="n"/>
      <c r="J1555" s="159" t="n"/>
    </row>
    <row r="1556">
      <c r="B1556" s="158" t="n"/>
      <c r="C1556" s="158" t="n"/>
      <c r="I1556" s="158" t="n"/>
      <c r="J1556" s="159" t="n"/>
    </row>
    <row r="1557">
      <c r="B1557" s="158" t="n"/>
      <c r="C1557" s="158" t="n"/>
      <c r="I1557" s="158" t="n"/>
      <c r="J1557" s="159" t="n"/>
    </row>
    <row r="1558">
      <c r="B1558" s="158" t="n"/>
      <c r="C1558" s="158" t="n"/>
      <c r="I1558" s="158" t="n"/>
      <c r="J1558" s="159" t="n"/>
    </row>
    <row r="1559">
      <c r="B1559" s="158" t="n"/>
      <c r="C1559" s="158" t="n"/>
      <c r="I1559" s="158" t="n"/>
      <c r="J1559" s="159" t="n"/>
    </row>
    <row r="1560">
      <c r="B1560" s="158" t="n"/>
      <c r="C1560" s="158" t="n"/>
      <c r="I1560" s="158" t="n"/>
      <c r="J1560" s="159" t="n"/>
    </row>
    <row r="1561">
      <c r="B1561" s="158" t="n"/>
      <c r="C1561" s="158" t="n"/>
      <c r="I1561" s="158" t="n"/>
      <c r="J1561" s="159" t="n"/>
    </row>
    <row r="1562">
      <c r="B1562" s="158" t="n"/>
      <c r="C1562" s="158" t="n"/>
      <c r="I1562" s="158" t="n"/>
      <c r="J1562" s="159" t="n"/>
    </row>
    <row r="1563">
      <c r="B1563" s="158" t="n"/>
      <c r="C1563" s="158" t="n"/>
      <c r="I1563" s="158" t="n"/>
      <c r="J1563" s="159" t="n"/>
    </row>
    <row r="1564">
      <c r="B1564" s="158" t="n"/>
      <c r="C1564" s="158" t="n"/>
      <c r="I1564" s="158" t="n"/>
      <c r="J1564" s="159" t="n"/>
    </row>
    <row r="1565">
      <c r="B1565" s="158" t="n"/>
      <c r="C1565" s="158" t="n"/>
      <c r="I1565" s="158" t="n"/>
      <c r="J1565" s="159" t="n"/>
    </row>
    <row r="1566">
      <c r="B1566" s="158" t="n"/>
      <c r="C1566" s="158" t="n"/>
      <c r="I1566" s="158" t="n"/>
      <c r="J1566" s="159" t="n"/>
    </row>
    <row r="1567">
      <c r="B1567" s="158" t="n"/>
      <c r="C1567" s="158" t="n"/>
      <c r="I1567" s="158" t="n"/>
      <c r="J1567" s="159" t="n"/>
    </row>
    <row r="1568">
      <c r="B1568" s="158" t="n"/>
      <c r="C1568" s="158" t="n"/>
      <c r="I1568" s="158" t="n"/>
      <c r="J1568" s="159" t="n"/>
    </row>
    <row r="1569">
      <c r="B1569" s="158" t="n"/>
      <c r="C1569" s="158" t="n"/>
      <c r="I1569" s="158" t="n"/>
      <c r="J1569" s="159" t="n"/>
    </row>
    <row r="1570">
      <c r="B1570" s="158" t="n"/>
      <c r="C1570" s="158" t="n"/>
      <c r="I1570" s="158" t="n"/>
      <c r="J1570" s="159" t="n"/>
    </row>
    <row r="1571">
      <c r="B1571" s="158" t="n"/>
      <c r="C1571" s="158" t="n"/>
      <c r="I1571" s="158" t="n"/>
      <c r="J1571" s="159" t="n"/>
    </row>
    <row r="1572">
      <c r="B1572" s="158" t="n"/>
      <c r="C1572" s="158" t="n"/>
      <c r="I1572" s="158" t="n"/>
      <c r="J1572" s="159" t="n"/>
    </row>
    <row r="1573">
      <c r="B1573" s="158" t="n"/>
      <c r="C1573" s="158" t="n"/>
      <c r="I1573" s="158" t="n"/>
      <c r="J1573" s="159" t="n"/>
    </row>
    <row r="1574">
      <c r="B1574" s="158" t="n"/>
      <c r="C1574" s="158" t="n"/>
      <c r="I1574" s="158" t="n"/>
      <c r="J1574" s="159" t="n"/>
    </row>
    <row r="1575">
      <c r="B1575" s="158" t="n"/>
      <c r="C1575" s="158" t="n"/>
      <c r="I1575" s="158" t="n"/>
      <c r="J1575" s="159" t="n"/>
    </row>
    <row r="1576">
      <c r="B1576" s="158" t="n"/>
      <c r="C1576" s="158" t="n"/>
      <c r="I1576" s="158" t="n"/>
      <c r="J1576" s="159" t="n"/>
    </row>
    <row r="1577">
      <c r="B1577" s="158" t="n"/>
      <c r="C1577" s="158" t="n"/>
      <c r="I1577" s="158" t="n"/>
      <c r="J1577" s="159" t="n"/>
    </row>
    <row r="1578">
      <c r="B1578" s="158" t="n"/>
      <c r="C1578" s="158" t="n"/>
      <c r="I1578" s="158" t="n"/>
      <c r="J1578" s="159" t="n"/>
    </row>
    <row r="1579">
      <c r="B1579" s="158" t="n"/>
      <c r="C1579" s="158" t="n"/>
      <c r="I1579" s="158" t="n"/>
      <c r="J1579" s="159" t="n"/>
    </row>
    <row r="1580">
      <c r="B1580" s="158" t="n"/>
      <c r="C1580" s="158" t="n"/>
      <c r="I1580" s="158" t="n"/>
      <c r="J1580" s="159" t="n"/>
    </row>
    <row r="1581">
      <c r="B1581" s="158" t="n"/>
      <c r="C1581" s="158" t="n"/>
      <c r="I1581" s="158" t="n"/>
      <c r="J1581" s="159" t="n"/>
    </row>
    <row r="1582">
      <c r="B1582" s="158" t="n"/>
      <c r="C1582" s="158" t="n"/>
      <c r="I1582" s="158" t="n"/>
      <c r="J1582" s="159" t="n"/>
    </row>
    <row r="1583">
      <c r="B1583" s="158" t="n"/>
      <c r="C1583" s="158" t="n"/>
      <c r="I1583" s="158" t="n"/>
      <c r="J1583" s="159" t="n"/>
    </row>
    <row r="1584">
      <c r="B1584" s="158" t="n"/>
      <c r="C1584" s="158" t="n"/>
      <c r="I1584" s="158" t="n"/>
      <c r="J1584" s="159" t="n"/>
    </row>
    <row r="1585">
      <c r="B1585" s="158" t="n"/>
      <c r="C1585" s="158" t="n"/>
      <c r="I1585" s="158" t="n"/>
      <c r="J1585" s="159" t="n"/>
    </row>
    <row r="1586">
      <c r="B1586" s="158" t="n"/>
      <c r="C1586" s="158" t="n"/>
      <c r="I1586" s="158" t="n"/>
      <c r="J1586" s="159" t="n"/>
    </row>
    <row r="1587">
      <c r="B1587" s="158" t="n"/>
      <c r="C1587" s="158" t="n"/>
      <c r="I1587" s="158" t="n"/>
      <c r="J1587" s="159" t="n"/>
    </row>
    <row r="1588">
      <c r="B1588" s="158" t="n"/>
      <c r="C1588" s="158" t="n"/>
      <c r="I1588" s="158" t="n"/>
      <c r="J1588" s="159" t="n"/>
    </row>
    <row r="1589">
      <c r="B1589" s="158" t="n"/>
      <c r="C1589" s="158" t="n"/>
      <c r="I1589" s="158" t="n"/>
      <c r="J1589" s="159" t="n"/>
    </row>
    <row r="1590">
      <c r="B1590" s="158" t="n"/>
      <c r="C1590" s="158" t="n"/>
      <c r="I1590" s="158" t="n"/>
      <c r="J1590" s="159" t="n"/>
    </row>
    <row r="1591">
      <c r="B1591" s="158" t="n"/>
      <c r="C1591" s="158" t="n"/>
      <c r="I1591" s="158" t="n"/>
      <c r="J1591" s="159" t="n"/>
    </row>
    <row r="1592">
      <c r="B1592" s="158" t="n"/>
      <c r="C1592" s="158" t="n"/>
      <c r="I1592" s="158" t="n"/>
      <c r="J1592" s="159" t="n"/>
    </row>
    <row r="1593">
      <c r="B1593" s="158" t="n"/>
      <c r="C1593" s="158" t="n"/>
      <c r="I1593" s="158" t="n"/>
      <c r="J1593" s="159" t="n"/>
    </row>
    <row r="1594">
      <c r="B1594" s="158" t="n"/>
      <c r="C1594" s="158" t="n"/>
      <c r="I1594" s="158" t="n"/>
      <c r="J1594" s="159" t="n"/>
    </row>
    <row r="1595">
      <c r="B1595" s="158" t="n"/>
      <c r="C1595" s="158" t="n"/>
      <c r="I1595" s="158" t="n"/>
      <c r="J1595" s="159" t="n"/>
    </row>
    <row r="1596">
      <c r="B1596" s="158" t="n"/>
      <c r="C1596" s="158" t="n"/>
      <c r="I1596" s="158" t="n"/>
      <c r="J1596" s="159" t="n"/>
    </row>
    <row r="1597">
      <c r="B1597" s="158" t="n"/>
      <c r="C1597" s="158" t="n"/>
      <c r="I1597" s="158" t="n"/>
      <c r="J1597" s="159" t="n"/>
    </row>
    <row r="1598">
      <c r="B1598" s="158" t="n"/>
      <c r="C1598" s="158" t="n"/>
      <c r="I1598" s="158" t="n"/>
      <c r="J1598" s="159" t="n"/>
    </row>
    <row r="1599">
      <c r="B1599" s="158" t="n"/>
      <c r="C1599" s="158" t="n"/>
      <c r="I1599" s="158" t="n"/>
      <c r="J1599" s="159" t="n"/>
    </row>
    <row r="1600">
      <c r="B1600" s="158" t="n"/>
      <c r="C1600" s="158" t="n"/>
      <c r="I1600" s="158" t="n"/>
      <c r="J1600" s="159" t="n"/>
    </row>
    <row r="1601">
      <c r="B1601" s="158" t="n"/>
      <c r="C1601" s="158" t="n"/>
      <c r="I1601" s="158" t="n"/>
      <c r="J1601" s="159" t="n"/>
    </row>
    <row r="1602">
      <c r="B1602" s="158" t="n"/>
      <c r="C1602" s="158" t="n"/>
      <c r="I1602" s="158" t="n"/>
      <c r="J1602" s="159" t="n"/>
    </row>
    <row r="1603">
      <c r="B1603" s="158" t="n"/>
      <c r="C1603" s="158" t="n"/>
      <c r="I1603" s="158" t="n"/>
      <c r="J1603" s="159" t="n"/>
    </row>
    <row r="1604">
      <c r="B1604" s="158" t="n"/>
      <c r="C1604" s="158" t="n"/>
      <c r="I1604" s="158" t="n"/>
      <c r="J1604" s="159" t="n"/>
    </row>
    <row r="1605">
      <c r="B1605" s="158" t="n"/>
      <c r="C1605" s="158" t="n"/>
      <c r="I1605" s="158" t="n"/>
      <c r="J1605" s="159" t="n"/>
    </row>
    <row r="1606">
      <c r="B1606" s="158" t="n"/>
      <c r="C1606" s="158" t="n"/>
      <c r="I1606" s="158" t="n"/>
      <c r="J1606" s="159" t="n"/>
    </row>
    <row r="1607">
      <c r="B1607" s="158" t="n"/>
      <c r="C1607" s="158" t="n"/>
      <c r="I1607" s="158" t="n"/>
      <c r="J1607" s="159" t="n"/>
    </row>
    <row r="1608">
      <c r="B1608" s="158" t="n"/>
      <c r="C1608" s="158" t="n"/>
      <c r="I1608" s="158" t="n"/>
      <c r="J1608" s="159" t="n"/>
    </row>
    <row r="1609">
      <c r="B1609" s="158" t="n"/>
      <c r="C1609" s="158" t="n"/>
      <c r="I1609" s="158" t="n"/>
      <c r="J1609" s="159" t="n"/>
    </row>
    <row r="1610">
      <c r="B1610" s="158" t="n"/>
      <c r="C1610" s="158" t="n"/>
      <c r="I1610" s="158" t="n"/>
      <c r="J1610" s="159" t="n"/>
    </row>
    <row r="1611">
      <c r="B1611" s="158" t="n"/>
      <c r="C1611" s="158" t="n"/>
      <c r="I1611" s="158" t="n"/>
      <c r="J1611" s="159" t="n"/>
    </row>
    <row r="1612">
      <c r="B1612" s="158" t="n"/>
      <c r="C1612" s="158" t="n"/>
      <c r="I1612" s="158" t="n"/>
      <c r="J1612" s="159" t="n"/>
    </row>
    <row r="1613">
      <c r="B1613" s="158" t="n"/>
      <c r="C1613" s="158" t="n"/>
      <c r="I1613" s="158" t="n"/>
      <c r="J1613" s="159" t="n"/>
    </row>
    <row r="1614">
      <c r="B1614" s="158" t="n"/>
      <c r="C1614" s="158" t="n"/>
      <c r="I1614" s="158" t="n"/>
      <c r="J1614" s="159" t="n"/>
    </row>
    <row r="1615">
      <c r="B1615" s="158" t="n"/>
      <c r="C1615" s="158" t="n"/>
      <c r="I1615" s="158" t="n"/>
      <c r="J1615" s="159" t="n"/>
    </row>
    <row r="1616">
      <c r="B1616" s="158" t="n"/>
      <c r="C1616" s="158" t="n"/>
      <c r="I1616" s="158" t="n"/>
      <c r="J1616" s="159" t="n"/>
    </row>
    <row r="1617">
      <c r="B1617" s="158" t="n"/>
      <c r="C1617" s="158" t="n"/>
      <c r="I1617" s="158" t="n"/>
      <c r="J1617" s="159" t="n"/>
    </row>
    <row r="1618">
      <c r="B1618" s="158" t="n"/>
      <c r="C1618" s="158" t="n"/>
      <c r="I1618" s="158" t="n"/>
      <c r="J1618" s="159" t="n"/>
    </row>
    <row r="1619">
      <c r="B1619" s="158" t="n"/>
      <c r="C1619" s="158" t="n"/>
      <c r="I1619" s="158" t="n"/>
      <c r="J1619" s="159" t="n"/>
    </row>
    <row r="1620">
      <c r="B1620" s="158" t="n"/>
      <c r="C1620" s="158" t="n"/>
      <c r="I1620" s="158" t="n"/>
      <c r="J1620" s="159" t="n"/>
    </row>
    <row r="1621">
      <c r="B1621" s="158" t="n"/>
      <c r="C1621" s="158" t="n"/>
      <c r="I1621" s="158" t="n"/>
      <c r="J1621" s="159" t="n"/>
    </row>
    <row r="1622">
      <c r="B1622" s="158" t="n"/>
      <c r="C1622" s="158" t="n"/>
      <c r="I1622" s="158" t="n"/>
      <c r="J1622" s="159" t="n"/>
    </row>
    <row r="1623">
      <c r="B1623" s="158" t="n"/>
      <c r="C1623" s="158" t="n"/>
      <c r="I1623" s="158" t="n"/>
      <c r="J1623" s="159" t="n"/>
    </row>
    <row r="1624">
      <c r="B1624" s="158" t="n"/>
      <c r="C1624" s="158" t="n"/>
      <c r="I1624" s="158" t="n"/>
      <c r="J1624" s="159" t="n"/>
    </row>
    <row r="1625">
      <c r="B1625" s="158" t="n"/>
      <c r="C1625" s="158" t="n"/>
      <c r="I1625" s="158" t="n"/>
      <c r="J1625" s="159" t="n"/>
    </row>
    <row r="1626">
      <c r="B1626" s="158" t="n"/>
      <c r="C1626" s="158" t="n"/>
      <c r="I1626" s="158" t="n"/>
      <c r="J1626" s="159" t="n"/>
    </row>
    <row r="1627">
      <c r="B1627" s="158" t="n"/>
      <c r="C1627" s="158" t="n"/>
      <c r="I1627" s="158" t="n"/>
      <c r="J1627" s="159" t="n"/>
    </row>
    <row r="1628">
      <c r="B1628" s="158" t="n"/>
      <c r="C1628" s="158" t="n"/>
      <c r="I1628" s="158" t="n"/>
      <c r="J1628" s="159" t="n"/>
    </row>
    <row r="1629">
      <c r="B1629" s="158" t="n"/>
      <c r="C1629" s="158" t="n"/>
      <c r="I1629" s="158" t="n"/>
      <c r="J1629" s="159" t="n"/>
    </row>
    <row r="1630">
      <c r="B1630" s="158" t="n"/>
      <c r="C1630" s="158" t="n"/>
      <c r="I1630" s="158" t="n"/>
      <c r="J1630" s="159" t="n"/>
    </row>
    <row r="1631">
      <c r="B1631" s="158" t="n"/>
      <c r="C1631" s="158" t="n"/>
      <c r="I1631" s="158" t="n"/>
      <c r="J1631" s="159" t="n"/>
    </row>
    <row r="1632">
      <c r="B1632" s="158" t="n"/>
      <c r="C1632" s="158" t="n"/>
      <c r="I1632" s="158" t="n"/>
      <c r="J1632" s="159" t="n"/>
    </row>
    <row r="1633">
      <c r="B1633" s="158" t="n"/>
      <c r="C1633" s="158" t="n"/>
      <c r="I1633" s="158" t="n"/>
      <c r="J1633" s="159" t="n"/>
    </row>
    <row r="1634">
      <c r="B1634" s="158" t="n"/>
      <c r="C1634" s="158" t="n"/>
      <c r="I1634" s="158" t="n"/>
      <c r="J1634" s="159" t="n"/>
    </row>
    <row r="1635">
      <c r="B1635" s="158" t="n"/>
      <c r="C1635" s="158" t="n"/>
      <c r="I1635" s="158" t="n"/>
      <c r="J1635" s="159" t="n"/>
    </row>
    <row r="1636">
      <c r="B1636" s="158" t="n"/>
      <c r="C1636" s="158" t="n"/>
      <c r="I1636" s="158" t="n"/>
      <c r="J1636" s="159" t="n"/>
    </row>
    <row r="1637">
      <c r="B1637" s="158" t="n"/>
      <c r="C1637" s="158" t="n"/>
      <c r="I1637" s="158" t="n"/>
      <c r="J1637" s="159" t="n"/>
    </row>
    <row r="1638">
      <c r="B1638" s="158" t="n"/>
      <c r="C1638" s="158" t="n"/>
      <c r="I1638" s="158" t="n"/>
      <c r="J1638" s="159" t="n"/>
    </row>
    <row r="1639">
      <c r="B1639" s="158" t="n"/>
      <c r="C1639" s="158" t="n"/>
      <c r="I1639" s="158" t="n"/>
      <c r="J1639" s="159" t="n"/>
    </row>
    <row r="1640">
      <c r="B1640" s="158" t="n"/>
      <c r="C1640" s="158" t="n"/>
      <c r="I1640" s="158" t="n"/>
      <c r="J1640" s="159" t="n"/>
    </row>
    <row r="1641">
      <c r="B1641" s="158" t="n"/>
      <c r="C1641" s="158" t="n"/>
      <c r="I1641" s="158" t="n"/>
      <c r="J1641" s="159" t="n"/>
    </row>
    <row r="1642">
      <c r="B1642" s="158" t="n"/>
      <c r="C1642" s="158" t="n"/>
      <c r="I1642" s="158" t="n"/>
      <c r="J1642" s="159" t="n"/>
    </row>
    <row r="1643">
      <c r="B1643" s="158" t="n"/>
      <c r="C1643" s="158" t="n"/>
      <c r="I1643" s="158" t="n"/>
      <c r="J1643" s="159" t="n"/>
    </row>
    <row r="1644">
      <c r="B1644" s="158" t="n"/>
      <c r="C1644" s="158" t="n"/>
      <c r="I1644" s="158" t="n"/>
      <c r="J1644" s="159" t="n"/>
    </row>
    <row r="1645">
      <c r="B1645" s="158" t="n"/>
      <c r="C1645" s="158" t="n"/>
      <c r="I1645" s="158" t="n"/>
      <c r="J1645" s="159" t="n"/>
    </row>
    <row r="1646">
      <c r="B1646" s="158" t="n"/>
      <c r="C1646" s="158" t="n"/>
      <c r="I1646" s="158" t="n"/>
      <c r="J1646" s="159" t="n"/>
    </row>
    <row r="1647">
      <c r="B1647" s="158" t="n"/>
      <c r="C1647" s="158" t="n"/>
      <c r="I1647" s="158" t="n"/>
      <c r="J1647" s="159" t="n"/>
    </row>
    <row r="1648">
      <c r="B1648" s="158" t="n"/>
      <c r="C1648" s="158" t="n"/>
      <c r="I1648" s="158" t="n"/>
      <c r="J1648" s="159" t="n"/>
    </row>
    <row r="1649">
      <c r="B1649" s="158" t="n"/>
      <c r="C1649" s="158" t="n"/>
      <c r="I1649" s="158" t="n"/>
      <c r="J1649" s="159" t="n"/>
    </row>
    <row r="1650">
      <c r="B1650" s="158" t="n"/>
      <c r="C1650" s="158" t="n"/>
      <c r="I1650" s="158" t="n"/>
      <c r="J1650" s="159" t="n"/>
    </row>
    <row r="1651">
      <c r="B1651" s="158" t="n"/>
      <c r="C1651" s="158" t="n"/>
      <c r="I1651" s="158" t="n"/>
      <c r="J1651" s="159" t="n"/>
    </row>
    <row r="1652">
      <c r="B1652" s="158" t="n"/>
      <c r="C1652" s="158" t="n"/>
      <c r="I1652" s="158" t="n"/>
      <c r="J1652" s="159" t="n"/>
    </row>
    <row r="1653">
      <c r="B1653" s="158" t="n"/>
      <c r="C1653" s="158" t="n"/>
      <c r="I1653" s="158" t="n"/>
      <c r="J1653" s="159" t="n"/>
    </row>
    <row r="1654">
      <c r="B1654" s="158" t="n"/>
      <c r="C1654" s="158" t="n"/>
      <c r="I1654" s="158" t="n"/>
      <c r="J1654" s="159" t="n"/>
    </row>
    <row r="1655">
      <c r="B1655" s="158" t="n"/>
      <c r="C1655" s="158" t="n"/>
      <c r="I1655" s="158" t="n"/>
      <c r="J1655" s="159" t="n"/>
    </row>
    <row r="1656">
      <c r="B1656" s="158" t="n"/>
      <c r="C1656" s="158" t="n"/>
      <c r="I1656" s="158" t="n"/>
      <c r="J1656" s="159" t="n"/>
    </row>
    <row r="1657">
      <c r="B1657" s="158" t="n"/>
      <c r="C1657" s="158" t="n"/>
      <c r="I1657" s="158" t="n"/>
      <c r="J1657" s="159" t="n"/>
    </row>
    <row r="1658">
      <c r="B1658" s="158" t="n"/>
      <c r="C1658" s="158" t="n"/>
      <c r="I1658" s="158" t="n"/>
      <c r="J1658" s="159" t="n"/>
    </row>
    <row r="1659">
      <c r="B1659" s="158" t="n"/>
      <c r="C1659" s="158" t="n"/>
      <c r="I1659" s="158" t="n"/>
      <c r="J1659" s="159" t="n"/>
    </row>
    <row r="1660">
      <c r="B1660" s="158" t="n"/>
      <c r="C1660" s="158" t="n"/>
      <c r="I1660" s="158" t="n"/>
      <c r="J1660" s="159" t="n"/>
    </row>
    <row r="1661">
      <c r="B1661" s="158" t="n"/>
      <c r="C1661" s="158" t="n"/>
      <c r="I1661" s="158" t="n"/>
      <c r="J1661" s="159" t="n"/>
    </row>
    <row r="1662">
      <c r="B1662" s="158" t="n"/>
      <c r="C1662" s="158" t="n"/>
      <c r="I1662" s="158" t="n"/>
      <c r="J1662" s="159" t="n"/>
    </row>
    <row r="1663">
      <c r="B1663" s="158" t="n"/>
      <c r="C1663" s="158" t="n"/>
      <c r="I1663" s="158" t="n"/>
      <c r="J1663" s="159" t="n"/>
    </row>
    <row r="1664">
      <c r="B1664" s="158" t="n"/>
      <c r="C1664" s="158" t="n"/>
      <c r="I1664" s="158" t="n"/>
      <c r="J1664" s="159" t="n"/>
    </row>
    <row r="1665">
      <c r="B1665" s="158" t="n"/>
      <c r="C1665" s="158" t="n"/>
      <c r="I1665" s="158" t="n"/>
      <c r="J1665" s="159" t="n"/>
    </row>
    <row r="1666">
      <c r="B1666" s="158" t="n"/>
      <c r="C1666" s="158" t="n"/>
      <c r="I1666" s="158" t="n"/>
      <c r="J1666" s="159" t="n"/>
    </row>
    <row r="1667">
      <c r="B1667" s="158" t="n"/>
      <c r="C1667" s="158" t="n"/>
      <c r="I1667" s="158" t="n"/>
      <c r="J1667" s="159" t="n"/>
    </row>
    <row r="1668">
      <c r="B1668" s="158" t="n"/>
      <c r="C1668" s="158" t="n"/>
      <c r="I1668" s="158" t="n"/>
      <c r="J1668" s="159" t="n"/>
    </row>
    <row r="1669">
      <c r="B1669" s="158" t="n"/>
      <c r="C1669" s="158" t="n"/>
      <c r="I1669" s="158" t="n"/>
      <c r="J1669" s="159" t="n"/>
    </row>
    <row r="1670">
      <c r="B1670" s="158" t="n"/>
      <c r="C1670" s="158" t="n"/>
      <c r="I1670" s="158" t="n"/>
      <c r="J1670" s="159" t="n"/>
    </row>
    <row r="1671">
      <c r="B1671" s="158" t="n"/>
      <c r="C1671" s="158" t="n"/>
      <c r="I1671" s="158" t="n"/>
      <c r="J1671" s="159" t="n"/>
    </row>
    <row r="1672">
      <c r="B1672" s="158" t="n"/>
      <c r="C1672" s="158" t="n"/>
      <c r="I1672" s="158" t="n"/>
      <c r="J1672" s="159" t="n"/>
    </row>
    <row r="1673">
      <c r="B1673" s="158" t="n"/>
      <c r="C1673" s="158" t="n"/>
      <c r="I1673" s="158" t="n"/>
      <c r="J1673" s="159" t="n"/>
    </row>
    <row r="1674">
      <c r="B1674" s="158" t="n"/>
      <c r="C1674" s="158" t="n"/>
      <c r="I1674" s="158" t="n"/>
      <c r="J1674" s="159" t="n"/>
    </row>
    <row r="1675">
      <c r="B1675" s="158" t="n"/>
      <c r="C1675" s="158" t="n"/>
      <c r="I1675" s="158" t="n"/>
      <c r="J1675" s="159" t="n"/>
    </row>
    <row r="1676">
      <c r="C1676" s="158" t="n"/>
    </row>
    <row r="1677">
      <c r="C1677" s="158" t="n"/>
    </row>
    <row r="1678">
      <c r="C1678" s="158" t="n"/>
    </row>
    <row r="1679">
      <c r="C1679" s="158" t="n"/>
    </row>
    <row r="1680">
      <c r="C1680" s="158" t="n"/>
    </row>
    <row r="1681">
      <c r="C1681" s="158" t="n"/>
    </row>
    <row r="1682">
      <c r="C1682" s="158" t="n"/>
    </row>
    <row r="1683">
      <c r="C1683" s="158" t="n"/>
    </row>
    <row r="1684">
      <c r="C1684" s="158" t="n"/>
    </row>
    <row r="1685">
      <c r="C1685" s="158" t="n"/>
    </row>
    <row r="1686">
      <c r="C1686" s="158" t="n"/>
    </row>
    <row r="1687">
      <c r="C1687" s="158" t="n"/>
    </row>
    <row r="1688">
      <c r="C1688" s="158" t="n"/>
    </row>
    <row r="1689">
      <c r="C1689" s="158" t="n"/>
    </row>
    <row r="1690">
      <c r="C1690" s="158" t="n"/>
    </row>
    <row r="1691">
      <c r="C1691" s="158" t="n"/>
    </row>
    <row r="1692">
      <c r="C1692" s="158" t="n"/>
    </row>
    <row r="1693">
      <c r="C1693" s="158" t="n"/>
    </row>
    <row r="1694">
      <c r="C1694" s="158" t="n"/>
    </row>
    <row r="1695">
      <c r="C1695" s="158" t="n"/>
    </row>
  </sheetData>
  <conditionalFormatting sqref="A2:A269 A356:A714">
    <cfRule type="duplicateValues" priority="7" dxfId="0"/>
  </conditionalFormatting>
  <conditionalFormatting sqref="B2:B714">
    <cfRule type="cellIs" priority="6" operator="equal" dxfId="0">
      <formula>"ERROR"</formula>
    </cfRule>
  </conditionalFormatting>
  <conditionalFormatting sqref="C2:C735">
    <cfRule type="cellIs" priority="2" operator="equal" dxfId="0">
      <formula>"ERROR"</formula>
    </cfRule>
  </conditionalFormatting>
  <conditionalFormatting sqref="D2:D714">
    <cfRule type="cellIs" priority="3" operator="equal" dxfId="0">
      <formula>"ERROR"</formula>
    </cfRule>
  </conditionalFormatting>
  <conditionalFormatting sqref="I2:I714">
    <cfRule type="cellIs" priority="5" operator="equal" dxfId="0">
      <formula>"ERROR"</formula>
    </cfRule>
  </conditionalFormatting>
  <conditionalFormatting sqref="J1:J714">
    <cfRule type="cellIs" priority="1" operator="equal" dxfId="0">
      <formula>"ERROR"</formula>
    </cfRule>
  </conditionalFormatting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H1615"/>
  <sheetViews>
    <sheetView zoomScale="112" zoomScaleNormal="112" workbookViewId="0">
      <selection activeCell="D12" sqref="D12"/>
    </sheetView>
  </sheetViews>
  <sheetFormatPr baseColWidth="8" defaultColWidth="11.43359375" defaultRowHeight="15"/>
  <cols>
    <col width="12.5078125" customWidth="1" min="2" max="2"/>
    <col width="12.5078125" customWidth="1" style="575" min="3" max="3"/>
    <col width="106.54296875" customWidth="1" min="4" max="4"/>
    <col width="14.9296875" customWidth="1" min="5" max="5"/>
    <col width="21.5234375" customWidth="1" min="6" max="6"/>
    <col width="35.6484375" customWidth="1" min="7" max="7"/>
  </cols>
  <sheetData>
    <row r="1">
      <c r="A1" s="556" t="n"/>
      <c r="B1" s="556" t="inlineStr">
        <is>
          <t>(ID) Insumo</t>
        </is>
      </c>
      <c r="C1" s="557" t="n"/>
      <c r="D1" s="556" t="inlineStr">
        <is>
          <t>Descripción</t>
        </is>
      </c>
      <c r="E1" s="556" t="inlineStr">
        <is>
          <t>Unidad</t>
        </is>
      </c>
      <c r="F1" s="556" t="inlineStr">
        <is>
          <t>Grupo de Insumo</t>
        </is>
      </c>
      <c r="G1" s="556" t="inlineStr">
        <is>
          <t>Familia de Insumos</t>
        </is>
      </c>
    </row>
    <row r="2">
      <c r="A2" s="159" t="n"/>
      <c r="B2" s="158" t="inlineStr">
        <is>
          <t>MAT01-0001</t>
        </is>
      </c>
      <c r="C2" s="558" t="inlineStr">
        <is>
          <t>0101-0001</t>
        </is>
      </c>
      <c r="D2" s="158" t="inlineStr">
        <is>
          <t>GRIFERIA ALTA NOVO CROMADA P/VESSEL</t>
        </is>
      </c>
      <c r="E2" s="158" t="inlineStr">
        <is>
          <t>UND</t>
        </is>
      </c>
      <c r="F2" s="158" t="inlineStr">
        <is>
          <t>MATERIALES</t>
        </is>
      </c>
      <c r="G2" s="158" t="inlineStr">
        <is>
          <t>ACABADOS</t>
        </is>
      </c>
    </row>
    <row r="3">
      <c r="A3" s="159" t="n"/>
      <c r="B3" s="158" t="inlineStr">
        <is>
          <t>MAT01-0002</t>
        </is>
      </c>
      <c r="C3" s="558" t="inlineStr">
        <is>
          <t>0101-0002</t>
        </is>
      </c>
      <c r="D3" s="158" t="inlineStr">
        <is>
          <t>GRIFERIA DUCHA BREZZA  MONO S/LAVAPIES EZ4015551  SSB</t>
        </is>
      </c>
      <c r="E3" s="158" t="inlineStr">
        <is>
          <t>UND</t>
        </is>
      </c>
      <c r="F3" s="158" t="inlineStr">
        <is>
          <t>MATERIALES</t>
        </is>
      </c>
      <c r="G3" s="158" t="inlineStr">
        <is>
          <t>ACABADOS</t>
        </is>
      </c>
    </row>
    <row r="4">
      <c r="A4" s="159" t="n"/>
      <c r="B4" s="158" t="inlineStr">
        <is>
          <t>MAT01-0005</t>
        </is>
      </c>
      <c r="C4" s="558" t="inlineStr">
        <is>
          <t>0101-0005</t>
        </is>
      </c>
      <c r="D4" s="158" t="inlineStr">
        <is>
          <t>GRIFERIA LAV.CROMA METAL 4" PALANCA CROMO P/LAV MILANO</t>
        </is>
      </c>
      <c r="E4" s="158" t="inlineStr">
        <is>
          <t>UND</t>
        </is>
      </c>
      <c r="F4" s="158" t="inlineStr">
        <is>
          <t>MATERIALES</t>
        </is>
      </c>
      <c r="G4" s="158" t="inlineStr">
        <is>
          <t>ACABADOS</t>
        </is>
      </c>
    </row>
    <row r="5">
      <c r="A5" s="159" t="n"/>
      <c r="B5" s="158" t="inlineStr">
        <is>
          <t>MAT01-0006</t>
        </is>
      </c>
      <c r="C5" s="558" t="inlineStr">
        <is>
          <t>0101-0006</t>
        </is>
      </c>
      <c r="D5" s="158" t="inlineStr">
        <is>
          <t>GRIFERIA LAVAPLATOS KENAI MONO</t>
        </is>
      </c>
      <c r="E5" s="158" t="inlineStr">
        <is>
          <t>UND</t>
        </is>
      </c>
      <c r="F5" s="158" t="inlineStr">
        <is>
          <t>MATERIALES</t>
        </is>
      </c>
      <c r="G5" s="158" t="inlineStr">
        <is>
          <t>ACABADOS</t>
        </is>
      </c>
    </row>
    <row r="6">
      <c r="A6" s="159" t="n"/>
      <c r="B6" s="158" t="inlineStr">
        <is>
          <t>MAT01-0007</t>
        </is>
      </c>
      <c r="C6" s="558" t="inlineStr">
        <is>
          <t>0101-0007</t>
        </is>
      </c>
      <c r="D6" s="158" t="inlineStr">
        <is>
          <t>GRIFERIA BREZZA MONO BAJA MU1015551</t>
        </is>
      </c>
      <c r="E6" s="158" t="inlineStr">
        <is>
          <t>UND</t>
        </is>
      </c>
      <c r="F6" s="158" t="inlineStr">
        <is>
          <t>MATERIALES</t>
        </is>
      </c>
      <c r="G6" s="158" t="inlineStr">
        <is>
          <t>ACABADOS</t>
        </is>
      </c>
    </row>
    <row r="7">
      <c r="A7" s="159" t="n"/>
      <c r="B7" s="158" t="inlineStr">
        <is>
          <t>MAT01-0008</t>
        </is>
      </c>
      <c r="C7" s="558" t="inlineStr">
        <is>
          <t>0101-0008</t>
        </is>
      </c>
      <c r="D7" s="158" t="inlineStr">
        <is>
          <t>INODORO CORONA SMART BLANCO</t>
        </is>
      </c>
      <c r="E7" s="158" t="inlineStr">
        <is>
          <t>UND</t>
        </is>
      </c>
      <c r="F7" s="158" t="inlineStr">
        <is>
          <t>MATERIALES</t>
        </is>
      </c>
      <c r="G7" s="158" t="inlineStr">
        <is>
          <t>ACABADOS</t>
        </is>
      </c>
    </row>
    <row r="8">
      <c r="A8" s="159" t="n"/>
      <c r="B8" s="158" t="inlineStr">
        <is>
          <t>MAT01-0010</t>
        </is>
      </c>
      <c r="C8" s="558" t="inlineStr">
        <is>
          <t>0101-0010</t>
        </is>
      </c>
      <c r="D8" s="158" t="inlineStr">
        <is>
          <t>LAVATORIO SPAZIO DE SOBREPONER BLANCO</t>
        </is>
      </c>
      <c r="E8" s="158" t="inlineStr">
        <is>
          <t>UND</t>
        </is>
      </c>
      <c r="F8" s="158" t="inlineStr">
        <is>
          <t>MATERIALES</t>
        </is>
      </c>
      <c r="G8" s="158" t="inlineStr">
        <is>
          <t>ACABADOS</t>
        </is>
      </c>
    </row>
    <row r="9">
      <c r="A9" s="159" t="n"/>
      <c r="B9" s="158" t="inlineStr">
        <is>
          <t>MAT01-0011</t>
        </is>
      </c>
      <c r="C9" s="558" t="inlineStr">
        <is>
          <t>0101-0011</t>
        </is>
      </c>
      <c r="D9" s="158" t="inlineStr">
        <is>
          <t>LAVATORIO MILANO BLANCO CON PEDESTAL</t>
        </is>
      </c>
      <c r="E9" s="158" t="inlineStr">
        <is>
          <t>UND</t>
        </is>
      </c>
      <c r="F9" s="158" t="inlineStr">
        <is>
          <t>MATERIALES</t>
        </is>
      </c>
      <c r="G9" s="158" t="inlineStr">
        <is>
          <t>ACABADOS</t>
        </is>
      </c>
    </row>
    <row r="10">
      <c r="A10" s="159" t="n"/>
      <c r="B10" s="158" t="inlineStr">
        <is>
          <t>MAT01-0012</t>
        </is>
      </c>
      <c r="C10" s="558" t="inlineStr">
        <is>
          <t>0101-0012</t>
        </is>
      </c>
      <c r="D10" s="158" t="inlineStr">
        <is>
          <t>LAVATORIO OLYMPUS II CON PEDESTAL</t>
        </is>
      </c>
      <c r="E10" s="158" t="inlineStr">
        <is>
          <t>UND</t>
        </is>
      </c>
      <c r="F10" s="158" t="inlineStr">
        <is>
          <t>MATERIALES</t>
        </is>
      </c>
      <c r="G10" s="158" t="inlineStr">
        <is>
          <t>ACABADOS</t>
        </is>
      </c>
    </row>
    <row r="11">
      <c r="A11" s="159" t="n"/>
      <c r="B11" s="158" t="inlineStr">
        <is>
          <t>MAT01-0013</t>
        </is>
      </c>
      <c r="C11" s="558" t="inlineStr">
        <is>
          <t>0101-0013</t>
        </is>
      </c>
      <c r="D11" s="158" t="inlineStr">
        <is>
          <t>PILA Y MUEBLE FIBRA DE VIDRIO 50X70CM</t>
        </is>
      </c>
      <c r="E11" s="158" t="inlineStr">
        <is>
          <t>UND</t>
        </is>
      </c>
      <c r="F11" s="158" t="inlineStr">
        <is>
          <t>MATERIALES</t>
        </is>
      </c>
      <c r="G11" s="158" t="inlineStr">
        <is>
          <t>ACABADOS</t>
        </is>
      </c>
    </row>
    <row r="12">
      <c r="A12" s="159" t="n"/>
      <c r="B12" s="158" t="inlineStr">
        <is>
          <t>MAT01-0014</t>
        </is>
      </c>
      <c r="C12" s="558" t="inlineStr">
        <is>
          <t>0101-0014</t>
        </is>
      </c>
      <c r="D12" s="158" t="inlineStr">
        <is>
          <t>REJILLA P/BAÑO CUADRADA / REJ-10'2" (50mm)</t>
        </is>
      </c>
      <c r="E12" s="158" t="inlineStr">
        <is>
          <t>UND</t>
        </is>
      </c>
      <c r="F12" s="158" t="inlineStr">
        <is>
          <t>MATERIALES</t>
        </is>
      </c>
      <c r="G12" s="158" t="inlineStr">
        <is>
          <t>ACABADOS</t>
        </is>
      </c>
    </row>
    <row r="13">
      <c r="A13" s="159" t="n"/>
      <c r="B13" s="158" t="inlineStr">
        <is>
          <t>MAT01-0015</t>
        </is>
      </c>
      <c r="C13" s="558" t="inlineStr">
        <is>
          <t>0101-0015</t>
        </is>
      </c>
      <c r="D13" s="158" t="inlineStr">
        <is>
          <t>DESVIADOR DE 1 VIA</t>
        </is>
      </c>
      <c r="E13" s="158" t="inlineStr">
        <is>
          <t>UND</t>
        </is>
      </c>
      <c r="F13" s="158" t="inlineStr">
        <is>
          <t>MATERIALES</t>
        </is>
      </c>
      <c r="G13" s="158" t="inlineStr">
        <is>
          <t>ACABADOS</t>
        </is>
      </c>
    </row>
    <row r="14">
      <c r="A14" s="159" t="n"/>
      <c r="B14" s="158" t="inlineStr">
        <is>
          <t>MAT01-0016</t>
        </is>
      </c>
      <c r="C14" s="558" t="inlineStr">
        <is>
          <t>0101-0016</t>
        </is>
      </c>
      <c r="D14" s="158" t="inlineStr">
        <is>
          <t>LAVATORIO SUBMONTAR BLANCO 49X40 AQUA</t>
        </is>
      </c>
      <c r="E14" s="158" t="inlineStr">
        <is>
          <t>UND</t>
        </is>
      </c>
      <c r="F14" s="158" t="inlineStr">
        <is>
          <t>MATERIALES</t>
        </is>
      </c>
      <c r="G14" s="158" t="inlineStr">
        <is>
          <t>ACABADOS</t>
        </is>
      </c>
    </row>
    <row r="15">
      <c r="A15" s="159" t="n"/>
      <c r="B15" s="158" t="inlineStr">
        <is>
          <t>MAT01-0018</t>
        </is>
      </c>
      <c r="C15" s="558" t="inlineStr">
        <is>
          <t>0101-0018</t>
        </is>
      </c>
      <c r="D15" s="158" t="inlineStr">
        <is>
          <t>TINA PRINCESA MÁRMOL CULTIVADO- FIBRA VIDRIO</t>
        </is>
      </c>
      <c r="E15" s="158" t="inlineStr">
        <is>
          <t>UND</t>
        </is>
      </c>
      <c r="F15" s="158" t="inlineStr">
        <is>
          <t>MATERIALES</t>
        </is>
      </c>
      <c r="G15" s="158" t="inlineStr">
        <is>
          <t>ACABADOS</t>
        </is>
      </c>
    </row>
    <row r="16">
      <c r="A16" s="159" t="n"/>
      <c r="B16" s="158" t="inlineStr">
        <is>
          <t>MAT01-0019</t>
        </is>
      </c>
      <c r="C16" s="558" t="inlineStr">
        <is>
          <t>0101-0019</t>
        </is>
      </c>
      <c r="D16" s="158" t="inlineStr">
        <is>
          <t>GRIFERIA  ADARA CON LAVAPIES</t>
        </is>
      </c>
      <c r="E16" s="158" t="inlineStr">
        <is>
          <t>UND</t>
        </is>
      </c>
      <c r="F16" s="158" t="inlineStr">
        <is>
          <t>MATERIALES</t>
        </is>
      </c>
      <c r="G16" s="158" t="inlineStr">
        <is>
          <t>ACABADOS</t>
        </is>
      </c>
    </row>
    <row r="17">
      <c r="A17" s="159" t="n"/>
      <c r="B17" s="158" t="inlineStr">
        <is>
          <t>MAT01-0020</t>
        </is>
      </c>
      <c r="C17" s="558" t="inlineStr">
        <is>
          <t>0101-0020</t>
        </is>
      </c>
      <c r="D17" s="158" t="inlineStr">
        <is>
          <t>ACCESORIO P/ TANQUE INODORO</t>
        </is>
      </c>
      <c r="E17" s="158" t="inlineStr">
        <is>
          <t>UND</t>
        </is>
      </c>
      <c r="F17" s="158" t="inlineStr">
        <is>
          <t>MATERIALES</t>
        </is>
      </c>
      <c r="G17" s="158" t="inlineStr">
        <is>
          <t>ACABADOS</t>
        </is>
      </c>
    </row>
    <row r="18">
      <c r="A18" s="159" t="n"/>
      <c r="B18" s="158" t="inlineStr">
        <is>
          <t>MAT01-0021</t>
        </is>
      </c>
      <c r="C18" s="558" t="inlineStr">
        <is>
          <t>0101-0021</t>
        </is>
      </c>
      <c r="D18" s="158" t="inlineStr">
        <is>
          <t>EXTRACTOR 5" (250mm)  PARED O TECHO</t>
        </is>
      </c>
      <c r="E18" s="158" t="inlineStr">
        <is>
          <t>UND</t>
        </is>
      </c>
      <c r="F18" s="158" t="inlineStr">
        <is>
          <t>MATERIALES</t>
        </is>
      </c>
      <c r="G18" s="158" t="inlineStr">
        <is>
          <t>ACABADOS</t>
        </is>
      </c>
    </row>
    <row r="19">
      <c r="A19" s="159" t="n"/>
      <c r="B19" s="158" t="inlineStr">
        <is>
          <t>MAT01-0022</t>
        </is>
      </c>
      <c r="C19" s="558" t="inlineStr">
        <is>
          <t>0101-0022</t>
        </is>
      </c>
      <c r="D19" s="158" t="inlineStr">
        <is>
          <t>SALIDA VENTILACION BLANCA P/ EXTRACTOR 4" (100mm)</t>
        </is>
      </c>
      <c r="E19" s="158" t="inlineStr">
        <is>
          <t>UND</t>
        </is>
      </c>
      <c r="F19" s="158" t="inlineStr">
        <is>
          <t>MATERIALES</t>
        </is>
      </c>
      <c r="G19" s="158" t="inlineStr">
        <is>
          <t>ACABADOS</t>
        </is>
      </c>
    </row>
    <row r="20">
      <c r="A20" s="159" t="n"/>
      <c r="B20" s="158" t="inlineStr">
        <is>
          <t>MAT01-0023</t>
        </is>
      </c>
      <c r="C20" s="558" t="inlineStr">
        <is>
          <t>0101-0023</t>
        </is>
      </c>
      <c r="D20" s="158" t="inlineStr">
        <is>
          <t>KIT DUCTO VINIL 4"(100mm)x2.4M P/EXTRACTOR</t>
        </is>
      </c>
      <c r="E20" s="158" t="inlineStr">
        <is>
          <t>UND</t>
        </is>
      </c>
      <c r="F20" s="158" t="inlineStr">
        <is>
          <t>MATERIALES</t>
        </is>
      </c>
      <c r="G20" s="158" t="inlineStr">
        <is>
          <t>ACABADOS</t>
        </is>
      </c>
    </row>
    <row r="21">
      <c r="A21" s="159" t="n"/>
      <c r="B21" s="158" t="inlineStr">
        <is>
          <t>MAT01-0024</t>
        </is>
      </c>
      <c r="C21" s="558" t="inlineStr">
        <is>
          <t>0101-0024</t>
        </is>
      </c>
      <c r="D21" s="158" t="inlineStr">
        <is>
          <t>MICRO SWITCH P/MOTOR DE JACUZZI</t>
        </is>
      </c>
      <c r="E21" s="158" t="inlineStr">
        <is>
          <t>UND</t>
        </is>
      </c>
      <c r="F21" s="158" t="inlineStr">
        <is>
          <t>MATERIALES</t>
        </is>
      </c>
      <c r="G21" s="158" t="inlineStr">
        <is>
          <t>ACABADOS</t>
        </is>
      </c>
    </row>
    <row r="22">
      <c r="A22" s="159" t="n"/>
      <c r="B22" s="158" t="inlineStr">
        <is>
          <t>MAT01-0025</t>
        </is>
      </c>
      <c r="C22" s="558" t="inlineStr">
        <is>
          <t>0101-0025</t>
        </is>
      </c>
      <c r="D22" s="158" t="inlineStr">
        <is>
          <t>PILA FIBRA DE VIDRIO 50X63X22</t>
        </is>
      </c>
      <c r="E22" s="158" t="inlineStr">
        <is>
          <t>UND</t>
        </is>
      </c>
      <c r="F22" s="158" t="inlineStr">
        <is>
          <t>MATERIALES</t>
        </is>
      </c>
      <c r="G22" s="158" t="inlineStr">
        <is>
          <t>ACABADOS</t>
        </is>
      </c>
    </row>
    <row r="23">
      <c r="A23" s="159" t="n"/>
      <c r="B23" s="158" t="inlineStr">
        <is>
          <t>MAT01-0026</t>
        </is>
      </c>
      <c r="C23" s="558" t="inlineStr">
        <is>
          <t>0101-0026</t>
        </is>
      </c>
      <c r="D23" s="158" t="inlineStr">
        <is>
          <t>TAPA P/INODORO</t>
        </is>
      </c>
      <c r="E23" s="158" t="inlineStr">
        <is>
          <t>UND</t>
        </is>
      </c>
      <c r="F23" s="158" t="inlineStr">
        <is>
          <t>MATERIALES</t>
        </is>
      </c>
      <c r="G23" s="158" t="inlineStr">
        <is>
          <t>ACABADOS</t>
        </is>
      </c>
    </row>
    <row r="24">
      <c r="A24" s="159" t="n"/>
      <c r="B24" s="158" t="inlineStr">
        <is>
          <t>MAT01-0027</t>
        </is>
      </c>
      <c r="C24" s="558" t="inlineStr">
        <is>
          <t>0101-0027</t>
        </is>
      </c>
      <c r="D24" s="158" t="inlineStr">
        <is>
          <t>EMBOLO CENTRAL COMPLETO</t>
        </is>
      </c>
      <c r="E24" s="158" t="inlineStr">
        <is>
          <t>UND</t>
        </is>
      </c>
      <c r="F24" s="158" t="inlineStr">
        <is>
          <t>MATERIALES</t>
        </is>
      </c>
      <c r="G24" s="158" t="inlineStr">
        <is>
          <t>ACABADOS</t>
        </is>
      </c>
    </row>
    <row r="25">
      <c r="A25" s="159" t="n"/>
      <c r="B25" s="158" t="inlineStr">
        <is>
          <t>MAT01-0028</t>
        </is>
      </c>
      <c r="C25" s="558" t="inlineStr">
        <is>
          <t>0101-0028</t>
        </is>
      </c>
      <c r="D25" s="158" t="inlineStr">
        <is>
          <t>TINA MESSI 1.30X90</t>
        </is>
      </c>
      <c r="E25" s="158" t="inlineStr">
        <is>
          <t>UND</t>
        </is>
      </c>
      <c r="F25" s="158" t="inlineStr">
        <is>
          <t>MATERIALES</t>
        </is>
      </c>
      <c r="G25" s="158" t="inlineStr">
        <is>
          <t>ACABADOS</t>
        </is>
      </c>
    </row>
    <row r="26">
      <c r="A26" s="159" t="n"/>
      <c r="B26" s="158" t="inlineStr">
        <is>
          <t>MAT01-0029</t>
        </is>
      </c>
      <c r="C26" s="558" t="inlineStr">
        <is>
          <t>0101-0029</t>
        </is>
      </c>
      <c r="D26" s="158" t="inlineStr">
        <is>
          <t>PUSH BOTON DESAGUE P/TINA</t>
        </is>
      </c>
      <c r="E26" s="158" t="inlineStr">
        <is>
          <t>UND</t>
        </is>
      </c>
      <c r="F26" s="158" t="inlineStr">
        <is>
          <t>MATERIALES</t>
        </is>
      </c>
      <c r="G26" s="158" t="inlineStr">
        <is>
          <t>ACABADOS</t>
        </is>
      </c>
    </row>
    <row r="27">
      <c r="A27" s="159" t="n"/>
      <c r="B27" s="158" t="inlineStr">
        <is>
          <t>MAT01-0030</t>
        </is>
      </c>
      <c r="C27" s="558" t="inlineStr">
        <is>
          <t>0101-0030</t>
        </is>
      </c>
      <c r="D27" s="158" t="inlineStr">
        <is>
          <t>INODORO ECO-LINE</t>
        </is>
      </c>
      <c r="E27" s="158" t="inlineStr">
        <is>
          <t>UND</t>
        </is>
      </c>
      <c r="F27" s="158" t="inlineStr">
        <is>
          <t>MATERIALES</t>
        </is>
      </c>
      <c r="G27" s="158" t="inlineStr">
        <is>
          <t>ACABADOS</t>
        </is>
      </c>
    </row>
    <row r="28">
      <c r="A28" s="159" t="n"/>
      <c r="B28" s="158" t="inlineStr">
        <is>
          <t>MAT01-0031</t>
        </is>
      </c>
      <c r="C28" s="558" t="inlineStr">
        <is>
          <t>0101-0031</t>
        </is>
      </c>
      <c r="D28" s="158" t="inlineStr">
        <is>
          <t>LAVAMANOS ACERO CERR PEDAL</t>
        </is>
      </c>
      <c r="E28" s="158" t="inlineStr">
        <is>
          <t>UND</t>
        </is>
      </c>
      <c r="F28" s="158" t="inlineStr">
        <is>
          <t>MATERIALES</t>
        </is>
      </c>
      <c r="G28" s="158" t="inlineStr">
        <is>
          <t>ACABADOS</t>
        </is>
      </c>
    </row>
    <row r="29">
      <c r="A29" s="159" t="n"/>
      <c r="B29" s="158" t="inlineStr">
        <is>
          <t>MAT01-0032</t>
        </is>
      </c>
      <c r="C29" s="558" t="inlineStr">
        <is>
          <t>0101-0032</t>
        </is>
      </c>
      <c r="D29" s="158" t="inlineStr">
        <is>
          <t>ORINAL ÁRTICO C/LLAVE TEMPORIZADA</t>
        </is>
      </c>
      <c r="E29" s="158" t="inlineStr">
        <is>
          <t>UND</t>
        </is>
      </c>
      <c r="F29" s="158" t="inlineStr">
        <is>
          <t>MATERIALES</t>
        </is>
      </c>
      <c r="G29" s="158" t="inlineStr">
        <is>
          <t>ACABADOS</t>
        </is>
      </c>
    </row>
    <row r="30">
      <c r="A30" s="159" t="n"/>
      <c r="B30" s="158" t="inlineStr">
        <is>
          <t>MAT01-0034</t>
        </is>
      </c>
      <c r="C30" s="558" t="inlineStr">
        <is>
          <t>0101-0034</t>
        </is>
      </c>
      <c r="D30" s="158" t="inlineStr">
        <is>
          <t>LAVATORIO SATURNO CON PEDESTAL</t>
        </is>
      </c>
      <c r="E30" s="158" t="inlineStr">
        <is>
          <t>UND</t>
        </is>
      </c>
      <c r="F30" s="158" t="inlineStr">
        <is>
          <t>MATERIALES</t>
        </is>
      </c>
      <c r="G30" s="158" t="inlineStr">
        <is>
          <t>ACABADOS</t>
        </is>
      </c>
    </row>
    <row r="31">
      <c r="A31" s="159" t="n"/>
      <c r="B31" s="158" t="inlineStr">
        <is>
          <t>MAT01-0035</t>
        </is>
      </c>
      <c r="C31" s="558" t="inlineStr">
        <is>
          <t>0101-0035</t>
        </is>
      </c>
      <c r="D31" s="158" t="inlineStr">
        <is>
          <t>INODORO EQUIX 4.8 BLANCO ONE PIECE</t>
        </is>
      </c>
      <c r="E31" s="158" t="inlineStr">
        <is>
          <t>UND</t>
        </is>
      </c>
      <c r="F31" s="158" t="inlineStr">
        <is>
          <t>MATERIALES</t>
        </is>
      </c>
      <c r="G31" s="158" t="inlineStr">
        <is>
          <t>ACABADOS</t>
        </is>
      </c>
    </row>
    <row r="32">
      <c r="A32" s="159" t="n"/>
      <c r="B32" s="158" t="inlineStr">
        <is>
          <t>MAT01-0036</t>
        </is>
      </c>
      <c r="C32" s="558" t="inlineStr">
        <is>
          <t>0101-0036</t>
        </is>
      </c>
      <c r="D32" s="158" t="inlineStr">
        <is>
          <t>LAVAMANOS DE SUB MONTAR PROVENCE BLANCO</t>
        </is>
      </c>
      <c r="E32" s="158" t="inlineStr">
        <is>
          <t>UND</t>
        </is>
      </c>
      <c r="F32" s="158" t="inlineStr">
        <is>
          <t>MATERIALES</t>
        </is>
      </c>
      <c r="G32" s="158" t="inlineStr">
        <is>
          <t>ACABADOS</t>
        </is>
      </c>
    </row>
    <row r="33">
      <c r="A33" s="159" t="n"/>
      <c r="B33" s="158" t="inlineStr">
        <is>
          <t>MAT01-0037</t>
        </is>
      </c>
      <c r="C33" s="558" t="inlineStr">
        <is>
          <t>0101-0037</t>
        </is>
      </c>
      <c r="D33" s="158" t="inlineStr">
        <is>
          <t>LAVAMANOS CASCADE VESSEL BCO</t>
        </is>
      </c>
      <c r="E33" s="158" t="inlineStr">
        <is>
          <t>UND</t>
        </is>
      </c>
      <c r="F33" s="158" t="inlineStr">
        <is>
          <t>MATERIALES</t>
        </is>
      </c>
      <c r="G33" s="158" t="inlineStr">
        <is>
          <t>ACABADOS</t>
        </is>
      </c>
    </row>
    <row r="34">
      <c r="A34" s="159" t="n"/>
      <c r="B34" s="158" t="inlineStr">
        <is>
          <t>MAT01-0038</t>
        </is>
      </c>
      <c r="C34" s="558" t="inlineStr">
        <is>
          <t>0101-0038</t>
        </is>
      </c>
      <c r="D34" s="158" t="inlineStr">
        <is>
          <t>GRIFERIA CUELLO EXTRAIBLE BOQUILLA FINA/ NEGRO /MATE</t>
        </is>
      </c>
      <c r="E34" s="158" t="inlineStr">
        <is>
          <t>UND</t>
        </is>
      </c>
      <c r="F34" s="158" t="inlineStr">
        <is>
          <t>MATERIALES</t>
        </is>
      </c>
      <c r="G34" s="158" t="inlineStr">
        <is>
          <t>ACABADOS</t>
        </is>
      </c>
    </row>
    <row r="35">
      <c r="A35" s="159" t="n"/>
      <c r="B35" s="158" t="inlineStr">
        <is>
          <t>MAT01-0039</t>
        </is>
      </c>
      <c r="C35" s="558" t="inlineStr">
        <is>
          <t>0101-0039</t>
        </is>
      </c>
      <c r="D35" s="158" t="inlineStr">
        <is>
          <t>JABONERA  ACERO NEGRA</t>
        </is>
      </c>
      <c r="E35" s="158" t="inlineStr">
        <is>
          <t>UND</t>
        </is>
      </c>
      <c r="F35" s="158" t="inlineStr">
        <is>
          <t>MATERIALES</t>
        </is>
      </c>
      <c r="G35" s="158" t="inlineStr">
        <is>
          <t>ACABADOS</t>
        </is>
      </c>
    </row>
    <row r="36">
      <c r="A36" s="159" t="n"/>
      <c r="B36" s="158" t="inlineStr">
        <is>
          <t>MAT01-0040</t>
        </is>
      </c>
      <c r="C36" s="558" t="inlineStr">
        <is>
          <t>0101-0040</t>
        </is>
      </c>
      <c r="D36" s="158" t="inlineStr">
        <is>
          <t>FREGADERO DOBLE 83.8X55.8X23CM</t>
        </is>
      </c>
      <c r="E36" s="158" t="inlineStr">
        <is>
          <t>UND</t>
        </is>
      </c>
      <c r="F36" s="158" t="inlineStr">
        <is>
          <t>MATERIALES</t>
        </is>
      </c>
      <c r="G36" s="158" t="inlineStr">
        <is>
          <t>ACABADOS</t>
        </is>
      </c>
    </row>
    <row r="37">
      <c r="A37" s="159" t="n"/>
      <c r="B37" s="158" t="inlineStr">
        <is>
          <t>MAT01-0041</t>
        </is>
      </c>
      <c r="C37" s="558" t="inlineStr">
        <is>
          <t>0101-0041</t>
        </is>
      </c>
      <c r="D37" s="158" t="inlineStr">
        <is>
          <t>REJILLA P/FREGADERO PLATZ 8523</t>
        </is>
      </c>
      <c r="E37" s="158" t="inlineStr">
        <is>
          <t>UND</t>
        </is>
      </c>
      <c r="F37" s="158" t="inlineStr">
        <is>
          <t>MATERIALES</t>
        </is>
      </c>
      <c r="G37" s="158" t="inlineStr">
        <is>
          <t>ACABADOS</t>
        </is>
      </c>
    </row>
    <row r="38">
      <c r="A38" s="159" t="n"/>
      <c r="B38" s="158" t="inlineStr">
        <is>
          <t>MAT01-0042</t>
        </is>
      </c>
      <c r="C38" s="558" t="inlineStr">
        <is>
          <t>0101-0042</t>
        </is>
      </c>
      <c r="D38" s="158" t="inlineStr">
        <is>
          <t>SIFON NEGRO MATE</t>
        </is>
      </c>
      <c r="E38" s="158" t="inlineStr">
        <is>
          <t>UND</t>
        </is>
      </c>
      <c r="F38" s="158" t="inlineStr">
        <is>
          <t>MATERIALES</t>
        </is>
      </c>
      <c r="G38" s="158" t="inlineStr">
        <is>
          <t>ACABADOS</t>
        </is>
      </c>
    </row>
    <row r="39">
      <c r="A39" s="159" t="n"/>
      <c r="B39" s="158" t="inlineStr">
        <is>
          <t>MAT01-0043</t>
        </is>
      </c>
      <c r="C39" s="558" t="inlineStr">
        <is>
          <t>0101-0043</t>
        </is>
      </c>
      <c r="D39" s="158" t="inlineStr">
        <is>
          <t>GRIFERIA TUBULAR 8 CUADRADA PALETA NEGRA KENNET</t>
        </is>
      </c>
      <c r="E39" s="158" t="inlineStr">
        <is>
          <t>UND</t>
        </is>
      </c>
      <c r="F39" s="158" t="inlineStr">
        <is>
          <t>MATERIALES</t>
        </is>
      </c>
      <c r="G39" s="158" t="inlineStr">
        <is>
          <t>ACABADOS</t>
        </is>
      </c>
    </row>
    <row r="40">
      <c r="A40" s="159" t="n"/>
      <c r="B40" s="158" t="inlineStr">
        <is>
          <t>MAT01-0044</t>
        </is>
      </c>
      <c r="C40" s="558" t="inlineStr">
        <is>
          <t>0101-0044</t>
        </is>
      </c>
      <c r="D40" s="158" t="inlineStr">
        <is>
          <t>LAVAMANOS BOWL CUADRADO 41.5X41.5CM</t>
        </is>
      </c>
      <c r="E40" s="158" t="inlineStr">
        <is>
          <t>UND</t>
        </is>
      </c>
      <c r="F40" s="158" t="inlineStr">
        <is>
          <t>MATERIALES</t>
        </is>
      </c>
      <c r="G40" s="158" t="inlineStr">
        <is>
          <t>ACABADOS</t>
        </is>
      </c>
    </row>
    <row r="41">
      <c r="A41" s="159" t="n"/>
      <c r="B41" s="158" t="inlineStr">
        <is>
          <t>MAT01-0045</t>
        </is>
      </c>
      <c r="C41" s="558" t="inlineStr">
        <is>
          <t>0101-0045</t>
        </is>
      </c>
      <c r="D41" s="158" t="inlineStr">
        <is>
          <t>DESAGÜE PREMIUM COPA CERÁMICA BLANCO</t>
        </is>
      </c>
      <c r="E41" s="158" t="inlineStr">
        <is>
          <t>UND</t>
        </is>
      </c>
      <c r="F41" s="158" t="inlineStr">
        <is>
          <t>MATERIALES</t>
        </is>
      </c>
      <c r="G41" s="158" t="inlineStr">
        <is>
          <t>ACABADOS</t>
        </is>
      </c>
    </row>
    <row r="42">
      <c r="A42" s="159" t="n"/>
      <c r="B42" s="158" t="inlineStr">
        <is>
          <t>MAT01-0046</t>
        </is>
      </c>
      <c r="C42" s="558" t="inlineStr">
        <is>
          <t>0101-0046</t>
        </is>
      </c>
      <c r="D42" s="158" t="inlineStr">
        <is>
          <t>INODORO ONE PIECE BL AMERICAN STANDARD</t>
        </is>
      </c>
      <c r="E42" s="158" t="inlineStr">
        <is>
          <t>UND</t>
        </is>
      </c>
      <c r="F42" s="158" t="inlineStr">
        <is>
          <t>MATERIALES</t>
        </is>
      </c>
      <c r="G42" s="158" t="inlineStr">
        <is>
          <t>ACABADOS</t>
        </is>
      </c>
    </row>
    <row r="43">
      <c r="A43" s="159" t="n"/>
      <c r="B43" s="158" t="inlineStr">
        <is>
          <t>MAT01-0047</t>
        </is>
      </c>
      <c r="C43" s="558" t="inlineStr">
        <is>
          <t>0101-0047</t>
        </is>
      </c>
      <c r="D43" s="158" t="inlineStr">
        <is>
          <t>PILA Y MUEBLE FIBRA DE VIDRIO TANQUE IZQUIERDO/50X70CM</t>
        </is>
      </c>
      <c r="E43" s="158" t="inlineStr">
        <is>
          <t>UND</t>
        </is>
      </c>
      <c r="F43" s="158" t="inlineStr">
        <is>
          <t>MATERIALES</t>
        </is>
      </c>
      <c r="G43" s="158" t="inlineStr">
        <is>
          <t>ACABADOS</t>
        </is>
      </c>
    </row>
    <row r="44">
      <c r="A44" s="159" t="n"/>
      <c r="B44" s="158" t="inlineStr">
        <is>
          <t>MAT01-0048</t>
        </is>
      </c>
      <c r="C44" s="558" t="inlineStr">
        <is>
          <t>0101-0048</t>
        </is>
      </c>
      <c r="D44" s="158" t="inlineStr">
        <is>
          <t>PILA Y MUEBLE FIBRA DE VIDRIO TANQUE DERECHO/50X70CM</t>
        </is>
      </c>
      <c r="E44" s="158" t="inlineStr">
        <is>
          <t>UND</t>
        </is>
      </c>
      <c r="F44" s="158" t="inlineStr">
        <is>
          <t>MATERIALES</t>
        </is>
      </c>
      <c r="G44" s="158" t="inlineStr">
        <is>
          <t>ACABADOS</t>
        </is>
      </c>
    </row>
    <row r="45">
      <c r="A45" s="159" t="n"/>
      <c r="B45" s="158" t="inlineStr">
        <is>
          <t>MAT01-0049</t>
        </is>
      </c>
      <c r="C45" s="558" t="inlineStr">
        <is>
          <t>0101-0049</t>
        </is>
      </c>
      <c r="D45" s="158" t="inlineStr">
        <is>
          <t>LAVATORIO COMO BLANCO ELEMENTO</t>
        </is>
      </c>
      <c r="E45" s="158" t="inlineStr">
        <is>
          <t>UND</t>
        </is>
      </c>
      <c r="F45" s="158" t="inlineStr">
        <is>
          <t>MATERIALES</t>
        </is>
      </c>
      <c r="G45" s="158" t="inlineStr">
        <is>
          <t>ACABADOS</t>
        </is>
      </c>
    </row>
    <row r="46">
      <c r="A46" s="159" t="n"/>
      <c r="B46" s="158" t="inlineStr">
        <is>
          <t>MAT01-0050</t>
        </is>
      </c>
      <c r="C46" s="558" t="inlineStr">
        <is>
          <t>0101-0050</t>
        </is>
      </c>
      <c r="D46" s="158" t="inlineStr">
        <is>
          <t>LAVATORIO STUDIO BLANCO</t>
        </is>
      </c>
      <c r="E46" s="158" t="inlineStr">
        <is>
          <t>UND</t>
        </is>
      </c>
      <c r="F46" s="158" t="inlineStr">
        <is>
          <t>MATERIALES</t>
        </is>
      </c>
      <c r="G46" s="158" t="inlineStr">
        <is>
          <t>ACABADOS</t>
        </is>
      </c>
    </row>
    <row r="47">
      <c r="A47" s="159" t="n"/>
      <c r="B47" s="158" t="inlineStr">
        <is>
          <t>MAT01-0051</t>
        </is>
      </c>
      <c r="C47" s="558" t="inlineStr">
        <is>
          <t>0101-0051</t>
        </is>
      </c>
      <c r="D47" s="158" t="inlineStr">
        <is>
          <t>GRIFO MONOCOMANDO ALTO MADRID 22</t>
        </is>
      </c>
      <c r="E47" s="158" t="inlineStr">
        <is>
          <t>UND</t>
        </is>
      </c>
      <c r="F47" s="158" t="inlineStr">
        <is>
          <t>MATERIALES</t>
        </is>
      </c>
      <c r="G47" s="158" t="inlineStr">
        <is>
          <t>ACABADOS</t>
        </is>
      </c>
    </row>
    <row r="48">
      <c r="A48" s="159" t="n"/>
      <c r="B48" s="158" t="inlineStr">
        <is>
          <t>MAT01-0052</t>
        </is>
      </c>
      <c r="C48" s="558" t="inlineStr">
        <is>
          <t>0101-0052</t>
        </is>
      </c>
      <c r="D48" s="158" t="inlineStr">
        <is>
          <t>TINA VENECIA 172X88</t>
        </is>
      </c>
      <c r="E48" s="158" t="inlineStr">
        <is>
          <t>UND</t>
        </is>
      </c>
      <c r="F48" s="158" t="inlineStr">
        <is>
          <t>MATERIALES</t>
        </is>
      </c>
      <c r="G48" s="158" t="inlineStr">
        <is>
          <t>ACABADOS</t>
        </is>
      </c>
    </row>
    <row r="49">
      <c r="A49" s="159" t="n"/>
      <c r="B49" s="158" t="inlineStr">
        <is>
          <t>MAT01-0053</t>
        </is>
      </c>
      <c r="C49" s="558" t="inlineStr">
        <is>
          <t>0101-0053</t>
        </is>
      </c>
      <c r="D49" s="158" t="inlineStr">
        <is>
          <t>CACHERA FREGADERO MONOCOMANDO KORAL</t>
        </is>
      </c>
      <c r="E49" s="158" t="inlineStr">
        <is>
          <t>UND</t>
        </is>
      </c>
      <c r="F49" s="158" t="inlineStr">
        <is>
          <t>MATERIALES</t>
        </is>
      </c>
      <c r="G49" s="158" t="inlineStr">
        <is>
          <t>ACABADOS</t>
        </is>
      </c>
    </row>
    <row r="50">
      <c r="A50" s="159" t="n"/>
      <c r="B50" s="158" t="inlineStr">
        <is>
          <t>MAT01-0054</t>
        </is>
      </c>
      <c r="C50" s="558" t="inlineStr">
        <is>
          <t>0101-0054</t>
        </is>
      </c>
      <c r="D50" s="158" t="inlineStr">
        <is>
          <t>LLAVIN Y ACCESORIO CARBONE</t>
        </is>
      </c>
      <c r="E50" s="158" t="inlineStr">
        <is>
          <t>UND</t>
        </is>
      </c>
      <c r="F50" s="158" t="inlineStr">
        <is>
          <t>MATERIALES</t>
        </is>
      </c>
      <c r="G50" s="158" t="inlineStr">
        <is>
          <t>ACABADOS</t>
        </is>
      </c>
    </row>
    <row r="51" customFormat="1" s="560">
      <c r="A51" s="557" t="n"/>
      <c r="B51" s="557" t="inlineStr">
        <is>
          <t>(ID) Insumo</t>
        </is>
      </c>
      <c r="C51" s="558" t="n"/>
      <c r="D51" s="557" t="inlineStr">
        <is>
          <t>Descripción</t>
        </is>
      </c>
      <c r="E51" s="557" t="inlineStr">
        <is>
          <t>Unidad</t>
        </is>
      </c>
      <c r="F51" s="559" t="inlineStr">
        <is>
          <t>Grupo de Insumo</t>
        </is>
      </c>
      <c r="G51" s="557" t="inlineStr">
        <is>
          <t>Familia de Insumos</t>
        </is>
      </c>
    </row>
    <row r="52">
      <c r="A52" s="159" t="n"/>
      <c r="B52" s="158" t="inlineStr">
        <is>
          <t>MAT02-0001</t>
        </is>
      </c>
      <c r="C52" s="558" t="inlineStr">
        <is>
          <t>0102-0001</t>
        </is>
      </c>
      <c r="D52" s="158" t="inlineStr">
        <is>
          <t>ALAMBRE NEGRO #16 (1.68MM)</t>
        </is>
      </c>
      <c r="E52" s="158" t="inlineStr">
        <is>
          <t>KG</t>
        </is>
      </c>
      <c r="F52" s="158" t="inlineStr">
        <is>
          <t>MATERIALES</t>
        </is>
      </c>
      <c r="G52" s="158" t="inlineStr">
        <is>
          <t>ACEROS Y METALES</t>
        </is>
      </c>
    </row>
    <row r="53">
      <c r="A53" s="159" t="n"/>
      <c r="B53" s="158" t="inlineStr">
        <is>
          <t>MAT02-0002</t>
        </is>
      </c>
      <c r="C53" s="558" t="inlineStr">
        <is>
          <t>0102-0002</t>
        </is>
      </c>
      <c r="D53" s="158" t="inlineStr">
        <is>
          <t xml:space="preserve">ANGULAR 1 1/4"X3/16" </t>
        </is>
      </c>
      <c r="E53" s="158" t="inlineStr">
        <is>
          <t>UND</t>
        </is>
      </c>
      <c r="F53" s="158" t="inlineStr">
        <is>
          <t>MATERIALES</t>
        </is>
      </c>
      <c r="G53" s="158" t="inlineStr">
        <is>
          <t>ACEROS Y METALES</t>
        </is>
      </c>
    </row>
    <row r="54">
      <c r="A54" s="159" t="n"/>
      <c r="B54" s="158" t="inlineStr">
        <is>
          <t>MAT02-0003</t>
        </is>
      </c>
      <c r="C54" s="558" t="inlineStr">
        <is>
          <t>0102-0003</t>
        </is>
      </c>
      <c r="D54" s="158" t="inlineStr">
        <is>
          <t>ANGULAR DE 2"x 3/16"</t>
        </is>
      </c>
      <c r="E54" s="158" t="inlineStr">
        <is>
          <t>UND</t>
        </is>
      </c>
      <c r="F54" s="158" t="inlineStr">
        <is>
          <t>MATERIALES</t>
        </is>
      </c>
      <c r="G54" s="158" t="inlineStr">
        <is>
          <t>ACEROS Y METALES</t>
        </is>
      </c>
    </row>
    <row r="55">
      <c r="A55" s="159" t="n"/>
      <c r="B55" s="158" t="inlineStr">
        <is>
          <t>MAT02-0004</t>
        </is>
      </c>
      <c r="C55" s="558" t="inlineStr">
        <is>
          <t>0102-0004</t>
        </is>
      </c>
      <c r="D55" s="158" t="inlineStr">
        <is>
          <t>ANGULAR HN 1 1/4"x1.8"</t>
        </is>
      </c>
      <c r="E55" s="158" t="inlineStr">
        <is>
          <t>UND</t>
        </is>
      </c>
      <c r="F55" s="158" t="inlineStr">
        <is>
          <t>MATERIALES</t>
        </is>
      </c>
      <c r="G55" s="158" t="inlineStr">
        <is>
          <t>ACEROS Y METALES</t>
        </is>
      </c>
    </row>
    <row r="56">
      <c r="A56" s="159" t="n"/>
      <c r="B56" s="158" t="inlineStr">
        <is>
          <t>MAT02-0005</t>
        </is>
      </c>
      <c r="C56" s="558" t="inlineStr">
        <is>
          <t>0102-0005</t>
        </is>
      </c>
      <c r="D56" s="158" t="inlineStr">
        <is>
          <t>LAMINA DE JORDOMEX #1 ACS 4X8X3MM</t>
        </is>
      </c>
      <c r="E56" s="158" t="inlineStr">
        <is>
          <t>UND</t>
        </is>
      </c>
      <c r="F56" s="158" t="inlineStr">
        <is>
          <t>MATERIALES</t>
        </is>
      </c>
      <c r="G56" s="158" t="inlineStr">
        <is>
          <t>ACEROS Y METALES</t>
        </is>
      </c>
    </row>
    <row r="57">
      <c r="A57" s="159" t="n"/>
      <c r="B57" s="158" t="inlineStr">
        <is>
          <t>MAT02-0006</t>
        </is>
      </c>
      <c r="C57" s="558" t="inlineStr">
        <is>
          <t>0102-0006</t>
        </is>
      </c>
      <c r="D57" s="158" t="inlineStr">
        <is>
          <t>LAMINA DE JORDOMEX #3 (1/2) ROMBO 13X32  3MM ESPESOR</t>
        </is>
      </c>
      <c r="E57" s="158" t="inlineStr">
        <is>
          <t>UND</t>
        </is>
      </c>
      <c r="F57" s="158" t="inlineStr">
        <is>
          <t>MATERIALES</t>
        </is>
      </c>
      <c r="G57" s="158" t="inlineStr">
        <is>
          <t>ACEROS Y METALES</t>
        </is>
      </c>
    </row>
    <row r="58">
      <c r="A58" s="159" t="n"/>
      <c r="B58" s="158" t="inlineStr">
        <is>
          <t>MAT02-0007</t>
        </is>
      </c>
      <c r="C58" s="558" t="inlineStr">
        <is>
          <t>0102-0007</t>
        </is>
      </c>
      <c r="D58" s="158" t="inlineStr">
        <is>
          <t>LAMINA H.N. ANTIDESLIZ 1.22X2.44X3MM</t>
        </is>
      </c>
      <c r="E58" s="158" t="inlineStr">
        <is>
          <t>UND</t>
        </is>
      </c>
      <c r="F58" s="158" t="inlineStr">
        <is>
          <t>MATERIALES</t>
        </is>
      </c>
      <c r="G58" s="158" t="inlineStr">
        <is>
          <t>ACEROS Y METALES</t>
        </is>
      </c>
    </row>
    <row r="59">
      <c r="A59" s="159" t="n"/>
      <c r="B59" s="158" t="inlineStr">
        <is>
          <t>MAT02-0008</t>
        </is>
      </c>
      <c r="C59" s="558" t="inlineStr">
        <is>
          <t>0102-0008</t>
        </is>
      </c>
      <c r="D59" s="158" t="inlineStr">
        <is>
          <t>MALLA ELECTROSOLDADA 4.88MM</t>
        </is>
      </c>
      <c r="E59" s="158" t="inlineStr">
        <is>
          <t>UND</t>
        </is>
      </c>
      <c r="F59" s="158" t="inlineStr">
        <is>
          <t>MATERIALES</t>
        </is>
      </c>
      <c r="G59" s="158" t="inlineStr">
        <is>
          <t>ACEROS Y METALES</t>
        </is>
      </c>
    </row>
    <row r="60">
      <c r="A60" s="159" t="n"/>
      <c r="B60" s="158" t="inlineStr">
        <is>
          <t>MAT02-0009</t>
        </is>
      </c>
      <c r="C60" s="558" t="inlineStr">
        <is>
          <t>0102-0009</t>
        </is>
      </c>
      <c r="D60" s="158" t="inlineStr">
        <is>
          <t>MALLA ELECTROSOLDADA #1 (4.11MM)</t>
        </is>
      </c>
      <c r="E60" s="158" t="inlineStr">
        <is>
          <t>UND</t>
        </is>
      </c>
      <c r="F60" s="158" t="inlineStr">
        <is>
          <t>MATERIALES</t>
        </is>
      </c>
      <c r="G60" s="158" t="inlineStr">
        <is>
          <t>ACEROS Y METALES</t>
        </is>
      </c>
    </row>
    <row r="61">
      <c r="A61" s="159" t="n"/>
      <c r="B61" s="158" t="inlineStr">
        <is>
          <t>MAT02-0010</t>
        </is>
      </c>
      <c r="C61" s="558" t="inlineStr">
        <is>
          <t>0102-0010</t>
        </is>
      </c>
      <c r="D61" s="158" t="inlineStr">
        <is>
          <t>MALLA ELECTROSOLDADA #2 (5.3 MM)</t>
        </is>
      </c>
      <c r="E61" s="158" t="inlineStr">
        <is>
          <t>UND</t>
        </is>
      </c>
      <c r="F61" s="158" t="inlineStr">
        <is>
          <t>MATERIALES</t>
        </is>
      </c>
      <c r="G61" s="158" t="inlineStr">
        <is>
          <t>ACEROS Y METALES</t>
        </is>
      </c>
    </row>
    <row r="62">
      <c r="A62" s="159" t="n"/>
      <c r="B62" s="158" t="inlineStr">
        <is>
          <t>MAT02-0011</t>
        </is>
      </c>
      <c r="C62" s="558" t="inlineStr">
        <is>
          <t>0102-0011</t>
        </is>
      </c>
      <c r="D62" s="158" t="inlineStr">
        <is>
          <t>PERLING 3X2X15MM EN 1.2MM H.G.</t>
        </is>
      </c>
      <c r="E62" s="158" t="inlineStr">
        <is>
          <t>UND</t>
        </is>
      </c>
      <c r="F62" s="158" t="inlineStr">
        <is>
          <t>MATERIALES</t>
        </is>
      </c>
      <c r="G62" s="158" t="inlineStr">
        <is>
          <t>ACEROS Y METALES</t>
        </is>
      </c>
    </row>
    <row r="63">
      <c r="A63" s="159" t="n"/>
      <c r="B63" s="158" t="inlineStr">
        <is>
          <t>MAT02-0012</t>
        </is>
      </c>
      <c r="C63" s="558" t="inlineStr">
        <is>
          <t>0102-0012</t>
        </is>
      </c>
      <c r="D63" s="158" t="inlineStr">
        <is>
          <t>PLATINA 3"x1/4"</t>
        </is>
      </c>
      <c r="E63" s="158" t="inlineStr">
        <is>
          <t>UND</t>
        </is>
      </c>
      <c r="F63" s="158" t="inlineStr">
        <is>
          <t>MATERIALES</t>
        </is>
      </c>
      <c r="G63" s="158" t="inlineStr">
        <is>
          <t>ACEROS Y METALES</t>
        </is>
      </c>
    </row>
    <row r="64">
      <c r="A64" s="159" t="n"/>
      <c r="B64" s="158" t="inlineStr">
        <is>
          <t>MAT02-0013</t>
        </is>
      </c>
      <c r="C64" s="558" t="inlineStr">
        <is>
          <t>0102-0013</t>
        </is>
      </c>
      <c r="D64" s="158" t="inlineStr">
        <is>
          <t>PLATINA HN 3/4"x1/8"</t>
        </is>
      </c>
      <c r="E64" s="158" t="inlineStr">
        <is>
          <t>UND</t>
        </is>
      </c>
      <c r="F64" s="158" t="inlineStr">
        <is>
          <t>MATERIALES</t>
        </is>
      </c>
      <c r="G64" s="158" t="inlineStr">
        <is>
          <t>ACEROS Y METALES</t>
        </is>
      </c>
    </row>
    <row r="65">
      <c r="A65" s="159" t="n"/>
      <c r="B65" s="158" t="inlineStr">
        <is>
          <t>MAT02-0014</t>
        </is>
      </c>
      <c r="C65" s="558" t="inlineStr">
        <is>
          <t>0102-0014</t>
        </is>
      </c>
      <c r="D65" s="158" t="inlineStr">
        <is>
          <t>PLATINA DE 1/4"x4"</t>
        </is>
      </c>
      <c r="E65" s="158" t="inlineStr">
        <is>
          <t>UND</t>
        </is>
      </c>
      <c r="F65" s="158" t="inlineStr">
        <is>
          <t>MATERIALES</t>
        </is>
      </c>
      <c r="G65" s="158" t="inlineStr">
        <is>
          <t>ACEROS Y METALES</t>
        </is>
      </c>
    </row>
    <row r="66">
      <c r="A66" s="159" t="n"/>
      <c r="B66" s="158" t="inlineStr">
        <is>
          <t>MAT02-0015</t>
        </is>
      </c>
      <c r="C66" s="558" t="inlineStr">
        <is>
          <t>0102-0015</t>
        </is>
      </c>
      <c r="D66" s="158" t="inlineStr">
        <is>
          <t>TUBO REDONDO 1 1/4X1.8 HN</t>
        </is>
      </c>
      <c r="E66" s="158" t="inlineStr">
        <is>
          <t>UND</t>
        </is>
      </c>
      <c r="F66" s="158" t="inlineStr">
        <is>
          <t>MATERIALES</t>
        </is>
      </c>
      <c r="G66" s="158" t="inlineStr">
        <is>
          <t>ACEROS Y METALES</t>
        </is>
      </c>
    </row>
    <row r="67">
      <c r="A67" s="159" t="n"/>
      <c r="B67" s="158" t="inlineStr">
        <is>
          <t>MAT02-0016</t>
        </is>
      </c>
      <c r="C67" s="558" t="inlineStr">
        <is>
          <t>0102-0016</t>
        </is>
      </c>
      <c r="D67" s="158" t="inlineStr">
        <is>
          <t>TUBO 1X1X1.8MM H.N.</t>
        </is>
      </c>
      <c r="E67" s="158" t="inlineStr">
        <is>
          <t>UND</t>
        </is>
      </c>
      <c r="F67" s="158" t="inlineStr">
        <is>
          <t>MATERIALES</t>
        </is>
      </c>
      <c r="G67" s="158" t="inlineStr">
        <is>
          <t>ACEROS Y METALES</t>
        </is>
      </c>
    </row>
    <row r="68">
      <c r="A68" s="159" t="n"/>
      <c r="B68" s="158" t="inlineStr">
        <is>
          <t>MAT02-0017</t>
        </is>
      </c>
      <c r="C68" s="558" t="inlineStr">
        <is>
          <t>0102-0017</t>
        </is>
      </c>
      <c r="D68" s="158" t="inlineStr">
        <is>
          <t>TUBO 1X2X1.5MM HN</t>
        </is>
      </c>
      <c r="E68" s="158" t="inlineStr">
        <is>
          <t>UND</t>
        </is>
      </c>
      <c r="F68" s="158" t="inlineStr">
        <is>
          <t>MATERIALES</t>
        </is>
      </c>
      <c r="G68" s="158" t="inlineStr">
        <is>
          <t>ACEROS Y METALES</t>
        </is>
      </c>
    </row>
    <row r="69">
      <c r="A69" s="159" t="n"/>
      <c r="B69" s="158" t="inlineStr">
        <is>
          <t>MAT02-0018</t>
        </is>
      </c>
      <c r="C69" s="558" t="inlineStr">
        <is>
          <t>0102-0018</t>
        </is>
      </c>
      <c r="D69" s="158" t="inlineStr">
        <is>
          <t>TUBO 2X2X1.5MM H.N</t>
        </is>
      </c>
      <c r="E69" s="158" t="inlineStr">
        <is>
          <t>UND</t>
        </is>
      </c>
      <c r="F69" s="158" t="inlineStr">
        <is>
          <t>MATERIALES</t>
        </is>
      </c>
      <c r="G69" s="158" t="inlineStr">
        <is>
          <t>ACEROS Y METALES</t>
        </is>
      </c>
    </row>
    <row r="70">
      <c r="A70" s="159" t="n"/>
      <c r="B70" s="158" t="inlineStr">
        <is>
          <t>MAT02-0019</t>
        </is>
      </c>
      <c r="C70" s="558" t="inlineStr">
        <is>
          <t>0102-0019</t>
        </is>
      </c>
      <c r="D70" s="158" t="inlineStr">
        <is>
          <t>TUBO 2X2X1.8MM H.N</t>
        </is>
      </c>
      <c r="E70" s="158" t="inlineStr">
        <is>
          <t>UND</t>
        </is>
      </c>
      <c r="F70" s="158" t="inlineStr">
        <is>
          <t>MATERIALES</t>
        </is>
      </c>
      <c r="G70" s="158" t="inlineStr">
        <is>
          <t>ACEROS Y METALES</t>
        </is>
      </c>
    </row>
    <row r="71">
      <c r="A71" s="159" t="n"/>
      <c r="B71" s="158" t="inlineStr">
        <is>
          <t>MAT02-0020</t>
        </is>
      </c>
      <c r="C71" s="558" t="inlineStr">
        <is>
          <t>0102-0020</t>
        </is>
      </c>
      <c r="D71" s="158" t="inlineStr">
        <is>
          <t>TUBO 2X4X1.8MM HN</t>
        </is>
      </c>
      <c r="E71" s="158" t="inlineStr">
        <is>
          <t>UND</t>
        </is>
      </c>
      <c r="F71" s="158" t="inlineStr">
        <is>
          <t>MATERIALES</t>
        </is>
      </c>
      <c r="G71" s="158" t="inlineStr">
        <is>
          <t>ACEROS Y METALES</t>
        </is>
      </c>
    </row>
    <row r="72">
      <c r="A72" s="159" t="n"/>
      <c r="B72" s="158" t="inlineStr">
        <is>
          <t>MAT02-0021</t>
        </is>
      </c>
      <c r="C72" s="558" t="inlineStr">
        <is>
          <t>0102-0021</t>
        </is>
      </c>
      <c r="D72" s="158" t="inlineStr">
        <is>
          <t>TUBO 2X6X1.8MM H.N.</t>
        </is>
      </c>
      <c r="E72" s="158" t="inlineStr">
        <is>
          <t>UND</t>
        </is>
      </c>
      <c r="F72" s="158" t="inlineStr">
        <is>
          <t>MATERIALES</t>
        </is>
      </c>
      <c r="G72" s="158" t="inlineStr">
        <is>
          <t>ACEROS Y METALES</t>
        </is>
      </c>
    </row>
    <row r="73">
      <c r="A73" s="159" t="n"/>
      <c r="B73" s="158" t="inlineStr">
        <is>
          <t>MAT02-0022</t>
        </is>
      </c>
      <c r="C73" s="558" t="inlineStr">
        <is>
          <t>0102-0022</t>
        </is>
      </c>
      <c r="D73" s="158" t="inlineStr">
        <is>
          <t>TUBO 2X6X2.38MM  HN</t>
        </is>
      </c>
      <c r="E73" s="158" t="inlineStr">
        <is>
          <t>UND</t>
        </is>
      </c>
      <c r="F73" s="158" t="inlineStr">
        <is>
          <t>MATERIALES</t>
        </is>
      </c>
      <c r="G73" s="158" t="inlineStr">
        <is>
          <t>ACEROS Y METALES</t>
        </is>
      </c>
    </row>
    <row r="74">
      <c r="A74" s="159" t="n"/>
      <c r="B74" s="158" t="inlineStr">
        <is>
          <t>MAT02-0023</t>
        </is>
      </c>
      <c r="C74" s="558" t="inlineStr">
        <is>
          <t>0102-0023</t>
        </is>
      </c>
      <c r="D74" s="158" t="inlineStr">
        <is>
          <t>TUBO 3X3X1.8MM H.N.</t>
        </is>
      </c>
      <c r="E74" s="158" t="inlineStr">
        <is>
          <t>UND</t>
        </is>
      </c>
      <c r="F74" s="158" t="inlineStr">
        <is>
          <t>MATERIALES</t>
        </is>
      </c>
      <c r="G74" s="158" t="inlineStr">
        <is>
          <t>ACEROS Y METALES</t>
        </is>
      </c>
    </row>
    <row r="75">
      <c r="A75" s="159" t="n"/>
      <c r="B75" s="158" t="inlineStr">
        <is>
          <t>MAT02-0024</t>
        </is>
      </c>
      <c r="C75" s="558" t="inlineStr">
        <is>
          <t>0102-0024</t>
        </is>
      </c>
      <c r="D75" s="158" t="inlineStr">
        <is>
          <t>TUBO 4X6X1.80MM HN</t>
        </is>
      </c>
      <c r="E75" s="158" t="inlineStr">
        <is>
          <t>UND</t>
        </is>
      </c>
      <c r="F75" s="158" t="inlineStr">
        <is>
          <t>MATERIALES</t>
        </is>
      </c>
      <c r="G75" s="158" t="inlineStr">
        <is>
          <t>ACEROS Y METALES</t>
        </is>
      </c>
    </row>
    <row r="76">
      <c r="A76" s="159" t="n"/>
      <c r="B76" s="158" t="inlineStr">
        <is>
          <t>MAT02-0025</t>
        </is>
      </c>
      <c r="C76" s="558" t="inlineStr">
        <is>
          <t>0102-0025</t>
        </is>
      </c>
      <c r="D76" s="158" t="inlineStr">
        <is>
          <t>VARILLA #2 DEFORME G40</t>
        </is>
      </c>
      <c r="E76" s="158" t="inlineStr">
        <is>
          <t>UND</t>
        </is>
      </c>
      <c r="F76" s="158" t="inlineStr">
        <is>
          <t>MATERIALES</t>
        </is>
      </c>
      <c r="G76" s="158" t="inlineStr">
        <is>
          <t>ACEROS Y METALES</t>
        </is>
      </c>
    </row>
    <row r="77">
      <c r="A77" s="159" t="n"/>
      <c r="B77" s="158" t="inlineStr">
        <is>
          <t>MAT02-0026</t>
        </is>
      </c>
      <c r="C77" s="558" t="inlineStr">
        <is>
          <t>0102-0026</t>
        </is>
      </c>
      <c r="D77" s="158" t="inlineStr">
        <is>
          <t>VARILLA #3 DEFORME G40</t>
        </is>
      </c>
      <c r="E77" s="158" t="inlineStr">
        <is>
          <t>UND</t>
        </is>
      </c>
      <c r="F77" s="158" t="inlineStr">
        <is>
          <t>MATERIALES</t>
        </is>
      </c>
      <c r="G77" s="158" t="inlineStr">
        <is>
          <t>ACEROS Y METALES</t>
        </is>
      </c>
    </row>
    <row r="78">
      <c r="A78" s="159" t="n"/>
      <c r="B78" s="158" t="inlineStr">
        <is>
          <t>MAT02-0027</t>
        </is>
      </c>
      <c r="C78" s="558" t="inlineStr">
        <is>
          <t>0102-0027</t>
        </is>
      </c>
      <c r="D78" s="158" t="inlineStr">
        <is>
          <t>VARILLA #3 DEFORME G60</t>
        </is>
      </c>
      <c r="E78" s="158" t="inlineStr">
        <is>
          <t>UND</t>
        </is>
      </c>
      <c r="F78" s="158" t="inlineStr">
        <is>
          <t>MATERIALES</t>
        </is>
      </c>
      <c r="G78" s="158" t="inlineStr">
        <is>
          <t>ACEROS Y METALES</t>
        </is>
      </c>
    </row>
    <row r="79">
      <c r="A79" s="159" t="n"/>
      <c r="B79" s="158" t="inlineStr">
        <is>
          <t>MAT02-0028</t>
        </is>
      </c>
      <c r="C79" s="558" t="inlineStr">
        <is>
          <t>0102-0028</t>
        </is>
      </c>
      <c r="D79" s="158" t="inlineStr">
        <is>
          <t>VARILLA #4 DEFORME G40</t>
        </is>
      </c>
      <c r="E79" s="158" t="inlineStr">
        <is>
          <t>UND</t>
        </is>
      </c>
      <c r="F79" s="158" t="inlineStr">
        <is>
          <t>MATERIALES</t>
        </is>
      </c>
      <c r="G79" s="158" t="inlineStr">
        <is>
          <t>ACEROS Y METALES</t>
        </is>
      </c>
    </row>
    <row r="80">
      <c r="A80" s="159" t="n"/>
      <c r="B80" s="158" t="inlineStr">
        <is>
          <t>MAT02-0029</t>
        </is>
      </c>
      <c r="C80" s="558" t="inlineStr">
        <is>
          <t>0102-0029</t>
        </is>
      </c>
      <c r="D80" s="158" t="inlineStr">
        <is>
          <t>VARILLA #4 DEFORME G60</t>
        </is>
      </c>
      <c r="E80" s="158" t="inlineStr">
        <is>
          <t>UND</t>
        </is>
      </c>
      <c r="F80" s="158" t="inlineStr">
        <is>
          <t>MATERIALES</t>
        </is>
      </c>
      <c r="G80" s="158" t="inlineStr">
        <is>
          <t>ACEROS Y METALES</t>
        </is>
      </c>
    </row>
    <row r="81">
      <c r="A81" s="159" t="n"/>
      <c r="B81" s="158" t="inlineStr">
        <is>
          <t>MAT02-0030</t>
        </is>
      </c>
      <c r="C81" s="558" t="inlineStr">
        <is>
          <t>0102-0030</t>
        </is>
      </c>
      <c r="D81" s="158" t="inlineStr">
        <is>
          <t>VARILLA #5 DEFORME G40</t>
        </is>
      </c>
      <c r="E81" s="158" t="inlineStr">
        <is>
          <t>UND</t>
        </is>
      </c>
      <c r="F81" s="158" t="inlineStr">
        <is>
          <t>MATERIALES</t>
        </is>
      </c>
      <c r="G81" s="158" t="inlineStr">
        <is>
          <t>ACEROS Y METALES</t>
        </is>
      </c>
    </row>
    <row r="82">
      <c r="A82" s="159" t="n"/>
      <c r="B82" s="158" t="inlineStr">
        <is>
          <t>MAT02-0031</t>
        </is>
      </c>
      <c r="C82" s="558" t="inlineStr">
        <is>
          <t>0102-0031</t>
        </is>
      </c>
      <c r="D82" s="158" t="inlineStr">
        <is>
          <t>VARILLA #5 DEFORME G60</t>
        </is>
      </c>
      <c r="E82" s="158" t="inlineStr">
        <is>
          <t>UND</t>
        </is>
      </c>
      <c r="F82" s="158" t="inlineStr">
        <is>
          <t>MATERIALES</t>
        </is>
      </c>
      <c r="G82" s="158" t="inlineStr">
        <is>
          <t>ACEROS Y METALES</t>
        </is>
      </c>
    </row>
    <row r="83">
      <c r="A83" s="159" t="n"/>
      <c r="B83" s="158" t="inlineStr">
        <is>
          <t>MAT02-0032</t>
        </is>
      </c>
      <c r="C83" s="558" t="inlineStr">
        <is>
          <t>0102-0032</t>
        </is>
      </c>
      <c r="D83" s="158" t="inlineStr">
        <is>
          <t>VARILLA LISA #4 GR40  6MTRS</t>
        </is>
      </c>
      <c r="E83" s="158" t="inlineStr">
        <is>
          <t>UND</t>
        </is>
      </c>
      <c r="F83" s="158" t="inlineStr">
        <is>
          <t>MATERIALES</t>
        </is>
      </c>
      <c r="G83" s="158" t="inlineStr">
        <is>
          <t>ACEROS Y METALES</t>
        </is>
      </c>
    </row>
    <row r="84">
      <c r="A84" s="159" t="n"/>
      <c r="B84" s="158" t="inlineStr">
        <is>
          <t>MAT02-0033</t>
        </is>
      </c>
      <c r="C84" s="558" t="inlineStr">
        <is>
          <t>0102-0033</t>
        </is>
      </c>
      <c r="D84" s="158" t="inlineStr">
        <is>
          <t>VARILLA LISA #5</t>
        </is>
      </c>
      <c r="E84" s="158" t="inlineStr">
        <is>
          <t>UND</t>
        </is>
      </c>
      <c r="F84" s="158" t="inlineStr">
        <is>
          <t>MATERIALES</t>
        </is>
      </c>
      <c r="G84" s="158" t="inlineStr">
        <is>
          <t>ACEROS Y METALES</t>
        </is>
      </c>
    </row>
    <row r="85">
      <c r="A85" s="159" t="n"/>
      <c r="B85" s="158" t="inlineStr">
        <is>
          <t>MAT02-0034</t>
        </is>
      </c>
      <c r="C85" s="558" t="inlineStr">
        <is>
          <t>0102-0034</t>
        </is>
      </c>
      <c r="D85" s="158" t="inlineStr">
        <is>
          <t>TUBO 1 1/2X1 1/2X1.8MM H.N.</t>
        </is>
      </c>
      <c r="E85" s="158" t="inlineStr">
        <is>
          <t>UND</t>
        </is>
      </c>
      <c r="F85" s="158" t="inlineStr">
        <is>
          <t>MATERIALES</t>
        </is>
      </c>
      <c r="G85" s="158" t="inlineStr">
        <is>
          <t>ACEROS Y METALES</t>
        </is>
      </c>
    </row>
    <row r="86">
      <c r="A86" s="159" t="n"/>
      <c r="B86" s="158" t="inlineStr">
        <is>
          <t>MAT02-0035</t>
        </is>
      </c>
      <c r="C86" s="558" t="inlineStr">
        <is>
          <t>0102-0035</t>
        </is>
      </c>
      <c r="D86" s="158" t="inlineStr">
        <is>
          <t>BARRA DE ACERO RED.4140 DE 16MM</t>
        </is>
      </c>
      <c r="E86" s="158" t="inlineStr">
        <is>
          <t>UND</t>
        </is>
      </c>
      <c r="F86" s="158" t="inlineStr">
        <is>
          <t>MATERIALES</t>
        </is>
      </c>
      <c r="G86" s="158" t="inlineStr">
        <is>
          <t>ACEROS Y METALES</t>
        </is>
      </c>
    </row>
    <row r="87">
      <c r="A87" s="159" t="n"/>
      <c r="B87" s="158" t="inlineStr">
        <is>
          <t>MAT02-0036</t>
        </is>
      </c>
      <c r="C87" s="558" t="inlineStr">
        <is>
          <t>0102-0036</t>
        </is>
      </c>
      <c r="D87" s="158" t="inlineStr">
        <is>
          <t>TUBO RED 2"X1.50 HN</t>
        </is>
      </c>
      <c r="E87" s="158" t="inlineStr">
        <is>
          <t>UND</t>
        </is>
      </c>
      <c r="F87" s="158" t="inlineStr">
        <is>
          <t>MATERIALES</t>
        </is>
      </c>
      <c r="G87" s="158" t="inlineStr">
        <is>
          <t>ACEROS Y METALES</t>
        </is>
      </c>
    </row>
    <row r="88">
      <c r="A88" s="159" t="n"/>
      <c r="B88" s="158" t="inlineStr">
        <is>
          <t>MAT02-0037</t>
        </is>
      </c>
      <c r="C88" s="558" t="inlineStr">
        <is>
          <t>0102-0037</t>
        </is>
      </c>
      <c r="D88" s="158" t="inlineStr">
        <is>
          <t>TUBO RED 1 1/2"X1.50 HN</t>
        </is>
      </c>
      <c r="E88" s="158" t="inlineStr">
        <is>
          <t>UND</t>
        </is>
      </c>
      <c r="F88" s="158" t="inlineStr">
        <is>
          <t>MATERIALES</t>
        </is>
      </c>
      <c r="G88" s="158" t="inlineStr">
        <is>
          <t>ACEROS Y METALES</t>
        </is>
      </c>
    </row>
    <row r="89">
      <c r="A89" s="159" t="n"/>
      <c r="B89" s="158" t="inlineStr">
        <is>
          <t>MAT02-0038</t>
        </is>
      </c>
      <c r="C89" s="558" t="inlineStr">
        <is>
          <t>0102-0038</t>
        </is>
      </c>
      <c r="D89" s="158" t="inlineStr">
        <is>
          <t>PERLING 3X2X15MM EN 1.5MM H.G</t>
        </is>
      </c>
      <c r="E89" s="158" t="inlineStr">
        <is>
          <t>UND</t>
        </is>
      </c>
      <c r="F89" s="158" t="inlineStr">
        <is>
          <t>MATERIALES</t>
        </is>
      </c>
      <c r="G89" s="158" t="inlineStr">
        <is>
          <t>ACEROS Y METALES</t>
        </is>
      </c>
    </row>
    <row r="90">
      <c r="A90" s="159" t="n"/>
      <c r="B90" s="158" t="inlineStr">
        <is>
          <t>MAT02-0039</t>
        </is>
      </c>
      <c r="C90" s="558" t="inlineStr">
        <is>
          <t>0102-0039</t>
        </is>
      </c>
      <c r="D90" s="158" t="inlineStr">
        <is>
          <t>LAMINA 1.22 X 2.44 HN  3/8</t>
        </is>
      </c>
      <c r="E90" s="158" t="inlineStr">
        <is>
          <t>UND</t>
        </is>
      </c>
      <c r="F90" s="158" t="inlineStr">
        <is>
          <t>MATERIALES</t>
        </is>
      </c>
      <c r="G90" s="158" t="inlineStr">
        <is>
          <t>ACEROS Y METALES</t>
        </is>
      </c>
    </row>
    <row r="91">
      <c r="A91" s="159" t="n"/>
      <c r="B91" s="158" t="inlineStr">
        <is>
          <t>MAT02-0040</t>
        </is>
      </c>
      <c r="C91" s="558" t="inlineStr">
        <is>
          <t>0102-0040</t>
        </is>
      </c>
      <c r="D91" s="158" t="inlineStr">
        <is>
          <t>LAMINA 1.22X2.44  HN 3/16</t>
        </is>
      </c>
      <c r="E91" s="158" t="inlineStr">
        <is>
          <t>UND</t>
        </is>
      </c>
      <c r="F91" s="158" t="inlineStr">
        <is>
          <t>MATERIALES</t>
        </is>
      </c>
      <c r="G91" s="158" t="inlineStr">
        <is>
          <t>ACEROS Y METALES</t>
        </is>
      </c>
    </row>
    <row r="92">
      <c r="A92" s="159" t="n"/>
      <c r="B92" s="158" t="inlineStr">
        <is>
          <t>MAT02-0041</t>
        </is>
      </c>
      <c r="C92" s="558" t="inlineStr">
        <is>
          <t>0102-0041</t>
        </is>
      </c>
      <c r="D92" s="158" t="inlineStr">
        <is>
          <t>LAMINA 1.22X2.44  HN 1/8</t>
        </is>
      </c>
      <c r="E92" s="158" t="inlineStr">
        <is>
          <t>UND</t>
        </is>
      </c>
      <c r="F92" s="158" t="inlineStr">
        <is>
          <t>MATERIALES</t>
        </is>
      </c>
      <c r="G92" s="158" t="inlineStr">
        <is>
          <t>ACEROS Y METALES</t>
        </is>
      </c>
    </row>
    <row r="93">
      <c r="A93" s="159" t="n"/>
      <c r="B93" s="158" t="inlineStr">
        <is>
          <t>MAT02-0042</t>
        </is>
      </c>
      <c r="C93" s="558" t="inlineStr">
        <is>
          <t>0102-0042</t>
        </is>
      </c>
      <c r="D93" s="158" t="inlineStr">
        <is>
          <t>TUBO 1X2X1.80MM HN</t>
        </is>
      </c>
      <c r="E93" s="158" t="inlineStr">
        <is>
          <t>UND</t>
        </is>
      </c>
      <c r="F93" s="158" t="inlineStr">
        <is>
          <t>MATERIALES</t>
        </is>
      </c>
      <c r="G93" s="158" t="inlineStr">
        <is>
          <t>ACEROS Y METALES</t>
        </is>
      </c>
    </row>
    <row r="94">
      <c r="A94" s="159" t="n"/>
      <c r="B94" s="158" t="inlineStr">
        <is>
          <t>MAT02-0043</t>
        </is>
      </c>
      <c r="C94" s="558" t="inlineStr">
        <is>
          <t>0102-0043</t>
        </is>
      </c>
      <c r="D94" s="158" t="inlineStr">
        <is>
          <t>PLATINA EN 4"X 1/4X6M</t>
        </is>
      </c>
      <c r="E94" s="158" t="inlineStr">
        <is>
          <t>UND</t>
        </is>
      </c>
      <c r="F94" s="158" t="inlineStr">
        <is>
          <t>MATERIALES</t>
        </is>
      </c>
      <c r="G94" s="158" t="inlineStr">
        <is>
          <t>ACEROS Y METALES</t>
        </is>
      </c>
    </row>
    <row r="95">
      <c r="A95" s="159" t="n"/>
      <c r="B95" s="158" t="inlineStr">
        <is>
          <t>MAT02-0044</t>
        </is>
      </c>
      <c r="C95" s="558" t="inlineStr">
        <is>
          <t>0102-0044</t>
        </is>
      </c>
      <c r="D95" s="158" t="inlineStr">
        <is>
          <t>ANGULAR HN 2"X1/4</t>
        </is>
      </c>
      <c r="E95" s="158" t="inlineStr">
        <is>
          <t>UND</t>
        </is>
      </c>
      <c r="F95" s="158" t="inlineStr">
        <is>
          <t>MATERIALES</t>
        </is>
      </c>
      <c r="G95" s="158" t="inlineStr">
        <is>
          <t>ACEROS Y METALES</t>
        </is>
      </c>
    </row>
    <row r="96">
      <c r="A96" s="159" t="n"/>
      <c r="B96" s="158" t="inlineStr">
        <is>
          <t>MAT02-0045</t>
        </is>
      </c>
      <c r="C96" s="558" t="inlineStr">
        <is>
          <t>0102-0045</t>
        </is>
      </c>
      <c r="D96" s="158" t="inlineStr">
        <is>
          <t>LAMINA DE ALUMINIO  4X8 EN 1/8</t>
        </is>
      </c>
      <c r="E96" s="158" t="inlineStr">
        <is>
          <t>UND</t>
        </is>
      </c>
      <c r="F96" s="158" t="inlineStr">
        <is>
          <t>MATERIALES</t>
        </is>
      </c>
      <c r="G96" s="158" t="inlineStr">
        <is>
          <t>ACEROS Y METALES</t>
        </is>
      </c>
    </row>
    <row r="97">
      <c r="A97" s="159" t="n"/>
      <c r="B97" s="158" t="inlineStr">
        <is>
          <t>MAT02-0046</t>
        </is>
      </c>
      <c r="C97" s="558" t="inlineStr">
        <is>
          <t>0102-0046</t>
        </is>
      </c>
      <c r="D97" s="158" t="inlineStr">
        <is>
          <t>PLATINA EN ALUMINIO 2X3/8</t>
        </is>
      </c>
      <c r="E97" s="158" t="inlineStr">
        <is>
          <t>UND</t>
        </is>
      </c>
      <c r="F97" s="158" t="inlineStr">
        <is>
          <t>MATERIALES</t>
        </is>
      </c>
      <c r="G97" s="158" t="inlineStr">
        <is>
          <t>ACEROS Y METALES</t>
        </is>
      </c>
    </row>
    <row r="98">
      <c r="A98" s="159" t="n"/>
      <c r="B98" s="158" t="inlineStr">
        <is>
          <t>MAT02-0047</t>
        </is>
      </c>
      <c r="C98" s="558" t="inlineStr">
        <is>
          <t>0102-0047</t>
        </is>
      </c>
      <c r="D98" s="158" t="inlineStr">
        <is>
          <t>VARILLA LISA #3</t>
        </is>
      </c>
      <c r="E98" s="158" t="inlineStr">
        <is>
          <t>UND</t>
        </is>
      </c>
      <c r="F98" s="158" t="inlineStr">
        <is>
          <t>MATERIALES</t>
        </is>
      </c>
      <c r="G98" s="158" t="inlineStr">
        <is>
          <t>ACEROS Y METALES</t>
        </is>
      </c>
    </row>
    <row r="99">
      <c r="A99" s="159" t="n"/>
      <c r="B99" s="158" t="inlineStr">
        <is>
          <t>MAT02-0048</t>
        </is>
      </c>
      <c r="C99" s="558" t="inlineStr">
        <is>
          <t>0102-0048</t>
        </is>
      </c>
      <c r="D99" s="158" t="inlineStr">
        <is>
          <t>ANGULAR HN 1 1/4" X 6MM</t>
        </is>
      </c>
      <c r="E99" s="158" t="inlineStr">
        <is>
          <t>UND</t>
        </is>
      </c>
      <c r="F99" s="158" t="inlineStr">
        <is>
          <t>MATERIALES</t>
        </is>
      </c>
      <c r="G99" s="158" t="inlineStr">
        <is>
          <t>ACEROS Y METALES</t>
        </is>
      </c>
    </row>
    <row r="100">
      <c r="A100" s="159" t="n"/>
      <c r="B100" s="158" t="inlineStr">
        <is>
          <t>MAT02-0049</t>
        </is>
      </c>
      <c r="C100" s="558" t="inlineStr">
        <is>
          <t>0102-0049</t>
        </is>
      </c>
      <c r="D100" s="158" t="inlineStr">
        <is>
          <t>PERLING 2X8X15MM EN 1.5MM H.N</t>
        </is>
      </c>
      <c r="E100" s="158" t="inlineStr">
        <is>
          <t>UND</t>
        </is>
      </c>
      <c r="F100" s="158" t="inlineStr">
        <is>
          <t>MATERIALES</t>
        </is>
      </c>
      <c r="G100" s="158" t="inlineStr">
        <is>
          <t>ACEROS Y METALES</t>
        </is>
      </c>
    </row>
    <row r="101">
      <c r="A101" s="159" t="n"/>
      <c r="B101" s="158" t="inlineStr">
        <is>
          <t>MAT02-0050</t>
        </is>
      </c>
      <c r="C101" s="558" t="inlineStr">
        <is>
          <t>0102-0050</t>
        </is>
      </c>
      <c r="D101" s="158" t="inlineStr">
        <is>
          <t>TUBO 1/2X1/2X1.2MM H.N.</t>
        </is>
      </c>
      <c r="E101" s="158" t="inlineStr">
        <is>
          <t>UND</t>
        </is>
      </c>
      <c r="F101" s="158" t="inlineStr">
        <is>
          <t>MATERIALES</t>
        </is>
      </c>
      <c r="G101" s="158" t="inlineStr">
        <is>
          <t>ACEROS Y METALES</t>
        </is>
      </c>
    </row>
    <row r="102">
      <c r="A102" s="159" t="n"/>
      <c r="B102" s="158" t="inlineStr">
        <is>
          <t>MAT02-0051</t>
        </is>
      </c>
      <c r="C102" s="558" t="inlineStr">
        <is>
          <t>0102-0051</t>
        </is>
      </c>
      <c r="D102" s="158" t="inlineStr">
        <is>
          <t>TUBO RED 3/4"X1.50 HN</t>
        </is>
      </c>
      <c r="E102" s="158" t="inlineStr">
        <is>
          <t>UND</t>
        </is>
      </c>
      <c r="F102" s="158" t="inlineStr">
        <is>
          <t>MATERIALES</t>
        </is>
      </c>
      <c r="G102" s="158" t="inlineStr">
        <is>
          <t>ACEROS Y METALES</t>
        </is>
      </c>
    </row>
    <row r="103">
      <c r="A103" s="159" t="n"/>
      <c r="B103" s="158" t="inlineStr">
        <is>
          <t>MAT02-0052</t>
        </is>
      </c>
      <c r="C103" s="558" t="inlineStr">
        <is>
          <t>0102-0052</t>
        </is>
      </c>
      <c r="D103" s="158" t="inlineStr">
        <is>
          <t>LAMINA 1.22X2.44  HN 1/16</t>
        </is>
      </c>
      <c r="E103" s="158" t="inlineStr">
        <is>
          <t>UND</t>
        </is>
      </c>
      <c r="F103" s="158" t="inlineStr">
        <is>
          <t>MATERIALES</t>
        </is>
      </c>
      <c r="G103" s="158" t="inlineStr">
        <is>
          <t>ACEROS Y METALES</t>
        </is>
      </c>
    </row>
    <row r="104">
      <c r="A104" s="159" t="n"/>
      <c r="B104" s="158" t="inlineStr">
        <is>
          <t>MAT02-0053</t>
        </is>
      </c>
      <c r="C104" s="558" t="inlineStr">
        <is>
          <t>0102-0053</t>
        </is>
      </c>
      <c r="D104" s="158" t="inlineStr">
        <is>
          <t>LAMINA HG #20 1.22X2.44</t>
        </is>
      </c>
      <c r="E104" s="158" t="inlineStr">
        <is>
          <t>UND</t>
        </is>
      </c>
      <c r="F104" s="158" t="inlineStr">
        <is>
          <t>MATERIALES</t>
        </is>
      </c>
      <c r="G104" s="158" t="inlineStr">
        <is>
          <t>ACEROS Y METALES</t>
        </is>
      </c>
    </row>
    <row r="105">
      <c r="A105" s="159" t="n"/>
      <c r="B105" s="158" t="inlineStr">
        <is>
          <t>MAT02-0054</t>
        </is>
      </c>
      <c r="C105" s="558" t="inlineStr">
        <is>
          <t>0102-0054</t>
        </is>
      </c>
      <c r="D105" s="158" t="inlineStr">
        <is>
          <t>TUBO 1X1X1.5MM H.N</t>
        </is>
      </c>
      <c r="E105" s="158" t="inlineStr">
        <is>
          <t>UND</t>
        </is>
      </c>
      <c r="F105" s="158" t="inlineStr">
        <is>
          <t>MATERIALES</t>
        </is>
      </c>
      <c r="G105" s="158" t="inlineStr">
        <is>
          <t>ACEROS Y METALES</t>
        </is>
      </c>
    </row>
    <row r="106">
      <c r="A106" s="159" t="n"/>
      <c r="B106" s="158" t="inlineStr">
        <is>
          <t>MAT02-0055</t>
        </is>
      </c>
      <c r="C106" s="558" t="inlineStr">
        <is>
          <t>0102-0055</t>
        </is>
      </c>
      <c r="D106" s="158" t="inlineStr">
        <is>
          <t>TUBO 2X2X1.2MM H.N</t>
        </is>
      </c>
      <c r="E106" s="158" t="inlineStr">
        <is>
          <t>UND</t>
        </is>
      </c>
      <c r="F106" s="158" t="inlineStr">
        <is>
          <t>MATERIALES</t>
        </is>
      </c>
      <c r="G106" s="158" t="inlineStr">
        <is>
          <t>ACEROS Y METALES</t>
        </is>
      </c>
    </row>
    <row r="107">
      <c r="A107" s="159" t="n"/>
      <c r="B107" s="158" t="inlineStr">
        <is>
          <t>MAT02-0056</t>
        </is>
      </c>
      <c r="C107" s="558" t="inlineStr">
        <is>
          <t>0102-0056</t>
        </is>
      </c>
      <c r="D107" s="158" t="inlineStr">
        <is>
          <t>TUBO 1X2X1.2MM HN</t>
        </is>
      </c>
      <c r="E107" s="158" t="inlineStr">
        <is>
          <t>UND</t>
        </is>
      </c>
      <c r="F107" s="158" t="inlineStr">
        <is>
          <t>MATERIALES</t>
        </is>
      </c>
      <c r="G107" s="158" t="inlineStr">
        <is>
          <t>ACEROS Y METALES</t>
        </is>
      </c>
    </row>
    <row r="108">
      <c r="A108" s="159" t="n"/>
      <c r="B108" s="158" t="inlineStr">
        <is>
          <t>MAT02-0057</t>
        </is>
      </c>
      <c r="C108" s="558" t="inlineStr">
        <is>
          <t>0102-0057</t>
        </is>
      </c>
      <c r="D108" s="158" t="inlineStr">
        <is>
          <t>VIGA UPN 100 X 50 X 6.0 MM</t>
        </is>
      </c>
      <c r="E108" s="158" t="inlineStr">
        <is>
          <t>UND</t>
        </is>
      </c>
      <c r="F108" s="158" t="inlineStr">
        <is>
          <t>MATERIALES</t>
        </is>
      </c>
      <c r="G108" s="158" t="inlineStr">
        <is>
          <t>ACEROS Y METALES</t>
        </is>
      </c>
    </row>
    <row r="109">
      <c r="A109" s="159" t="n"/>
      <c r="B109" s="158" t="inlineStr">
        <is>
          <t>MAT02-0058</t>
        </is>
      </c>
      <c r="C109" s="558" t="inlineStr">
        <is>
          <t>0102-0058</t>
        </is>
      </c>
      <c r="D109" s="158" t="inlineStr">
        <is>
          <t>TUBO 3X3X3.17MM H.N.</t>
        </is>
      </c>
      <c r="E109" s="158" t="inlineStr">
        <is>
          <t>UND</t>
        </is>
      </c>
      <c r="F109" s="158" t="inlineStr">
        <is>
          <t>MATERIALES</t>
        </is>
      </c>
      <c r="G109" s="158" t="inlineStr">
        <is>
          <t>ACEROS Y METALES</t>
        </is>
      </c>
    </row>
    <row r="110">
      <c r="A110" s="159" t="n"/>
      <c r="B110" s="158" t="inlineStr">
        <is>
          <t>MAT02-0059</t>
        </is>
      </c>
      <c r="C110" s="558" t="inlineStr">
        <is>
          <t>0102-0059</t>
        </is>
      </c>
      <c r="D110" s="158" t="inlineStr">
        <is>
          <t>MALLA CICLON #10</t>
        </is>
      </c>
      <c r="E110" s="158" t="inlineStr">
        <is>
          <t>M</t>
        </is>
      </c>
      <c r="F110" s="158" t="inlineStr">
        <is>
          <t>MATERIALES</t>
        </is>
      </c>
      <c r="G110" s="158" t="inlineStr">
        <is>
          <t>ACEROS Y METALES</t>
        </is>
      </c>
    </row>
    <row r="111">
      <c r="A111" s="159" t="n"/>
      <c r="B111" s="158" t="inlineStr">
        <is>
          <t>MAT02-0060</t>
        </is>
      </c>
      <c r="C111" s="558" t="inlineStr">
        <is>
          <t>0102-0060</t>
        </is>
      </c>
      <c r="D111" s="158" t="inlineStr">
        <is>
          <t>TUBO 4X4X1.8MM H.N.</t>
        </is>
      </c>
      <c r="E111" s="158" t="inlineStr">
        <is>
          <t>UND</t>
        </is>
      </c>
      <c r="F111" s="158" t="inlineStr">
        <is>
          <t>MATERIALES</t>
        </is>
      </c>
      <c r="G111" s="158" t="inlineStr">
        <is>
          <t>ACEROS Y METALES</t>
        </is>
      </c>
    </row>
    <row r="112">
      <c r="A112" s="159" t="n"/>
      <c r="B112" s="158" t="inlineStr">
        <is>
          <t>MAT02-0061</t>
        </is>
      </c>
      <c r="C112" s="558" t="inlineStr">
        <is>
          <t>0102-0061</t>
        </is>
      </c>
      <c r="D112" s="158" t="inlineStr">
        <is>
          <t>BARRA DE ACERO 1020 DE 1 1/2X700MM</t>
        </is>
      </c>
      <c r="E112" s="158" t="inlineStr">
        <is>
          <t>UND</t>
        </is>
      </c>
      <c r="F112" s="158" t="inlineStr">
        <is>
          <t>MATERIALES</t>
        </is>
      </c>
      <c r="G112" s="158" t="inlineStr">
        <is>
          <t>ACEROS Y METALES</t>
        </is>
      </c>
    </row>
    <row r="113">
      <c r="A113" s="159" t="n"/>
      <c r="B113" s="158" t="inlineStr">
        <is>
          <t>MAT02-0062</t>
        </is>
      </c>
      <c r="C113" s="558" t="inlineStr">
        <is>
          <t>0102-0062</t>
        </is>
      </c>
      <c r="D113" s="158" t="inlineStr">
        <is>
          <t>PLATINA EN 2"X 1/8X6M</t>
        </is>
      </c>
      <c r="E113" s="158" t="inlineStr">
        <is>
          <t>UND</t>
        </is>
      </c>
      <c r="F113" s="158" t="inlineStr">
        <is>
          <t>MATERIALES</t>
        </is>
      </c>
      <c r="G113" s="158" t="inlineStr">
        <is>
          <t>ACEROS Y METALES</t>
        </is>
      </c>
    </row>
    <row r="114">
      <c r="A114" s="159" t="n"/>
      <c r="B114" s="158" t="inlineStr">
        <is>
          <t>MAT02-0063</t>
        </is>
      </c>
      <c r="C114" s="558" t="inlineStr">
        <is>
          <t>0102-0063</t>
        </is>
      </c>
      <c r="D114" s="158" t="inlineStr">
        <is>
          <t>TUBO 2X3X6MM HN</t>
        </is>
      </c>
      <c r="E114" s="158" t="inlineStr">
        <is>
          <t>UND</t>
        </is>
      </c>
      <c r="F114" s="158" t="inlineStr">
        <is>
          <t>MATERIALES</t>
        </is>
      </c>
      <c r="G114" s="158" t="inlineStr">
        <is>
          <t>ACEROS Y METALES</t>
        </is>
      </c>
    </row>
    <row r="115">
      <c r="A115" s="159" t="n"/>
      <c r="B115" s="158" t="inlineStr">
        <is>
          <t>MAT02-0064</t>
        </is>
      </c>
      <c r="C115" s="558" t="inlineStr">
        <is>
          <t>0102-0064</t>
        </is>
      </c>
      <c r="D115" s="158" t="inlineStr">
        <is>
          <t>TUBO 3X6X6MM HN</t>
        </is>
      </c>
      <c r="E115" s="158" t="inlineStr">
        <is>
          <t>UND</t>
        </is>
      </c>
      <c r="F115" s="158" t="inlineStr">
        <is>
          <t>MATERIALES</t>
        </is>
      </c>
      <c r="G115" s="158" t="inlineStr">
        <is>
          <t>ACEROS Y METALES</t>
        </is>
      </c>
    </row>
    <row r="116">
      <c r="A116" s="159" t="n"/>
      <c r="B116" s="158" t="inlineStr">
        <is>
          <t>MAT02-0065</t>
        </is>
      </c>
      <c r="C116" s="558" t="inlineStr">
        <is>
          <t>0102-0065</t>
        </is>
      </c>
      <c r="D116" s="158" t="inlineStr">
        <is>
          <t>PLACA ALUMINIO 6061 1/4 1000X1000</t>
        </is>
      </c>
      <c r="E116" s="158" t="inlineStr">
        <is>
          <t>UND</t>
        </is>
      </c>
      <c r="F116" s="158" t="inlineStr">
        <is>
          <t>MATERIALES</t>
        </is>
      </c>
      <c r="G116" s="158" t="inlineStr">
        <is>
          <t>ACEROS Y METALES</t>
        </is>
      </c>
    </row>
    <row r="117">
      <c r="A117" s="159" t="n"/>
      <c r="B117" s="158" t="inlineStr">
        <is>
          <t>MAT02-0066</t>
        </is>
      </c>
      <c r="C117" s="558" t="inlineStr">
        <is>
          <t>0102-0066</t>
        </is>
      </c>
      <c r="D117" s="158" t="inlineStr">
        <is>
          <t>FERRALLA DEFORMADA GRADO 60 W #3 BARRA C</t>
        </is>
      </c>
      <c r="E117" s="158" t="inlineStr">
        <is>
          <t>UND</t>
        </is>
      </c>
      <c r="F117" s="158" t="inlineStr">
        <is>
          <t>MATERIALES</t>
        </is>
      </c>
      <c r="G117" s="158" t="inlineStr">
        <is>
          <t>ACEROS Y METALES</t>
        </is>
      </c>
    </row>
    <row r="118">
      <c r="A118" s="159" t="n"/>
      <c r="B118" s="158" t="inlineStr">
        <is>
          <t>MAT02-0067</t>
        </is>
      </c>
      <c r="C118" s="558" t="inlineStr">
        <is>
          <t>0102-0067</t>
        </is>
      </c>
      <c r="D118" s="158" t="inlineStr">
        <is>
          <t>FERRALLA DEFORMADA GRADO 60 W #3 BARRA L</t>
        </is>
      </c>
      <c r="E118" s="158" t="inlineStr">
        <is>
          <t>UND</t>
        </is>
      </c>
      <c r="F118" s="158" t="inlineStr">
        <is>
          <t>MATERIALES</t>
        </is>
      </c>
      <c r="G118" s="158" t="inlineStr">
        <is>
          <t>ACEROS Y METALES</t>
        </is>
      </c>
    </row>
    <row r="119">
      <c r="A119" s="159" t="n"/>
      <c r="B119" s="158" t="inlineStr">
        <is>
          <t>MAT02-0068</t>
        </is>
      </c>
      <c r="C119" s="558" t="inlineStr">
        <is>
          <t>0102-0068</t>
        </is>
      </c>
      <c r="D119" s="158" t="inlineStr">
        <is>
          <t>FERRALLA DEFORMADA GRADO 60 W #4 BARRA</t>
        </is>
      </c>
      <c r="E119" s="158" t="inlineStr">
        <is>
          <t>UND</t>
        </is>
      </c>
      <c r="F119" s="158" t="inlineStr">
        <is>
          <t>MATERIALES</t>
        </is>
      </c>
      <c r="G119" s="158" t="inlineStr">
        <is>
          <t>ACEROS Y METALES</t>
        </is>
      </c>
    </row>
    <row r="120">
      <c r="A120" s="159" t="n"/>
      <c r="B120" s="158" t="inlineStr">
        <is>
          <t>MAT02-0069</t>
        </is>
      </c>
      <c r="C120" s="558" t="inlineStr">
        <is>
          <t>0102-0069</t>
        </is>
      </c>
      <c r="D120" s="158" t="inlineStr">
        <is>
          <t>FERRALLA DEFORMADA GRADO 60 W #3 ARO</t>
        </is>
      </c>
      <c r="E120" s="158" t="inlineStr">
        <is>
          <t>UND</t>
        </is>
      </c>
      <c r="F120" s="158" t="inlineStr">
        <is>
          <t>MATERIALES</t>
        </is>
      </c>
      <c r="G120" s="158" t="inlineStr">
        <is>
          <t>ACEROS Y METALES</t>
        </is>
      </c>
    </row>
    <row r="121">
      <c r="A121" s="159" t="n"/>
      <c r="B121" s="158" t="inlineStr">
        <is>
          <t>MAT02-0070</t>
        </is>
      </c>
      <c r="C121" s="558" t="inlineStr">
        <is>
          <t>0102-0070</t>
        </is>
      </c>
      <c r="D121" s="158" t="inlineStr">
        <is>
          <t>FERRALLA DEFORMADA GRADO 60 W #4 BARRA L</t>
        </is>
      </c>
      <c r="E121" s="158" t="inlineStr">
        <is>
          <t>UND</t>
        </is>
      </c>
      <c r="F121" s="158" t="inlineStr">
        <is>
          <t>MATERIALES</t>
        </is>
      </c>
      <c r="G121" s="158" t="inlineStr">
        <is>
          <t>ACEROS Y METALES</t>
        </is>
      </c>
    </row>
    <row r="122">
      <c r="A122" s="159" t="n"/>
      <c r="B122" s="158" t="inlineStr">
        <is>
          <t>MAT02-0071</t>
        </is>
      </c>
      <c r="C122" s="558" t="inlineStr">
        <is>
          <t>0102-0071</t>
        </is>
      </c>
      <c r="D122" s="158" t="inlineStr">
        <is>
          <t>FERRALLA DEFORMADA GRADO 60 W #5 BARRA C</t>
        </is>
      </c>
      <c r="E122" s="158" t="inlineStr">
        <is>
          <t>UND</t>
        </is>
      </c>
      <c r="F122" s="158" t="inlineStr">
        <is>
          <t>MATERIALES</t>
        </is>
      </c>
      <c r="G122" s="158" t="inlineStr">
        <is>
          <t>ACEROS Y METALES</t>
        </is>
      </c>
    </row>
    <row r="123">
      <c r="A123" s="159" t="n"/>
      <c r="B123" s="158" t="inlineStr">
        <is>
          <t>MAT02-0072</t>
        </is>
      </c>
      <c r="C123" s="558" t="inlineStr">
        <is>
          <t>0102-0072</t>
        </is>
      </c>
      <c r="D123" s="158" t="inlineStr">
        <is>
          <t>FERRALLA DEFORMADA GRADO 60 W #4 BARRA C</t>
        </is>
      </c>
      <c r="E123" s="158" t="inlineStr">
        <is>
          <t>UND</t>
        </is>
      </c>
      <c r="F123" s="158" t="inlineStr">
        <is>
          <t>MATERIALES</t>
        </is>
      </c>
      <c r="G123" s="158" t="inlineStr">
        <is>
          <t>ACEROS Y METALES</t>
        </is>
      </c>
    </row>
    <row r="124">
      <c r="A124" s="159" t="n"/>
      <c r="B124" s="158" t="inlineStr">
        <is>
          <t>MAT02-0073</t>
        </is>
      </c>
      <c r="C124" s="558" t="inlineStr">
        <is>
          <t>0102-0073</t>
        </is>
      </c>
      <c r="D124" s="158" t="inlineStr">
        <is>
          <t>FERRALLA DEFORMADA GRADO 60 W #3 GANCHO</t>
        </is>
      </c>
      <c r="E124" s="158" t="inlineStr">
        <is>
          <t>UND</t>
        </is>
      </c>
      <c r="F124" s="158" t="inlineStr">
        <is>
          <t>MATERIALES</t>
        </is>
      </c>
      <c r="G124" s="158" t="inlineStr">
        <is>
          <t>ACEROS Y METALES</t>
        </is>
      </c>
    </row>
    <row r="125">
      <c r="A125" s="159" t="n"/>
      <c r="B125" s="158" t="inlineStr">
        <is>
          <t>MAT02-0074</t>
        </is>
      </c>
      <c r="C125" s="558" t="inlineStr">
        <is>
          <t>0102-0074</t>
        </is>
      </c>
      <c r="D125" s="158" t="inlineStr">
        <is>
          <t>FERRALLA GRAFILADA #2 ARO TRIANGULAR</t>
        </is>
      </c>
      <c r="E125" s="158" t="inlineStr">
        <is>
          <t>UND</t>
        </is>
      </c>
      <c r="F125" s="158" t="inlineStr">
        <is>
          <t>MATERIALES</t>
        </is>
      </c>
      <c r="G125" s="158" t="inlineStr">
        <is>
          <t>ACEROS Y METALES</t>
        </is>
      </c>
    </row>
    <row r="126">
      <c r="A126" s="159" t="n"/>
      <c r="B126" s="158" t="inlineStr">
        <is>
          <t>MAT02-0075</t>
        </is>
      </c>
      <c r="C126" s="558" t="inlineStr">
        <is>
          <t>0102-0075</t>
        </is>
      </c>
      <c r="D126" s="158" t="inlineStr">
        <is>
          <t>TUBO RED 2"X1.80 HN</t>
        </is>
      </c>
      <c r="E126" s="158" t="inlineStr">
        <is>
          <t>UND</t>
        </is>
      </c>
      <c r="F126" s="158" t="inlineStr">
        <is>
          <t>MATERIALES</t>
        </is>
      </c>
      <c r="G126" s="158" t="inlineStr">
        <is>
          <t>ACEROS Y METALES</t>
        </is>
      </c>
    </row>
    <row r="127">
      <c r="A127" s="159" t="n"/>
      <c r="B127" s="158" t="inlineStr">
        <is>
          <t>MAT02-0076</t>
        </is>
      </c>
      <c r="C127" s="558" t="inlineStr">
        <is>
          <t>0102-0076</t>
        </is>
      </c>
      <c r="D127" s="158" t="inlineStr">
        <is>
          <t>PLATINA EN 1/8"X 1 1/2</t>
        </is>
      </c>
      <c r="E127" s="158" t="inlineStr">
        <is>
          <t>UND</t>
        </is>
      </c>
      <c r="F127" s="158" t="inlineStr">
        <is>
          <t>MATERIALES</t>
        </is>
      </c>
      <c r="G127" s="158" t="inlineStr">
        <is>
          <t>ACEROS Y METALES</t>
        </is>
      </c>
    </row>
    <row r="128">
      <c r="A128" s="159" t="n"/>
      <c r="B128" s="158" t="inlineStr">
        <is>
          <t>MAT02-0077</t>
        </is>
      </c>
      <c r="C128" s="558" t="inlineStr">
        <is>
          <t>0102-0077</t>
        </is>
      </c>
      <c r="D128" s="158" t="inlineStr">
        <is>
          <t>VARILLA #7 DEFORME G40</t>
        </is>
      </c>
      <c r="E128" s="158" t="inlineStr">
        <is>
          <t>UND</t>
        </is>
      </c>
      <c r="F128" s="158" t="inlineStr">
        <is>
          <t>MATERIALES</t>
        </is>
      </c>
      <c r="G128" s="158" t="inlineStr">
        <is>
          <t>ACEROS Y METALES</t>
        </is>
      </c>
    </row>
    <row r="129">
      <c r="A129" s="159" t="n"/>
      <c r="B129" s="158" t="inlineStr">
        <is>
          <t>MAT02-0078</t>
        </is>
      </c>
      <c r="C129" s="558" t="inlineStr">
        <is>
          <t>0102-0078</t>
        </is>
      </c>
      <c r="D129" s="158" t="inlineStr">
        <is>
          <t>ALAMBRE PUA</t>
        </is>
      </c>
      <c r="E129" s="158" t="inlineStr">
        <is>
          <t>M</t>
        </is>
      </c>
      <c r="F129" s="158" t="inlineStr">
        <is>
          <t>MATERIALES</t>
        </is>
      </c>
      <c r="G129" s="158" t="inlineStr">
        <is>
          <t>ACEROS Y METALES</t>
        </is>
      </c>
    </row>
    <row r="130">
      <c r="A130" s="159" t="n"/>
      <c r="B130" s="158" t="inlineStr">
        <is>
          <t>MAT02-0079</t>
        </is>
      </c>
      <c r="C130" s="558" t="inlineStr">
        <is>
          <t>0102-0079</t>
        </is>
      </c>
      <c r="D130" s="158" t="inlineStr">
        <is>
          <t>TUBO 1X2X3.18MM ALUMINIO</t>
        </is>
      </c>
      <c r="E130" s="158" t="inlineStr">
        <is>
          <t>UND</t>
        </is>
      </c>
      <c r="F130" s="158" t="inlineStr">
        <is>
          <t>MATERIALES</t>
        </is>
      </c>
      <c r="G130" s="158" t="inlineStr">
        <is>
          <t>ACEROS Y METALES</t>
        </is>
      </c>
    </row>
    <row r="131">
      <c r="A131" s="159" t="n"/>
      <c r="B131" s="158" t="inlineStr">
        <is>
          <t>MAT02-0080</t>
        </is>
      </c>
      <c r="C131" s="558" t="inlineStr">
        <is>
          <t>0102-0080</t>
        </is>
      </c>
      <c r="D131" s="158" t="inlineStr">
        <is>
          <t>ANGULAR HN 2"X1/8</t>
        </is>
      </c>
      <c r="E131" s="158" t="inlineStr">
        <is>
          <t>UND</t>
        </is>
      </c>
      <c r="F131" s="158" t="inlineStr">
        <is>
          <t>MATERIALES</t>
        </is>
      </c>
      <c r="G131" s="158" t="inlineStr">
        <is>
          <t>ACEROS Y METALES</t>
        </is>
      </c>
    </row>
    <row r="132">
      <c r="A132" s="159" t="n"/>
      <c r="B132" s="158" t="inlineStr">
        <is>
          <t>MAT02-0081</t>
        </is>
      </c>
      <c r="C132" s="558" t="inlineStr">
        <is>
          <t>0102-0081</t>
        </is>
      </c>
      <c r="D132" s="158" t="inlineStr">
        <is>
          <t>TUBO 4X4X2.37MM H.N.</t>
        </is>
      </c>
      <c r="E132" s="158" t="inlineStr">
        <is>
          <t>UND</t>
        </is>
      </c>
      <c r="F132" s="158" t="inlineStr">
        <is>
          <t>MATERIALES</t>
        </is>
      </c>
      <c r="G132" s="158" t="inlineStr">
        <is>
          <t>ACEROS Y METALES</t>
        </is>
      </c>
    </row>
    <row r="133">
      <c r="A133" s="159" t="n"/>
      <c r="B133" s="158" t="inlineStr">
        <is>
          <t>MAT02-0082</t>
        </is>
      </c>
      <c r="C133" s="558" t="inlineStr">
        <is>
          <t>0102-0082</t>
        </is>
      </c>
      <c r="D133" s="158" t="inlineStr">
        <is>
          <t>TUBO 4X4X3.17MM H.N.</t>
        </is>
      </c>
      <c r="E133" s="158" t="inlineStr">
        <is>
          <t>UND</t>
        </is>
      </c>
      <c r="F133" s="158" t="inlineStr">
        <is>
          <t>MATERIALES</t>
        </is>
      </c>
      <c r="G133" s="158" t="inlineStr">
        <is>
          <t>ACEROS Y METALES</t>
        </is>
      </c>
    </row>
    <row r="134">
      <c r="A134" s="159" t="n"/>
      <c r="B134" s="158" t="inlineStr">
        <is>
          <t>MAT02-0083</t>
        </is>
      </c>
      <c r="C134" s="558" t="inlineStr">
        <is>
          <t>0102-0083</t>
        </is>
      </c>
      <c r="D134" s="158" t="inlineStr">
        <is>
          <t>PERLING 2X4X EN 2.38MM H.N</t>
        </is>
      </c>
      <c r="E134" s="158" t="inlineStr">
        <is>
          <t>UND</t>
        </is>
      </c>
      <c r="F134" s="158" t="inlineStr">
        <is>
          <t>MATERIALES</t>
        </is>
      </c>
      <c r="G134" s="158" t="inlineStr">
        <is>
          <t>ACEROS Y METALES</t>
        </is>
      </c>
    </row>
    <row r="135">
      <c r="A135" s="159" t="n"/>
      <c r="B135" s="158" t="inlineStr">
        <is>
          <t>MAT02-0084</t>
        </is>
      </c>
      <c r="C135" s="558" t="inlineStr">
        <is>
          <t>0102-0084</t>
        </is>
      </c>
      <c r="D135" s="158" t="inlineStr">
        <is>
          <t>TUBO 4X8X4.75MM H.N.</t>
        </is>
      </c>
      <c r="E135" s="158" t="inlineStr">
        <is>
          <t>UND</t>
        </is>
      </c>
      <c r="F135" s="158" t="inlineStr">
        <is>
          <t>MATERIALES</t>
        </is>
      </c>
      <c r="G135" s="158" t="inlineStr">
        <is>
          <t>ACEROS Y METALES</t>
        </is>
      </c>
    </row>
    <row r="136">
      <c r="A136" s="159" t="n"/>
      <c r="B136" s="158" t="inlineStr">
        <is>
          <t>MAT02-0085</t>
        </is>
      </c>
      <c r="C136" s="558" t="inlineStr">
        <is>
          <t>0102-0085</t>
        </is>
      </c>
      <c r="D136" s="158" t="inlineStr">
        <is>
          <t>VIGA EN U 80X43X8 MM</t>
        </is>
      </c>
      <c r="E136" s="158" t="inlineStr">
        <is>
          <t>UND</t>
        </is>
      </c>
      <c r="F136" s="158" t="inlineStr">
        <is>
          <t>MATERIALES</t>
        </is>
      </c>
      <c r="G136" s="158" t="inlineStr">
        <is>
          <t>ACEROS Y METALES</t>
        </is>
      </c>
    </row>
    <row r="137">
      <c r="A137" s="159" t="n"/>
      <c r="B137" s="158" t="inlineStr">
        <is>
          <t>MAT02-0086</t>
        </is>
      </c>
      <c r="C137" s="558" t="inlineStr">
        <is>
          <t>0102-0086</t>
        </is>
      </c>
      <c r="D137" s="158" t="inlineStr">
        <is>
          <t>TUBO 1X2X1/8 ALUMINIO</t>
        </is>
      </c>
      <c r="E137" s="158" t="inlineStr">
        <is>
          <t>UND</t>
        </is>
      </c>
      <c r="F137" s="158" t="inlineStr">
        <is>
          <t>MATERIALES</t>
        </is>
      </c>
      <c r="G137" s="158" t="inlineStr">
        <is>
          <t>ACEROS Y METALES</t>
        </is>
      </c>
    </row>
    <row r="138">
      <c r="A138" s="159" t="n"/>
      <c r="B138" s="158" t="inlineStr">
        <is>
          <t>MAT02-0087</t>
        </is>
      </c>
      <c r="C138" s="558" t="inlineStr">
        <is>
          <t>0102-0087</t>
        </is>
      </c>
      <c r="D138" s="158" t="inlineStr">
        <is>
          <t>TUBO 3X4X1.8MM H.N.</t>
        </is>
      </c>
      <c r="E138" s="158" t="inlineStr">
        <is>
          <t>UND</t>
        </is>
      </c>
      <c r="F138" s="158" t="inlineStr">
        <is>
          <t>MATERIALES</t>
        </is>
      </c>
      <c r="G138" s="158" t="inlineStr">
        <is>
          <t>ACEROS Y METALES</t>
        </is>
      </c>
    </row>
    <row r="139">
      <c r="A139" s="159" t="n"/>
      <c r="B139" s="158" t="inlineStr">
        <is>
          <t>MAT02-0088</t>
        </is>
      </c>
      <c r="C139" s="558" t="inlineStr">
        <is>
          <t>0102-0088</t>
        </is>
      </c>
      <c r="D139" s="158" t="inlineStr">
        <is>
          <t>LAMINA DE ALUMINIO DE 4 X 8 X 1/4”</t>
        </is>
      </c>
      <c r="E139" s="158" t="inlineStr">
        <is>
          <t>UND</t>
        </is>
      </c>
      <c r="F139" s="158" t="inlineStr">
        <is>
          <t>MATERIALES</t>
        </is>
      </c>
      <c r="G139" s="158" t="inlineStr">
        <is>
          <t>ACEROS Y METALES</t>
        </is>
      </c>
    </row>
    <row r="140">
      <c r="A140" s="159" t="n"/>
      <c r="B140" s="158" t="inlineStr">
        <is>
          <t>MAT02-0089</t>
        </is>
      </c>
      <c r="C140" s="558" t="inlineStr">
        <is>
          <t>0102-0089</t>
        </is>
      </c>
      <c r="D140" s="158" t="inlineStr">
        <is>
          <t>PLATINA DE ALUMINIO 1/4 X 2</t>
        </is>
      </c>
      <c r="E140" s="158" t="inlineStr">
        <is>
          <t>UND</t>
        </is>
      </c>
      <c r="F140" s="158" t="inlineStr">
        <is>
          <t>MATERIALES</t>
        </is>
      </c>
      <c r="G140" s="158" t="inlineStr">
        <is>
          <t>ACEROS Y METALES</t>
        </is>
      </c>
    </row>
    <row r="141">
      <c r="A141" s="159" t="n"/>
      <c r="B141" s="158" t="inlineStr">
        <is>
          <t>MAT02-0090</t>
        </is>
      </c>
      <c r="C141" s="558" t="inlineStr">
        <is>
          <t>0102-0090</t>
        </is>
      </c>
      <c r="D141" s="158" t="inlineStr">
        <is>
          <t>ELBOWS 4"X90° HD</t>
        </is>
      </c>
      <c r="E141" s="158" t="inlineStr">
        <is>
          <t>UND</t>
        </is>
      </c>
      <c r="F141" s="158" t="inlineStr">
        <is>
          <t>MATERIALES</t>
        </is>
      </c>
      <c r="G141" s="158" t="inlineStr">
        <is>
          <t>ACEROS Y METALES</t>
        </is>
      </c>
    </row>
    <row r="142">
      <c r="A142" s="159" t="n"/>
      <c r="B142" s="158" t="inlineStr">
        <is>
          <t>MAT02-0091</t>
        </is>
      </c>
      <c r="C142" s="558" t="inlineStr">
        <is>
          <t>0102-0091</t>
        </is>
      </c>
      <c r="D142" s="158" t="inlineStr">
        <is>
          <t>TUBO DE 4"X3000 MM HD</t>
        </is>
      </c>
      <c r="E142" s="158" t="inlineStr">
        <is>
          <t>UND</t>
        </is>
      </c>
      <c r="F142" s="158" t="inlineStr">
        <is>
          <t>MATERIALES</t>
        </is>
      </c>
      <c r="G142" s="158" t="inlineStr">
        <is>
          <t>ACEROS Y METALES</t>
        </is>
      </c>
    </row>
    <row r="143">
      <c r="A143" s="159" t="n"/>
      <c r="B143" s="158" t="inlineStr">
        <is>
          <t>MAT02-0092</t>
        </is>
      </c>
      <c r="C143" s="558" t="inlineStr">
        <is>
          <t>0102-0092</t>
        </is>
      </c>
      <c r="D143" s="158" t="inlineStr">
        <is>
          <t>HOSE 4" X 10' HD HD</t>
        </is>
      </c>
      <c r="E143" s="158" t="inlineStr">
        <is>
          <t>UND</t>
        </is>
      </c>
      <c r="F143" s="158" t="inlineStr">
        <is>
          <t>MATERIALES</t>
        </is>
      </c>
      <c r="G143" s="158" t="inlineStr">
        <is>
          <t>ACEROS Y METALES</t>
        </is>
      </c>
    </row>
    <row r="144">
      <c r="A144" s="159" t="n"/>
      <c r="B144" s="158" t="inlineStr">
        <is>
          <t>MAT02-0093</t>
        </is>
      </c>
      <c r="C144" s="558" t="inlineStr">
        <is>
          <t>0102-0093</t>
        </is>
      </c>
      <c r="D144" s="158" t="inlineStr">
        <is>
          <t>REDUCCION DE 5"X4"X90° HD</t>
        </is>
      </c>
      <c r="E144" s="158" t="inlineStr">
        <is>
          <t>UND</t>
        </is>
      </c>
      <c r="F144" s="158" t="inlineStr">
        <is>
          <t>MATERIALES</t>
        </is>
      </c>
      <c r="G144" s="158" t="inlineStr">
        <is>
          <t>ACEROS Y METALES</t>
        </is>
      </c>
    </row>
    <row r="145">
      <c r="A145" s="159" t="n"/>
      <c r="B145" s="158" t="inlineStr">
        <is>
          <t>MAT02-0094</t>
        </is>
      </c>
      <c r="C145" s="558" t="inlineStr">
        <is>
          <t>0102-0094</t>
        </is>
      </c>
      <c r="D145" s="158" t="inlineStr">
        <is>
          <t>GAZA DE 4" HD NO AJUSTABLE</t>
        </is>
      </c>
      <c r="E145" s="158" t="inlineStr">
        <is>
          <t>UND</t>
        </is>
      </c>
      <c r="F145" s="158" t="inlineStr">
        <is>
          <t>MATERIALES</t>
        </is>
      </c>
      <c r="G145" s="158" t="inlineStr">
        <is>
          <t>ACEROS Y METALES</t>
        </is>
      </c>
    </row>
    <row r="146">
      <c r="A146" s="159" t="n"/>
      <c r="B146" s="158" t="inlineStr">
        <is>
          <t>MAT02-0095</t>
        </is>
      </c>
      <c r="C146" s="558" t="inlineStr">
        <is>
          <t>0102-0095</t>
        </is>
      </c>
      <c r="D146" s="158" t="inlineStr">
        <is>
          <t>PLATINA DE ALUMINIO DE 1/2X2</t>
        </is>
      </c>
      <c r="E146" s="158" t="inlineStr">
        <is>
          <t>UND</t>
        </is>
      </c>
      <c r="F146" s="158" t="inlineStr">
        <is>
          <t>MATERIALES</t>
        </is>
      </c>
      <c r="G146" s="158" t="inlineStr">
        <is>
          <t>ACEROS Y METALES</t>
        </is>
      </c>
    </row>
    <row r="147">
      <c r="A147" s="159" t="n"/>
      <c r="B147" s="158" t="inlineStr">
        <is>
          <t>MAT02-0096</t>
        </is>
      </c>
      <c r="C147" s="558" t="inlineStr">
        <is>
          <t>0102-0096</t>
        </is>
      </c>
      <c r="D147" s="158" t="inlineStr">
        <is>
          <t>BARRA C #3 G60 150X600X70</t>
        </is>
      </c>
      <c r="E147" s="158" t="inlineStr">
        <is>
          <t>UND</t>
        </is>
      </c>
      <c r="F147" s="158" t="inlineStr">
        <is>
          <t>MATERIALES</t>
        </is>
      </c>
      <c r="G147" s="158" t="inlineStr">
        <is>
          <t>ACEROS Y METALES</t>
        </is>
      </c>
    </row>
    <row r="148">
      <c r="A148" s="159" t="n"/>
      <c r="B148" s="158" t="inlineStr">
        <is>
          <t>MAT02-0097</t>
        </is>
      </c>
      <c r="C148" s="558" t="inlineStr">
        <is>
          <t>0102-0097</t>
        </is>
      </c>
      <c r="D148" s="158" t="inlineStr">
        <is>
          <t>BARRA C #3 G60 700X1170X700</t>
        </is>
      </c>
      <c r="E148" s="158" t="inlineStr">
        <is>
          <t>UND</t>
        </is>
      </c>
      <c r="F148" s="158" t="inlineStr">
        <is>
          <t>MATERIALES</t>
        </is>
      </c>
      <c r="G148" s="158" t="inlineStr">
        <is>
          <t>ACEROS Y METALES</t>
        </is>
      </c>
    </row>
    <row r="149">
      <c r="A149" s="159" t="n"/>
      <c r="B149" s="158" t="inlineStr">
        <is>
          <t>MAT02-0098</t>
        </is>
      </c>
      <c r="C149" s="558" t="inlineStr">
        <is>
          <t>0102-0098</t>
        </is>
      </c>
      <c r="D149" s="158" t="inlineStr">
        <is>
          <t>BARRA L #3 G60 2900X100</t>
        </is>
      </c>
      <c r="E149" s="158" t="inlineStr">
        <is>
          <t>UND</t>
        </is>
      </c>
      <c r="F149" s="158" t="inlineStr">
        <is>
          <t>MATERIALES</t>
        </is>
      </c>
      <c r="G149" s="158" t="inlineStr">
        <is>
          <t>ACEROS Y METALES</t>
        </is>
      </c>
    </row>
    <row r="150">
      <c r="A150" s="159" t="n"/>
      <c r="B150" s="158" t="inlineStr">
        <is>
          <t>MAT02-0099</t>
        </is>
      </c>
      <c r="C150" s="558" t="inlineStr">
        <is>
          <t>0102-0099</t>
        </is>
      </c>
      <c r="D150" s="158" t="inlineStr">
        <is>
          <t>BARRA L #3 G60 600X100</t>
        </is>
      </c>
      <c r="E150" s="158" t="inlineStr">
        <is>
          <t>UND</t>
        </is>
      </c>
      <c r="F150" s="158" t="inlineStr">
        <is>
          <t>MATERIALES</t>
        </is>
      </c>
      <c r="G150" s="158" t="inlineStr">
        <is>
          <t>ACEROS Y METALES</t>
        </is>
      </c>
    </row>
    <row r="151">
      <c r="A151" s="159" t="n"/>
      <c r="B151" s="158" t="inlineStr">
        <is>
          <t>MAT02-0100</t>
        </is>
      </c>
      <c r="C151" s="558" t="inlineStr">
        <is>
          <t>0102-0100</t>
        </is>
      </c>
      <c r="D151" s="158" t="inlineStr">
        <is>
          <t>GANCHO #3 G60 340 100P</t>
        </is>
      </c>
      <c r="E151" s="158" t="inlineStr">
        <is>
          <t>UND</t>
        </is>
      </c>
      <c r="F151" s="158" t="inlineStr">
        <is>
          <t>MATERIALES</t>
        </is>
      </c>
      <c r="G151" s="158" t="inlineStr">
        <is>
          <t>ACEROS Y METALES</t>
        </is>
      </c>
    </row>
    <row r="152">
      <c r="A152" s="159" t="n"/>
      <c r="B152" s="158" t="inlineStr">
        <is>
          <t>MAT02-0101</t>
        </is>
      </c>
      <c r="C152" s="558" t="inlineStr">
        <is>
          <t>0102-0101</t>
        </is>
      </c>
      <c r="D152" s="158" t="inlineStr">
        <is>
          <t>GANCHO #3 G60 180 70P</t>
        </is>
      </c>
      <c r="E152" s="158" t="inlineStr">
        <is>
          <t>UND</t>
        </is>
      </c>
      <c r="F152" s="158" t="inlineStr">
        <is>
          <t>MATERIALES</t>
        </is>
      </c>
      <c r="G152" s="158" t="inlineStr">
        <is>
          <t>ACEROS Y METALES</t>
        </is>
      </c>
    </row>
    <row r="153">
      <c r="A153" s="159" t="n"/>
      <c r="B153" s="158" t="inlineStr">
        <is>
          <t>MAT02-0102</t>
        </is>
      </c>
      <c r="C153" s="558" t="inlineStr">
        <is>
          <t>0102-0102</t>
        </is>
      </c>
      <c r="D153" s="158" t="inlineStr">
        <is>
          <t>GANCHO #3 G60 400 100P</t>
        </is>
      </c>
      <c r="E153" s="158" t="inlineStr">
        <is>
          <t>UND</t>
        </is>
      </c>
      <c r="F153" s="158" t="inlineStr">
        <is>
          <t>MATERIALES</t>
        </is>
      </c>
      <c r="G153" s="158" t="inlineStr">
        <is>
          <t>ACEROS Y METALES</t>
        </is>
      </c>
    </row>
    <row r="154">
      <c r="A154" s="159" t="n"/>
      <c r="B154" s="158" t="inlineStr">
        <is>
          <t>MAT02-0103</t>
        </is>
      </c>
      <c r="C154" s="558" t="inlineStr">
        <is>
          <t>0102-0103</t>
        </is>
      </c>
      <c r="D154" s="158" t="inlineStr">
        <is>
          <t>GANCHO #3 G60 350 100P</t>
        </is>
      </c>
      <c r="E154" s="158" t="inlineStr">
        <is>
          <t>UND</t>
        </is>
      </c>
      <c r="F154" s="158" t="inlineStr">
        <is>
          <t>MATERIALES</t>
        </is>
      </c>
      <c r="G154" s="158" t="inlineStr">
        <is>
          <t>ACEROS Y METALES</t>
        </is>
      </c>
    </row>
    <row r="155">
      <c r="A155" s="159" t="n"/>
      <c r="B155" s="158" t="inlineStr">
        <is>
          <t>MAT02-0104</t>
        </is>
      </c>
      <c r="C155" s="558" t="inlineStr">
        <is>
          <t>0102-0104</t>
        </is>
      </c>
      <c r="D155" s="158" t="inlineStr">
        <is>
          <t>GANCHO #3 G60 340 100P</t>
        </is>
      </c>
      <c r="E155" s="158" t="inlineStr">
        <is>
          <t>UND</t>
        </is>
      </c>
      <c r="F155" s="158" t="inlineStr">
        <is>
          <t>MATERIALES</t>
        </is>
      </c>
      <c r="G155" s="158" t="inlineStr">
        <is>
          <t>ACEROS Y METALES</t>
        </is>
      </c>
    </row>
    <row r="156">
      <c r="A156" s="159" t="n"/>
      <c r="B156" s="158" t="inlineStr">
        <is>
          <t>MAT02-0105</t>
        </is>
      </c>
      <c r="C156" s="558" t="inlineStr">
        <is>
          <t>0102-0105</t>
        </is>
      </c>
      <c r="D156" s="158" t="inlineStr">
        <is>
          <t>GANCHO #3 G60 340X340 100P</t>
        </is>
      </c>
      <c r="E156" s="158" t="inlineStr">
        <is>
          <t>UND</t>
        </is>
      </c>
      <c r="F156" s="158" t="inlineStr">
        <is>
          <t>MATERIALES</t>
        </is>
      </c>
      <c r="G156" s="158" t="inlineStr">
        <is>
          <t>ACEROS Y METALES</t>
        </is>
      </c>
    </row>
    <row r="157">
      <c r="A157" s="159" t="n"/>
      <c r="B157" s="158" t="inlineStr">
        <is>
          <t>MAT02-0106</t>
        </is>
      </c>
      <c r="C157" s="558" t="inlineStr">
        <is>
          <t>0102-0106</t>
        </is>
      </c>
      <c r="D157" s="158" t="inlineStr">
        <is>
          <t>ARO 100X300X100X300 100P</t>
        </is>
      </c>
      <c r="E157" s="158" t="inlineStr">
        <is>
          <t>UND</t>
        </is>
      </c>
      <c r="F157" s="158" t="inlineStr">
        <is>
          <t>MATERIALES</t>
        </is>
      </c>
      <c r="G157" s="158" t="inlineStr">
        <is>
          <t>ACEROS Y METALES</t>
        </is>
      </c>
    </row>
    <row r="158">
      <c r="A158" s="159" t="n"/>
      <c r="B158" s="158" t="inlineStr">
        <is>
          <t>MAT02-0107</t>
        </is>
      </c>
      <c r="C158" s="558" t="inlineStr">
        <is>
          <t>0102-0107</t>
        </is>
      </c>
      <c r="D158" s="158" t="inlineStr">
        <is>
          <t>TUBO 2X4X2.38MM HN</t>
        </is>
      </c>
      <c r="E158" s="158" t="inlineStr">
        <is>
          <t>UND</t>
        </is>
      </c>
      <c r="F158" s="158" t="inlineStr">
        <is>
          <t>MATERIALES</t>
        </is>
      </c>
      <c r="G158" s="158" t="inlineStr">
        <is>
          <t>ACEROS Y METALES</t>
        </is>
      </c>
    </row>
    <row r="159">
      <c r="A159" s="159" t="n"/>
      <c r="B159" s="158" t="inlineStr">
        <is>
          <t>MAT02-0108</t>
        </is>
      </c>
      <c r="C159" s="558" t="inlineStr">
        <is>
          <t>0102-0108</t>
        </is>
      </c>
      <c r="D159" s="158" t="inlineStr">
        <is>
          <t>ANGULAR DE ALUMINIO DE 1X1/8</t>
        </is>
      </c>
      <c r="E159" s="158" t="inlineStr">
        <is>
          <t>UND</t>
        </is>
      </c>
      <c r="F159" s="158" t="inlineStr">
        <is>
          <t>MATERIALES</t>
        </is>
      </c>
      <c r="G159" s="158" t="inlineStr">
        <is>
          <t>ACEROS Y METALES</t>
        </is>
      </c>
    </row>
    <row r="160">
      <c r="A160" s="159" t="n"/>
      <c r="B160" s="158" t="inlineStr">
        <is>
          <t>MAT02-0109</t>
        </is>
      </c>
      <c r="C160" s="558" t="inlineStr">
        <is>
          <t>0102-0109</t>
        </is>
      </c>
      <c r="D160" s="158" t="inlineStr">
        <is>
          <t>ANGULAR HN 1"X1/8</t>
        </is>
      </c>
      <c r="E160" s="158" t="inlineStr">
        <is>
          <t>UND</t>
        </is>
      </c>
      <c r="F160" s="158" t="inlineStr">
        <is>
          <t>MATERIALES</t>
        </is>
      </c>
      <c r="G160" s="158" t="inlineStr">
        <is>
          <t>ACEROS Y METALES</t>
        </is>
      </c>
    </row>
    <row r="161">
      <c r="A161" s="159" t="n"/>
      <c r="B161" s="158" t="inlineStr">
        <is>
          <t>MAT02-0110</t>
        </is>
      </c>
      <c r="C161" s="558" t="inlineStr">
        <is>
          <t>0102-0110</t>
        </is>
      </c>
      <c r="D161" s="158" t="inlineStr">
        <is>
          <t>PLATINA EN 1 1/4 X 3/16</t>
        </is>
      </c>
      <c r="E161" s="158" t="inlineStr">
        <is>
          <t>UND</t>
        </is>
      </c>
      <c r="F161" s="158" t="inlineStr">
        <is>
          <t>MATERIALES</t>
        </is>
      </c>
      <c r="G161" s="158" t="inlineStr">
        <is>
          <t>ACEROS Y METALES</t>
        </is>
      </c>
    </row>
    <row r="162">
      <c r="A162" s="159" t="n"/>
      <c r="B162" s="158" t="inlineStr">
        <is>
          <t>MAT02-0111</t>
        </is>
      </c>
      <c r="C162" s="558" t="inlineStr">
        <is>
          <t>0102-0111</t>
        </is>
      </c>
      <c r="D162" s="158" t="inlineStr">
        <is>
          <t>TUBO RED 2"X1.50 MM HG</t>
        </is>
      </c>
      <c r="E162" s="158" t="inlineStr">
        <is>
          <t>UND</t>
        </is>
      </c>
      <c r="F162" s="158" t="inlineStr">
        <is>
          <t>MATERIALES</t>
        </is>
      </c>
      <c r="G162" s="158" t="inlineStr">
        <is>
          <t>ACEROS Y METALES</t>
        </is>
      </c>
    </row>
    <row r="163">
      <c r="A163" s="159" t="n"/>
      <c r="B163" s="158" t="inlineStr">
        <is>
          <t>MAT02-0112</t>
        </is>
      </c>
      <c r="C163" s="558" t="inlineStr">
        <is>
          <t>0102-0112</t>
        </is>
      </c>
      <c r="D163" s="158" t="inlineStr">
        <is>
          <t>TUBO RED 3"X1.80 MM HG</t>
        </is>
      </c>
      <c r="E163" s="158" t="inlineStr">
        <is>
          <t>UND</t>
        </is>
      </c>
      <c r="F163" s="158" t="inlineStr">
        <is>
          <t>MATERIALES</t>
        </is>
      </c>
      <c r="G163" s="158" t="inlineStr">
        <is>
          <t>ACEROS Y METALES</t>
        </is>
      </c>
    </row>
    <row r="164">
      <c r="A164" s="159" t="n"/>
      <c r="B164" s="158" t="inlineStr">
        <is>
          <t>MAT02-0113</t>
        </is>
      </c>
      <c r="C164" s="558" t="inlineStr">
        <is>
          <t>0102-0113</t>
        </is>
      </c>
      <c r="D164" s="158" t="inlineStr">
        <is>
          <t>BARRA DE ACERO 1020 DE 3/4"</t>
        </is>
      </c>
      <c r="E164" s="158" t="inlineStr">
        <is>
          <t>UND</t>
        </is>
      </c>
      <c r="F164" s="158" t="inlineStr">
        <is>
          <t>MATERIALES</t>
        </is>
      </c>
      <c r="G164" s="158" t="inlineStr">
        <is>
          <t>ACEROS Y METALES</t>
        </is>
      </c>
    </row>
    <row r="165">
      <c r="A165" s="159" t="n"/>
      <c r="B165" s="158" t="inlineStr">
        <is>
          <t>MAT02-0114</t>
        </is>
      </c>
      <c r="C165" s="558" t="inlineStr">
        <is>
          <t>0102-0114</t>
        </is>
      </c>
      <c r="D165" s="158" t="inlineStr">
        <is>
          <t>BARRA DE ACERO INOXIDABLE DE 3/8"</t>
        </is>
      </c>
      <c r="E165" s="158" t="inlineStr">
        <is>
          <t>UND</t>
        </is>
      </c>
      <c r="F165" s="158" t="inlineStr">
        <is>
          <t>MATERIALES</t>
        </is>
      </c>
      <c r="G165" s="158" t="inlineStr">
        <is>
          <t>ACEROS Y METALES</t>
        </is>
      </c>
    </row>
    <row r="166">
      <c r="A166" s="159" t="n"/>
      <c r="B166" s="158" t="inlineStr">
        <is>
          <t>MAT02-0115</t>
        </is>
      </c>
      <c r="C166" s="558" t="inlineStr">
        <is>
          <t>0102-0115</t>
        </is>
      </c>
      <c r="D166" s="158" t="inlineStr">
        <is>
          <t>PLATINA H.N. DE 1/4X2</t>
        </is>
      </c>
      <c r="E166" s="158" t="inlineStr">
        <is>
          <t>UND</t>
        </is>
      </c>
      <c r="F166" s="158" t="inlineStr">
        <is>
          <t>MATERIALES</t>
        </is>
      </c>
      <c r="G166" s="158" t="inlineStr">
        <is>
          <t>ACEROS Y METALES</t>
        </is>
      </c>
    </row>
    <row r="167">
      <c r="A167" s="159" t="n"/>
      <c r="B167" s="158" t="inlineStr">
        <is>
          <t>MAT02-0116</t>
        </is>
      </c>
      <c r="C167" s="558" t="inlineStr">
        <is>
          <t>0102-0116</t>
        </is>
      </c>
      <c r="D167" s="158" t="inlineStr">
        <is>
          <t>PLACA H.N DE 3/4" EN 1MTS X 1MTS</t>
        </is>
      </c>
      <c r="E167" s="158" t="inlineStr">
        <is>
          <t>UND</t>
        </is>
      </c>
      <c r="F167" s="158" t="inlineStr">
        <is>
          <t>MATERIALES</t>
        </is>
      </c>
      <c r="G167" s="158" t="inlineStr">
        <is>
          <t>ACEROS Y METALES</t>
        </is>
      </c>
    </row>
    <row r="168">
      <c r="A168" s="159" t="n"/>
      <c r="B168" s="158" t="inlineStr">
        <is>
          <t>MAT02-0117</t>
        </is>
      </c>
      <c r="C168" s="558" t="inlineStr">
        <is>
          <t>0102-0117</t>
        </is>
      </c>
      <c r="D168" s="158" t="inlineStr">
        <is>
          <t>PLACA DE H.N. DE 1/2" EN 1MTS X 1MTS</t>
        </is>
      </c>
      <c r="E168" s="158" t="inlineStr">
        <is>
          <t>UND</t>
        </is>
      </c>
      <c r="F168" s="158" t="inlineStr">
        <is>
          <t>MATERIALES</t>
        </is>
      </c>
      <c r="G168" s="158" t="inlineStr">
        <is>
          <t>ACEROS Y METALES</t>
        </is>
      </c>
    </row>
    <row r="169">
      <c r="A169" s="159" t="n"/>
      <c r="B169" s="158" t="inlineStr">
        <is>
          <t>MAT02-0118</t>
        </is>
      </c>
      <c r="C169" s="558" t="inlineStr">
        <is>
          <t>0102-0118</t>
        </is>
      </c>
      <c r="D169" s="158" t="inlineStr">
        <is>
          <t>PLATINA H.N. DE 3/16X3</t>
        </is>
      </c>
      <c r="E169" s="158" t="inlineStr">
        <is>
          <t>UND</t>
        </is>
      </c>
      <c r="F169" s="158" t="inlineStr">
        <is>
          <t>MATERIALES</t>
        </is>
      </c>
      <c r="G169" s="158" t="inlineStr">
        <is>
          <t>ACEROS Y METALES</t>
        </is>
      </c>
    </row>
    <row r="170">
      <c r="A170" s="159" t="n"/>
      <c r="B170" s="158" t="inlineStr">
        <is>
          <t>MAT02-0119</t>
        </is>
      </c>
      <c r="C170" s="558" t="inlineStr">
        <is>
          <t>0102-0119</t>
        </is>
      </c>
      <c r="D170" s="158" t="inlineStr">
        <is>
          <t>PLATINA H.N. DE 1/4X3</t>
        </is>
      </c>
      <c r="E170" s="158" t="inlineStr">
        <is>
          <t>UND</t>
        </is>
      </c>
      <c r="F170" s="158" t="inlineStr">
        <is>
          <t>MATERIALES</t>
        </is>
      </c>
      <c r="G170" s="158" t="inlineStr">
        <is>
          <t>ACEROS Y METALES</t>
        </is>
      </c>
    </row>
    <row r="171">
      <c r="A171" s="159" t="n"/>
      <c r="B171" s="158" t="inlineStr">
        <is>
          <t>MAT02-0120</t>
        </is>
      </c>
      <c r="C171" s="558" t="inlineStr">
        <is>
          <t>0102-0120</t>
        </is>
      </c>
      <c r="D171" s="158" t="inlineStr">
        <is>
          <t>BARRA DE ACERO 1020 DE 5/16"</t>
        </is>
      </c>
      <c r="E171" s="158" t="inlineStr">
        <is>
          <t>UND</t>
        </is>
      </c>
      <c r="F171" s="158" t="inlineStr">
        <is>
          <t>MATERIALES</t>
        </is>
      </c>
      <c r="G171" s="158" t="inlineStr">
        <is>
          <t>ACEROS Y METALES</t>
        </is>
      </c>
    </row>
    <row r="172">
      <c r="A172" s="159" t="n"/>
      <c r="B172" s="158" t="inlineStr">
        <is>
          <t>MAT02-0121</t>
        </is>
      </c>
      <c r="C172" s="558" t="inlineStr">
        <is>
          <t>0102-0121</t>
        </is>
      </c>
      <c r="D172" s="158" t="inlineStr">
        <is>
          <t>BARRA DE ACERO 1020 DE 5/8"</t>
        </is>
      </c>
      <c r="E172" s="158" t="inlineStr">
        <is>
          <t>UND</t>
        </is>
      </c>
      <c r="F172" s="158" t="inlineStr">
        <is>
          <t>MATERIALES</t>
        </is>
      </c>
      <c r="G172" s="158" t="inlineStr">
        <is>
          <t>ACEROS Y METALES</t>
        </is>
      </c>
    </row>
    <row r="173">
      <c r="A173" s="159" t="n"/>
      <c r="B173" s="158" t="inlineStr">
        <is>
          <t>MAT02-0122</t>
        </is>
      </c>
      <c r="C173" s="558" t="inlineStr">
        <is>
          <t>0102-0122</t>
        </is>
      </c>
      <c r="D173" s="158" t="inlineStr">
        <is>
          <t>ANGULAR H.N. DE 3/16"X2.1/2"</t>
        </is>
      </c>
      <c r="E173" s="158" t="inlineStr">
        <is>
          <t>UND</t>
        </is>
      </c>
      <c r="F173" s="158" t="inlineStr">
        <is>
          <t>MATERIALES</t>
        </is>
      </c>
      <c r="G173" s="158" t="inlineStr">
        <is>
          <t>ACEROS Y METALES</t>
        </is>
      </c>
    </row>
    <row r="174">
      <c r="A174" s="159" t="n"/>
      <c r="B174" s="158" t="inlineStr">
        <is>
          <t>MAT02-0123</t>
        </is>
      </c>
      <c r="C174" s="558" t="inlineStr">
        <is>
          <t>0102-0123</t>
        </is>
      </c>
      <c r="D174" s="158" t="inlineStr">
        <is>
          <t>TUBO 3X3X1.8MM H.G.</t>
        </is>
      </c>
      <c r="E174" s="158" t="inlineStr">
        <is>
          <t>UND</t>
        </is>
      </c>
      <c r="F174" s="158" t="inlineStr">
        <is>
          <t>MATERIALES</t>
        </is>
      </c>
      <c r="G174" s="158" t="inlineStr">
        <is>
          <t>ACEROS Y METALES</t>
        </is>
      </c>
    </row>
    <row r="175">
      <c r="A175" s="159" t="n"/>
      <c r="B175" s="158" t="inlineStr">
        <is>
          <t>MAT02-0124</t>
        </is>
      </c>
      <c r="C175" s="558" t="inlineStr">
        <is>
          <t>0102-0124</t>
        </is>
      </c>
      <c r="D175" s="158" t="inlineStr">
        <is>
          <t>TUBO 2X2X1.8MM H.G</t>
        </is>
      </c>
      <c r="E175" s="158" t="inlineStr">
        <is>
          <t>UND</t>
        </is>
      </c>
      <c r="F175" s="158" t="inlineStr">
        <is>
          <t>MATERIALES</t>
        </is>
      </c>
      <c r="G175" s="158" t="inlineStr">
        <is>
          <t>ACEROS Y METALES</t>
        </is>
      </c>
    </row>
    <row r="176">
      <c r="A176" s="159" t="n"/>
      <c r="B176" s="158" t="inlineStr">
        <is>
          <t>MAT02-0125</t>
        </is>
      </c>
      <c r="C176" s="558" t="inlineStr">
        <is>
          <t>0102-0125</t>
        </is>
      </c>
      <c r="D176" s="158" t="inlineStr">
        <is>
          <t>TUBO 2X4X1.8MM H.G</t>
        </is>
      </c>
      <c r="E176" s="158" t="inlineStr">
        <is>
          <t>UND</t>
        </is>
      </c>
      <c r="F176" s="158" t="inlineStr">
        <is>
          <t>MATERIALES</t>
        </is>
      </c>
      <c r="G176" s="158" t="inlineStr">
        <is>
          <t>ACEROS Y METALES</t>
        </is>
      </c>
    </row>
    <row r="177">
      <c r="A177" s="159" t="n"/>
      <c r="B177" s="158" t="inlineStr">
        <is>
          <t>MAT02-0126</t>
        </is>
      </c>
      <c r="C177" s="558" t="inlineStr">
        <is>
          <t>0102-0126</t>
        </is>
      </c>
      <c r="D177" s="158" t="inlineStr">
        <is>
          <t>TUBO 2X6X1.8MM H.G</t>
        </is>
      </c>
      <c r="E177" s="158" t="inlineStr">
        <is>
          <t>UND</t>
        </is>
      </c>
      <c r="F177" s="158" t="inlineStr">
        <is>
          <t>MATERIALES</t>
        </is>
      </c>
      <c r="G177" s="158" t="inlineStr">
        <is>
          <t>ACEROS Y METALES</t>
        </is>
      </c>
    </row>
    <row r="178">
      <c r="A178" s="159" t="n"/>
      <c r="B178" s="158" t="inlineStr">
        <is>
          <t>MAT02-0127</t>
        </is>
      </c>
      <c r="C178" s="558" t="inlineStr">
        <is>
          <t>0102-0127</t>
        </is>
      </c>
      <c r="D178" s="158" t="inlineStr">
        <is>
          <t>LAMINA DE H.N. 5/16 4X8</t>
        </is>
      </c>
      <c r="E178" s="158" t="inlineStr">
        <is>
          <t>UND</t>
        </is>
      </c>
      <c r="F178" s="158" t="inlineStr">
        <is>
          <t>MATERIALES</t>
        </is>
      </c>
      <c r="G178" s="158" t="inlineStr">
        <is>
          <t>ACEROS Y METALES</t>
        </is>
      </c>
    </row>
    <row r="179">
      <c r="A179" s="159" t="n"/>
      <c r="B179" s="158" t="inlineStr">
        <is>
          <t>MAT02-0128</t>
        </is>
      </c>
      <c r="C179" s="558" t="inlineStr">
        <is>
          <t>0102-0128</t>
        </is>
      </c>
      <c r="D179" s="158" t="inlineStr">
        <is>
          <t>BARRA ROSCADA</t>
        </is>
      </c>
      <c r="E179" s="158" t="inlineStr">
        <is>
          <t>UND</t>
        </is>
      </c>
      <c r="F179" s="158" t="inlineStr">
        <is>
          <t>MATERIALES</t>
        </is>
      </c>
      <c r="G179" s="158" t="inlineStr">
        <is>
          <t>ACEROS Y METALES</t>
        </is>
      </c>
    </row>
    <row r="180">
      <c r="A180" s="159" t="n"/>
      <c r="B180" s="158" t="inlineStr">
        <is>
          <t>MAT02-0129</t>
        </is>
      </c>
      <c r="C180" s="558" t="inlineStr">
        <is>
          <t>0102-0129</t>
        </is>
      </c>
      <c r="D180" s="158" t="inlineStr">
        <is>
          <t>VARILLA ACERADA 3/4"</t>
        </is>
      </c>
      <c r="E180" s="158" t="inlineStr">
        <is>
          <t>UND</t>
        </is>
      </c>
      <c r="F180" s="158" t="inlineStr">
        <is>
          <t>MATERIALES</t>
        </is>
      </c>
      <c r="G180" s="158" t="inlineStr">
        <is>
          <t>ACEROS Y METALES</t>
        </is>
      </c>
    </row>
    <row r="181">
      <c r="A181" s="159" t="n"/>
      <c r="B181" s="158" t="inlineStr">
        <is>
          <t>MAT02-0130</t>
        </is>
      </c>
      <c r="C181" s="558" t="inlineStr">
        <is>
          <t>0102-0130</t>
        </is>
      </c>
      <c r="D181" s="158" t="inlineStr">
        <is>
          <t>TUBO 2"x3"x3.2MM H.N.</t>
        </is>
      </c>
      <c r="E181" s="158" t="inlineStr">
        <is>
          <t>UND</t>
        </is>
      </c>
      <c r="F181" s="158" t="inlineStr">
        <is>
          <t>MATERIALES</t>
        </is>
      </c>
      <c r="G181" s="158" t="inlineStr">
        <is>
          <t>ACEROS Y METALES</t>
        </is>
      </c>
    </row>
    <row r="182">
      <c r="A182" s="159" t="n"/>
      <c r="B182" s="158" t="inlineStr">
        <is>
          <t>MAT02-0131</t>
        </is>
      </c>
      <c r="C182" s="558" t="inlineStr">
        <is>
          <t>0102-0131</t>
        </is>
      </c>
      <c r="D182" s="158" t="inlineStr">
        <is>
          <t>PLATINA HN 3/8"x2</t>
        </is>
      </c>
      <c r="E182" s="158" t="inlineStr">
        <is>
          <t>UND</t>
        </is>
      </c>
      <c r="F182" s="158" t="inlineStr">
        <is>
          <t>MATERIALES</t>
        </is>
      </c>
      <c r="G182" s="158" t="inlineStr">
        <is>
          <t>ACEROS Y METALES</t>
        </is>
      </c>
    </row>
    <row r="183">
      <c r="A183" s="159" t="n"/>
      <c r="B183" s="158" t="inlineStr">
        <is>
          <t>MAT02-0132</t>
        </is>
      </c>
      <c r="C183" s="558" t="inlineStr">
        <is>
          <t>0102-0132</t>
        </is>
      </c>
      <c r="D183" s="158" t="inlineStr">
        <is>
          <t>PLATINA 1 1/2"x3/16"</t>
        </is>
      </c>
      <c r="E183" s="158" t="inlineStr">
        <is>
          <t>UND</t>
        </is>
      </c>
      <c r="F183" s="158" t="inlineStr">
        <is>
          <t>MATERIALES</t>
        </is>
      </c>
      <c r="G183" s="158" t="inlineStr">
        <is>
          <t>ACEROS Y METALES</t>
        </is>
      </c>
    </row>
    <row r="184">
      <c r="A184" s="159" t="n"/>
      <c r="B184" s="158" t="inlineStr">
        <is>
          <t>MAT02-0133</t>
        </is>
      </c>
      <c r="C184" s="558" t="inlineStr">
        <is>
          <t>0102-0133</t>
        </is>
      </c>
      <c r="D184" s="158" t="inlineStr">
        <is>
          <t>ANGULAR 1.1/2"x3/16"</t>
        </is>
      </c>
      <c r="E184" s="158" t="inlineStr">
        <is>
          <t>UND</t>
        </is>
      </c>
      <c r="F184" s="158" t="inlineStr">
        <is>
          <t>MATERIALES</t>
        </is>
      </c>
      <c r="G184" s="158" t="inlineStr">
        <is>
          <t>ACEROS Y METALES</t>
        </is>
      </c>
    </row>
    <row r="185">
      <c r="A185" s="159" t="n"/>
      <c r="B185" s="158" t="inlineStr">
        <is>
          <t>MAT02-0134</t>
        </is>
      </c>
      <c r="C185" s="558" t="inlineStr">
        <is>
          <t>0102-0134</t>
        </is>
      </c>
      <c r="D185" s="158" t="inlineStr">
        <is>
          <t>VARILLA ACERADA 3/8" INOX</t>
        </is>
      </c>
      <c r="E185" s="158" t="inlineStr">
        <is>
          <t>UND</t>
        </is>
      </c>
      <c r="F185" s="158" t="inlineStr">
        <is>
          <t>MATERIALES</t>
        </is>
      </c>
      <c r="G185" s="158" t="inlineStr">
        <is>
          <t>ACEROS Y METALES</t>
        </is>
      </c>
    </row>
    <row r="186">
      <c r="A186" s="159" t="n"/>
      <c r="B186" s="158" t="inlineStr">
        <is>
          <t>MAT02-0135</t>
        </is>
      </c>
      <c r="C186" s="558" t="inlineStr">
        <is>
          <t>0102-0135</t>
        </is>
      </c>
      <c r="D186" s="158" t="inlineStr">
        <is>
          <t>LAMINA 1.55x83cm 1/2"</t>
        </is>
      </c>
      <c r="E186" s="158" t="inlineStr">
        <is>
          <t>UND</t>
        </is>
      </c>
      <c r="F186" s="158" t="inlineStr">
        <is>
          <t>MATERIALES</t>
        </is>
      </c>
      <c r="G186" s="158" t="inlineStr">
        <is>
          <t>ACEROS Y METALES</t>
        </is>
      </c>
    </row>
    <row r="187">
      <c r="A187" s="159" t="n"/>
      <c r="B187" s="158" t="inlineStr">
        <is>
          <t>MAT02-0136</t>
        </is>
      </c>
      <c r="C187" s="558" t="inlineStr">
        <is>
          <t>0102-0136</t>
        </is>
      </c>
      <c r="D187" s="158" t="inlineStr">
        <is>
          <t>ANGULAR HN 3/16"</t>
        </is>
      </c>
      <c r="E187" s="158" t="inlineStr">
        <is>
          <t>UND</t>
        </is>
      </c>
      <c r="F187" s="158" t="inlineStr">
        <is>
          <t>MATERIALES</t>
        </is>
      </c>
      <c r="G187" s="158" t="inlineStr">
        <is>
          <t>ACEROS Y METALES</t>
        </is>
      </c>
    </row>
    <row r="188">
      <c r="A188" s="159" t="n"/>
      <c r="B188" s="158" t="inlineStr">
        <is>
          <t>MAT02-0137</t>
        </is>
      </c>
      <c r="C188" s="558" t="inlineStr">
        <is>
          <t>0102-0137</t>
        </is>
      </c>
      <c r="D188" s="158" t="inlineStr">
        <is>
          <t>BARRA DE ACERO CUADRADA 1/2"</t>
        </is>
      </c>
      <c r="E188" s="158" t="inlineStr">
        <is>
          <t>UND</t>
        </is>
      </c>
      <c r="F188" s="158" t="inlineStr">
        <is>
          <t>MATERIALES</t>
        </is>
      </c>
      <c r="G188" s="158" t="inlineStr">
        <is>
          <t>ACEROS Y METALES</t>
        </is>
      </c>
    </row>
    <row r="189">
      <c r="A189" s="159" t="n"/>
      <c r="B189" s="158" t="inlineStr">
        <is>
          <t>MAT02-0138</t>
        </is>
      </c>
      <c r="C189" s="558" t="inlineStr">
        <is>
          <t>0102-0138</t>
        </is>
      </c>
      <c r="D189" s="158" t="inlineStr">
        <is>
          <t>ANGULAR HIERRO NEGRO DE 1/4"x3"x6m</t>
        </is>
      </c>
      <c r="E189" s="158" t="inlineStr">
        <is>
          <t>UND</t>
        </is>
      </c>
      <c r="F189" s="158" t="inlineStr">
        <is>
          <t>MATERIALES</t>
        </is>
      </c>
      <c r="G189" s="158" t="inlineStr">
        <is>
          <t>ACEROS Y METALES</t>
        </is>
      </c>
    </row>
    <row r="190">
      <c r="A190" s="159" t="n"/>
      <c r="B190" s="158" t="inlineStr">
        <is>
          <t>MAT02-0139</t>
        </is>
      </c>
      <c r="C190" s="558" t="inlineStr">
        <is>
          <t>0102-0139</t>
        </is>
      </c>
      <c r="D190" s="158" t="inlineStr">
        <is>
          <t>PLATINA H.N. DE 3"x6m</t>
        </is>
      </c>
      <c r="E190" s="158" t="inlineStr">
        <is>
          <t>UND</t>
        </is>
      </c>
      <c r="F190" s="158" t="inlineStr">
        <is>
          <t>MATERIALES</t>
        </is>
      </c>
      <c r="G190" s="158" t="inlineStr">
        <is>
          <t>ACEROS Y METALES</t>
        </is>
      </c>
    </row>
    <row r="191">
      <c r="A191" s="159" t="n"/>
      <c r="B191" s="158" t="inlineStr">
        <is>
          <t>MAT02-0140</t>
        </is>
      </c>
      <c r="C191" s="558" t="inlineStr">
        <is>
          <t>0102-0140</t>
        </is>
      </c>
      <c r="D191" s="158" t="inlineStr">
        <is>
          <t>PLATINA H.N. DE 4"x6m</t>
        </is>
      </c>
      <c r="E191" s="158" t="inlineStr">
        <is>
          <t>UND</t>
        </is>
      </c>
      <c r="F191" s="158" t="inlineStr">
        <is>
          <t>MATERIALES</t>
        </is>
      </c>
      <c r="G191" s="158" t="inlineStr">
        <is>
          <t>ACEROS Y METALES</t>
        </is>
      </c>
    </row>
    <row r="192">
      <c r="A192" s="159" t="n"/>
      <c r="B192" s="158" t="inlineStr">
        <is>
          <t>MAT02-0142</t>
        </is>
      </c>
      <c r="C192" s="558" t="inlineStr">
        <is>
          <t>0102-0142</t>
        </is>
      </c>
      <c r="D192" s="158" t="inlineStr">
        <is>
          <t>LAMINA DIAMANTADA 1/8" HN</t>
        </is>
      </c>
      <c r="E192" s="158" t="inlineStr">
        <is>
          <t>UND</t>
        </is>
      </c>
      <c r="F192" s="158" t="inlineStr">
        <is>
          <t>MATERIALES</t>
        </is>
      </c>
      <c r="G192" s="158" t="inlineStr">
        <is>
          <t>ACEROS Y METALES</t>
        </is>
      </c>
    </row>
    <row r="193">
      <c r="A193" s="159" t="n"/>
      <c r="B193" s="158" t="inlineStr">
        <is>
          <t>MAT02-0143</t>
        </is>
      </c>
      <c r="C193" s="558" t="inlineStr">
        <is>
          <t>0102-0143</t>
        </is>
      </c>
      <c r="D193" s="158" t="inlineStr">
        <is>
          <t>TUBO RED 1 3/4"x1.80mm HG</t>
        </is>
      </c>
      <c r="E193" s="158" t="inlineStr">
        <is>
          <t>UND</t>
        </is>
      </c>
      <c r="F193" s="158" t="inlineStr">
        <is>
          <t>MATERIALES</t>
        </is>
      </c>
      <c r="G193" s="158" t="inlineStr">
        <is>
          <t>ACEROS Y METALES</t>
        </is>
      </c>
    </row>
    <row r="194">
      <c r="A194" s="159" t="n"/>
      <c r="B194" s="158" t="inlineStr">
        <is>
          <t>MAT02-0144</t>
        </is>
      </c>
      <c r="C194" s="558" t="inlineStr">
        <is>
          <t>0102-0144</t>
        </is>
      </c>
      <c r="D194" s="158" t="inlineStr">
        <is>
          <t>PLACA HN 2x2MTSx1/4"</t>
        </is>
      </c>
      <c r="E194" s="158" t="inlineStr">
        <is>
          <t>UND</t>
        </is>
      </c>
      <c r="F194" s="158" t="inlineStr">
        <is>
          <t>MATERIALES</t>
        </is>
      </c>
      <c r="G194" s="158" t="inlineStr">
        <is>
          <t>ACEROS Y METALES</t>
        </is>
      </c>
    </row>
    <row r="195">
      <c r="A195" s="159" t="n"/>
      <c r="B195" s="158" t="inlineStr">
        <is>
          <t>MAT02-0145</t>
        </is>
      </c>
      <c r="C195" s="558" t="inlineStr">
        <is>
          <t>0102-0145</t>
        </is>
      </c>
      <c r="D195" s="158" t="inlineStr">
        <is>
          <t>PLACA HN 3x3MTSX1/4"</t>
        </is>
      </c>
      <c r="E195" s="158" t="inlineStr">
        <is>
          <t>UND</t>
        </is>
      </c>
      <c r="F195" s="158" t="inlineStr">
        <is>
          <t>MATERIALES</t>
        </is>
      </c>
      <c r="G195" s="158" t="inlineStr">
        <is>
          <t>ACEROS Y METALES</t>
        </is>
      </c>
    </row>
    <row r="196">
      <c r="A196" s="159" t="n"/>
      <c r="B196" s="158" t="inlineStr">
        <is>
          <t>MAT02-0146</t>
        </is>
      </c>
      <c r="C196" s="558" t="inlineStr">
        <is>
          <t>0102-0146</t>
        </is>
      </c>
      <c r="D196" s="158" t="inlineStr">
        <is>
          <t>ANILLO SENCILLO 16mm 22x40x16</t>
        </is>
      </c>
      <c r="E196" s="158" t="inlineStr">
        <is>
          <t>UND</t>
        </is>
      </c>
      <c r="F196" s="158" t="inlineStr">
        <is>
          <t>MATERIALES</t>
        </is>
      </c>
      <c r="G196" s="158" t="inlineStr">
        <is>
          <t>ACEROS Y METALES</t>
        </is>
      </c>
    </row>
    <row r="197">
      <c r="A197" s="159" t="n"/>
      <c r="B197" s="158" t="inlineStr">
        <is>
          <t>MAT02-0147</t>
        </is>
      </c>
      <c r="C197" s="558" t="inlineStr">
        <is>
          <t>0102-0147</t>
        </is>
      </c>
      <c r="D197" s="158" t="inlineStr">
        <is>
          <t>TERMINAL DE PASAMANOS 116 10</t>
        </is>
      </c>
      <c r="E197" s="158" t="inlineStr">
        <is>
          <t>UND</t>
        </is>
      </c>
      <c r="F197" s="158" t="inlineStr">
        <is>
          <t>MATERIALES</t>
        </is>
      </c>
      <c r="G197" s="158" t="inlineStr">
        <is>
          <t>ACEROS Y METALES</t>
        </is>
      </c>
    </row>
    <row r="198">
      <c r="A198" s="159" t="n"/>
      <c r="B198" s="158" t="inlineStr">
        <is>
          <t>MAT02-0148</t>
        </is>
      </c>
      <c r="C198" s="558" t="inlineStr">
        <is>
          <t>0102-0148</t>
        </is>
      </c>
      <c r="D198" s="158" t="inlineStr">
        <is>
          <t>LAMINA DIAMANTADA 1/4" HN</t>
        </is>
      </c>
      <c r="E198" s="158" t="inlineStr">
        <is>
          <t>UND</t>
        </is>
      </c>
      <c r="F198" s="158" t="inlineStr">
        <is>
          <t>MATERIALES</t>
        </is>
      </c>
      <c r="G198" s="158" t="inlineStr">
        <is>
          <t>ACEROS Y METALES</t>
        </is>
      </c>
    </row>
    <row r="199">
      <c r="A199" s="159" t="n"/>
      <c r="B199" s="158" t="inlineStr">
        <is>
          <t>MAT02-0149</t>
        </is>
      </c>
      <c r="C199" s="558" t="inlineStr">
        <is>
          <t>0102-0149</t>
        </is>
      </c>
      <c r="D199" s="158" t="inlineStr">
        <is>
          <t>PERLING 2x3x1.5mm HN</t>
        </is>
      </c>
      <c r="E199" s="158" t="inlineStr">
        <is>
          <t>UND</t>
        </is>
      </c>
      <c r="F199" s="158" t="inlineStr">
        <is>
          <t>MATERIALES</t>
        </is>
      </c>
      <c r="G199" s="158" t="inlineStr">
        <is>
          <t>ACEROS Y METALES</t>
        </is>
      </c>
    </row>
    <row r="200">
      <c r="A200" s="159" t="n"/>
      <c r="B200" s="158" t="inlineStr">
        <is>
          <t>MAT02-0150</t>
        </is>
      </c>
      <c r="C200" s="558" t="inlineStr">
        <is>
          <t>0102-0150</t>
        </is>
      </c>
      <c r="D200" s="158" t="inlineStr">
        <is>
          <t>ANGULAR DE ALUMINIO 1/4"X2"</t>
        </is>
      </c>
      <c r="E200" s="158" t="inlineStr">
        <is>
          <t>UND</t>
        </is>
      </c>
      <c r="F200" s="158" t="inlineStr">
        <is>
          <t>MATERIALES</t>
        </is>
      </c>
      <c r="G200" s="158" t="inlineStr">
        <is>
          <t>ACEROS Y METALES</t>
        </is>
      </c>
    </row>
    <row r="201" ht="15" customHeight="1">
      <c r="A201" s="159" t="n"/>
      <c r="B201" s="158" t="inlineStr">
        <is>
          <t>MAT02-0151</t>
        </is>
      </c>
      <c r="C201" s="558" t="inlineStr">
        <is>
          <t>0102-0151</t>
        </is>
      </c>
      <c r="D201" s="158" t="inlineStr">
        <is>
          <t>LAMINA JORDOMEX #1DESPLEGADA SOBRE PUESTA 1.22x2.44Mx3MM ROMBO DE 25x50MM</t>
        </is>
      </c>
      <c r="E201" s="158" t="inlineStr">
        <is>
          <t>UND</t>
        </is>
      </c>
      <c r="F201" s="158" t="inlineStr">
        <is>
          <t>MATERIALES</t>
        </is>
      </c>
      <c r="G201" s="158" t="inlineStr">
        <is>
          <t>ACEROS Y METALES</t>
        </is>
      </c>
    </row>
    <row r="202">
      <c r="A202" s="159" t="n"/>
      <c r="B202" s="158" t="inlineStr">
        <is>
          <t>MAT02-0152</t>
        </is>
      </c>
      <c r="C202" s="558" t="inlineStr">
        <is>
          <t>0102-0152</t>
        </is>
      </c>
      <c r="D202" s="158" t="inlineStr">
        <is>
          <t>ANGULAR 1"X1" CALIBRE 0.36x305 CM</t>
        </is>
      </c>
      <c r="E202" s="158" t="inlineStr">
        <is>
          <t>UND</t>
        </is>
      </c>
      <c r="F202" s="158" t="inlineStr">
        <is>
          <t>MATERIALES</t>
        </is>
      </c>
      <c r="G202" s="158" t="inlineStr">
        <is>
          <t>ACEROS Y METALES</t>
        </is>
      </c>
    </row>
    <row r="203">
      <c r="A203" s="159" t="n"/>
      <c r="B203" s="158" t="inlineStr">
        <is>
          <t>MAT02-0153</t>
        </is>
      </c>
      <c r="C203" s="558" t="inlineStr">
        <is>
          <t>0102-0153</t>
        </is>
      </c>
      <c r="D203" s="158" t="inlineStr">
        <is>
          <t>TUBO 1x2x1.8 HG</t>
        </is>
      </c>
      <c r="E203" s="158" t="inlineStr">
        <is>
          <t>UND</t>
        </is>
      </c>
      <c r="F203" s="158" t="inlineStr">
        <is>
          <t>MATERIALES</t>
        </is>
      </c>
      <c r="G203" s="158" t="inlineStr">
        <is>
          <t>ACEROS Y METALES</t>
        </is>
      </c>
    </row>
    <row r="204">
      <c r="A204" s="159" t="n"/>
      <c r="B204" s="158" t="inlineStr">
        <is>
          <t>MAT02-0154</t>
        </is>
      </c>
      <c r="C204" s="558" t="inlineStr">
        <is>
          <t>0102-0154</t>
        </is>
      </c>
      <c r="D204" s="158" t="inlineStr">
        <is>
          <t>ANGULAR HN 1.1/2"x1.1/2"</t>
        </is>
      </c>
      <c r="E204" s="158" t="inlineStr">
        <is>
          <t>UND</t>
        </is>
      </c>
      <c r="F204" s="158" t="inlineStr">
        <is>
          <t>MATERIALES</t>
        </is>
      </c>
      <c r="G204" s="158" t="inlineStr">
        <is>
          <t>ACEROS Y METALES</t>
        </is>
      </c>
    </row>
    <row r="205">
      <c r="A205" s="159" t="n"/>
      <c r="B205" s="158" t="inlineStr">
        <is>
          <t>MAT02-0155</t>
        </is>
      </c>
      <c r="C205" s="558" t="inlineStr">
        <is>
          <t>0102-0155</t>
        </is>
      </c>
      <c r="D205" s="158" t="inlineStr">
        <is>
          <t>LAMINA HN 4"x8"x1/8"</t>
        </is>
      </c>
      <c r="E205" s="158" t="inlineStr">
        <is>
          <t>UND</t>
        </is>
      </c>
      <c r="F205" s="158" t="inlineStr">
        <is>
          <t>MATERIALES</t>
        </is>
      </c>
      <c r="G205" s="158" t="inlineStr">
        <is>
          <t>ACEROS Y METALES</t>
        </is>
      </c>
    </row>
    <row r="206">
      <c r="A206" s="159" t="n"/>
      <c r="B206" s="158" t="inlineStr">
        <is>
          <t>MAT02-0156</t>
        </is>
      </c>
      <c r="C206" s="558" t="inlineStr">
        <is>
          <t>0102-0156</t>
        </is>
      </c>
      <c r="D206" s="158" t="inlineStr">
        <is>
          <t>LAMINA HN 4"x8"x1/4"</t>
        </is>
      </c>
      <c r="E206" s="158" t="inlineStr">
        <is>
          <t>UND</t>
        </is>
      </c>
      <c r="F206" s="158" t="inlineStr">
        <is>
          <t>MATERIALES</t>
        </is>
      </c>
      <c r="G206" s="158" t="inlineStr">
        <is>
          <t>ACEROS Y METALES</t>
        </is>
      </c>
    </row>
    <row r="207">
      <c r="A207" s="159" t="n"/>
      <c r="B207" s="158" t="inlineStr">
        <is>
          <t>MAT02-0157</t>
        </is>
      </c>
      <c r="C207" s="558" t="inlineStr">
        <is>
          <t>0102-0157</t>
        </is>
      </c>
      <c r="D207" s="158" t="inlineStr">
        <is>
          <t>PERLING 3"x2"x1.8" HN</t>
        </is>
      </c>
      <c r="E207" s="158" t="inlineStr">
        <is>
          <t>UND</t>
        </is>
      </c>
      <c r="F207" s="158" t="inlineStr">
        <is>
          <t>MATERIALES</t>
        </is>
      </c>
      <c r="G207" s="158" t="inlineStr">
        <is>
          <t>ACEROS Y METALES</t>
        </is>
      </c>
    </row>
    <row r="208">
      <c r="A208" s="159" t="n"/>
      <c r="B208" s="158" t="inlineStr">
        <is>
          <t>MAT02-0158</t>
        </is>
      </c>
      <c r="C208" s="558" t="inlineStr">
        <is>
          <t>0102-0158</t>
        </is>
      </c>
      <c r="D208" s="158" t="inlineStr">
        <is>
          <t>TUBO RED 1/2"x1.5mm HN</t>
        </is>
      </c>
      <c r="E208" s="158" t="inlineStr">
        <is>
          <t>UND</t>
        </is>
      </c>
      <c r="F208" s="158" t="inlineStr">
        <is>
          <t>MATERIALES</t>
        </is>
      </c>
      <c r="G208" s="158" t="inlineStr">
        <is>
          <t>ACEROS Y METALES</t>
        </is>
      </c>
    </row>
    <row r="209">
      <c r="A209" s="159" t="n"/>
      <c r="B209" s="158" t="inlineStr">
        <is>
          <t>MAT02-0159</t>
        </is>
      </c>
      <c r="C209" s="558" t="inlineStr">
        <is>
          <t>0102-0159</t>
        </is>
      </c>
      <c r="D209" s="158" t="inlineStr">
        <is>
          <t>TUBO 1 1/2"x1 1/2"x1.5mm HN</t>
        </is>
      </c>
      <c r="E209" s="158" t="inlineStr">
        <is>
          <t>UND</t>
        </is>
      </c>
      <c r="F209" s="158" t="inlineStr">
        <is>
          <t>MATERIALES</t>
        </is>
      </c>
      <c r="G209" s="158" t="inlineStr">
        <is>
          <t>ACEROS Y METALES</t>
        </is>
      </c>
    </row>
    <row r="210">
      <c r="A210" s="159" t="n"/>
      <c r="B210" s="158" t="inlineStr">
        <is>
          <t>MAT02-0160</t>
        </is>
      </c>
      <c r="C210" s="558" t="inlineStr">
        <is>
          <t>0102-0160</t>
        </is>
      </c>
      <c r="D210" s="158" t="inlineStr">
        <is>
          <t>TUBO RED 1/4"x1.5mm HN</t>
        </is>
      </c>
      <c r="E210" s="158" t="inlineStr">
        <is>
          <t>UND</t>
        </is>
      </c>
      <c r="F210" s="158" t="inlineStr">
        <is>
          <t>MATERIALES</t>
        </is>
      </c>
      <c r="G210" s="158" t="inlineStr">
        <is>
          <t>ACEROS Y METALES</t>
        </is>
      </c>
    </row>
    <row r="211">
      <c r="A211" s="159" t="n"/>
      <c r="B211" s="158" t="inlineStr">
        <is>
          <t>MAT02-0161</t>
        </is>
      </c>
      <c r="C211" s="558" t="inlineStr">
        <is>
          <t>0102-0161</t>
        </is>
      </c>
      <c r="D211" s="158" t="inlineStr">
        <is>
          <t>PERLING 2"x3"x2.2mm HG</t>
        </is>
      </c>
      <c r="E211" s="158" t="inlineStr">
        <is>
          <t>UND</t>
        </is>
      </c>
      <c r="F211" s="158" t="inlineStr">
        <is>
          <t>MATERIALES</t>
        </is>
      </c>
      <c r="G211" s="158" t="inlineStr">
        <is>
          <t>ACEROS Y METALES</t>
        </is>
      </c>
    </row>
    <row r="212">
      <c r="A212" s="159" t="n"/>
      <c r="B212" s="158" t="inlineStr">
        <is>
          <t>MAT02-0162</t>
        </is>
      </c>
      <c r="C212" s="558" t="inlineStr">
        <is>
          <t>0102-0162</t>
        </is>
      </c>
      <c r="D212" s="158" t="inlineStr">
        <is>
          <t>ANGULAR ALUMINIO 3/4"x1/8"</t>
        </is>
      </c>
      <c r="E212" s="158" t="inlineStr">
        <is>
          <t>UND</t>
        </is>
      </c>
      <c r="F212" s="158" t="inlineStr">
        <is>
          <t>MATERIALES</t>
        </is>
      </c>
      <c r="G212" s="158" t="inlineStr">
        <is>
          <t>ACEROS Y METALES</t>
        </is>
      </c>
    </row>
    <row r="213">
      <c r="A213" s="159" t="n"/>
      <c r="B213" s="158" t="inlineStr">
        <is>
          <t>MAT02-0163</t>
        </is>
      </c>
      <c r="C213" s="558" t="inlineStr">
        <is>
          <t>0102-0163</t>
        </is>
      </c>
      <c r="D213" s="158" t="inlineStr">
        <is>
          <t>PLATINA 1/8"x1/2"</t>
        </is>
      </c>
      <c r="E213" s="158" t="inlineStr">
        <is>
          <t>UND</t>
        </is>
      </c>
      <c r="F213" s="158" t="inlineStr">
        <is>
          <t>MATERIALES</t>
        </is>
      </c>
      <c r="G213" s="158" t="inlineStr">
        <is>
          <t>ACEROS Y METALES</t>
        </is>
      </c>
    </row>
    <row r="214">
      <c r="A214" s="159" t="n"/>
      <c r="B214" s="158" t="inlineStr">
        <is>
          <t>MAT02-0164</t>
        </is>
      </c>
      <c r="C214" s="558" t="inlineStr">
        <is>
          <t>0102-0164</t>
        </is>
      </c>
      <c r="D214" s="158" t="inlineStr">
        <is>
          <t>TUBO 2"x2"x3.2mm HN</t>
        </is>
      </c>
      <c r="E214" s="158" t="inlineStr">
        <is>
          <t>UND</t>
        </is>
      </c>
      <c r="F214" s="158" t="inlineStr">
        <is>
          <t>MATERIALES</t>
        </is>
      </c>
      <c r="G214" s="158" t="inlineStr">
        <is>
          <t>ACEROS Y METALES</t>
        </is>
      </c>
    </row>
    <row r="215">
      <c r="A215" s="159" t="n"/>
      <c r="B215" s="158" t="inlineStr">
        <is>
          <t>MAT02-0165</t>
        </is>
      </c>
      <c r="C215" s="558" t="inlineStr">
        <is>
          <t>0102-0165</t>
        </is>
      </c>
      <c r="D215" s="158" t="inlineStr">
        <is>
          <t>LAMINA JORDOMEX 1.22x2.44mx5mm</t>
        </is>
      </c>
      <c r="E215" s="158" t="inlineStr">
        <is>
          <t>UND</t>
        </is>
      </c>
      <c r="F215" s="158" t="inlineStr">
        <is>
          <t>MATERIALES</t>
        </is>
      </c>
      <c r="G215" s="158" t="inlineStr">
        <is>
          <t>ACEROS Y METALES</t>
        </is>
      </c>
    </row>
    <row r="216">
      <c r="A216" s="159" t="n"/>
      <c r="B216" s="158" t="inlineStr">
        <is>
          <t>MAT02-0166</t>
        </is>
      </c>
      <c r="C216" s="558" t="inlineStr">
        <is>
          <t>0102-0166</t>
        </is>
      </c>
      <c r="D216" s="158" t="inlineStr">
        <is>
          <t>LAMINA DE ALUMINIO DE 1/2" 50X50</t>
        </is>
      </c>
      <c r="E216" s="158" t="inlineStr">
        <is>
          <t>UND</t>
        </is>
      </c>
      <c r="F216" s="158" t="inlineStr">
        <is>
          <t>MATERIALES</t>
        </is>
      </c>
      <c r="G216" s="158" t="inlineStr">
        <is>
          <t>ACEROS Y METALES</t>
        </is>
      </c>
    </row>
    <row r="217">
      <c r="A217" s="159" t="n"/>
      <c r="B217" s="158" t="inlineStr">
        <is>
          <t>MAT02-0167</t>
        </is>
      </c>
      <c r="C217" s="558" t="inlineStr">
        <is>
          <t>0102-0167</t>
        </is>
      </c>
      <c r="D217" s="158" t="inlineStr">
        <is>
          <t>LAMINA DE 2.4x1.2x1/8" GALVANIZADA</t>
        </is>
      </c>
      <c r="E217" s="158" t="inlineStr">
        <is>
          <t>UND</t>
        </is>
      </c>
      <c r="F217" s="158" t="inlineStr">
        <is>
          <t>MATERIALES</t>
        </is>
      </c>
      <c r="G217" s="158" t="inlineStr">
        <is>
          <t>ACEROS Y METALES</t>
        </is>
      </c>
    </row>
    <row r="218">
      <c r="A218" s="159" t="n"/>
      <c r="B218" s="158" t="inlineStr">
        <is>
          <t>MAT02-0168</t>
        </is>
      </c>
      <c r="C218" s="558" t="inlineStr">
        <is>
          <t>0102-0168</t>
        </is>
      </c>
      <c r="D218" s="158" t="inlineStr">
        <is>
          <t>VIGA U 4x1/4"</t>
        </is>
      </c>
      <c r="E218" s="158" t="inlineStr">
        <is>
          <t>UND</t>
        </is>
      </c>
      <c r="F218" s="158" t="inlineStr">
        <is>
          <t>MATERIALES</t>
        </is>
      </c>
      <c r="G218" s="158" t="inlineStr">
        <is>
          <t>ACEROS Y METALES</t>
        </is>
      </c>
    </row>
    <row r="219" customFormat="1" s="563">
      <c r="A219" s="561" t="n"/>
      <c r="B219" s="561" t="inlineStr">
        <is>
          <t>(ID) Insumo</t>
        </is>
      </c>
      <c r="C219" s="562" t="n"/>
      <c r="D219" s="561" t="inlineStr">
        <is>
          <t>Descripción</t>
        </is>
      </c>
      <c r="E219" s="561" t="inlineStr">
        <is>
          <t>Unidad</t>
        </is>
      </c>
      <c r="F219" s="561" t="inlineStr">
        <is>
          <t>Grupo de Insumo</t>
        </is>
      </c>
      <c r="G219" s="561" t="inlineStr">
        <is>
          <t>Familia de Insumos</t>
        </is>
      </c>
    </row>
    <row r="220">
      <c r="A220" s="159" t="n"/>
      <c r="B220" s="158" t="inlineStr">
        <is>
          <t>MAT03-0001</t>
        </is>
      </c>
      <c r="C220" s="558" t="inlineStr">
        <is>
          <t>0103-0001</t>
        </is>
      </c>
      <c r="D220" s="158" t="inlineStr">
        <is>
          <t>ARENA SILICA</t>
        </is>
      </c>
      <c r="E220" s="158" t="inlineStr">
        <is>
          <t>SACO</t>
        </is>
      </c>
      <c r="F220" s="158" t="inlineStr">
        <is>
          <t>MATERIALES</t>
        </is>
      </c>
      <c r="G220" s="158" t="inlineStr">
        <is>
          <t>AGREGADOS</t>
        </is>
      </c>
    </row>
    <row r="221">
      <c r="A221" s="159" t="n"/>
      <c r="B221" s="158" t="inlineStr">
        <is>
          <t>MAT03-0002</t>
        </is>
      </c>
      <c r="C221" s="558" t="inlineStr">
        <is>
          <t>0103-0002</t>
        </is>
      </c>
      <c r="D221" s="158" t="inlineStr">
        <is>
          <t>ARENA FINA DE RIO</t>
        </is>
      </c>
      <c r="E221" s="158" t="inlineStr">
        <is>
          <t>M3</t>
        </is>
      </c>
      <c r="F221" s="158" t="inlineStr">
        <is>
          <t>MATERIALES</t>
        </is>
      </c>
      <c r="G221" s="158" t="inlineStr">
        <is>
          <t>AGREGADOS</t>
        </is>
      </c>
    </row>
    <row r="222">
      <c r="A222" s="159" t="n"/>
      <c r="B222" s="158" t="inlineStr">
        <is>
          <t>MAT03-0003</t>
        </is>
      </c>
      <c r="C222" s="558" t="inlineStr">
        <is>
          <t>0103-0003</t>
        </is>
      </c>
      <c r="D222" s="158" t="inlineStr">
        <is>
          <t>ARENA LAVADA</t>
        </is>
      </c>
      <c r="E222" s="158" t="inlineStr">
        <is>
          <t>M3</t>
        </is>
      </c>
      <c r="F222" s="158" t="inlineStr">
        <is>
          <t>MATERIALES</t>
        </is>
      </c>
      <c r="G222" s="158" t="inlineStr">
        <is>
          <t>AGREGADOS</t>
        </is>
      </c>
    </row>
    <row r="223">
      <c r="A223" s="159" t="n"/>
      <c r="B223" s="158" t="inlineStr">
        <is>
          <t>MAT03-0004</t>
        </is>
      </c>
      <c r="C223" s="558" t="inlineStr">
        <is>
          <t>0103-0004</t>
        </is>
      </c>
      <c r="D223" s="158" t="inlineStr">
        <is>
          <t>BASE GRANULAR</t>
        </is>
      </c>
      <c r="E223" s="158" t="inlineStr">
        <is>
          <t>M3</t>
        </is>
      </c>
      <c r="F223" s="158" t="inlineStr">
        <is>
          <t>MATERIALES</t>
        </is>
      </c>
      <c r="G223" s="158" t="inlineStr">
        <is>
          <t>AGREGADOS</t>
        </is>
      </c>
    </row>
    <row r="224">
      <c r="A224" s="159" t="n"/>
      <c r="B224" s="158" t="inlineStr">
        <is>
          <t>MAT03-0005</t>
        </is>
      </c>
      <c r="C224" s="558" t="inlineStr">
        <is>
          <t>0103-0005</t>
        </is>
      </c>
      <c r="D224" s="158" t="inlineStr">
        <is>
          <t>LASTRE GRUESO</t>
        </is>
      </c>
      <c r="E224" s="158" t="inlineStr">
        <is>
          <t>M3</t>
        </is>
      </c>
      <c r="F224" s="158" t="inlineStr">
        <is>
          <t>MATERIALES</t>
        </is>
      </c>
      <c r="G224" s="158" t="inlineStr">
        <is>
          <t>AGREGADOS</t>
        </is>
      </c>
    </row>
    <row r="225">
      <c r="A225" s="159" t="n"/>
      <c r="B225" s="158" t="inlineStr">
        <is>
          <t>MAT03-0006</t>
        </is>
      </c>
      <c r="C225" s="558" t="inlineStr">
        <is>
          <t>0103-0006</t>
        </is>
      </c>
      <c r="D225" s="158" t="inlineStr">
        <is>
          <t>PIEDRA CUARTILLA</t>
        </is>
      </c>
      <c r="E225" s="158" t="inlineStr">
        <is>
          <t>M3</t>
        </is>
      </c>
      <c r="F225" s="158" t="inlineStr">
        <is>
          <t>MATERIALES</t>
        </is>
      </c>
      <c r="G225" s="158" t="inlineStr">
        <is>
          <t>AGREGADOS</t>
        </is>
      </c>
    </row>
    <row r="226">
      <c r="A226" s="159" t="n"/>
      <c r="B226" s="158" t="inlineStr">
        <is>
          <t>MAT03-0007</t>
        </is>
      </c>
      <c r="C226" s="558" t="inlineStr">
        <is>
          <t>0103-0007</t>
        </is>
      </c>
      <c r="D226" s="158" t="inlineStr">
        <is>
          <t>PIEDRA QUINTILLA</t>
        </is>
      </c>
      <c r="E226" s="158" t="inlineStr">
        <is>
          <t>M3</t>
        </is>
      </c>
      <c r="F226" s="158" t="inlineStr">
        <is>
          <t>MATERIALES</t>
        </is>
      </c>
      <c r="G226" s="158" t="inlineStr">
        <is>
          <t>AGREGADOS</t>
        </is>
      </c>
    </row>
    <row r="227">
      <c r="A227" s="159" t="n"/>
      <c r="B227" s="158" t="inlineStr">
        <is>
          <t>MAT03-0008</t>
        </is>
      </c>
      <c r="C227" s="558" t="inlineStr">
        <is>
          <t>0103-0008</t>
        </is>
      </c>
      <c r="D227" s="158" t="inlineStr">
        <is>
          <t>POLVO DE PIEDRA</t>
        </is>
      </c>
      <c r="E227" s="158" t="inlineStr">
        <is>
          <t>M3</t>
        </is>
      </c>
      <c r="F227" s="158" t="inlineStr">
        <is>
          <t>MATERIALES</t>
        </is>
      </c>
      <c r="G227" s="158" t="inlineStr">
        <is>
          <t>AGREGADOS</t>
        </is>
      </c>
    </row>
    <row r="228">
      <c r="A228" s="159" t="n"/>
      <c r="B228" s="158" t="inlineStr">
        <is>
          <t>MAT03-0009</t>
        </is>
      </c>
      <c r="C228" s="558" t="inlineStr">
        <is>
          <t>0103-0009</t>
        </is>
      </c>
      <c r="D228" s="158" t="inlineStr">
        <is>
          <t>SUB BASE GRANULAR</t>
        </is>
      </c>
      <c r="E228" s="158" t="inlineStr">
        <is>
          <t>M3</t>
        </is>
      </c>
      <c r="F228" s="158" t="inlineStr">
        <is>
          <t>MATERIALES</t>
        </is>
      </c>
      <c r="G228" s="158" t="inlineStr">
        <is>
          <t>AGREGADOS</t>
        </is>
      </c>
    </row>
    <row r="229">
      <c r="A229" s="159" t="n"/>
      <c r="B229" s="158" t="inlineStr">
        <is>
          <t>MAT03-0010</t>
        </is>
      </c>
      <c r="C229" s="558" t="inlineStr">
        <is>
          <t>0103-0010</t>
        </is>
      </c>
      <c r="D229" s="158" t="inlineStr">
        <is>
          <t>TIERRA</t>
        </is>
      </c>
      <c r="E229" s="158" t="inlineStr">
        <is>
          <t>M3</t>
        </is>
      </c>
      <c r="F229" s="158" t="inlineStr">
        <is>
          <t>MATERIALES</t>
        </is>
      </c>
      <c r="G229" s="158" t="inlineStr">
        <is>
          <t>AGREGADOS</t>
        </is>
      </c>
    </row>
    <row r="230">
      <c r="A230" s="159" t="n"/>
      <c r="B230" s="158" t="inlineStr">
        <is>
          <t>MAT03-0011</t>
        </is>
      </c>
      <c r="C230" s="558" t="inlineStr">
        <is>
          <t>0103-0011</t>
        </is>
      </c>
      <c r="D230" s="158" t="inlineStr">
        <is>
          <t>PIEDRA TERCERA</t>
        </is>
      </c>
      <c r="E230" s="158" t="inlineStr">
        <is>
          <t>M3</t>
        </is>
      </c>
      <c r="F230" s="158" t="inlineStr">
        <is>
          <t>MATERIALES</t>
        </is>
      </c>
      <c r="G230" s="158" t="inlineStr">
        <is>
          <t>AGREGADOS</t>
        </is>
      </c>
    </row>
    <row r="231">
      <c r="A231" s="159" t="n"/>
      <c r="B231" s="158" t="inlineStr">
        <is>
          <t>MAT03-0012</t>
        </is>
      </c>
      <c r="C231" s="558" t="inlineStr">
        <is>
          <t>0103-0012</t>
        </is>
      </c>
      <c r="D231" s="158" t="inlineStr">
        <is>
          <t>PIEDRA GRUESA GRIS CON VERDE</t>
        </is>
      </c>
      <c r="E231" s="158" t="inlineStr">
        <is>
          <t>SACO</t>
        </is>
      </c>
      <c r="F231" s="158" t="inlineStr">
        <is>
          <t>MATERIALES</t>
        </is>
      </c>
      <c r="G231" s="158" t="inlineStr">
        <is>
          <t>AGREGADOS</t>
        </is>
      </c>
    </row>
    <row r="232">
      <c r="A232" s="159" t="n"/>
      <c r="B232" s="158" t="inlineStr">
        <is>
          <t>MAT03-0013</t>
        </is>
      </c>
      <c r="C232" s="558" t="inlineStr">
        <is>
          <t>0103-0013</t>
        </is>
      </c>
      <c r="D232" s="158" t="inlineStr">
        <is>
          <t>PIEDRA HUEVILLO</t>
        </is>
      </c>
      <c r="E232" s="158" t="inlineStr">
        <is>
          <t>M3</t>
        </is>
      </c>
      <c r="F232" s="158" t="inlineStr">
        <is>
          <t>MATERIALES</t>
        </is>
      </c>
      <c r="G232" s="158" t="inlineStr">
        <is>
          <t>AGREGADOS</t>
        </is>
      </c>
    </row>
    <row r="233">
      <c r="A233" s="159" t="n"/>
      <c r="B233" s="158" t="inlineStr">
        <is>
          <t>MAT03-0014</t>
        </is>
      </c>
      <c r="C233" s="558" t="inlineStr">
        <is>
          <t>0103-0014</t>
        </is>
      </c>
      <c r="D233" s="158" t="inlineStr">
        <is>
          <t>LASTRE FINO</t>
        </is>
      </c>
      <c r="E233" s="158" t="inlineStr">
        <is>
          <t>M3</t>
        </is>
      </c>
      <c r="F233" s="158" t="inlineStr">
        <is>
          <t>MATERIALES</t>
        </is>
      </c>
      <c r="G233" s="158" t="n"/>
    </row>
    <row r="234">
      <c r="A234" s="159" t="n"/>
      <c r="B234" s="158" t="inlineStr">
        <is>
          <t>MAT03-0015</t>
        </is>
      </c>
      <c r="C234" s="558" t="inlineStr">
        <is>
          <t>0103-0015</t>
        </is>
      </c>
      <c r="D234" s="158" t="inlineStr">
        <is>
          <t>DESTAPE</t>
        </is>
      </c>
      <c r="E234" s="158" t="inlineStr">
        <is>
          <t>M3</t>
        </is>
      </c>
      <c r="F234" s="158" t="inlineStr">
        <is>
          <t>MATERIALES</t>
        </is>
      </c>
      <c r="G234" s="158" t="inlineStr">
        <is>
          <t>AGREGADOS</t>
        </is>
      </c>
    </row>
    <row r="235">
      <c r="A235" s="159" t="n"/>
      <c r="B235" s="158" t="inlineStr">
        <is>
          <t>MAT03-0016</t>
        </is>
      </c>
      <c r="C235" s="558" t="inlineStr">
        <is>
          <t>0103-0016</t>
        </is>
      </c>
      <c r="D235" s="158" t="inlineStr">
        <is>
          <t>PIEDRA BLANCA DECORATIVA</t>
        </is>
      </c>
      <c r="E235" s="158" t="inlineStr">
        <is>
          <t>SACO</t>
        </is>
      </c>
      <c r="F235" s="158" t="inlineStr">
        <is>
          <t>MATERIALES</t>
        </is>
      </c>
      <c r="G235" s="158" t="inlineStr">
        <is>
          <t>AGREGADOS</t>
        </is>
      </c>
    </row>
    <row r="236">
      <c r="A236" s="159" t="n"/>
      <c r="B236" s="158" t="inlineStr">
        <is>
          <t>MAT03-0017</t>
        </is>
      </c>
      <c r="C236" s="558" t="inlineStr">
        <is>
          <t>0103-0017</t>
        </is>
      </c>
      <c r="D236" s="158" t="inlineStr">
        <is>
          <t>PIEDRA BOLA (P/ DRENAJE)</t>
        </is>
      </c>
      <c r="E236" s="158" t="inlineStr">
        <is>
          <t>M3</t>
        </is>
      </c>
      <c r="F236" s="158" t="inlineStr">
        <is>
          <t>MATERIALES</t>
        </is>
      </c>
      <c r="G236" s="158" t="inlineStr">
        <is>
          <t>AGREGADOS</t>
        </is>
      </c>
    </row>
    <row r="237">
      <c r="A237" s="159" t="n"/>
      <c r="B237" s="158" t="inlineStr">
        <is>
          <t>MAT03-0018</t>
        </is>
      </c>
      <c r="C237" s="558" t="inlineStr">
        <is>
          <t>0103-0018</t>
        </is>
      </c>
      <c r="D237" s="158" t="inlineStr">
        <is>
          <t>CEMENTO HIDRAULICO</t>
        </is>
      </c>
      <c r="E237" s="158" t="inlineStr">
        <is>
          <t>SACO</t>
        </is>
      </c>
      <c r="F237" s="158" t="inlineStr">
        <is>
          <t>MATERIALES</t>
        </is>
      </c>
      <c r="G237" s="158" t="inlineStr">
        <is>
          <t>AGREGADOS</t>
        </is>
      </c>
    </row>
    <row r="238" customFormat="1" s="560">
      <c r="A238" s="557" t="n"/>
      <c r="B238" s="557" t="inlineStr">
        <is>
          <t>(ID) Insumo</t>
        </is>
      </c>
      <c r="C238" s="558" t="n"/>
      <c r="D238" s="557" t="inlineStr">
        <is>
          <t>Descripción</t>
        </is>
      </c>
      <c r="E238" s="557" t="inlineStr">
        <is>
          <t>Unidad</t>
        </is>
      </c>
      <c r="F238" s="557" t="inlineStr">
        <is>
          <t>Grupo de Insumo</t>
        </is>
      </c>
      <c r="G238" s="557" t="inlineStr">
        <is>
          <t>Familia de Insumos</t>
        </is>
      </c>
    </row>
    <row r="239">
      <c r="A239" s="159" t="n"/>
      <c r="B239" s="158" t="inlineStr">
        <is>
          <t>MAT04-0001</t>
        </is>
      </c>
      <c r="C239" s="558" t="inlineStr">
        <is>
          <t>0104-0001</t>
        </is>
      </c>
      <c r="D239" s="158" t="inlineStr">
        <is>
          <t>ASFALTO</t>
        </is>
      </c>
      <c r="E239" s="158" t="inlineStr">
        <is>
          <t>TON</t>
        </is>
      </c>
      <c r="F239" s="158" t="inlineStr">
        <is>
          <t>MATERIALES</t>
        </is>
      </c>
      <c r="G239" s="158" t="inlineStr">
        <is>
          <t>CONCRETOS CEMENTOS Y MORTEROS</t>
        </is>
      </c>
    </row>
    <row r="240">
      <c r="A240" s="159" t="n"/>
      <c r="B240" s="158" t="inlineStr">
        <is>
          <t>MAT04-0002</t>
        </is>
      </c>
      <c r="C240" s="558" t="inlineStr">
        <is>
          <t>0104-0002</t>
        </is>
      </c>
      <c r="D240" s="158" t="inlineStr">
        <is>
          <t>CAJA DE REGISTRO 30X30 PARA VARILLA COPERWELL</t>
        </is>
      </c>
      <c r="E240" s="158" t="inlineStr">
        <is>
          <t>UND</t>
        </is>
      </c>
      <c r="F240" s="158" t="inlineStr">
        <is>
          <t>MATERIALES</t>
        </is>
      </c>
      <c r="G240" s="158" t="inlineStr">
        <is>
          <t>CONCRETOS CEMENTOS Y MORTEROS</t>
        </is>
      </c>
    </row>
    <row r="241">
      <c r="A241" s="159" t="n"/>
      <c r="B241" s="158" t="inlineStr">
        <is>
          <t>MAT04-0003</t>
        </is>
      </c>
      <c r="C241" s="558" t="inlineStr">
        <is>
          <t>0104-0003</t>
        </is>
      </c>
      <c r="D241" s="158" t="inlineStr">
        <is>
          <t>CEMENTO UG</t>
        </is>
      </c>
      <c r="E241" s="158" t="inlineStr">
        <is>
          <t>UND</t>
        </is>
      </c>
      <c r="F241" s="158" t="inlineStr">
        <is>
          <t>MATERIALES</t>
        </is>
      </c>
      <c r="G241" s="158" t="inlineStr">
        <is>
          <t>CONCRETOS CEMENTOS Y MORTEROS</t>
        </is>
      </c>
    </row>
    <row r="242">
      <c r="A242" s="159" t="n"/>
      <c r="B242" s="158" t="inlineStr">
        <is>
          <t>MAT04-0004</t>
        </is>
      </c>
      <c r="C242" s="558" t="inlineStr">
        <is>
          <t>0104-0004</t>
        </is>
      </c>
      <c r="D242" s="158" t="inlineStr">
        <is>
          <t>CENICERO DE CONCRETO 4" (100mm)</t>
        </is>
      </c>
      <c r="E242" s="158" t="inlineStr">
        <is>
          <t>UND</t>
        </is>
      </c>
      <c r="F242" s="158" t="inlineStr">
        <is>
          <t>MATERIALES</t>
        </is>
      </c>
      <c r="G242" s="158" t="inlineStr">
        <is>
          <t>CONCRETOS CEMENTOS Y MORTEROS</t>
        </is>
      </c>
    </row>
    <row r="243">
      <c r="A243" s="159" t="n"/>
      <c r="B243" s="158" t="inlineStr">
        <is>
          <t>MAT04-0005</t>
        </is>
      </c>
      <c r="C243" s="558" t="inlineStr">
        <is>
          <t>0104-0005</t>
        </is>
      </c>
      <c r="D243" s="158" t="inlineStr">
        <is>
          <t>CONCRETO FC 210 KG/CM2 AUTOCOMPACTABLE</t>
        </is>
      </c>
      <c r="E243" s="158" t="inlineStr">
        <is>
          <t>M3</t>
        </is>
      </c>
      <c r="F243" s="158" t="inlineStr">
        <is>
          <t>MATERIALES</t>
        </is>
      </c>
      <c r="G243" s="158" t="inlineStr">
        <is>
          <t>CONCRETOS CEMENTOS Y MORTEROS</t>
        </is>
      </c>
    </row>
    <row r="244">
      <c r="A244" s="159" t="n"/>
      <c r="B244" s="158" t="inlineStr">
        <is>
          <t>MAT04-0006</t>
        </is>
      </c>
      <c r="C244" s="558" t="inlineStr">
        <is>
          <t>0104-0006</t>
        </is>
      </c>
      <c r="D244" s="158" t="inlineStr">
        <is>
          <t>CONCRETO FC 210 KG/CM2 CONCRELIC</t>
        </is>
      </c>
      <c r="E244" s="158" t="inlineStr">
        <is>
          <t>M3</t>
        </is>
      </c>
      <c r="F244" s="158" t="inlineStr">
        <is>
          <t>MATERIALES</t>
        </is>
      </c>
      <c r="G244" s="158" t="inlineStr">
        <is>
          <t>CONCRETOS CEMENTOS Y MORTEROS</t>
        </is>
      </c>
    </row>
    <row r="245">
      <c r="A245" s="159" t="n"/>
      <c r="B245" s="158" t="inlineStr">
        <is>
          <t>MAT04-0007</t>
        </is>
      </c>
      <c r="C245" s="558" t="inlineStr">
        <is>
          <t>0104-0007</t>
        </is>
      </c>
      <c r="D245" s="158" t="inlineStr">
        <is>
          <t>CONCRETO FC 210 KG/CM2 NORMAL</t>
        </is>
      </c>
      <c r="E245" s="158" t="inlineStr">
        <is>
          <t>M3</t>
        </is>
      </c>
      <c r="F245" s="158" t="inlineStr">
        <is>
          <t>MATERIALES</t>
        </is>
      </c>
      <c r="G245" s="158" t="inlineStr">
        <is>
          <t>CONCRETOS CEMENTOS Y MORTEROS</t>
        </is>
      </c>
    </row>
    <row r="246">
      <c r="A246" s="159" t="n"/>
      <c r="B246" s="158" t="inlineStr">
        <is>
          <t>MAT04-0008</t>
        </is>
      </c>
      <c r="C246" s="558" t="inlineStr">
        <is>
          <t>0104-0008</t>
        </is>
      </c>
      <c r="D246" s="158" t="inlineStr">
        <is>
          <t>EMPASTE CEMENTICIO BLANCO CEMEX 20KG</t>
        </is>
      </c>
      <c r="E246" s="158" t="inlineStr">
        <is>
          <t>UND</t>
        </is>
      </c>
      <c r="F246" s="158" t="inlineStr">
        <is>
          <t>MATERIALES</t>
        </is>
      </c>
      <c r="G246" s="158" t="inlineStr">
        <is>
          <t>CONCRETOS CEMENTOS Y MORTEROS</t>
        </is>
      </c>
    </row>
    <row r="247">
      <c r="A247" s="159" t="n"/>
      <c r="B247" s="158" t="inlineStr">
        <is>
          <t>MAT04-0009</t>
        </is>
      </c>
      <c r="C247" s="558" t="inlineStr">
        <is>
          <t>0104-0009</t>
        </is>
      </c>
      <c r="D247" s="158" t="inlineStr">
        <is>
          <t>FIBRA DE CARBONO 1KG</t>
        </is>
      </c>
      <c r="E247" s="158" t="inlineStr">
        <is>
          <t>BOLSA</t>
        </is>
      </c>
      <c r="F247" s="158" t="inlineStr">
        <is>
          <t>MATERIALES</t>
        </is>
      </c>
      <c r="G247" s="158" t="inlineStr">
        <is>
          <t>CONCRETOS CEMENTOS Y MORTEROS</t>
        </is>
      </c>
    </row>
    <row r="248">
      <c r="A248" s="159" t="n"/>
      <c r="B248" s="158" t="inlineStr">
        <is>
          <t>MAT04-0010</t>
        </is>
      </c>
      <c r="C248" s="558" t="inlineStr">
        <is>
          <t>0104-0010</t>
        </is>
      </c>
      <c r="D248" s="158" t="inlineStr">
        <is>
          <t>FIBRA PP MONOFILAMENTO 600G</t>
        </is>
      </c>
      <c r="E248" s="158" t="inlineStr">
        <is>
          <t>BOLSA</t>
        </is>
      </c>
      <c r="F248" s="158" t="inlineStr">
        <is>
          <t>MATERIALES</t>
        </is>
      </c>
      <c r="G248" s="158" t="inlineStr">
        <is>
          <t>CONCRETOS CEMENTOS Y MORTEROS</t>
        </is>
      </c>
    </row>
    <row r="249">
      <c r="A249" s="159" t="n"/>
      <c r="B249" s="158" t="inlineStr">
        <is>
          <t>MAT04-0011</t>
        </is>
      </c>
      <c r="C249" s="558" t="inlineStr">
        <is>
          <t>0104-0011</t>
        </is>
      </c>
      <c r="D249" s="158" t="inlineStr">
        <is>
          <t>FRAGUA INTACO ARENA #28 CON ARENA</t>
        </is>
      </c>
      <c r="E249" s="158" t="inlineStr">
        <is>
          <t>UND</t>
        </is>
      </c>
      <c r="F249" s="158" t="inlineStr">
        <is>
          <t>MATERIALES</t>
        </is>
      </c>
      <c r="G249" s="158" t="inlineStr">
        <is>
          <t>CONCRETOS CEMENTOS Y MORTEROS</t>
        </is>
      </c>
    </row>
    <row r="250">
      <c r="A250" s="159" t="n"/>
      <c r="B250" s="158" t="inlineStr">
        <is>
          <t>MAT04-0012</t>
        </is>
      </c>
      <c r="C250" s="558" t="inlineStr">
        <is>
          <t>0104-0012</t>
        </is>
      </c>
      <c r="D250" s="158" t="inlineStr">
        <is>
          <t>FRAGUA INTACO GRAFITO #12 CON ARENA</t>
        </is>
      </c>
      <c r="E250" s="158" t="inlineStr">
        <is>
          <t>UND</t>
        </is>
      </c>
      <c r="F250" s="158" t="inlineStr">
        <is>
          <t>MATERIALES</t>
        </is>
      </c>
      <c r="G250" s="158" t="inlineStr">
        <is>
          <t>CONCRETOS CEMENTOS Y MORTEROS</t>
        </is>
      </c>
    </row>
    <row r="251">
      <c r="A251" s="159" t="n"/>
      <c r="B251" s="158" t="inlineStr">
        <is>
          <t>MAT04-0013</t>
        </is>
      </c>
      <c r="C251" s="558" t="inlineStr">
        <is>
          <t>0104-0013</t>
        </is>
      </c>
      <c r="D251" s="158" t="inlineStr">
        <is>
          <t>MORTERO DE REPARACION MR250 SUR</t>
        </is>
      </c>
      <c r="E251" s="158" t="inlineStr">
        <is>
          <t>UND</t>
        </is>
      </c>
      <c r="F251" s="158" t="inlineStr">
        <is>
          <t>MATERIALES</t>
        </is>
      </c>
      <c r="G251" s="158" t="inlineStr">
        <is>
          <t>CONCRETOS CEMENTOS Y MORTEROS</t>
        </is>
      </c>
    </row>
    <row r="252">
      <c r="A252" s="159" t="n"/>
      <c r="B252" s="158" t="inlineStr">
        <is>
          <t>MAT04-0014</t>
        </is>
      </c>
      <c r="C252" s="558" t="inlineStr">
        <is>
          <t>0104-0014</t>
        </is>
      </c>
      <c r="D252" s="158" t="inlineStr">
        <is>
          <t>MORTERO CHAPISCO RODILLO (25KG)</t>
        </is>
      </c>
      <c r="E252" s="158" t="inlineStr">
        <is>
          <t>UND</t>
        </is>
      </c>
      <c r="F252" s="158" t="inlineStr">
        <is>
          <t>MATERIALES</t>
        </is>
      </c>
      <c r="G252" s="158" t="inlineStr">
        <is>
          <t>CONCRETOS CEMENTOS Y MORTEROS</t>
        </is>
      </c>
    </row>
    <row r="253">
      <c r="A253" s="159" t="n"/>
      <c r="B253" s="158" t="inlineStr">
        <is>
          <t>MAT04-0015</t>
        </is>
      </c>
      <c r="C253" s="558" t="inlineStr">
        <is>
          <t>0104-0015</t>
        </is>
      </c>
      <c r="D253" s="158" t="inlineStr">
        <is>
          <t>MURO SECO 20KG CEMEX</t>
        </is>
      </c>
      <c r="E253" s="158" t="inlineStr">
        <is>
          <t>SACO</t>
        </is>
      </c>
      <c r="F253" s="158" t="inlineStr">
        <is>
          <t>MATERIALES</t>
        </is>
      </c>
      <c r="G253" s="158" t="inlineStr">
        <is>
          <t>CONCRETOS CEMENTOS Y MORTEROS</t>
        </is>
      </c>
    </row>
    <row r="254">
      <c r="A254" s="159" t="n"/>
      <c r="B254" s="158" t="inlineStr">
        <is>
          <t>MAT04-0016</t>
        </is>
      </c>
      <c r="C254" s="558" t="inlineStr">
        <is>
          <t>0104-0016</t>
        </is>
      </c>
      <c r="D254" s="158" t="inlineStr">
        <is>
          <t>PEGA CERAMICA PLUS 20KG CEMEX</t>
        </is>
      </c>
      <c r="E254" s="158" t="inlineStr">
        <is>
          <t>UND</t>
        </is>
      </c>
      <c r="F254" s="158" t="inlineStr">
        <is>
          <t>MATERIALES</t>
        </is>
      </c>
      <c r="G254" s="158" t="inlineStr">
        <is>
          <t>CONCRETOS CEMENTOS Y MORTEROS</t>
        </is>
      </c>
    </row>
    <row r="255">
      <c r="A255" s="159" t="n"/>
      <c r="B255" s="158" t="inlineStr">
        <is>
          <t>MAT04-0017</t>
        </is>
      </c>
      <c r="C255" s="558" t="inlineStr">
        <is>
          <t>0104-0017</t>
        </is>
      </c>
      <c r="D255" s="158" t="inlineStr">
        <is>
          <t>REPELLO FINO CEMEX</t>
        </is>
      </c>
      <c r="E255" s="158" t="inlineStr">
        <is>
          <t>UND</t>
        </is>
      </c>
      <c r="F255" s="158" t="inlineStr">
        <is>
          <t>MATERIALES</t>
        </is>
      </c>
      <c r="G255" s="158" t="inlineStr">
        <is>
          <t>CONCRETOS CEMENTOS Y MORTEROS</t>
        </is>
      </c>
    </row>
    <row r="256">
      <c r="A256" s="159" t="n"/>
      <c r="B256" s="158" t="inlineStr">
        <is>
          <t>MAT04-0018</t>
        </is>
      </c>
      <c r="C256" s="558" t="inlineStr">
        <is>
          <t>0104-0018</t>
        </is>
      </c>
      <c r="D256" s="158" t="inlineStr">
        <is>
          <t>REPELLO GRUESO CEMEX</t>
        </is>
      </c>
      <c r="E256" s="158" t="inlineStr">
        <is>
          <t>UND</t>
        </is>
      </c>
      <c r="F256" s="158" t="inlineStr">
        <is>
          <t>MATERIALES</t>
        </is>
      </c>
      <c r="G256" s="158" t="inlineStr">
        <is>
          <t>CONCRETOS CEMENTOS Y MORTEROS</t>
        </is>
      </c>
    </row>
    <row r="257">
      <c r="A257" s="159" t="n"/>
      <c r="B257" s="158" t="inlineStr">
        <is>
          <t>MAT04-0019</t>
        </is>
      </c>
      <c r="C257" s="558" t="inlineStr">
        <is>
          <t>0104-0019</t>
        </is>
      </c>
      <c r="D257" s="158" t="inlineStr">
        <is>
          <t>SIFON P/CONCRETO 4" (100mm)</t>
        </is>
      </c>
      <c r="E257" s="158" t="inlineStr">
        <is>
          <t>UND</t>
        </is>
      </c>
      <c r="F257" s="158" t="inlineStr">
        <is>
          <t>MATERIALES</t>
        </is>
      </c>
      <c r="G257" s="158" t="inlineStr">
        <is>
          <t>CONCRETOS CEMENTOS Y MORTEROS</t>
        </is>
      </c>
    </row>
    <row r="258">
      <c r="A258" s="159" t="n"/>
      <c r="B258" s="158" t="inlineStr">
        <is>
          <t>MAT04-0020</t>
        </is>
      </c>
      <c r="C258" s="558" t="inlineStr">
        <is>
          <t>0104-0020</t>
        </is>
      </c>
      <c r="D258" s="158" t="inlineStr">
        <is>
          <t>TAPIA PREFABRICADA (2.5M)</t>
        </is>
      </c>
      <c r="E258" s="158" t="inlineStr">
        <is>
          <t>M</t>
        </is>
      </c>
      <c r="F258" s="158" t="inlineStr">
        <is>
          <t>MATERIALES</t>
        </is>
      </c>
      <c r="G258" s="158" t="inlineStr">
        <is>
          <t>CONCRETOS CEMENTOS Y MORTEROS</t>
        </is>
      </c>
    </row>
    <row r="259">
      <c r="A259" s="159" t="n"/>
      <c r="B259" s="158" t="inlineStr">
        <is>
          <t>MAT04-0021</t>
        </is>
      </c>
      <c r="C259" s="558" t="inlineStr">
        <is>
          <t>0104-0021</t>
        </is>
      </c>
      <c r="D259" s="158" t="inlineStr">
        <is>
          <t>TRAMPA PARA GRASA 4" (100mm)</t>
        </is>
      </c>
      <c r="E259" s="158" t="inlineStr">
        <is>
          <t>UND</t>
        </is>
      </c>
      <c r="F259" s="158" t="inlineStr">
        <is>
          <t>MATERIALES</t>
        </is>
      </c>
      <c r="G259" s="158" t="inlineStr">
        <is>
          <t>CONCRETOS CEMENTOS Y MORTEROS</t>
        </is>
      </c>
    </row>
    <row r="260">
      <c r="A260" s="159" t="n"/>
      <c r="B260" s="158" t="inlineStr">
        <is>
          <t>MAT04-0022</t>
        </is>
      </c>
      <c r="C260" s="558" t="inlineStr">
        <is>
          <t>0104-0022</t>
        </is>
      </c>
      <c r="D260" s="158" t="inlineStr">
        <is>
          <t>PEGA CERAMICA PREMIUM 20KG CEMEX</t>
        </is>
      </c>
      <c r="E260" s="158" t="inlineStr">
        <is>
          <t>SACO</t>
        </is>
      </c>
      <c r="F260" s="158" t="inlineStr">
        <is>
          <t>MATERIALES</t>
        </is>
      </c>
      <c r="G260" s="158" t="inlineStr">
        <is>
          <t>CONCRETOS CEMENTOS Y MORTEROS</t>
        </is>
      </c>
    </row>
    <row r="261">
      <c r="A261" s="159" t="n"/>
      <c r="B261" s="158" t="inlineStr">
        <is>
          <t>MAT04-0023</t>
        </is>
      </c>
      <c r="C261" s="558" t="inlineStr">
        <is>
          <t>0104-0023</t>
        </is>
      </c>
      <c r="D261" s="158" t="inlineStr">
        <is>
          <t>FRAGUA INTACO CARAMELO #22 CON ARENA</t>
        </is>
      </c>
      <c r="E261" s="158" t="inlineStr">
        <is>
          <t>UND</t>
        </is>
      </c>
      <c r="F261" s="158" t="inlineStr">
        <is>
          <t>MATERIALES</t>
        </is>
      </c>
      <c r="G261" s="158" t="inlineStr">
        <is>
          <t>CONCRETOS CEMENTOS Y MORTEROS</t>
        </is>
      </c>
    </row>
    <row r="262">
      <c r="A262" s="159" t="n"/>
      <c r="B262" s="158" t="inlineStr">
        <is>
          <t>MAT04-0024</t>
        </is>
      </c>
      <c r="C262" s="558" t="inlineStr">
        <is>
          <t>0104-0024</t>
        </is>
      </c>
      <c r="D262" s="158" t="inlineStr">
        <is>
          <t>FRAGUA INTACO SAHARA #30 CON ARENA</t>
        </is>
      </c>
      <c r="E262" s="158" t="inlineStr">
        <is>
          <t>UND</t>
        </is>
      </c>
      <c r="F262" s="158" t="inlineStr">
        <is>
          <t>MATERIALES</t>
        </is>
      </c>
      <c r="G262" s="158" t="inlineStr">
        <is>
          <t>CONCRETOS CEMENTOS Y MORTEROS</t>
        </is>
      </c>
    </row>
    <row r="263">
      <c r="A263" s="159" t="n"/>
      <c r="B263" s="158" t="inlineStr">
        <is>
          <t>MAT04-0025</t>
        </is>
      </c>
      <c r="C263" s="558" t="inlineStr">
        <is>
          <t>0104-0025</t>
        </is>
      </c>
      <c r="D263" s="158" t="inlineStr">
        <is>
          <t>FRAGUA PORCELANA PERMACOLOR 2689</t>
        </is>
      </c>
      <c r="E263" s="158" t="inlineStr">
        <is>
          <t>UND</t>
        </is>
      </c>
      <c r="F263" s="158" t="inlineStr">
        <is>
          <t>MATERIALES</t>
        </is>
      </c>
      <c r="G263" s="158" t="inlineStr">
        <is>
          <t>CONCRETOS CEMENTOS Y MORTEROS</t>
        </is>
      </c>
    </row>
    <row r="264">
      <c r="A264" s="159" t="n"/>
      <c r="B264" s="158" t="inlineStr">
        <is>
          <t>MAT04-0026</t>
        </is>
      </c>
      <c r="C264" s="558" t="inlineStr">
        <is>
          <t>0104-0026</t>
        </is>
      </c>
      <c r="D264" s="158" t="inlineStr">
        <is>
          <t>FRAGUA BASE PERMACOLOR</t>
        </is>
      </c>
      <c r="E264" s="158" t="inlineStr">
        <is>
          <t>UND</t>
        </is>
      </c>
      <c r="F264" s="158" t="inlineStr">
        <is>
          <t>MATERIALES</t>
        </is>
      </c>
      <c r="G264" s="158" t="inlineStr">
        <is>
          <t>CONCRETOS CEMENTOS Y MORTEROS</t>
        </is>
      </c>
    </row>
    <row r="265">
      <c r="A265" s="159" t="n"/>
      <c r="B265" s="158" t="inlineStr">
        <is>
          <t>MAT04-0027</t>
        </is>
      </c>
      <c r="C265" s="558" t="inlineStr">
        <is>
          <t>0104-0027</t>
        </is>
      </c>
      <c r="D265" s="158" t="inlineStr">
        <is>
          <t>REPELLO FINO GRIS MPR 140M SUR</t>
        </is>
      </c>
      <c r="E265" s="158" t="inlineStr">
        <is>
          <t>UND</t>
        </is>
      </c>
      <c r="F265" s="158" t="inlineStr">
        <is>
          <t>MATERIALES</t>
        </is>
      </c>
      <c r="G265" s="158" t="inlineStr">
        <is>
          <t>CONCRETOS CEMENTOS Y MORTEROS</t>
        </is>
      </c>
    </row>
    <row r="266">
      <c r="A266" s="159" t="n"/>
      <c r="B266" s="158" t="inlineStr">
        <is>
          <t>MAT04-0028</t>
        </is>
      </c>
      <c r="C266" s="558" t="inlineStr">
        <is>
          <t>0104-0028</t>
        </is>
      </c>
      <c r="D266" s="158" t="inlineStr">
        <is>
          <t>MURO SECO BLANCO 150 MPR SUR</t>
        </is>
      </c>
      <c r="E266" s="158" t="inlineStr">
        <is>
          <t>UND</t>
        </is>
      </c>
      <c r="F266" s="158" t="inlineStr">
        <is>
          <t>MATERIALES</t>
        </is>
      </c>
      <c r="G266" s="158" t="inlineStr">
        <is>
          <t>CONCRETOS CEMENTOS Y MORTEROS</t>
        </is>
      </c>
    </row>
    <row r="267">
      <c r="A267" s="159" t="n"/>
      <c r="B267" s="158" t="inlineStr">
        <is>
          <t>MAT04-0029</t>
        </is>
      </c>
      <c r="C267" s="558" t="inlineStr">
        <is>
          <t>0104-0029</t>
        </is>
      </c>
      <c r="D267" s="158" t="inlineStr">
        <is>
          <t>MORTERO DE ACABADO BLANCO MD450 SUR</t>
        </is>
      </c>
      <c r="E267" s="158" t="inlineStr">
        <is>
          <t>UND</t>
        </is>
      </c>
      <c r="F267" s="158" t="inlineStr">
        <is>
          <t>MATERIALES</t>
        </is>
      </c>
      <c r="G267" s="158" t="inlineStr">
        <is>
          <t>CONCRETOS CEMENTOS Y MORTEROS</t>
        </is>
      </c>
    </row>
    <row r="268">
      <c r="A268" s="159" t="n"/>
      <c r="B268" s="158" t="inlineStr">
        <is>
          <t>MAT04-0030</t>
        </is>
      </c>
      <c r="C268" s="558" t="inlineStr">
        <is>
          <t>0104-0030</t>
        </is>
      </c>
      <c r="D268" s="158" t="inlineStr">
        <is>
          <t>MORTERO ADHESIVO PLUS UG780 SUR</t>
        </is>
      </c>
      <c r="E268" s="158" t="inlineStr">
        <is>
          <t>UND</t>
        </is>
      </c>
      <c r="F268" s="158" t="inlineStr">
        <is>
          <t>MATERIALES</t>
        </is>
      </c>
      <c r="G268" s="158" t="inlineStr">
        <is>
          <t>CONCRETOS CEMENTOS Y MORTEROS</t>
        </is>
      </c>
    </row>
    <row r="269">
      <c r="A269" s="159" t="n"/>
      <c r="B269" s="158" t="inlineStr">
        <is>
          <t>MAT04-0031</t>
        </is>
      </c>
      <c r="C269" s="558" t="inlineStr">
        <is>
          <t>0104-0031</t>
        </is>
      </c>
      <c r="D269" s="158" t="inlineStr">
        <is>
          <t>FIBRA DE VIDRIO 12.40KG</t>
        </is>
      </c>
      <c r="E269" s="158" t="inlineStr">
        <is>
          <t>SACO</t>
        </is>
      </c>
      <c r="F269" s="158" t="inlineStr">
        <is>
          <t>MATERIALES</t>
        </is>
      </c>
      <c r="G269" s="158" t="inlineStr">
        <is>
          <t>CONCRETOS CEMENTOS Y MORTEROS</t>
        </is>
      </c>
    </row>
    <row r="270">
      <c r="A270" s="159" t="n"/>
      <c r="B270" s="158" t="inlineStr">
        <is>
          <t>MAT04-0032</t>
        </is>
      </c>
      <c r="C270" s="558" t="inlineStr">
        <is>
          <t>0104-0032</t>
        </is>
      </c>
      <c r="D270" s="158" t="inlineStr">
        <is>
          <t>FRAGUA CON ARENA</t>
        </is>
      </c>
      <c r="E270" s="158" t="inlineStr">
        <is>
          <t>UND</t>
        </is>
      </c>
      <c r="F270" s="158" t="inlineStr">
        <is>
          <t>MATERIALES</t>
        </is>
      </c>
      <c r="G270" s="158" t="inlineStr">
        <is>
          <t>CONCRETOS CEMENTOS Y MORTEROS</t>
        </is>
      </c>
    </row>
    <row r="271">
      <c r="A271" s="159" t="n"/>
      <c r="B271" s="158" t="inlineStr">
        <is>
          <t>MAT04-0033</t>
        </is>
      </c>
      <c r="C271" s="558" t="inlineStr">
        <is>
          <t>0104-0033</t>
        </is>
      </c>
      <c r="D271" s="158" t="inlineStr">
        <is>
          <t>MURO SECO FIBROCENTRO 30KG</t>
        </is>
      </c>
      <c r="E271" s="158" t="inlineStr">
        <is>
          <t>UND</t>
        </is>
      </c>
      <c r="F271" s="158" t="inlineStr">
        <is>
          <t>MATERIALES</t>
        </is>
      </c>
      <c r="G271" s="158" t="inlineStr">
        <is>
          <t>CONCRETOS CEMENTOS Y MORTEROS</t>
        </is>
      </c>
    </row>
    <row r="272">
      <c r="A272" s="159" t="n"/>
      <c r="B272" s="158" t="inlineStr">
        <is>
          <t>MAT04-0034</t>
        </is>
      </c>
      <c r="C272" s="558" t="inlineStr">
        <is>
          <t>0104-0034</t>
        </is>
      </c>
      <c r="D272" s="158" t="inlineStr">
        <is>
          <t>MORTERO PEGACERAMICA LATICRETE 307</t>
        </is>
      </c>
      <c r="E272" s="158" t="inlineStr">
        <is>
          <t>UND</t>
        </is>
      </c>
      <c r="F272" s="158" t="inlineStr">
        <is>
          <t>MATERIALES</t>
        </is>
      </c>
      <c r="G272" s="158" t="inlineStr">
        <is>
          <t>CONCRETOS CEMENTOS Y MORTEROS</t>
        </is>
      </c>
    </row>
    <row r="273">
      <c r="A273" s="159" t="n"/>
      <c r="B273" s="158" t="inlineStr">
        <is>
          <t>MAT04-0035</t>
        </is>
      </c>
      <c r="C273" s="558" t="inlineStr">
        <is>
          <t>0104-0035</t>
        </is>
      </c>
      <c r="D273" s="158" t="inlineStr">
        <is>
          <t>BLOCK 12x20x40</t>
        </is>
      </c>
      <c r="E273" s="158" t="inlineStr">
        <is>
          <t>UND</t>
        </is>
      </c>
      <c r="F273" s="158" t="inlineStr">
        <is>
          <t>MATERIALES</t>
        </is>
      </c>
      <c r="G273" s="158" t="inlineStr">
        <is>
          <t>CONCRETOS CEMENTOS Y MORTEROS</t>
        </is>
      </c>
    </row>
    <row r="274">
      <c r="A274" s="159" t="n"/>
      <c r="B274" s="158" t="inlineStr">
        <is>
          <t>MAT04-0036</t>
        </is>
      </c>
      <c r="C274" s="558" t="inlineStr">
        <is>
          <t>0104-0036</t>
        </is>
      </c>
      <c r="D274" s="158" t="inlineStr">
        <is>
          <t>MORTERO FINO FIBROCENTRO 30KG</t>
        </is>
      </c>
      <c r="E274" s="158" t="inlineStr">
        <is>
          <t>SACO</t>
        </is>
      </c>
      <c r="F274" s="158" t="inlineStr">
        <is>
          <t>MATERIALES</t>
        </is>
      </c>
      <c r="G274" s="158" t="inlineStr">
        <is>
          <t>CONCRETOS CEMENTOS Y MORTEROS</t>
        </is>
      </c>
    </row>
    <row r="275">
      <c r="A275" s="159" t="n"/>
      <c r="B275" s="158" t="inlineStr">
        <is>
          <t>MAT04-0037</t>
        </is>
      </c>
      <c r="C275" s="558" t="inlineStr">
        <is>
          <t>0104-0037</t>
        </is>
      </c>
      <c r="D275" s="158" t="inlineStr">
        <is>
          <t>COLUMNA EN L PREABRICADA</t>
        </is>
      </c>
      <c r="E275" s="158" t="inlineStr">
        <is>
          <t>UND</t>
        </is>
      </c>
      <c r="F275" s="158" t="inlineStr">
        <is>
          <t>MATERIALES</t>
        </is>
      </c>
      <c r="G275" s="158" t="inlineStr">
        <is>
          <t>CONCRETOS CEMENTOS Y MORTEROS</t>
        </is>
      </c>
    </row>
    <row r="276">
      <c r="A276" s="159" t="n"/>
      <c r="B276" s="158" t="inlineStr">
        <is>
          <t>MAT04-0038</t>
        </is>
      </c>
      <c r="C276" s="558" t="inlineStr">
        <is>
          <t>0104-0038</t>
        </is>
      </c>
      <c r="D276" s="158" t="inlineStr">
        <is>
          <t>FRAGUA PORCELANA STARLING SILVER</t>
        </is>
      </c>
      <c r="E276" s="158" t="inlineStr">
        <is>
          <t>UND</t>
        </is>
      </c>
      <c r="F276" s="158" t="inlineStr">
        <is>
          <t>MATERIALES</t>
        </is>
      </c>
      <c r="G276" s="158" t="inlineStr">
        <is>
          <t>CONCRETOS CEMENTOS Y MORTEROS</t>
        </is>
      </c>
    </row>
    <row r="277">
      <c r="A277" s="159" t="n"/>
      <c r="B277" s="158" t="inlineStr">
        <is>
          <t>MAT04-0039</t>
        </is>
      </c>
      <c r="C277" s="558" t="inlineStr">
        <is>
          <t>0104-0039</t>
        </is>
      </c>
      <c r="D277" s="158" t="inlineStr">
        <is>
          <t>NIVELANTE DE PISO</t>
        </is>
      </c>
      <c r="E277" s="158" t="inlineStr">
        <is>
          <t>SACO</t>
        </is>
      </c>
      <c r="F277" s="158" t="inlineStr">
        <is>
          <t>MATERIALES</t>
        </is>
      </c>
      <c r="G277" s="158" t="inlineStr">
        <is>
          <t>CONCRETOS CEMENTOS Y MORTEROS</t>
        </is>
      </c>
    </row>
    <row r="278">
      <c r="A278" s="159" t="n"/>
      <c r="B278" s="158" t="inlineStr">
        <is>
          <t>MAT04-0040</t>
        </is>
      </c>
      <c r="C278" s="558" t="inlineStr">
        <is>
          <t>0104-0040</t>
        </is>
      </c>
      <c r="D278" s="158" t="inlineStr">
        <is>
          <t>PEGA BLOCK TIPO N INTACO</t>
        </is>
      </c>
      <c r="E278" s="158" t="inlineStr">
        <is>
          <t>SACO</t>
        </is>
      </c>
      <c r="F278" s="158" t="inlineStr">
        <is>
          <t>MATERIALES</t>
        </is>
      </c>
      <c r="G278" s="158" t="inlineStr">
        <is>
          <t>CONCRETOS CEMENTOS Y MORTEROS</t>
        </is>
      </c>
    </row>
    <row r="279">
      <c r="A279" s="159" t="n"/>
      <c r="B279" s="158" t="inlineStr">
        <is>
          <t>MAT04-0041</t>
        </is>
      </c>
      <c r="C279" s="558" t="inlineStr">
        <is>
          <t>0104-0041</t>
        </is>
      </c>
      <c r="D279" s="158" t="inlineStr">
        <is>
          <t>MORTERO 272 LATICRETE</t>
        </is>
      </c>
      <c r="E279" s="158" t="inlineStr">
        <is>
          <t>SACO</t>
        </is>
      </c>
      <c r="F279" s="158" t="inlineStr">
        <is>
          <t>MATERIALES</t>
        </is>
      </c>
      <c r="G279" s="158" t="inlineStr">
        <is>
          <t>CONCRETOS CEMENTOS Y MORTEROS</t>
        </is>
      </c>
    </row>
    <row r="280">
      <c r="A280" s="159" t="n"/>
      <c r="B280" s="158" t="inlineStr">
        <is>
          <t>MAT04-0042</t>
        </is>
      </c>
      <c r="C280" s="558" t="inlineStr">
        <is>
          <t>0104-0042</t>
        </is>
      </c>
      <c r="D280" s="158" t="inlineStr">
        <is>
          <t>MAXISEAL PLUS BLANCO</t>
        </is>
      </c>
      <c r="E280" s="158" t="inlineStr">
        <is>
          <t>SACO</t>
        </is>
      </c>
      <c r="F280" s="158" t="inlineStr">
        <is>
          <t>MATERIALES</t>
        </is>
      </c>
      <c r="G280" s="158" t="inlineStr">
        <is>
          <t>CONCRETOS CEMENTOS Y MORTEROS</t>
        </is>
      </c>
    </row>
    <row r="281">
      <c r="A281" s="159" t="n"/>
      <c r="B281" s="158" t="inlineStr">
        <is>
          <t>MAT04-0043</t>
        </is>
      </c>
      <c r="C281" s="558" t="inlineStr">
        <is>
          <t>0104-0043</t>
        </is>
      </c>
      <c r="D281" s="158" t="inlineStr">
        <is>
          <t>CONCREMIX</t>
        </is>
      </c>
      <c r="E281" s="158" t="inlineStr">
        <is>
          <t>UND</t>
        </is>
      </c>
      <c r="F281" s="158" t="inlineStr">
        <is>
          <t>MATERIALES</t>
        </is>
      </c>
      <c r="G281" s="158" t="inlineStr">
        <is>
          <t>CONCRETOS CEMENTOS Y MORTEROS</t>
        </is>
      </c>
    </row>
    <row r="282">
      <c r="A282" s="159" t="n"/>
      <c r="B282" s="158" t="inlineStr">
        <is>
          <t>MAT04-0044</t>
        </is>
      </c>
      <c r="C282" s="558" t="inlineStr">
        <is>
          <t>0104-0044</t>
        </is>
      </c>
      <c r="D282" s="158" t="inlineStr">
        <is>
          <t>MORTERO REPEMAX PROYECTABLE 40KG</t>
        </is>
      </c>
      <c r="E282" s="158" t="inlineStr">
        <is>
          <t>SACO</t>
        </is>
      </c>
      <c r="F282" s="158" t="inlineStr">
        <is>
          <t>MATERIALES</t>
        </is>
      </c>
      <c r="G282" s="158" t="inlineStr">
        <is>
          <t>CONCRETOS CEMENTOS Y MORTEROS</t>
        </is>
      </c>
    </row>
    <row r="283">
      <c r="A283" s="159" t="n"/>
      <c r="B283" s="158" t="inlineStr">
        <is>
          <t>MAT04-0045</t>
        </is>
      </c>
      <c r="C283" s="558" t="inlineStr">
        <is>
          <t>0104-0045</t>
        </is>
      </c>
      <c r="D283" s="158" t="inlineStr">
        <is>
          <t>MORTERO REPEMAX CAPA GRUESA 40KG</t>
        </is>
      </c>
      <c r="E283" s="158" t="inlineStr">
        <is>
          <t>SACO</t>
        </is>
      </c>
      <c r="F283" s="158" t="inlineStr">
        <is>
          <t>MATERIALES</t>
        </is>
      </c>
      <c r="G283" s="158" t="inlineStr">
        <is>
          <t>CONCRETOS CEMENTOS Y MORTEROS</t>
        </is>
      </c>
    </row>
    <row r="284">
      <c r="A284" s="159" t="n"/>
      <c r="B284" s="158" t="inlineStr">
        <is>
          <t>MAT04-0046</t>
        </is>
      </c>
      <c r="C284" s="558" t="inlineStr">
        <is>
          <t>0104-0046</t>
        </is>
      </c>
      <c r="D284" s="158" t="inlineStr">
        <is>
          <t>MORTERO REPEMAX MURO SECO BASE COAT 25KG</t>
        </is>
      </c>
      <c r="E284" s="158" t="inlineStr">
        <is>
          <t>SACO</t>
        </is>
      </c>
      <c r="F284" s="158" t="inlineStr">
        <is>
          <t>MATERIALES</t>
        </is>
      </c>
      <c r="G284" s="158" t="inlineStr">
        <is>
          <t>CONCRETOS CEMENTOS Y MORTEROS</t>
        </is>
      </c>
    </row>
    <row r="285">
      <c r="A285" s="159" t="n"/>
      <c r="B285" s="158" t="inlineStr">
        <is>
          <t>MAT04-0047</t>
        </is>
      </c>
      <c r="C285" s="558" t="inlineStr">
        <is>
          <t>0104-0047</t>
        </is>
      </c>
      <c r="D285" s="158" t="inlineStr">
        <is>
          <t>MAXIEMPASTE LISO 25KG</t>
        </is>
      </c>
      <c r="E285" s="158" t="inlineStr">
        <is>
          <t>SACO</t>
        </is>
      </c>
      <c r="F285" s="158" t="inlineStr">
        <is>
          <t>MATERIALES</t>
        </is>
      </c>
      <c r="G285" s="158" t="inlineStr">
        <is>
          <t>CONCRETOS CEMENTOS Y MORTEROS</t>
        </is>
      </c>
    </row>
    <row r="286">
      <c r="A286" s="159" t="n"/>
      <c r="B286" s="158" t="inlineStr">
        <is>
          <t>MAT04-0048</t>
        </is>
      </c>
      <c r="C286" s="558" t="inlineStr">
        <is>
          <t>0104-0048</t>
        </is>
      </c>
      <c r="D286" s="158" t="inlineStr">
        <is>
          <t>MAXIEMPASTE EXTRA LISO 18KG</t>
        </is>
      </c>
      <c r="E286" s="158" t="inlineStr">
        <is>
          <t>SACO</t>
        </is>
      </c>
      <c r="F286" s="158" t="inlineStr">
        <is>
          <t>MATERIALES</t>
        </is>
      </c>
      <c r="G286" s="158" t="inlineStr">
        <is>
          <t>CONCRETOS CEMENTOS Y MORTEROS</t>
        </is>
      </c>
    </row>
    <row r="287">
      <c r="A287" s="159" t="n"/>
      <c r="B287" s="158" t="inlineStr">
        <is>
          <t>MAT04-0049</t>
        </is>
      </c>
      <c r="C287" s="558" t="inlineStr">
        <is>
          <t>0104-0049</t>
        </is>
      </c>
      <c r="D287" s="158" t="inlineStr">
        <is>
          <t>COLUMNA L PREFABRICADA 3.80M</t>
        </is>
      </c>
      <c r="E287" s="158" t="inlineStr">
        <is>
          <t>UND</t>
        </is>
      </c>
      <c r="F287" s="158" t="inlineStr">
        <is>
          <t>MATERIALES</t>
        </is>
      </c>
      <c r="G287" s="158" t="inlineStr">
        <is>
          <t>CONCRETOS CEMENTOS Y MORTEROS</t>
        </is>
      </c>
    </row>
    <row r="288">
      <c r="A288" s="159" t="n"/>
      <c r="B288" s="158" t="inlineStr">
        <is>
          <t>MAT04-0050</t>
        </is>
      </c>
      <c r="C288" s="558" t="inlineStr">
        <is>
          <t>0104-0050</t>
        </is>
      </c>
      <c r="D288" s="158" t="inlineStr">
        <is>
          <t>COLUMNA E PREFABRICADA 3.80M</t>
        </is>
      </c>
      <c r="E288" s="158" t="inlineStr">
        <is>
          <t>UND</t>
        </is>
      </c>
      <c r="F288" s="158" t="inlineStr">
        <is>
          <t>MATERIALES</t>
        </is>
      </c>
      <c r="G288" s="158" t="inlineStr">
        <is>
          <t>CONCRETOS CEMENTOS Y MORTEROS</t>
        </is>
      </c>
    </row>
    <row r="289">
      <c r="A289" s="159" t="n"/>
      <c r="B289" s="158" t="inlineStr">
        <is>
          <t>MAT04-0051</t>
        </is>
      </c>
      <c r="C289" s="558" t="inlineStr">
        <is>
          <t>0104-0051</t>
        </is>
      </c>
      <c r="D289" s="158" t="inlineStr">
        <is>
          <t>MINIMO CONCRETO</t>
        </is>
      </c>
      <c r="E289" s="158" t="inlineStr">
        <is>
          <t>M3</t>
        </is>
      </c>
      <c r="F289" s="158" t="inlineStr">
        <is>
          <t>MATERIALES</t>
        </is>
      </c>
      <c r="G289" s="158" t="inlineStr">
        <is>
          <t>CONCRETOS CEMENTOS Y MORTEROS</t>
        </is>
      </c>
    </row>
    <row r="290">
      <c r="A290" s="159" t="n"/>
      <c r="B290" s="158" t="inlineStr">
        <is>
          <t>MAT04-0052</t>
        </is>
      </c>
      <c r="C290" s="558" t="inlineStr">
        <is>
          <t>0104-0052</t>
        </is>
      </c>
      <c r="D290" s="158" t="inlineStr">
        <is>
          <t>BALDOSA LISA 2M LARGO</t>
        </is>
      </c>
      <c r="E290" s="158" t="inlineStr">
        <is>
          <t>UND</t>
        </is>
      </c>
      <c r="F290" s="158" t="inlineStr">
        <is>
          <t>MATERIALES</t>
        </is>
      </c>
      <c r="G290" s="158" t="inlineStr">
        <is>
          <t>CONCRETOS CEMENTOS Y MORTEROS</t>
        </is>
      </c>
    </row>
    <row r="291">
      <c r="A291" s="159" t="n"/>
      <c r="B291" s="158" t="inlineStr">
        <is>
          <t>MAT04-0053</t>
        </is>
      </c>
      <c r="C291" s="558" t="inlineStr">
        <is>
          <t>0104-0053</t>
        </is>
      </c>
      <c r="D291" s="158" t="inlineStr">
        <is>
          <t>MAXIPATCH 100</t>
        </is>
      </c>
      <c r="E291" s="158" t="inlineStr">
        <is>
          <t>SACO</t>
        </is>
      </c>
      <c r="F291" s="158" t="inlineStr">
        <is>
          <t>MATERIALES</t>
        </is>
      </c>
      <c r="G291" s="158" t="inlineStr">
        <is>
          <t>CONCRETOS CEMENTOS Y MORTEROS</t>
        </is>
      </c>
    </row>
    <row r="292">
      <c r="A292" s="159" t="n"/>
      <c r="B292" s="158" t="inlineStr">
        <is>
          <t>MAT04-0054</t>
        </is>
      </c>
      <c r="C292" s="558" t="inlineStr">
        <is>
          <t>0104-0054</t>
        </is>
      </c>
      <c r="D292" s="158" t="inlineStr">
        <is>
          <t>PEGA CERAMICA STANDARD INTACO</t>
        </is>
      </c>
      <c r="E292" s="158" t="inlineStr">
        <is>
          <t>SACO</t>
        </is>
      </c>
      <c r="F292" s="158" t="inlineStr">
        <is>
          <t>MATERIALES</t>
        </is>
      </c>
      <c r="G292" s="158" t="inlineStr">
        <is>
          <t>CONCRETOS CEMENTOS Y MORTEROS</t>
        </is>
      </c>
    </row>
    <row r="293">
      <c r="A293" s="159" t="n"/>
      <c r="B293" s="158" t="inlineStr">
        <is>
          <t>MAT04-0055</t>
        </is>
      </c>
      <c r="C293" s="558" t="inlineStr">
        <is>
          <t>0104-0055</t>
        </is>
      </c>
      <c r="D293" s="158" t="inlineStr">
        <is>
          <t>PEGA CERAMICA PLUS MAYIST</t>
        </is>
      </c>
      <c r="E293" s="158" t="inlineStr">
        <is>
          <t>SACO</t>
        </is>
      </c>
      <c r="F293" s="158" t="inlineStr">
        <is>
          <t>MATERIALES</t>
        </is>
      </c>
      <c r="G293" s="158" t="inlineStr">
        <is>
          <t>CONCRETOS CEMENTOS Y MORTEROS</t>
        </is>
      </c>
    </row>
    <row r="294">
      <c r="A294" s="159" t="n"/>
      <c r="B294" s="158" t="inlineStr">
        <is>
          <t>MAT04-0056</t>
        </is>
      </c>
      <c r="C294" s="558" t="inlineStr">
        <is>
          <t>0104-0056</t>
        </is>
      </c>
      <c r="D294" s="158" t="inlineStr">
        <is>
          <t>BLOCK 15x20x40</t>
        </is>
      </c>
      <c r="E294" s="158" t="inlineStr">
        <is>
          <t>UND</t>
        </is>
      </c>
      <c r="F294" s="158" t="inlineStr">
        <is>
          <t>MATERIALES</t>
        </is>
      </c>
      <c r="G294" s="158" t="inlineStr">
        <is>
          <t>CONCRETOS CEMENTOS Y MORTEROS</t>
        </is>
      </c>
    </row>
    <row r="295">
      <c r="A295" s="159" t="n"/>
      <c r="B295" s="158" t="inlineStr">
        <is>
          <t>MAT04-0057</t>
        </is>
      </c>
      <c r="C295" s="558" t="inlineStr">
        <is>
          <t>0104-0057</t>
        </is>
      </c>
      <c r="D295" s="158" t="inlineStr">
        <is>
          <t>TAPIA PREFABRICADA (3.80M)</t>
        </is>
      </c>
      <c r="E295" s="158" t="inlineStr">
        <is>
          <t>M</t>
        </is>
      </c>
      <c r="F295" s="158" t="inlineStr">
        <is>
          <t>MATERIALES</t>
        </is>
      </c>
      <c r="G295" s="158" t="inlineStr">
        <is>
          <t>CONCRETOS CEMENTOS Y MORTEROS</t>
        </is>
      </c>
    </row>
    <row r="296">
      <c r="A296" s="159" t="n"/>
      <c r="B296" s="158" t="inlineStr">
        <is>
          <t>MAT04-0058</t>
        </is>
      </c>
      <c r="C296" s="558" t="inlineStr">
        <is>
          <t>0104-0058</t>
        </is>
      </c>
      <c r="D296" s="158" t="inlineStr">
        <is>
          <t>FRAGUA LATICRETE</t>
        </is>
      </c>
      <c r="E296" s="158" t="inlineStr">
        <is>
          <t>SACO</t>
        </is>
      </c>
      <c r="F296" s="158" t="inlineStr">
        <is>
          <t>MATERIALES</t>
        </is>
      </c>
      <c r="G296" s="158" t="inlineStr">
        <is>
          <t>CONCRETOS CEMENTOS Y MORTEROS</t>
        </is>
      </c>
    </row>
    <row r="297">
      <c r="A297" s="159" t="n"/>
      <c r="B297" s="158" t="inlineStr">
        <is>
          <t>MAT04-0059</t>
        </is>
      </c>
      <c r="C297" s="558" t="inlineStr">
        <is>
          <t>0104-0059</t>
        </is>
      </c>
      <c r="D297" s="158" t="inlineStr">
        <is>
          <t>ADOQUIN 6x10x20</t>
        </is>
      </c>
      <c r="E297" s="158" t="inlineStr">
        <is>
          <t>UND</t>
        </is>
      </c>
      <c r="F297" s="158" t="inlineStr">
        <is>
          <t>MATERIALES</t>
        </is>
      </c>
      <c r="G297" s="158" t="inlineStr">
        <is>
          <t>CONCRETOS CEMENTOS Y MORTEROS</t>
        </is>
      </c>
    </row>
    <row r="298">
      <c r="A298" s="159" t="n"/>
      <c r="B298" s="158" t="inlineStr">
        <is>
          <t>MAT04-0060</t>
        </is>
      </c>
      <c r="C298" s="558" t="inlineStr">
        <is>
          <t>0104-0060</t>
        </is>
      </c>
      <c r="D298" s="158" t="inlineStr">
        <is>
          <t>CEMENTO INDUSTRIAL</t>
        </is>
      </c>
      <c r="E298" s="158" t="inlineStr">
        <is>
          <t>TON</t>
        </is>
      </c>
      <c r="F298" s="158" t="inlineStr">
        <is>
          <t>MATERIALES</t>
        </is>
      </c>
      <c r="G298" s="158" t="inlineStr">
        <is>
          <t>CONCRETOS CEMENTOS Y MORTEROS</t>
        </is>
      </c>
    </row>
    <row r="299">
      <c r="A299" s="159" t="n"/>
      <c r="B299" s="158" t="inlineStr">
        <is>
          <t>MAT04-0061</t>
        </is>
      </c>
      <c r="C299" s="558" t="inlineStr">
        <is>
          <t>0104-0061</t>
        </is>
      </c>
      <c r="D299" s="158" t="inlineStr">
        <is>
          <t>FIBRA DE VIDRIO</t>
        </is>
      </c>
      <c r="E299" s="158" t="inlineStr">
        <is>
          <t>KG</t>
        </is>
      </c>
      <c r="F299" s="158" t="inlineStr">
        <is>
          <t>MATERIALES</t>
        </is>
      </c>
      <c r="G299" s="158" t="inlineStr">
        <is>
          <t>CONCRETOS CEMENTOS Y MORTEROS</t>
        </is>
      </c>
    </row>
    <row r="300">
      <c r="A300" s="159" t="n"/>
      <c r="B300" s="158" t="inlineStr">
        <is>
          <t>MAT04-0062</t>
        </is>
      </c>
      <c r="C300" s="558" t="inlineStr">
        <is>
          <t>0104-0062</t>
        </is>
      </c>
      <c r="D300" s="158" t="inlineStr">
        <is>
          <t>CEMENTO INDUSTRIAL</t>
        </is>
      </c>
      <c r="E300" s="158" t="inlineStr">
        <is>
          <t>KG</t>
        </is>
      </c>
      <c r="F300" s="158" t="inlineStr">
        <is>
          <t>MATERIALES</t>
        </is>
      </c>
      <c r="G300" s="158" t="inlineStr">
        <is>
          <t>CONCRETOS CEMENTOS Y MORTEROS</t>
        </is>
      </c>
    </row>
    <row r="301">
      <c r="A301" s="159" t="n"/>
      <c r="B301" s="158" t="inlineStr">
        <is>
          <t>MAT04-0063</t>
        </is>
      </c>
      <c r="C301" s="558" t="inlineStr">
        <is>
          <t>0104-0063</t>
        </is>
      </c>
      <c r="D301" s="158" t="inlineStr">
        <is>
          <t>MAXIBED</t>
        </is>
      </c>
      <c r="E301" s="158" t="inlineStr">
        <is>
          <t>SACO</t>
        </is>
      </c>
      <c r="F301" s="158" t="inlineStr">
        <is>
          <t>MATERIALES</t>
        </is>
      </c>
      <c r="G301" s="158" t="inlineStr">
        <is>
          <t>CONCRETOS CEMENTOS Y MORTEROS</t>
        </is>
      </c>
    </row>
    <row r="302">
      <c r="A302" s="159" t="n"/>
      <c r="B302" s="158" t="inlineStr">
        <is>
          <t>MAT04-0064</t>
        </is>
      </c>
      <c r="C302" s="558" t="inlineStr">
        <is>
          <t>0104-0064</t>
        </is>
      </c>
      <c r="D302" s="158" t="inlineStr">
        <is>
          <t>CONCRETO 105 KG/CM2</t>
        </is>
      </c>
      <c r="E302" s="158" t="inlineStr">
        <is>
          <t>M3</t>
        </is>
      </c>
      <c r="F302" s="158" t="inlineStr">
        <is>
          <t>MATERIALES</t>
        </is>
      </c>
      <c r="G302" s="158" t="n"/>
    </row>
    <row r="303">
      <c r="A303" s="159" t="n"/>
      <c r="B303" s="158" t="inlineStr">
        <is>
          <t>MAT04-0065</t>
        </is>
      </c>
      <c r="C303" s="558" t="inlineStr">
        <is>
          <t>0104-0065</t>
        </is>
      </c>
      <c r="D303" s="158" t="inlineStr">
        <is>
          <t>EMPASTE CEMENTICIO GRIS CEMEX 20KG</t>
        </is>
      </c>
      <c r="E303" s="158" t="inlineStr">
        <is>
          <t>SACO</t>
        </is>
      </c>
      <c r="F303" s="158" t="inlineStr">
        <is>
          <t>MATERIALES</t>
        </is>
      </c>
      <c r="G303" s="158" t="inlineStr">
        <is>
          <t>CONCRETOS CEMENTOS Y MORTEROS</t>
        </is>
      </c>
    </row>
    <row r="304">
      <c r="A304" s="159" t="n"/>
      <c r="B304" s="158" t="inlineStr">
        <is>
          <t>MAT04-0066</t>
        </is>
      </c>
      <c r="C304" s="558" t="inlineStr">
        <is>
          <t>0104-0066</t>
        </is>
      </c>
      <c r="D304" s="158" t="inlineStr">
        <is>
          <t>CONCRETO FC 280 KG/CM2</t>
        </is>
      </c>
      <c r="E304" s="158" t="inlineStr">
        <is>
          <t>M3</t>
        </is>
      </c>
      <c r="F304" s="158" t="inlineStr">
        <is>
          <t>MATERIALES</t>
        </is>
      </c>
      <c r="G304" s="158" t="inlineStr">
        <is>
          <t>CONCRETOS CEMENTOS Y MORTEROS</t>
        </is>
      </c>
    </row>
    <row r="305">
      <c r="A305" s="159" t="n"/>
      <c r="B305" s="158" t="inlineStr">
        <is>
          <t>MAT04-0067</t>
        </is>
      </c>
      <c r="C305" s="558" t="inlineStr">
        <is>
          <t>0104-0067</t>
        </is>
      </c>
      <c r="D305" s="158" t="inlineStr">
        <is>
          <t>REPELLO GRUESO REPEMAX INTACO 40K</t>
        </is>
      </c>
      <c r="E305" s="158" t="inlineStr">
        <is>
          <t>SACO</t>
        </is>
      </c>
      <c r="F305" s="158" t="inlineStr">
        <is>
          <t>MATERIALES</t>
        </is>
      </c>
      <c r="G305" s="158" t="inlineStr">
        <is>
          <t>CONCRETOS CEMENTOS Y MORTEROS</t>
        </is>
      </c>
    </row>
    <row r="306">
      <c r="A306" s="159" t="n"/>
      <c r="B306" s="158" t="inlineStr">
        <is>
          <t>MAT04-0068</t>
        </is>
      </c>
      <c r="C306" s="558" t="inlineStr">
        <is>
          <t>0104-0068</t>
        </is>
      </c>
      <c r="D306" s="158" t="inlineStr">
        <is>
          <t>REPELLO EXTRA FINO GRIS MORCEMSEC</t>
        </is>
      </c>
      <c r="E306" s="158" t="inlineStr">
        <is>
          <t>SACO</t>
        </is>
      </c>
      <c r="F306" s="158" t="inlineStr">
        <is>
          <t>MATERIALES</t>
        </is>
      </c>
      <c r="G306" s="158" t="inlineStr">
        <is>
          <t>CONCRETOS CEMENTOS Y MORTEROS</t>
        </is>
      </c>
    </row>
    <row r="307">
      <c r="A307" s="159" t="n"/>
      <c r="B307" s="158" t="inlineStr">
        <is>
          <t>MAT04-0069</t>
        </is>
      </c>
      <c r="C307" s="558" t="inlineStr">
        <is>
          <t>0104-0069</t>
        </is>
      </c>
      <c r="D307" s="158" t="inlineStr">
        <is>
          <t>REPEMAX CAPA FINA 50XA INTACO 40KG ALTA ADHERENCIA</t>
        </is>
      </c>
      <c r="E307" s="158" t="inlineStr">
        <is>
          <t>SACO</t>
        </is>
      </c>
      <c r="F307" s="158" t="inlineStr">
        <is>
          <t>MATERIALES</t>
        </is>
      </c>
      <c r="G307" s="158" t="inlineStr">
        <is>
          <t>CONCRETOS CEMENTOS Y MORTEROS</t>
        </is>
      </c>
    </row>
    <row r="308">
      <c r="A308" s="159" t="n"/>
      <c r="B308" s="158" t="inlineStr">
        <is>
          <t>MAT04-0070</t>
        </is>
      </c>
      <c r="C308" s="558" t="inlineStr">
        <is>
          <t>0104-0070</t>
        </is>
      </c>
      <c r="D308" s="158" t="inlineStr">
        <is>
          <t>CONCRETO EXPANSIVO</t>
        </is>
      </c>
      <c r="E308" s="158" t="inlineStr">
        <is>
          <t>SACO</t>
        </is>
      </c>
      <c r="F308" s="158" t="inlineStr">
        <is>
          <t>MATERIALES</t>
        </is>
      </c>
      <c r="G308" s="158" t="inlineStr">
        <is>
          <t>CONCRETOS CEMENTOS Y MORTEROS</t>
        </is>
      </c>
    </row>
    <row r="309">
      <c r="A309" s="159" t="n"/>
      <c r="B309" s="158" t="inlineStr">
        <is>
          <t>MAT04-0071</t>
        </is>
      </c>
      <c r="C309" s="558" t="inlineStr">
        <is>
          <t>0104-0071</t>
        </is>
      </c>
      <c r="D309" s="158" t="inlineStr">
        <is>
          <t>FRAGUA  ARTICA SIN ARENA</t>
        </is>
      </c>
      <c r="E309" s="158" t="inlineStr">
        <is>
          <t>BOLSA</t>
        </is>
      </c>
      <c r="F309" s="158" t="inlineStr">
        <is>
          <t>MATERIALES</t>
        </is>
      </c>
      <c r="G309" s="158" t="inlineStr">
        <is>
          <t>CONCRETOS CEMENTOS Y MORTEROS</t>
        </is>
      </c>
    </row>
    <row r="310">
      <c r="A310" s="159" t="n"/>
      <c r="B310" s="158" t="inlineStr">
        <is>
          <t>MAT04-0072</t>
        </is>
      </c>
      <c r="C310" s="558" t="inlineStr">
        <is>
          <t>0104-0072</t>
        </is>
      </c>
      <c r="D310" s="158" t="inlineStr">
        <is>
          <t>COLUMNA C PREFABRICADA 3.80M</t>
        </is>
      </c>
      <c r="E310" s="158" t="inlineStr">
        <is>
          <t>UND</t>
        </is>
      </c>
      <c r="F310" s="158" t="inlineStr">
        <is>
          <t>MATERIALES</t>
        </is>
      </c>
      <c r="G310" s="158" t="inlineStr">
        <is>
          <t>CONCRETOS CEMENTOS Y MORTEROS</t>
        </is>
      </c>
    </row>
    <row r="311">
      <c r="A311" s="159" t="n"/>
      <c r="B311" s="158" t="inlineStr">
        <is>
          <t>MAT04-0073</t>
        </is>
      </c>
      <c r="C311" s="558" t="inlineStr">
        <is>
          <t>0104-0073</t>
        </is>
      </c>
      <c r="D311" s="158" t="inlineStr">
        <is>
          <t>FIBRA DE CARBONO</t>
        </is>
      </c>
      <c r="E311" s="158" t="inlineStr">
        <is>
          <t>M3</t>
        </is>
      </c>
      <c r="F311" s="158" t="inlineStr">
        <is>
          <t>MATERIALES</t>
        </is>
      </c>
      <c r="G311" s="158" t="inlineStr">
        <is>
          <t>CONCRETOS CEMENTOS Y MORTEROS</t>
        </is>
      </c>
    </row>
    <row r="312">
      <c r="A312" s="159" t="n"/>
      <c r="B312" s="158" t="inlineStr">
        <is>
          <t>MAT04-0074</t>
        </is>
      </c>
      <c r="C312" s="558" t="inlineStr">
        <is>
          <t>0104-0074</t>
        </is>
      </c>
      <c r="D312" s="158" t="inlineStr">
        <is>
          <t>PEGAMENTO ORO KERMILL MPI 740</t>
        </is>
      </c>
      <c r="E312" s="158" t="inlineStr">
        <is>
          <t>SACO</t>
        </is>
      </c>
      <c r="F312" s="158" t="inlineStr">
        <is>
          <t>MATERIALES</t>
        </is>
      </c>
      <c r="G312" s="158" t="inlineStr">
        <is>
          <t>CONCRETOS CEMENTOS Y MORTEROS</t>
        </is>
      </c>
    </row>
    <row r="313">
      <c r="A313" s="159" t="n"/>
      <c r="B313" s="158" t="inlineStr">
        <is>
          <t>MAT04-0075</t>
        </is>
      </c>
      <c r="C313" s="558" t="inlineStr">
        <is>
          <t>0104-0075</t>
        </is>
      </c>
      <c r="D313" s="158" t="inlineStr">
        <is>
          <t>SIKA MONOROP 412 SM 25K</t>
        </is>
      </c>
      <c r="E313" s="158" t="inlineStr">
        <is>
          <t>SACO</t>
        </is>
      </c>
      <c r="F313" s="158" t="inlineStr">
        <is>
          <t>MATERIALES</t>
        </is>
      </c>
      <c r="G313" s="158" t="inlineStr">
        <is>
          <t>CONCRETOS CEMENTOS Y MORTEROS</t>
        </is>
      </c>
    </row>
    <row r="314">
      <c r="A314" s="159" t="n"/>
      <c r="B314" s="158" t="inlineStr">
        <is>
          <t>MAT04-0076</t>
        </is>
      </c>
      <c r="C314" s="558" t="inlineStr">
        <is>
          <t>0104-0076</t>
        </is>
      </c>
      <c r="D314" s="158" t="inlineStr">
        <is>
          <t>LOSETA DE CONCRETO</t>
        </is>
      </c>
      <c r="E314" s="158" t="inlineStr">
        <is>
          <t>UND</t>
        </is>
      </c>
      <c r="F314" s="158" t="inlineStr">
        <is>
          <t>MATERIALES</t>
        </is>
      </c>
      <c r="G314" s="158" t="inlineStr">
        <is>
          <t>CONCRETOS CEMENTOS Y MORTEROS</t>
        </is>
      </c>
    </row>
    <row r="315">
      <c r="A315" s="159" t="n"/>
      <c r="B315" s="158" t="inlineStr">
        <is>
          <t>MAT04-0077</t>
        </is>
      </c>
      <c r="C315" s="558" t="inlineStr">
        <is>
          <t>0104-0077</t>
        </is>
      </c>
      <c r="D315" s="158" t="inlineStr">
        <is>
          <t>FRAGUA INTACO PLATA CON ARENA</t>
        </is>
      </c>
      <c r="E315" s="158" t="inlineStr">
        <is>
          <t>BOLSA</t>
        </is>
      </c>
      <c r="F315" s="158" t="inlineStr">
        <is>
          <t>MATERIALES</t>
        </is>
      </c>
      <c r="G315" s="158" t="inlineStr">
        <is>
          <t>CONCRETOS CEMENTOS Y MORTEROS</t>
        </is>
      </c>
    </row>
    <row r="316">
      <c r="A316" s="159" t="n"/>
      <c r="B316" s="158" t="inlineStr">
        <is>
          <t>MAT04-066</t>
        </is>
      </c>
      <c r="C316" s="558" t="inlineStr">
        <is>
          <t>0104-066</t>
        </is>
      </c>
      <c r="D316" s="158" t="inlineStr">
        <is>
          <t>EMPASTE CEMENTICIO GRIS CEMEX 20KG</t>
        </is>
      </c>
      <c r="E316" s="158" t="inlineStr">
        <is>
          <t>SACO</t>
        </is>
      </c>
      <c r="F316" s="158" t="inlineStr">
        <is>
          <t>MATERIALES</t>
        </is>
      </c>
      <c r="G316" s="158" t="n"/>
    </row>
    <row r="317" customFormat="1" s="560">
      <c r="A317" s="557" t="n"/>
      <c r="B317" s="557" t="inlineStr">
        <is>
          <t>(ID) Insumo</t>
        </is>
      </c>
      <c r="C317" s="558" t="n"/>
      <c r="D317" s="557" t="inlineStr">
        <is>
          <t>Descripción</t>
        </is>
      </c>
      <c r="E317" s="557" t="inlineStr">
        <is>
          <t>Unidad</t>
        </is>
      </c>
      <c r="F317" s="557" t="inlineStr">
        <is>
          <t>Grupo de Insumo</t>
        </is>
      </c>
      <c r="G317" s="557" t="inlineStr">
        <is>
          <t>Familia de Insumos</t>
        </is>
      </c>
    </row>
    <row r="318">
      <c r="A318" s="159" t="n"/>
      <c r="B318" s="158" t="inlineStr">
        <is>
          <t>MAT05-0001</t>
        </is>
      </c>
      <c r="C318" s="558" t="inlineStr">
        <is>
          <t>0105-0001</t>
        </is>
      </c>
      <c r="D318" s="158" t="inlineStr">
        <is>
          <t>IMPERMEABILIZANTE BASE 201</t>
        </is>
      </c>
      <c r="E318" s="158" t="inlineStr">
        <is>
          <t>CUBETA</t>
        </is>
      </c>
      <c r="F318" s="158" t="inlineStr">
        <is>
          <t>MATERIALES</t>
        </is>
      </c>
      <c r="G318" s="158" t="inlineStr">
        <is>
          <t>CUBIERTAS E IMPERMEBILIZANTES</t>
        </is>
      </c>
    </row>
    <row r="319">
      <c r="A319" s="159" t="n"/>
      <c r="B319" s="158" t="inlineStr">
        <is>
          <t>MAT05-0002</t>
        </is>
      </c>
      <c r="C319" s="558" t="inlineStr">
        <is>
          <t>0105-0002</t>
        </is>
      </c>
      <c r="D319" s="158" t="inlineStr">
        <is>
          <t>IMPERMEABILIZANTE TOP 202</t>
        </is>
      </c>
      <c r="E319" s="158" t="inlineStr">
        <is>
          <t>CUBETA</t>
        </is>
      </c>
      <c r="F319" s="158" t="inlineStr">
        <is>
          <t>MATERIALES</t>
        </is>
      </c>
      <c r="G319" s="158" t="inlineStr">
        <is>
          <t>CUBIERTAS E IMPERMEBILIZANTES</t>
        </is>
      </c>
    </row>
    <row r="320">
      <c r="A320" s="159" t="n"/>
      <c r="B320" s="158" t="inlineStr">
        <is>
          <t>MAT05-0003</t>
        </is>
      </c>
      <c r="C320" s="558" t="inlineStr">
        <is>
          <t>0105-0003</t>
        </is>
      </c>
      <c r="D320" s="158" t="inlineStr">
        <is>
          <t>LAMINA RECT ESMALTADA BLANCA  #26 1.08x6.00</t>
        </is>
      </c>
      <c r="E320" s="158" t="inlineStr">
        <is>
          <t>UND</t>
        </is>
      </c>
      <c r="F320" s="158" t="inlineStr">
        <is>
          <t>MATERIALES</t>
        </is>
      </c>
      <c r="G320" s="158" t="inlineStr">
        <is>
          <t>CUBIERTAS E IMPERMEBILIZANTES</t>
        </is>
      </c>
    </row>
    <row r="321">
      <c r="A321" s="159" t="n"/>
      <c r="B321" s="158" t="inlineStr">
        <is>
          <t>MAT05-0004</t>
        </is>
      </c>
      <c r="C321" s="558" t="inlineStr">
        <is>
          <t>0105-0004</t>
        </is>
      </c>
      <c r="D321" s="158" t="inlineStr">
        <is>
          <t>LAMINA UPVC 1.13mx3.80mx3mm</t>
        </is>
      </c>
      <c r="E321" s="158" t="inlineStr">
        <is>
          <t>UND</t>
        </is>
      </c>
      <c r="F321" s="158" t="inlineStr">
        <is>
          <t>MATERIALES</t>
        </is>
      </c>
      <c r="G321" s="158" t="inlineStr">
        <is>
          <t>CUBIERTAS E IMPERMEBILIZANTES</t>
        </is>
      </c>
    </row>
    <row r="322">
      <c r="A322" s="159" t="n"/>
      <c r="B322" s="158" t="inlineStr">
        <is>
          <t>MAT05-0005</t>
        </is>
      </c>
      <c r="C322" s="558" t="inlineStr">
        <is>
          <t>0105-0005</t>
        </is>
      </c>
      <c r="D322" s="158" t="inlineStr">
        <is>
          <t>LAMINA RECT ESMALTADA BLANCA  #26 1.08mx9.00</t>
        </is>
      </c>
      <c r="E322" s="158" t="inlineStr">
        <is>
          <t>UND</t>
        </is>
      </c>
      <c r="F322" s="158" t="inlineStr">
        <is>
          <t>MATERIALES</t>
        </is>
      </c>
      <c r="G322" s="158" t="inlineStr">
        <is>
          <t>CUBIERTAS E IMPERMEBILIZANTES</t>
        </is>
      </c>
    </row>
    <row r="323">
      <c r="A323" s="159" t="n"/>
      <c r="B323" s="158" t="inlineStr">
        <is>
          <t>MAT05-0006</t>
        </is>
      </c>
      <c r="C323" s="558" t="inlineStr">
        <is>
          <t>0105-0006</t>
        </is>
      </c>
      <c r="D323" s="158" t="inlineStr">
        <is>
          <t>LAMINA RECT ESMALTADA BLANCA  #26 1.08mx4.12</t>
        </is>
      </c>
      <c r="E323" s="158" t="inlineStr">
        <is>
          <t>UND</t>
        </is>
      </c>
      <c r="F323" s="158" t="inlineStr">
        <is>
          <t>MATERIALES</t>
        </is>
      </c>
      <c r="G323" s="158" t="inlineStr">
        <is>
          <t>CUBIERTAS E IMPERMEBILIZANTES</t>
        </is>
      </c>
    </row>
    <row r="324">
      <c r="A324" s="159" t="n"/>
      <c r="B324" s="158" t="inlineStr">
        <is>
          <t>MAT05-0007</t>
        </is>
      </c>
      <c r="C324" s="558" t="inlineStr">
        <is>
          <t>0105-0007</t>
        </is>
      </c>
      <c r="D324" s="158" t="inlineStr">
        <is>
          <t>LAMINA RECT ESMALTADA BLANCA #26 1.08mx5.30</t>
        </is>
      </c>
      <c r="E324" s="158" t="inlineStr">
        <is>
          <t>UND</t>
        </is>
      </c>
      <c r="F324" s="158" t="inlineStr">
        <is>
          <t>MATERIALES</t>
        </is>
      </c>
      <c r="G324" s="158" t="inlineStr">
        <is>
          <t>CUBIERTAS E IMPERMEBILIZANTES</t>
        </is>
      </c>
    </row>
    <row r="325">
      <c r="A325" s="159" t="n"/>
      <c r="B325" s="158" t="inlineStr">
        <is>
          <t>MAT05-0008</t>
        </is>
      </c>
      <c r="C325" s="558" t="inlineStr">
        <is>
          <t>0105-0008</t>
        </is>
      </c>
      <c r="D325" s="158" t="inlineStr">
        <is>
          <t>LAMINA RECT ESMALTADA BLANCA #26 1.08mx4.60</t>
        </is>
      </c>
      <c r="E325" s="158" t="inlineStr">
        <is>
          <t>UND</t>
        </is>
      </c>
      <c r="F325" s="158" t="inlineStr">
        <is>
          <t>MATERIALES</t>
        </is>
      </c>
      <c r="G325" s="158" t="inlineStr">
        <is>
          <t>CUBIERTAS E IMPERMEBILIZANTES</t>
        </is>
      </c>
    </row>
    <row r="326">
      <c r="A326" s="159" t="n"/>
      <c r="B326" s="158" t="inlineStr">
        <is>
          <t>MAT05-0009</t>
        </is>
      </c>
      <c r="C326" s="558" t="inlineStr">
        <is>
          <t>0105-0009</t>
        </is>
      </c>
      <c r="D326" s="158" t="inlineStr">
        <is>
          <t>LAMINA RECT ESMALTADA BLANCA #26 1.08mx11.9</t>
        </is>
      </c>
      <c r="E326" s="158" t="inlineStr">
        <is>
          <t>UND</t>
        </is>
      </c>
      <c r="F326" s="158" t="inlineStr">
        <is>
          <t>MATERIALES</t>
        </is>
      </c>
      <c r="G326" s="158" t="inlineStr">
        <is>
          <t>CUBIERTAS E IMPERMEBILIZANTES</t>
        </is>
      </c>
    </row>
    <row r="327">
      <c r="A327" s="159" t="n"/>
      <c r="B327" s="158" t="inlineStr">
        <is>
          <t>MAT05-0010</t>
        </is>
      </c>
      <c r="C327" s="558" t="inlineStr">
        <is>
          <t>0105-0010</t>
        </is>
      </c>
      <c r="D327" s="158" t="inlineStr">
        <is>
          <t>LAMINA RECT ESMALTADA BLANCA #26 1.08mx4.20</t>
        </is>
      </c>
      <c r="E327" s="158" t="inlineStr">
        <is>
          <t>UND</t>
        </is>
      </c>
      <c r="F327" s="158" t="inlineStr">
        <is>
          <t>MATERIALES</t>
        </is>
      </c>
      <c r="G327" s="158" t="inlineStr">
        <is>
          <t>CUBIERTAS E IMPERMEBILIZANTES</t>
        </is>
      </c>
    </row>
    <row r="328">
      <c r="A328" s="159" t="n"/>
      <c r="B328" s="158" t="inlineStr">
        <is>
          <t>MAT05-0011</t>
        </is>
      </c>
      <c r="C328" s="558" t="inlineStr">
        <is>
          <t>0105-0011</t>
        </is>
      </c>
      <c r="D328" s="158" t="inlineStr">
        <is>
          <t>LAMINA RECT ESMALTADA BLANCA #26 1.08mx8.80</t>
        </is>
      </c>
      <c r="E328" s="158" t="inlineStr">
        <is>
          <t>UND</t>
        </is>
      </c>
      <c r="F328" s="158" t="inlineStr">
        <is>
          <t>MATERIALES</t>
        </is>
      </c>
      <c r="G328" s="158" t="inlineStr">
        <is>
          <t>CUBIERTAS E IMPERMEBILIZANTES</t>
        </is>
      </c>
    </row>
    <row r="329">
      <c r="A329" s="159" t="n"/>
      <c r="B329" s="158" t="inlineStr">
        <is>
          <t>MAT05-0012</t>
        </is>
      </c>
      <c r="C329" s="558" t="inlineStr">
        <is>
          <t>0105-0012</t>
        </is>
      </c>
      <c r="D329" s="158" t="inlineStr">
        <is>
          <t>LAMINA RECT ESMALTADA BLANCA #26 1.08mx9.50</t>
        </is>
      </c>
      <c r="E329" s="158" t="inlineStr">
        <is>
          <t>UND</t>
        </is>
      </c>
      <c r="F329" s="158" t="inlineStr">
        <is>
          <t>MATERIALES</t>
        </is>
      </c>
      <c r="G329" s="158" t="inlineStr">
        <is>
          <t>CUBIERTAS E IMPERMEBILIZANTES</t>
        </is>
      </c>
    </row>
    <row r="330">
      <c r="A330" s="159" t="n"/>
      <c r="B330" s="158" t="inlineStr">
        <is>
          <t>MAT05-0013</t>
        </is>
      </c>
      <c r="C330" s="558" t="inlineStr">
        <is>
          <t>0105-0013</t>
        </is>
      </c>
      <c r="D330" s="158" t="inlineStr">
        <is>
          <t>LAMINA RECT ESMALTADA BLANCA #26 1.08mx4.00</t>
        </is>
      </c>
      <c r="E330" s="158" t="inlineStr">
        <is>
          <t>UND</t>
        </is>
      </c>
      <c r="F330" s="158" t="inlineStr">
        <is>
          <t>MATERIALES</t>
        </is>
      </c>
      <c r="G330" s="158" t="inlineStr">
        <is>
          <t>CUBIERTAS E IMPERMEBILIZANTES</t>
        </is>
      </c>
    </row>
    <row r="331">
      <c r="A331" s="159" t="n"/>
      <c r="B331" s="158" t="inlineStr">
        <is>
          <t>MAT05-0014</t>
        </is>
      </c>
      <c r="C331" s="558" t="inlineStr">
        <is>
          <t>0105-0014</t>
        </is>
      </c>
      <c r="D331" s="158" t="inlineStr">
        <is>
          <t>IMPERMEABILIZANTE AQUA- PROOF LANCO</t>
        </is>
      </c>
      <c r="E331" s="158" t="inlineStr">
        <is>
          <t>GALON</t>
        </is>
      </c>
      <c r="F331" s="158" t="inlineStr">
        <is>
          <t>MATERIALES</t>
        </is>
      </c>
      <c r="G331" s="158" t="inlineStr">
        <is>
          <t>CUBIERTAS E IMPERMEBILIZANTES</t>
        </is>
      </c>
    </row>
    <row r="332">
      <c r="A332" s="159" t="n"/>
      <c r="B332" s="158" t="inlineStr">
        <is>
          <t>MAT05-0015</t>
        </is>
      </c>
      <c r="C332" s="558" t="inlineStr">
        <is>
          <t>0105-0015</t>
        </is>
      </c>
      <c r="D332" s="158" t="inlineStr">
        <is>
          <t>LAMINA RECT ESMALTADA BLANCA #26 1.08mx2.44</t>
        </is>
      </c>
      <c r="E332" s="158" t="inlineStr">
        <is>
          <t>UND</t>
        </is>
      </c>
      <c r="F332" s="158" t="inlineStr">
        <is>
          <t>MATERIALES</t>
        </is>
      </c>
      <c r="G332" s="158" t="inlineStr">
        <is>
          <t>CUBIERTAS E IMPERMEBILIZANTES</t>
        </is>
      </c>
    </row>
    <row r="333">
      <c r="A333" s="159" t="n"/>
      <c r="B333" s="158" t="inlineStr">
        <is>
          <t>MAT05-0016</t>
        </is>
      </c>
      <c r="C333" s="558" t="inlineStr">
        <is>
          <t>0105-0016</t>
        </is>
      </c>
      <c r="D333" s="158" t="inlineStr">
        <is>
          <t>LAMINA RECT ESMALTADA BLANCA #26 1.08mx5.4</t>
        </is>
      </c>
      <c r="E333" s="158" t="inlineStr">
        <is>
          <t>UND</t>
        </is>
      </c>
      <c r="F333" s="158" t="inlineStr">
        <is>
          <t>MATERIALES</t>
        </is>
      </c>
      <c r="G333" s="158" t="inlineStr">
        <is>
          <t>CUBIERTAS E IMPERMEBILIZANTES</t>
        </is>
      </c>
    </row>
    <row r="334">
      <c r="A334" s="159" t="n"/>
      <c r="B334" s="158" t="inlineStr">
        <is>
          <t>MAT05-0017</t>
        </is>
      </c>
      <c r="C334" s="558" t="inlineStr">
        <is>
          <t>0105-0017</t>
        </is>
      </c>
      <c r="D334" s="158" t="inlineStr">
        <is>
          <t>LAMINA ONDULADA #28 H.G. 0.81mx3.66</t>
        </is>
      </c>
      <c r="E334" s="158" t="inlineStr">
        <is>
          <t>UND</t>
        </is>
      </c>
      <c r="F334" s="158" t="inlineStr">
        <is>
          <t>MATERIALES</t>
        </is>
      </c>
      <c r="G334" s="158" t="inlineStr">
        <is>
          <t>CUBIERTAS E IMPERMEBILIZANTES</t>
        </is>
      </c>
    </row>
    <row r="335">
      <c r="A335" s="159" t="n"/>
      <c r="B335" s="158" t="inlineStr">
        <is>
          <t>MAT05-0018</t>
        </is>
      </c>
      <c r="C335" s="558" t="inlineStr">
        <is>
          <t>0105-0018</t>
        </is>
      </c>
      <c r="D335" s="158" t="inlineStr">
        <is>
          <t>LAMINA POLICARBONATO MARLON ST FOUR WALL 8MM HUMO</t>
        </is>
      </c>
      <c r="E335" s="158" t="inlineStr">
        <is>
          <t>M2</t>
        </is>
      </c>
      <c r="F335" s="158" t="inlineStr">
        <is>
          <t>MATERIALES</t>
        </is>
      </c>
      <c r="G335" s="158" t="inlineStr">
        <is>
          <t>CUBIERTAS E IMPERMEBILIZANTES</t>
        </is>
      </c>
    </row>
    <row r="336">
      <c r="A336" s="159" t="n"/>
      <c r="B336" s="158" t="inlineStr">
        <is>
          <t>MAT05-0019</t>
        </is>
      </c>
      <c r="C336" s="558" t="inlineStr">
        <is>
          <t>0105-0019</t>
        </is>
      </c>
      <c r="D336" s="158" t="inlineStr">
        <is>
          <t>LAMINA RECT ESMALTADA BLANCA #26 1.08mx3.66</t>
        </is>
      </c>
      <c r="E336" s="158" t="inlineStr">
        <is>
          <t>UND</t>
        </is>
      </c>
      <c r="F336" s="158" t="inlineStr">
        <is>
          <t>MATERIALES</t>
        </is>
      </c>
      <c r="G336" s="158" t="inlineStr">
        <is>
          <t>CUBIERTAS E IMPERMEBILIZANTES</t>
        </is>
      </c>
    </row>
    <row r="337">
      <c r="A337" s="159" t="n"/>
      <c r="B337" s="158" t="inlineStr">
        <is>
          <t>MAT05-0020</t>
        </is>
      </c>
      <c r="C337" s="558" t="inlineStr">
        <is>
          <t>0105-0020</t>
        </is>
      </c>
      <c r="D337" s="158" t="inlineStr">
        <is>
          <t>LAMINA UPVC 1.13 X 5.66X3MM</t>
        </is>
      </c>
      <c r="E337" s="158" t="inlineStr">
        <is>
          <t>UND</t>
        </is>
      </c>
      <c r="F337" s="158" t="inlineStr">
        <is>
          <t>MATERIALES</t>
        </is>
      </c>
      <c r="G337" s="158" t="inlineStr">
        <is>
          <t>CUBIERTAS E IMPERMEBILIZANTES</t>
        </is>
      </c>
    </row>
    <row r="338">
      <c r="A338" s="159" t="n"/>
      <c r="B338" s="158" t="inlineStr">
        <is>
          <t>MAT05-0021</t>
        </is>
      </c>
      <c r="C338" s="558" t="inlineStr">
        <is>
          <t>0105-0021</t>
        </is>
      </c>
      <c r="D338" s="158" t="inlineStr">
        <is>
          <t>LAMINA UPVC DE 1.26X5.9MTRS</t>
        </is>
      </c>
      <c r="E338" s="158" t="inlineStr">
        <is>
          <t>UND</t>
        </is>
      </c>
      <c r="F338" s="158" t="inlineStr">
        <is>
          <t>MATERIALES</t>
        </is>
      </c>
      <c r="G338" s="158" t="inlineStr">
        <is>
          <t>CUBIERTAS E IMPERMEBILIZANTES</t>
        </is>
      </c>
    </row>
    <row r="339">
      <c r="A339" s="159" t="n"/>
      <c r="B339" s="158" t="inlineStr">
        <is>
          <t>MAT05-0022</t>
        </is>
      </c>
      <c r="C339" s="558" t="inlineStr">
        <is>
          <t>0105-0022</t>
        </is>
      </c>
      <c r="D339" s="158" t="inlineStr">
        <is>
          <t>LAMINA RECT ESMALTADA BLANCA #26 1.08X12.70</t>
        </is>
      </c>
      <c r="E339" s="158" t="inlineStr">
        <is>
          <t>UND</t>
        </is>
      </c>
      <c r="F339" s="158" t="inlineStr">
        <is>
          <t>MATERIALES</t>
        </is>
      </c>
      <c r="G339" s="158" t="inlineStr">
        <is>
          <t>CUBIERTAS E IMPERMEBILIZANTES</t>
        </is>
      </c>
    </row>
    <row r="340">
      <c r="A340" s="159" t="n"/>
      <c r="B340" s="158" t="inlineStr">
        <is>
          <t>MAT05-0023</t>
        </is>
      </c>
      <c r="C340" s="558" t="inlineStr">
        <is>
          <t>0105-0023</t>
        </is>
      </c>
      <c r="D340" s="158" t="inlineStr">
        <is>
          <t>LAMINA RECT ESMALTADA BLANCA #26 1.08X11.40</t>
        </is>
      </c>
      <c r="E340" s="158" t="inlineStr">
        <is>
          <t>UND</t>
        </is>
      </c>
      <c r="F340" s="158" t="inlineStr">
        <is>
          <t>MATERIALES</t>
        </is>
      </c>
      <c r="G340" s="158" t="inlineStr">
        <is>
          <t>CUBIERTAS E IMPERMEBILIZANTES</t>
        </is>
      </c>
    </row>
    <row r="341">
      <c r="A341" s="159" t="n"/>
      <c r="B341" s="158" t="inlineStr">
        <is>
          <t>MAT05-0024</t>
        </is>
      </c>
      <c r="C341" s="558" t="inlineStr">
        <is>
          <t>0105-0024</t>
        </is>
      </c>
      <c r="D341" s="158" t="inlineStr">
        <is>
          <t>LAMINA RECT ESMALTADA BLANCA #26 1.08X10.60</t>
        </is>
      </c>
      <c r="E341" s="158" t="inlineStr">
        <is>
          <t>UND</t>
        </is>
      </c>
      <c r="F341" s="158" t="inlineStr">
        <is>
          <t>MATERIALES</t>
        </is>
      </c>
      <c r="G341" s="158" t="inlineStr">
        <is>
          <t>CUBIERTAS E IMPERMEBILIZANTES</t>
        </is>
      </c>
    </row>
    <row r="342">
      <c r="A342" s="159" t="n"/>
      <c r="B342" s="158" t="inlineStr">
        <is>
          <t>MAT05-0025</t>
        </is>
      </c>
      <c r="C342" s="558" t="inlineStr">
        <is>
          <t>0105-0025</t>
        </is>
      </c>
      <c r="D342" s="158" t="inlineStr">
        <is>
          <t>LAMINA RECT ESMALTADA BLANCA #26 1.08X10.00</t>
        </is>
      </c>
      <c r="E342" s="158" t="inlineStr">
        <is>
          <t>UND</t>
        </is>
      </c>
      <c r="F342" s="158" t="inlineStr">
        <is>
          <t>MATERIALES</t>
        </is>
      </c>
      <c r="G342" s="158" t="inlineStr">
        <is>
          <t>CUBIERTAS E IMPERMEBILIZANTES</t>
        </is>
      </c>
    </row>
    <row r="343">
      <c r="A343" s="159" t="n"/>
      <c r="B343" s="158" t="inlineStr">
        <is>
          <t>MAT05-0026</t>
        </is>
      </c>
      <c r="C343" s="558" t="inlineStr">
        <is>
          <t>0105-0026</t>
        </is>
      </c>
      <c r="D343" s="158" t="inlineStr">
        <is>
          <t>LAMINA RECT ESMALTADA BLANCA #26 1.08X9.70</t>
        </is>
      </c>
      <c r="E343" s="158" t="inlineStr">
        <is>
          <t>UND</t>
        </is>
      </c>
      <c r="F343" s="158" t="inlineStr">
        <is>
          <t>MATERIALES</t>
        </is>
      </c>
      <c r="G343" s="158" t="inlineStr">
        <is>
          <t>CUBIERTAS E IMPERMEBILIZANTES</t>
        </is>
      </c>
    </row>
    <row r="344">
      <c r="A344" s="159" t="n"/>
      <c r="B344" s="158" t="inlineStr">
        <is>
          <t>MAT05-0027</t>
        </is>
      </c>
      <c r="C344" s="558" t="inlineStr">
        <is>
          <t>0105-0027</t>
        </is>
      </c>
      <c r="D344" s="158" t="inlineStr">
        <is>
          <t>LAMINA RECT ESMALTADA BLANCA #26 1.08X3.70</t>
        </is>
      </c>
      <c r="E344" s="158" t="inlineStr">
        <is>
          <t>UND</t>
        </is>
      </c>
      <c r="F344" s="158" t="inlineStr">
        <is>
          <t>MATERIALES</t>
        </is>
      </c>
      <c r="G344" s="158" t="inlineStr">
        <is>
          <t>CUBIERTAS E IMPERMEBILIZANTES</t>
        </is>
      </c>
    </row>
    <row r="345">
      <c r="A345" s="159" t="n"/>
      <c r="B345" s="158" t="inlineStr">
        <is>
          <t>MAT05-0028</t>
        </is>
      </c>
      <c r="C345" s="558" t="inlineStr">
        <is>
          <t>0105-0028</t>
        </is>
      </c>
      <c r="D345" s="158" t="inlineStr">
        <is>
          <t>LAMINA RECT ESMALTADA BLANCA #26 1.08X3.00</t>
        </is>
      </c>
      <c r="E345" s="158" t="inlineStr">
        <is>
          <t>UND</t>
        </is>
      </c>
      <c r="F345" s="158" t="inlineStr">
        <is>
          <t>MATERIALES</t>
        </is>
      </c>
      <c r="G345" s="158" t="inlineStr">
        <is>
          <t>CUBIERTAS E IMPERMEBILIZANTES</t>
        </is>
      </c>
    </row>
    <row r="346">
      <c r="A346" s="159" t="n"/>
      <c r="B346" s="158" t="inlineStr">
        <is>
          <t>MAT05-0029</t>
        </is>
      </c>
      <c r="C346" s="558" t="inlineStr">
        <is>
          <t>0105-0029</t>
        </is>
      </c>
      <c r="D346" s="158" t="inlineStr">
        <is>
          <t>LAMINA RECT ESMALTADA BLANCA #26 1.08X7.80</t>
        </is>
      </c>
      <c r="E346" s="158" t="inlineStr">
        <is>
          <t>UND</t>
        </is>
      </c>
      <c r="F346" s="158" t="inlineStr">
        <is>
          <t>MATERIALES</t>
        </is>
      </c>
      <c r="G346" s="158" t="inlineStr">
        <is>
          <t>CUBIERTAS E IMPERMEBILIZANTES</t>
        </is>
      </c>
    </row>
    <row r="347">
      <c r="A347" s="159" t="n"/>
      <c r="B347" s="158" t="inlineStr">
        <is>
          <t>MAT05-0030</t>
        </is>
      </c>
      <c r="C347" s="558" t="inlineStr">
        <is>
          <t>0105-0030</t>
        </is>
      </c>
      <c r="D347" s="158" t="inlineStr">
        <is>
          <t>LAMINA RECT ESMALTADA BLANCA #26 1.08X8.50</t>
        </is>
      </c>
      <c r="E347" s="158" t="inlineStr">
        <is>
          <t>UND</t>
        </is>
      </c>
      <c r="F347" s="158" t="inlineStr">
        <is>
          <t>MATERIALES</t>
        </is>
      </c>
      <c r="G347" s="158" t="inlineStr">
        <is>
          <t>CUBIERTAS E IMPERMEBILIZANTES</t>
        </is>
      </c>
    </row>
    <row r="348">
      <c r="A348" s="159" t="n"/>
      <c r="B348" s="158" t="inlineStr">
        <is>
          <t>MAT05-0031</t>
        </is>
      </c>
      <c r="C348" s="558" t="inlineStr">
        <is>
          <t>0105-0031</t>
        </is>
      </c>
      <c r="D348" s="158" t="inlineStr">
        <is>
          <t>IMPERMEABILIZANTE AKFIX PUR 450</t>
        </is>
      </c>
      <c r="E348" s="158" t="inlineStr">
        <is>
          <t>CUBETA</t>
        </is>
      </c>
      <c r="F348" s="158" t="inlineStr">
        <is>
          <t>MATERIALES</t>
        </is>
      </c>
      <c r="G348" s="158" t="inlineStr">
        <is>
          <t>CUBIERTAS E IMPERMEBILIZANTES</t>
        </is>
      </c>
    </row>
    <row r="349">
      <c r="A349" s="159" t="n"/>
      <c r="B349" s="158" t="inlineStr">
        <is>
          <t>MAT05-0032</t>
        </is>
      </c>
      <c r="C349" s="558" t="inlineStr">
        <is>
          <t>0105-0032</t>
        </is>
      </c>
      <c r="D349" s="158" t="inlineStr">
        <is>
          <t>BASE ALUMINIO NEGRA PARA TAPA DE POLYCARBONATO 6.40</t>
        </is>
      </c>
      <c r="E349" s="158" t="inlineStr">
        <is>
          <t>UND</t>
        </is>
      </c>
      <c r="F349" s="158" t="inlineStr">
        <is>
          <t>MATERIALES</t>
        </is>
      </c>
      <c r="G349" s="158" t="inlineStr">
        <is>
          <t>CUBIERTAS E IMPERMEBILIZANTES</t>
        </is>
      </c>
    </row>
    <row r="350">
      <c r="A350" s="159" t="n"/>
      <c r="B350" s="158" t="inlineStr">
        <is>
          <t>MAT05-0033</t>
        </is>
      </c>
      <c r="C350" s="558" t="inlineStr">
        <is>
          <t>0105-0033</t>
        </is>
      </c>
      <c r="D350" s="158" t="inlineStr">
        <is>
          <t>LAMINA ONDULADA GALVANIZADA #28 1.05X6.70</t>
        </is>
      </c>
      <c r="E350" s="158" t="inlineStr">
        <is>
          <t>UND</t>
        </is>
      </c>
      <c r="F350" s="158" t="inlineStr">
        <is>
          <t>MATERIALES</t>
        </is>
      </c>
      <c r="G350" s="158" t="inlineStr">
        <is>
          <t>CUBIERTAS E IMPERMEBILIZANTES</t>
        </is>
      </c>
    </row>
    <row r="351">
      <c r="A351" s="159" t="n"/>
      <c r="B351" s="158" t="inlineStr">
        <is>
          <t>MAT05-0034</t>
        </is>
      </c>
      <c r="C351" s="558" t="inlineStr">
        <is>
          <t>0105-0034</t>
        </is>
      </c>
      <c r="D351" s="158" t="inlineStr">
        <is>
          <t>IMPERMEABILIZANTE MASTER PROTEC 750 GRIS CLARO</t>
        </is>
      </c>
      <c r="E351" s="158" t="inlineStr">
        <is>
          <t>CUBETA</t>
        </is>
      </c>
      <c r="F351" s="158" t="inlineStr">
        <is>
          <t>MATERIALES</t>
        </is>
      </c>
      <c r="G351" s="158" t="inlineStr">
        <is>
          <t>CUBIERTAS E IMPERMEBILIZANTES</t>
        </is>
      </c>
    </row>
    <row r="352">
      <c r="A352" s="159" t="n"/>
      <c r="B352" s="158" t="inlineStr">
        <is>
          <t>MAT05-0035</t>
        </is>
      </c>
      <c r="C352" s="558" t="inlineStr">
        <is>
          <t>0105-0035</t>
        </is>
      </c>
      <c r="D352" s="158" t="inlineStr">
        <is>
          <t>LAMINA RECT ESMALTADA BLANCA #26 1.08X12.00</t>
        </is>
      </c>
      <c r="E352" s="158" t="inlineStr">
        <is>
          <t>UND</t>
        </is>
      </c>
      <c r="F352" s="158" t="inlineStr">
        <is>
          <t>MATERIALES</t>
        </is>
      </c>
      <c r="G352" s="158" t="inlineStr">
        <is>
          <t>CUBIERTAS E IMPERMEBILIZANTES</t>
        </is>
      </c>
    </row>
    <row r="353">
      <c r="A353" s="159" t="n"/>
      <c r="B353" s="158" t="inlineStr">
        <is>
          <t>MAT05-0036</t>
        </is>
      </c>
      <c r="C353" s="558" t="inlineStr">
        <is>
          <t>0105-0036</t>
        </is>
      </c>
      <c r="D353" s="158" t="inlineStr">
        <is>
          <t>LAMINA RECT ESMALTADA BLANCA #26 1.08X13.00</t>
        </is>
      </c>
      <c r="E353" s="158" t="inlineStr">
        <is>
          <t>UND</t>
        </is>
      </c>
      <c r="F353" s="158" t="inlineStr">
        <is>
          <t>MATERIALES</t>
        </is>
      </c>
      <c r="G353" s="158" t="inlineStr">
        <is>
          <t>CUBIERTAS E IMPERMEBILIZANTES</t>
        </is>
      </c>
    </row>
    <row r="354">
      <c r="A354" s="159" t="n"/>
      <c r="B354" s="158" t="inlineStr">
        <is>
          <t>MAT05-0037</t>
        </is>
      </c>
      <c r="C354" s="558" t="inlineStr">
        <is>
          <t>0105-0037</t>
        </is>
      </c>
      <c r="D354" s="158" t="inlineStr">
        <is>
          <t>MASTER PROTEC 750, BLANCO</t>
        </is>
      </c>
      <c r="E354" s="158" t="inlineStr">
        <is>
          <t>CUBETA</t>
        </is>
      </c>
      <c r="F354" s="158" t="inlineStr">
        <is>
          <t>MATERIALES</t>
        </is>
      </c>
      <c r="G354" s="158" t="inlineStr">
        <is>
          <t>CUBIERTAS E IMPERMEBILIZANTES</t>
        </is>
      </c>
    </row>
    <row r="355">
      <c r="A355" s="159" t="n"/>
      <c r="B355" s="158" t="inlineStr">
        <is>
          <t>MAT05-0038</t>
        </is>
      </c>
      <c r="C355" s="558" t="inlineStr">
        <is>
          <t>0105-0038</t>
        </is>
      </c>
      <c r="D355" s="158" t="inlineStr">
        <is>
          <t>MASTER SEAL 6100FX EN SACOS DE 25KG CEMENTICIO FLEXIBLE</t>
        </is>
      </c>
      <c r="E355" s="158" t="inlineStr">
        <is>
          <t>SACO</t>
        </is>
      </c>
      <c r="F355" s="158" t="inlineStr">
        <is>
          <t>MATERIALES</t>
        </is>
      </c>
      <c r="G355" s="158" t="inlineStr">
        <is>
          <t>CUBIERTAS E IMPERMEBILIZANTES</t>
        </is>
      </c>
    </row>
    <row r="356">
      <c r="A356" s="159" t="n"/>
      <c r="B356" s="158" t="inlineStr">
        <is>
          <t>MAT05-0039</t>
        </is>
      </c>
      <c r="C356" s="558" t="inlineStr">
        <is>
          <t>0105-0039</t>
        </is>
      </c>
      <c r="D356" s="158" t="inlineStr">
        <is>
          <t>IMPERMEABILIZANTE MASTER PROTEC 750 GRIS OSCURO</t>
        </is>
      </c>
      <c r="E356" s="158" t="inlineStr">
        <is>
          <t>CUBETA</t>
        </is>
      </c>
      <c r="F356" s="158" t="inlineStr">
        <is>
          <t>MATERIALES</t>
        </is>
      </c>
      <c r="G356" s="158" t="inlineStr">
        <is>
          <t>CUBIERTAS E IMPERMEBILIZANTES</t>
        </is>
      </c>
    </row>
    <row r="357">
      <c r="A357" s="159" t="n"/>
      <c r="B357" s="158" t="inlineStr">
        <is>
          <t>MAT05-0040</t>
        </is>
      </c>
      <c r="C357" s="558" t="inlineStr">
        <is>
          <t>0105-0040</t>
        </is>
      </c>
      <c r="D357" s="158" t="inlineStr">
        <is>
          <t>LAMINA ONDULADA #26 0.81 X 3.66</t>
        </is>
      </c>
      <c r="E357" s="158" t="inlineStr">
        <is>
          <t>UND</t>
        </is>
      </c>
      <c r="F357" s="158" t="inlineStr">
        <is>
          <t>MATERIALES</t>
        </is>
      </c>
      <c r="G357" s="158" t="inlineStr">
        <is>
          <t>CUBIERTAS E IMPERMEBILIZANTES</t>
        </is>
      </c>
    </row>
    <row r="358">
      <c r="A358" s="159" t="n"/>
      <c r="B358" s="158" t="inlineStr">
        <is>
          <t>MAT05-0041</t>
        </is>
      </c>
      <c r="C358" s="558" t="inlineStr">
        <is>
          <t>0105-0041</t>
        </is>
      </c>
      <c r="D358" s="158" t="inlineStr">
        <is>
          <t>LAMINA ONDULADA #26 0.81 X 3.05</t>
        </is>
      </c>
      <c r="E358" s="158" t="inlineStr">
        <is>
          <t>UND</t>
        </is>
      </c>
      <c r="F358" s="158" t="inlineStr">
        <is>
          <t>MATERIALES</t>
        </is>
      </c>
      <c r="G358" s="158" t="inlineStr">
        <is>
          <t>CUBIERTAS E IMPERMEBILIZANTES</t>
        </is>
      </c>
    </row>
    <row r="359">
      <c r="A359" s="159" t="n"/>
      <c r="B359" s="158" t="inlineStr">
        <is>
          <t>MAT05-0042</t>
        </is>
      </c>
      <c r="C359" s="558" t="inlineStr">
        <is>
          <t>0105-0042</t>
        </is>
      </c>
      <c r="D359" s="158" t="inlineStr">
        <is>
          <t>TEJA COLONIAL NICA</t>
        </is>
      </c>
      <c r="E359" s="158" t="inlineStr">
        <is>
          <t>UND</t>
        </is>
      </c>
      <c r="F359" s="158" t="inlineStr">
        <is>
          <t>MATERIALES</t>
        </is>
      </c>
      <c r="G359" s="158" t="inlineStr">
        <is>
          <t>CUBIERTAS E IMPERMEBILIZANTES</t>
        </is>
      </c>
    </row>
    <row r="360">
      <c r="A360" s="159" t="n"/>
      <c r="B360" s="158" t="inlineStr">
        <is>
          <t>MAT05-0043</t>
        </is>
      </c>
      <c r="C360" s="558" t="inlineStr">
        <is>
          <t>0105-0043</t>
        </is>
      </c>
      <c r="D360" s="158" t="inlineStr">
        <is>
          <t>CUMBRERA TEJA NICA</t>
        </is>
      </c>
      <c r="E360" s="158" t="inlineStr">
        <is>
          <t>UND</t>
        </is>
      </c>
      <c r="F360" s="158" t="inlineStr">
        <is>
          <t>MATERIALES</t>
        </is>
      </c>
      <c r="G360" s="158" t="inlineStr">
        <is>
          <t>CUBIERTAS E IMPERMEBILIZANTES</t>
        </is>
      </c>
    </row>
    <row r="361">
      <c r="A361" s="159" t="n"/>
      <c r="B361" s="158" t="inlineStr">
        <is>
          <t>MAT05-0044</t>
        </is>
      </c>
      <c r="C361" s="558" t="inlineStr">
        <is>
          <t>0105-0044</t>
        </is>
      </c>
      <c r="D361" s="158" t="inlineStr">
        <is>
          <t>BOTAGUA TEJA NICA</t>
        </is>
      </c>
      <c r="E361" s="158" t="inlineStr">
        <is>
          <t>UND</t>
        </is>
      </c>
      <c r="F361" s="158" t="inlineStr">
        <is>
          <t>MATERIALES</t>
        </is>
      </c>
      <c r="G361" s="158" t="inlineStr">
        <is>
          <t>CUBIERTAS E IMPERMEBILIZANTES</t>
        </is>
      </c>
    </row>
    <row r="362">
      <c r="A362" s="159" t="n"/>
      <c r="B362" s="158" t="inlineStr">
        <is>
          <t>MAT05-0045</t>
        </is>
      </c>
      <c r="C362" s="558" t="inlineStr">
        <is>
          <t>0105-0045</t>
        </is>
      </c>
      <c r="D362" s="158" t="inlineStr">
        <is>
          <t>LAMINA RECT ESMALTADA BLANCA #26 1.08X2.80</t>
        </is>
      </c>
      <c r="E362" s="158" t="inlineStr">
        <is>
          <t>UND</t>
        </is>
      </c>
      <c r="F362" s="158" t="inlineStr">
        <is>
          <t>MATERIALES</t>
        </is>
      </c>
      <c r="G362" s="158" t="inlineStr">
        <is>
          <t>CUBIERTAS E IMPERMEBILIZANTES</t>
        </is>
      </c>
    </row>
    <row r="363">
      <c r="A363" s="159" t="n"/>
      <c r="B363" s="158" t="inlineStr">
        <is>
          <t>MAT05-0046</t>
        </is>
      </c>
      <c r="C363" s="558" t="inlineStr">
        <is>
          <t>0105-0046</t>
        </is>
      </c>
      <c r="D363" s="158" t="inlineStr">
        <is>
          <t>LAMINA UPVC 1.07 X 11.80X2.5MM</t>
        </is>
      </c>
      <c r="E363" s="158" t="inlineStr">
        <is>
          <t>UND</t>
        </is>
      </c>
      <c r="F363" s="158" t="inlineStr">
        <is>
          <t>MATERIALES</t>
        </is>
      </c>
      <c r="G363" s="158" t="inlineStr">
        <is>
          <t>CUBIERTAS E IMPERMEBILIZANTES</t>
        </is>
      </c>
    </row>
    <row r="364">
      <c r="A364" s="159" t="n"/>
      <c r="B364" s="158" t="inlineStr">
        <is>
          <t>MAT05-0047</t>
        </is>
      </c>
      <c r="C364" s="558" t="inlineStr">
        <is>
          <t>0105-0047</t>
        </is>
      </c>
      <c r="D364" s="158" t="inlineStr">
        <is>
          <t>IMPERMEABILIZANTE ELASTBIT - PINTURA</t>
        </is>
      </c>
      <c r="E364" s="158" t="inlineStr">
        <is>
          <t>UND</t>
        </is>
      </c>
      <c r="F364" s="158" t="inlineStr">
        <is>
          <t>MATERIALES</t>
        </is>
      </c>
      <c r="G364" s="158" t="inlineStr">
        <is>
          <t>CUBIERTAS E IMPERMEBILIZANTES</t>
        </is>
      </c>
    </row>
    <row r="365">
      <c r="A365" s="159" t="n"/>
      <c r="B365" s="158" t="inlineStr">
        <is>
          <t>MAT05-0048</t>
        </is>
      </c>
      <c r="C365" s="558" t="inlineStr">
        <is>
          <t>0105-0048</t>
        </is>
      </c>
      <c r="D365" s="158" t="inlineStr">
        <is>
          <t>LAMINA POLICARBONATO BLANCO</t>
        </is>
      </c>
      <c r="E365" s="158" t="inlineStr">
        <is>
          <t>M2</t>
        </is>
      </c>
      <c r="F365" s="158" t="inlineStr">
        <is>
          <t>MATERIALES</t>
        </is>
      </c>
      <c r="G365" s="158" t="inlineStr">
        <is>
          <t>CUBIERTAS E IMPERMEBILIZANTES</t>
        </is>
      </c>
    </row>
    <row r="366">
      <c r="A366" s="159" t="n"/>
      <c r="B366" s="158" t="inlineStr">
        <is>
          <t>MAT05-0049</t>
        </is>
      </c>
      <c r="C366" s="558" t="inlineStr">
        <is>
          <t>0105-0049</t>
        </is>
      </c>
      <c r="D366" s="158" t="inlineStr">
        <is>
          <t>LAMINA CONTINUA TIPO SCC-20 SENCILLA CALIBRE #26</t>
        </is>
      </c>
      <c r="E366" s="158" t="inlineStr">
        <is>
          <t>M</t>
        </is>
      </c>
      <c r="F366" s="158" t="inlineStr">
        <is>
          <t>MATERIALES</t>
        </is>
      </c>
      <c r="G366" s="158" t="inlineStr">
        <is>
          <t>CUBIERTAS E IMPERMEBILIZANTES</t>
        </is>
      </c>
    </row>
    <row r="367">
      <c r="A367" s="159" t="n"/>
      <c r="B367" s="158" t="inlineStr">
        <is>
          <t>MAT05-0050</t>
        </is>
      </c>
      <c r="C367" s="558" t="inlineStr">
        <is>
          <t>0105-0050</t>
        </is>
      </c>
      <c r="D367" s="158" t="inlineStr">
        <is>
          <t>IMPERMEABILIZANTE LATICRETE HYDROBAN 9255</t>
        </is>
      </c>
      <c r="E367" s="158" t="inlineStr">
        <is>
          <t>UND</t>
        </is>
      </c>
      <c r="F367" s="158" t="inlineStr">
        <is>
          <t>MATERIALES</t>
        </is>
      </c>
      <c r="G367" s="158" t="inlineStr">
        <is>
          <t>CUBIERTAS E IMPERMEBILIZANTES</t>
        </is>
      </c>
    </row>
    <row r="368">
      <c r="A368" s="159" t="n"/>
      <c r="B368" s="158" t="inlineStr">
        <is>
          <t>MAT05-0051</t>
        </is>
      </c>
      <c r="C368" s="558" t="inlineStr">
        <is>
          <t>0105-0051</t>
        </is>
      </c>
      <c r="D368" s="158" t="inlineStr">
        <is>
          <t>CANOA 18" CALIBRE 26</t>
        </is>
      </c>
      <c r="E368" s="158" t="inlineStr">
        <is>
          <t>M</t>
        </is>
      </c>
      <c r="F368" s="158" t="inlineStr">
        <is>
          <t>MATERIALES</t>
        </is>
      </c>
      <c r="G368" s="158" t="inlineStr">
        <is>
          <t>CUBIERTAS E IMPERMEBILIZANTES</t>
        </is>
      </c>
    </row>
    <row r="369">
      <c r="A369" s="159" t="n"/>
      <c r="B369" s="158" t="inlineStr">
        <is>
          <t>MAT05-0052</t>
        </is>
      </c>
      <c r="C369" s="558" t="inlineStr">
        <is>
          <t>0105-0052</t>
        </is>
      </c>
      <c r="D369" s="158" t="inlineStr">
        <is>
          <t>BOTAGUA 12" CALIBRE 26</t>
        </is>
      </c>
      <c r="E369" s="158" t="inlineStr">
        <is>
          <t>M</t>
        </is>
      </c>
      <c r="F369" s="158" t="inlineStr">
        <is>
          <t>MATERIALES</t>
        </is>
      </c>
      <c r="G369" s="158" t="inlineStr">
        <is>
          <t>CUBIERTAS E IMPERMEBILIZANTES</t>
        </is>
      </c>
    </row>
    <row r="370">
      <c r="A370" s="159" t="n"/>
      <c r="B370" s="158" t="inlineStr">
        <is>
          <t>MAT05-0053</t>
        </is>
      </c>
      <c r="C370" s="558" t="inlineStr">
        <is>
          <t>0105-0053</t>
        </is>
      </c>
      <c r="D370" s="158" t="inlineStr">
        <is>
          <t>BOTAGUA 6" CALIBRE 26</t>
        </is>
      </c>
      <c r="E370" s="158" t="inlineStr">
        <is>
          <t>M</t>
        </is>
      </c>
      <c r="F370" s="158" t="inlineStr">
        <is>
          <t>MATERIALES</t>
        </is>
      </c>
      <c r="G370" s="158" t="inlineStr">
        <is>
          <t>CUBIERTAS E IMPERMEBILIZANTES</t>
        </is>
      </c>
    </row>
    <row r="371">
      <c r="A371" s="159" t="n"/>
      <c r="B371" s="158" t="inlineStr">
        <is>
          <t>MAT05-0054</t>
        </is>
      </c>
      <c r="C371" s="558" t="inlineStr">
        <is>
          <t>0105-0054</t>
        </is>
      </c>
      <c r="D371" s="158" t="inlineStr">
        <is>
          <t>BOTAGUA 18" CALIBRE 26</t>
        </is>
      </c>
      <c r="E371" s="158" t="inlineStr">
        <is>
          <t>M</t>
        </is>
      </c>
      <c r="F371" s="158" t="inlineStr">
        <is>
          <t>MATERIALES</t>
        </is>
      </c>
      <c r="G371" s="158" t="inlineStr">
        <is>
          <t>CUBIERTAS E IMPERMEBILIZANTES</t>
        </is>
      </c>
    </row>
    <row r="372">
      <c r="A372" s="159" t="n"/>
      <c r="B372" s="158" t="inlineStr">
        <is>
          <t>MAT05-0055</t>
        </is>
      </c>
      <c r="C372" s="558" t="inlineStr">
        <is>
          <t>0105-0055</t>
        </is>
      </c>
      <c r="D372" s="158" t="inlineStr">
        <is>
          <t>BOQUILLA</t>
        </is>
      </c>
      <c r="E372" s="158" t="inlineStr">
        <is>
          <t>UND</t>
        </is>
      </c>
      <c r="F372" s="158" t="inlineStr">
        <is>
          <t>MATERIALES</t>
        </is>
      </c>
      <c r="G372" s="158" t="inlineStr">
        <is>
          <t>CUBIERTAS E IMPERMEBILIZANTES</t>
        </is>
      </c>
    </row>
    <row r="373">
      <c r="A373" s="159" t="n"/>
      <c r="B373" s="158" t="inlineStr">
        <is>
          <t>MAT05-0056</t>
        </is>
      </c>
      <c r="C373" s="558" t="inlineStr">
        <is>
          <t>0105-0056</t>
        </is>
      </c>
      <c r="D373" s="158" t="inlineStr">
        <is>
          <t>TAPA P/CANOA</t>
        </is>
      </c>
      <c r="E373" s="158" t="inlineStr">
        <is>
          <t>UND</t>
        </is>
      </c>
      <c r="F373" s="158" t="inlineStr">
        <is>
          <t>MATERIALES</t>
        </is>
      </c>
      <c r="G373" s="158" t="inlineStr">
        <is>
          <t>CUBIERTAS E IMPERMEBILIZANTES</t>
        </is>
      </c>
    </row>
    <row r="374">
      <c r="A374" s="159" t="n"/>
      <c r="B374" s="158" t="inlineStr">
        <is>
          <t>MAT05-0057</t>
        </is>
      </c>
      <c r="C374" s="558" t="inlineStr">
        <is>
          <t>0105-0057</t>
        </is>
      </c>
      <c r="D374" s="158" t="inlineStr">
        <is>
          <t>CANOA 9" CALIBRE 26</t>
        </is>
      </c>
      <c r="E374" s="158" t="inlineStr">
        <is>
          <t>M</t>
        </is>
      </c>
      <c r="F374" s="158" t="inlineStr">
        <is>
          <t>MATERIALES</t>
        </is>
      </c>
      <c r="G374" s="158" t="inlineStr">
        <is>
          <t>CUBIERTAS E IMPERMEBILIZANTES</t>
        </is>
      </c>
    </row>
    <row r="375">
      <c r="A375" s="159" t="n"/>
      <c r="B375" s="158" t="inlineStr">
        <is>
          <t>MAT05-0058</t>
        </is>
      </c>
      <c r="C375" s="558" t="inlineStr">
        <is>
          <t>0105-0058</t>
        </is>
      </c>
      <c r="D375" s="158" t="inlineStr">
        <is>
          <t>GANCHOS 1/8X1 HN</t>
        </is>
      </c>
      <c r="E375" s="158" t="inlineStr">
        <is>
          <t>UND</t>
        </is>
      </c>
      <c r="F375" s="158" t="inlineStr">
        <is>
          <t>MATERIALES</t>
        </is>
      </c>
      <c r="G375" s="158" t="inlineStr">
        <is>
          <t>CUBIERTAS E IMPERMEBILIZANTES</t>
        </is>
      </c>
    </row>
    <row r="376">
      <c r="A376" s="159" t="n"/>
      <c r="B376" s="158" t="inlineStr">
        <is>
          <t>MAT05-0059</t>
        </is>
      </c>
      <c r="C376" s="558" t="inlineStr">
        <is>
          <t>0105-0059</t>
        </is>
      </c>
      <c r="D376" s="158" t="inlineStr">
        <is>
          <t>CINTA PERFORADA</t>
        </is>
      </c>
      <c r="E376" s="158" t="inlineStr">
        <is>
          <t>M</t>
        </is>
      </c>
      <c r="F376" s="158" t="inlineStr">
        <is>
          <t>MATERIALES</t>
        </is>
      </c>
      <c r="G376" s="158" t="inlineStr">
        <is>
          <t>CUBIERTAS E IMPERMEBILIZANTES</t>
        </is>
      </c>
    </row>
    <row r="377">
      <c r="A377" s="159" t="n"/>
      <c r="B377" s="158" t="inlineStr">
        <is>
          <t>MAT05-0060</t>
        </is>
      </c>
      <c r="C377" s="558" t="inlineStr">
        <is>
          <t>0105-0060</t>
        </is>
      </c>
      <c r="D377" s="158" t="inlineStr">
        <is>
          <t>CINTA METALICA</t>
        </is>
      </c>
      <c r="E377" s="158" t="inlineStr">
        <is>
          <t>M</t>
        </is>
      </c>
      <c r="F377" s="158" t="inlineStr">
        <is>
          <t>MATERIALES</t>
        </is>
      </c>
      <c r="G377" s="158" t="inlineStr">
        <is>
          <t>CUBIERTAS E IMPERMEBILIZANTES</t>
        </is>
      </c>
    </row>
    <row r="378">
      <c r="A378" s="159" t="n"/>
      <c r="B378" s="158" t="inlineStr">
        <is>
          <t>MAT05-0061</t>
        </is>
      </c>
      <c r="C378" s="558" t="inlineStr">
        <is>
          <t>0105-0061</t>
        </is>
      </c>
      <c r="D378" s="158" t="inlineStr">
        <is>
          <t>LAMINA RECT ESMALTADA BLANCA #26 1.08X13.30</t>
        </is>
      </c>
      <c r="E378" s="158" t="inlineStr">
        <is>
          <t>UND</t>
        </is>
      </c>
      <c r="F378" s="158" t="inlineStr">
        <is>
          <t>MATERIALES</t>
        </is>
      </c>
      <c r="G378" s="158" t="inlineStr">
        <is>
          <t>CUBIERTAS E IMPERMEBILIZANTES</t>
        </is>
      </c>
    </row>
    <row r="379">
      <c r="A379" s="159" t="n"/>
      <c r="B379" s="158" t="inlineStr">
        <is>
          <t>MAT05-0062</t>
        </is>
      </c>
      <c r="C379" s="558" t="inlineStr">
        <is>
          <t>0105-0062</t>
        </is>
      </c>
      <c r="D379" s="158" t="inlineStr">
        <is>
          <t>LAMINA ONDULADA #28 H.G. .81X1.83</t>
        </is>
      </c>
      <c r="E379" s="158" t="inlineStr">
        <is>
          <t>UND</t>
        </is>
      </c>
      <c r="F379" s="158" t="inlineStr">
        <is>
          <t>MATERIALES</t>
        </is>
      </c>
      <c r="G379" s="158" t="inlineStr">
        <is>
          <t>CUBIERTAS E IMPERMEBILIZANTES</t>
        </is>
      </c>
    </row>
    <row r="380">
      <c r="A380" s="159" t="n"/>
      <c r="B380" s="158" t="inlineStr">
        <is>
          <t>MAT05-0063</t>
        </is>
      </c>
      <c r="C380" s="558" t="inlineStr">
        <is>
          <t>0105-0063</t>
        </is>
      </c>
      <c r="D380" s="158" t="inlineStr">
        <is>
          <t>BOBINA ACERO SUAVE BLANCO 4011 0.44 X 1220 MM</t>
        </is>
      </c>
      <c r="E380" s="158" t="inlineStr">
        <is>
          <t>KG</t>
        </is>
      </c>
      <c r="F380" s="158" t="inlineStr">
        <is>
          <t>MATERIALES</t>
        </is>
      </c>
      <c r="G380" s="158" t="inlineStr">
        <is>
          <t>CUBIERTAS E IMPERMEBILIZANTES</t>
        </is>
      </c>
    </row>
    <row r="381">
      <c r="A381" s="159" t="n"/>
      <c r="B381" s="158" t="inlineStr">
        <is>
          <t>MAT05-0064</t>
        </is>
      </c>
      <c r="C381" s="558" t="inlineStr">
        <is>
          <t>0105-0064</t>
        </is>
      </c>
      <c r="D381" s="158" t="inlineStr">
        <is>
          <t>CANOA 12" CALIBRE 26</t>
        </is>
      </c>
      <c r="E381" s="158" t="inlineStr">
        <is>
          <t>M</t>
        </is>
      </c>
      <c r="F381" s="158" t="inlineStr">
        <is>
          <t>MATERIALES</t>
        </is>
      </c>
      <c r="G381" s="158" t="inlineStr">
        <is>
          <t>CUBIERTAS E IMPERMEBILIZANTES</t>
        </is>
      </c>
    </row>
    <row r="382">
      <c r="A382" s="159" t="n"/>
      <c r="B382" s="158" t="inlineStr">
        <is>
          <t>MAT05-0065</t>
        </is>
      </c>
      <c r="C382" s="558" t="inlineStr">
        <is>
          <t>0105-0065</t>
        </is>
      </c>
      <c r="D382" s="158" t="inlineStr">
        <is>
          <t>ARRIZOS CALIBRE 26</t>
        </is>
      </c>
      <c r="E382" s="158" t="inlineStr">
        <is>
          <t>UND</t>
        </is>
      </c>
      <c r="F382" s="158" t="inlineStr">
        <is>
          <t>MATERIALES</t>
        </is>
      </c>
      <c r="G382" s="158" t="inlineStr">
        <is>
          <t>CUBIERTAS E IMPERMEBILIZANTES</t>
        </is>
      </c>
    </row>
    <row r="383">
      <c r="A383" s="159" t="n"/>
      <c r="B383" s="158" t="inlineStr">
        <is>
          <t>MAT05-0066</t>
        </is>
      </c>
      <c r="C383" s="558" t="inlineStr">
        <is>
          <t>0105-0066</t>
        </is>
      </c>
      <c r="D383" s="158" t="inlineStr">
        <is>
          <t>BOTAGUAS 36" CALIBRE #26</t>
        </is>
      </c>
      <c r="E383" s="158" t="inlineStr">
        <is>
          <t>M</t>
        </is>
      </c>
      <c r="F383" s="158" t="inlineStr">
        <is>
          <t>MATERIALES</t>
        </is>
      </c>
      <c r="G383" s="158" t="inlineStr">
        <is>
          <t>CUBIERTAS E IMPERMEBILIZANTES</t>
        </is>
      </c>
    </row>
    <row r="384">
      <c r="A384" s="159" t="n"/>
      <c r="B384" s="158" t="inlineStr">
        <is>
          <t>MAT05-0067</t>
        </is>
      </c>
      <c r="C384" s="558" t="inlineStr">
        <is>
          <t>0105-0067</t>
        </is>
      </c>
      <c r="D384" s="158" t="inlineStr">
        <is>
          <t>BOTAGUAS 09" CALIBRE #26</t>
        </is>
      </c>
      <c r="E384" s="158" t="inlineStr">
        <is>
          <t>M</t>
        </is>
      </c>
      <c r="F384" s="158" t="inlineStr">
        <is>
          <t>MATERIALES</t>
        </is>
      </c>
      <c r="G384" s="158" t="inlineStr">
        <is>
          <t>CUBIERTAS E IMPERMEBILIZANTES</t>
        </is>
      </c>
    </row>
    <row r="385">
      <c r="A385" s="159" t="n"/>
      <c r="B385" s="158" t="inlineStr">
        <is>
          <t>MAT05-0068</t>
        </is>
      </c>
      <c r="C385" s="558" t="inlineStr">
        <is>
          <t>0105-0068</t>
        </is>
      </c>
      <c r="D385" s="158" t="inlineStr">
        <is>
          <t>TAPA POLICARBONATO HUMO EN 11.80 METROS</t>
        </is>
      </c>
      <c r="E385" s="158" t="inlineStr">
        <is>
          <t>UND</t>
        </is>
      </c>
      <c r="F385" s="158" t="inlineStr">
        <is>
          <t>MATERIALES</t>
        </is>
      </c>
      <c r="G385" s="158" t="inlineStr">
        <is>
          <t>CUBIERTAS E IMPERMEBILIZANTES</t>
        </is>
      </c>
    </row>
    <row r="386">
      <c r="A386" s="159" t="n"/>
      <c r="B386" s="158" t="inlineStr">
        <is>
          <t>MAT05-0069</t>
        </is>
      </c>
      <c r="C386" s="558" t="inlineStr">
        <is>
          <t>0105-0069</t>
        </is>
      </c>
      <c r="D386" s="158" t="inlineStr">
        <is>
          <t>MARLON ST FORWALL 8MM HUMO 1.05 X 11.80 M</t>
        </is>
      </c>
      <c r="E386" s="158" t="inlineStr">
        <is>
          <t>UND</t>
        </is>
      </c>
      <c r="F386" s="158" t="inlineStr">
        <is>
          <t>MATERIALES</t>
        </is>
      </c>
      <c r="G386" s="158" t="inlineStr">
        <is>
          <t>CUBIERTAS E IMPERMEBILIZANTES</t>
        </is>
      </c>
    </row>
    <row r="387">
      <c r="A387" s="159" t="n"/>
      <c r="B387" s="158" t="inlineStr">
        <is>
          <t>MAT05-0070</t>
        </is>
      </c>
      <c r="C387" s="558" t="inlineStr">
        <is>
          <t>0105-0070</t>
        </is>
      </c>
      <c r="D387" s="158" t="inlineStr">
        <is>
          <t>MARLON ST FORWALL 8MM HUMO 1.05 X 7.86  M</t>
        </is>
      </c>
      <c r="E387" s="158" t="inlineStr">
        <is>
          <t>UND</t>
        </is>
      </c>
      <c r="F387" s="158" t="inlineStr">
        <is>
          <t>MATERIALES</t>
        </is>
      </c>
      <c r="G387" s="158" t="inlineStr">
        <is>
          <t>CUBIERTAS E IMPERMEBILIZANTES</t>
        </is>
      </c>
    </row>
    <row r="388">
      <c r="A388" s="159" t="n"/>
      <c r="B388" s="158" t="inlineStr">
        <is>
          <t>MAT05-0071</t>
        </is>
      </c>
      <c r="C388" s="558" t="inlineStr">
        <is>
          <t>0105-0071</t>
        </is>
      </c>
      <c r="D388" s="158" t="inlineStr">
        <is>
          <t>MARLON ST FORWALL 8MM HUMO 1.05 X 5.90 M</t>
        </is>
      </c>
      <c r="E388" s="158" t="inlineStr">
        <is>
          <t>UND</t>
        </is>
      </c>
      <c r="F388" s="158" t="inlineStr">
        <is>
          <t>MATERIALES</t>
        </is>
      </c>
      <c r="G388" s="158" t="inlineStr">
        <is>
          <t>CUBIERTAS E IMPERMEBILIZANTES</t>
        </is>
      </c>
    </row>
    <row r="389">
      <c r="A389" s="159" t="n"/>
      <c r="B389" s="158" t="inlineStr">
        <is>
          <t>MAT05-0072</t>
        </is>
      </c>
      <c r="C389" s="558" t="inlineStr">
        <is>
          <t>0105-0072</t>
        </is>
      </c>
      <c r="D389" s="158" t="inlineStr">
        <is>
          <t>TORNILLO PTA BROCA BICROMATIZADO 1 (POLYCARBONATO)</t>
        </is>
      </c>
      <c r="E389" s="158" t="inlineStr">
        <is>
          <t>UND</t>
        </is>
      </c>
      <c r="F389" s="158" t="inlineStr">
        <is>
          <t>MATERIALES</t>
        </is>
      </c>
      <c r="G389" s="158" t="inlineStr">
        <is>
          <t>CUBIERTAS E IMPERMEBILIZANTES</t>
        </is>
      </c>
    </row>
    <row r="390">
      <c r="A390" s="159" t="n"/>
      <c r="B390" s="158" t="inlineStr">
        <is>
          <t>MAT05-0073</t>
        </is>
      </c>
      <c r="C390" s="558" t="inlineStr">
        <is>
          <t>0105-0073</t>
        </is>
      </c>
      <c r="D390" s="158" t="inlineStr">
        <is>
          <t>GANCHJO DE SOPORTE NEGRO 25CM (PARA POLYCARBONATO)</t>
        </is>
      </c>
      <c r="E390" s="158" t="inlineStr">
        <is>
          <t>UND</t>
        </is>
      </c>
      <c r="F390" s="158" t="inlineStr">
        <is>
          <t>MATERIALES</t>
        </is>
      </c>
      <c r="G390" s="158" t="inlineStr">
        <is>
          <t>CUBIERTAS E IMPERMEBILIZANTES</t>
        </is>
      </c>
    </row>
    <row r="391">
      <c r="A391" s="159" t="n"/>
      <c r="B391" s="158" t="inlineStr">
        <is>
          <t>MAT05-0074</t>
        </is>
      </c>
      <c r="C391" s="558" t="inlineStr">
        <is>
          <t>0105-0074</t>
        </is>
      </c>
      <c r="D391" s="158" t="inlineStr">
        <is>
          <t>TORNILLO FIJADOR PTA BROCA 8X3/4 TDRKB812 (POLYCARBONATO)</t>
        </is>
      </c>
      <c r="E391" s="158" t="inlineStr">
        <is>
          <t>UND</t>
        </is>
      </c>
      <c r="F391" s="158" t="inlineStr">
        <is>
          <t>MATERIALES</t>
        </is>
      </c>
      <c r="G391" s="158" t="inlineStr">
        <is>
          <t>CUBIERTAS E IMPERMEBILIZANTES</t>
        </is>
      </c>
    </row>
    <row r="392">
      <c r="A392" s="159" t="n"/>
      <c r="B392" s="158" t="inlineStr">
        <is>
          <t>MAT05-0075</t>
        </is>
      </c>
      <c r="C392" s="558" t="inlineStr">
        <is>
          <t>0105-0075</t>
        </is>
      </c>
      <c r="D392" s="158" t="inlineStr">
        <is>
          <t>CINTA DE ALUMINIO 25MM C/50M (POLYCARBONATO)</t>
        </is>
      </c>
      <c r="E392" s="158" t="inlineStr">
        <is>
          <t>UND</t>
        </is>
      </c>
      <c r="F392" s="158" t="inlineStr">
        <is>
          <t>MATERIALES</t>
        </is>
      </c>
      <c r="G392" s="158" t="inlineStr">
        <is>
          <t>CUBIERTAS E IMPERMEBILIZANTES</t>
        </is>
      </c>
    </row>
    <row r="393">
      <c r="A393" s="159" t="n"/>
      <c r="B393" s="158" t="inlineStr">
        <is>
          <t>MAT05-0076</t>
        </is>
      </c>
      <c r="C393" s="558" t="inlineStr">
        <is>
          <t>0105-0076</t>
        </is>
      </c>
      <c r="D393" s="158" t="inlineStr">
        <is>
          <t>CINTA DE VENTILACION 25MM / M PARA ST (POLYCARBONATO)</t>
        </is>
      </c>
      <c r="E393" s="158" t="inlineStr">
        <is>
          <t>UND</t>
        </is>
      </c>
      <c r="F393" s="158" t="inlineStr">
        <is>
          <t>MATERIALES</t>
        </is>
      </c>
      <c r="G393" s="158" t="inlineStr">
        <is>
          <t>CUBIERTAS E IMPERMEBILIZANTES</t>
        </is>
      </c>
    </row>
    <row r="394">
      <c r="A394" s="159" t="n"/>
      <c r="B394" s="158" t="inlineStr">
        <is>
          <t>MAT05-0077</t>
        </is>
      </c>
      <c r="C394" s="558" t="inlineStr">
        <is>
          <t>0105-0077</t>
        </is>
      </c>
      <c r="D394" s="158" t="inlineStr">
        <is>
          <t>PERFIL TIPO U TERMINAL LAMINA 8MM NEGRO 4.3 M (POLYCARBONATO)</t>
        </is>
      </c>
      <c r="E394" s="158" t="inlineStr">
        <is>
          <t>UND</t>
        </is>
      </c>
      <c r="F394" s="158" t="inlineStr">
        <is>
          <t>MATERIALES</t>
        </is>
      </c>
      <c r="G394" s="158" t="inlineStr">
        <is>
          <t>CUBIERTAS E IMPERMEBILIZANTES</t>
        </is>
      </c>
    </row>
    <row r="395">
      <c r="A395" s="159" t="n"/>
      <c r="B395" s="158" t="inlineStr">
        <is>
          <t>MAT05-0078</t>
        </is>
      </c>
      <c r="C395" s="558" t="inlineStr">
        <is>
          <t>0105-0078</t>
        </is>
      </c>
      <c r="D395" s="158" t="inlineStr">
        <is>
          <t>SILICON TRANSPARENTE (POLYCARBONATO)</t>
        </is>
      </c>
      <c r="E395" s="158" t="inlineStr">
        <is>
          <t>UND</t>
        </is>
      </c>
      <c r="F395" s="158" t="inlineStr">
        <is>
          <t>MATERIALES</t>
        </is>
      </c>
      <c r="G395" s="158" t="inlineStr">
        <is>
          <t>CUBIERTAS E IMPERMEBILIZANTES</t>
        </is>
      </c>
    </row>
    <row r="396">
      <c r="A396" s="159" t="n"/>
      <c r="B396" s="158" t="inlineStr">
        <is>
          <t>MAT05-0079</t>
        </is>
      </c>
      <c r="C396" s="558" t="inlineStr">
        <is>
          <t>0105-0079</t>
        </is>
      </c>
      <c r="D396" s="158" t="inlineStr">
        <is>
          <t>TORNILLO TORLAK 1" PTA BROCA</t>
        </is>
      </c>
      <c r="E396" s="158" t="inlineStr">
        <is>
          <t>UND</t>
        </is>
      </c>
      <c r="F396" s="158" t="inlineStr">
        <is>
          <t>MATERIALES</t>
        </is>
      </c>
      <c r="G396" s="158" t="inlineStr">
        <is>
          <t>CUBIERTAS E IMPERMEBILIZANTES</t>
        </is>
      </c>
    </row>
    <row r="397">
      <c r="A397" s="159" t="n"/>
      <c r="B397" s="158" t="inlineStr">
        <is>
          <t>MAT05-0080</t>
        </is>
      </c>
      <c r="C397" s="558" t="inlineStr">
        <is>
          <t>0105-0080</t>
        </is>
      </c>
      <c r="D397" s="158" t="inlineStr">
        <is>
          <t>CLIP ESMALTADO CALIBRE 24</t>
        </is>
      </c>
      <c r="E397" s="158" t="inlineStr">
        <is>
          <t>UND</t>
        </is>
      </c>
      <c r="F397" s="158" t="inlineStr">
        <is>
          <t>MATERIALES</t>
        </is>
      </c>
      <c r="G397" s="158" t="inlineStr">
        <is>
          <t>CUBIERTAS E IMPERMEBILIZANTES</t>
        </is>
      </c>
    </row>
    <row r="398">
      <c r="A398" s="159" t="n"/>
      <c r="B398" s="158" t="inlineStr">
        <is>
          <t>MAT05-0081</t>
        </is>
      </c>
      <c r="C398" s="558" t="inlineStr">
        <is>
          <t>0105-0081</t>
        </is>
      </c>
      <c r="D398" s="158" t="inlineStr">
        <is>
          <t>MARLON ST FORWALL 8MM HUMO 1.05 X 3.93M</t>
        </is>
      </c>
      <c r="E398" s="158" t="inlineStr">
        <is>
          <t>UND</t>
        </is>
      </c>
      <c r="F398" s="158" t="inlineStr">
        <is>
          <t>MATERIALES</t>
        </is>
      </c>
      <c r="G398" s="158" t="inlineStr">
        <is>
          <t>CUBIERTAS E IMPERMEBILIZANTES</t>
        </is>
      </c>
    </row>
    <row r="399">
      <c r="A399" s="159" t="n"/>
      <c r="B399" s="158" t="inlineStr">
        <is>
          <t>MAT05-0082</t>
        </is>
      </c>
      <c r="C399" s="558" t="inlineStr">
        <is>
          <t>0105-0082</t>
        </is>
      </c>
      <c r="D399" s="158" t="inlineStr">
        <is>
          <t>LIMPIADOR DE CONTACTO</t>
        </is>
      </c>
      <c r="E399" s="158" t="inlineStr">
        <is>
          <t>UND</t>
        </is>
      </c>
      <c r="F399" s="158" t="inlineStr">
        <is>
          <t>MATERIALES</t>
        </is>
      </c>
      <c r="G399" s="158" t="inlineStr">
        <is>
          <t>CUBIERTAS E IMPERMEBILIZANTES</t>
        </is>
      </c>
    </row>
    <row r="400">
      <c r="A400" s="159" t="n"/>
      <c r="B400" s="158" t="inlineStr">
        <is>
          <t>MAT05-0083</t>
        </is>
      </c>
      <c r="C400" s="558" t="inlineStr">
        <is>
          <t>0105-0083</t>
        </is>
      </c>
      <c r="D400" s="158" t="inlineStr">
        <is>
          <t>IMPERMEABILIZANTE PENETRON INTACO 18KG</t>
        </is>
      </c>
      <c r="E400" s="158" t="inlineStr">
        <is>
          <t>SACO</t>
        </is>
      </c>
      <c r="F400" s="158" t="inlineStr">
        <is>
          <t>MATERIALES</t>
        </is>
      </c>
      <c r="G400" s="158" t="inlineStr">
        <is>
          <t>CUBIERTAS E IMPERMEBILIZANTES</t>
        </is>
      </c>
    </row>
    <row r="401">
      <c r="A401" s="159" t="n"/>
      <c r="B401" s="158" t="inlineStr">
        <is>
          <t>MAT05-0084</t>
        </is>
      </c>
      <c r="C401" s="558" t="inlineStr">
        <is>
          <t>0105-0084</t>
        </is>
      </c>
      <c r="D401" s="158" t="inlineStr">
        <is>
          <t>LAMINA RECT ESMALTADA BLANCA #26 1.08X11.8</t>
        </is>
      </c>
      <c r="E401" s="158" t="inlineStr">
        <is>
          <t>UND</t>
        </is>
      </c>
      <c r="F401" s="158" t="inlineStr">
        <is>
          <t>MATERIALES</t>
        </is>
      </c>
      <c r="G401" s="158" t="inlineStr">
        <is>
          <t>CUBIERTAS E IMPERMEBILIZANTES</t>
        </is>
      </c>
    </row>
    <row r="402">
      <c r="A402" s="159" t="n"/>
      <c r="B402" s="158" t="inlineStr">
        <is>
          <t>MAT05-0085</t>
        </is>
      </c>
      <c r="C402" s="558" t="inlineStr">
        <is>
          <t>0105-0085</t>
        </is>
      </c>
      <c r="D402" s="158" t="inlineStr">
        <is>
          <t>LAMINA RECT ESMALTADA BLANCA #26 1.08X12.45</t>
        </is>
      </c>
      <c r="E402" s="158" t="inlineStr">
        <is>
          <t>UND</t>
        </is>
      </c>
      <c r="F402" s="158" t="inlineStr">
        <is>
          <t>MATERIALES</t>
        </is>
      </c>
      <c r="G402" s="158" t="inlineStr">
        <is>
          <t>CUBIERTAS E IMPERMEBILIZANTES</t>
        </is>
      </c>
    </row>
    <row r="403">
      <c r="A403" s="159" t="n"/>
      <c r="B403" s="158" t="inlineStr">
        <is>
          <t>MAT05-0086</t>
        </is>
      </c>
      <c r="C403" s="558" t="inlineStr">
        <is>
          <t>0105-0086</t>
        </is>
      </c>
      <c r="D403" s="158" t="inlineStr">
        <is>
          <t>LAMINA RECT ESMALTADA BLANCA #26 1.08X1.1</t>
        </is>
      </c>
      <c r="E403" s="158" t="inlineStr">
        <is>
          <t>UND</t>
        </is>
      </c>
      <c r="F403" s="158" t="inlineStr">
        <is>
          <t>MATERIALES</t>
        </is>
      </c>
      <c r="G403" s="158" t="inlineStr">
        <is>
          <t>CUBIERTAS E IMPERMEBILIZANTES</t>
        </is>
      </c>
    </row>
    <row r="404">
      <c r="A404" s="159" t="n"/>
      <c r="B404" s="158" t="inlineStr">
        <is>
          <t>MAT05-0087</t>
        </is>
      </c>
      <c r="C404" s="558" t="inlineStr">
        <is>
          <t>0105-0087</t>
        </is>
      </c>
      <c r="D404" s="158" t="inlineStr">
        <is>
          <t>LAMINA RECT ESMALTADA BLANCA #26 1.08X14.5</t>
        </is>
      </c>
      <c r="E404" s="158" t="inlineStr">
        <is>
          <t>UND</t>
        </is>
      </c>
      <c r="F404" s="158" t="inlineStr">
        <is>
          <t>MATERIALES</t>
        </is>
      </c>
      <c r="G404" s="158" t="inlineStr">
        <is>
          <t>CUBIERTAS E IMPERMEBILIZANTES</t>
        </is>
      </c>
    </row>
    <row r="405">
      <c r="A405" s="159" t="n"/>
      <c r="B405" s="158" t="inlineStr">
        <is>
          <t>MAT05-0088</t>
        </is>
      </c>
      <c r="C405" s="558" t="inlineStr">
        <is>
          <t>0105-0088</t>
        </is>
      </c>
      <c r="D405" s="158" t="inlineStr">
        <is>
          <t>LAMINA RECT ESMALTADA BLANCA #26 1.08X12.65</t>
        </is>
      </c>
      <c r="E405" s="158" t="inlineStr">
        <is>
          <t>UND</t>
        </is>
      </c>
      <c r="F405" s="158" t="inlineStr">
        <is>
          <t>MATERIALES</t>
        </is>
      </c>
      <c r="G405" s="158" t="inlineStr">
        <is>
          <t>CUBIERTAS E IMPERMEBILIZANTES</t>
        </is>
      </c>
    </row>
    <row r="406">
      <c r="A406" s="159" t="n"/>
      <c r="B406" s="158" t="inlineStr">
        <is>
          <t>MAT05-0089</t>
        </is>
      </c>
      <c r="C406" s="558" t="inlineStr">
        <is>
          <t>0105-0089</t>
        </is>
      </c>
      <c r="D406" s="158" t="inlineStr">
        <is>
          <t>LAMINA RECT ESMALTADA BLANCA #26 1.08X11.95</t>
        </is>
      </c>
      <c r="E406" s="158" t="inlineStr">
        <is>
          <t>UND</t>
        </is>
      </c>
      <c r="F406" s="158" t="inlineStr">
        <is>
          <t>MATERIALES</t>
        </is>
      </c>
      <c r="G406" s="158" t="inlineStr">
        <is>
          <t>CUBIERTAS E IMPERMEBILIZANTES</t>
        </is>
      </c>
    </row>
    <row r="407">
      <c r="A407" s="159" t="n"/>
      <c r="B407" s="158" t="inlineStr">
        <is>
          <t>MAT05-0090</t>
        </is>
      </c>
      <c r="C407" s="558" t="inlineStr">
        <is>
          <t>0105-0090</t>
        </is>
      </c>
      <c r="D407" s="158" t="inlineStr">
        <is>
          <t>LAMINA RECT ESMALTADA BLANCA #26 1.08X8.6</t>
        </is>
      </c>
      <c r="E407" s="158" t="inlineStr">
        <is>
          <t>UND</t>
        </is>
      </c>
      <c r="F407" s="158" t="inlineStr">
        <is>
          <t>MATERIALES</t>
        </is>
      </c>
      <c r="G407" s="158" t="inlineStr">
        <is>
          <t>CUBIERTAS E IMPERMEBILIZANTES</t>
        </is>
      </c>
    </row>
    <row r="408">
      <c r="A408" s="159" t="n"/>
      <c r="B408" s="158" t="inlineStr">
        <is>
          <t>MAT05-0091</t>
        </is>
      </c>
      <c r="C408" s="558" t="inlineStr">
        <is>
          <t>0105-0091</t>
        </is>
      </c>
      <c r="D408" s="158" t="inlineStr">
        <is>
          <t>LAMINA RECT ESMALTADA BLANCA #26 1.08X14.2</t>
        </is>
      </c>
      <c r="E408" s="158" t="inlineStr">
        <is>
          <t>UND</t>
        </is>
      </c>
      <c r="F408" s="158" t="inlineStr">
        <is>
          <t>MATERIALES</t>
        </is>
      </c>
      <c r="G408" s="158" t="inlineStr">
        <is>
          <t>CUBIERTAS E IMPERMEBILIZANTES</t>
        </is>
      </c>
    </row>
    <row r="409">
      <c r="A409" s="159" t="n"/>
      <c r="B409" s="158" t="inlineStr">
        <is>
          <t>MAT05-0092</t>
        </is>
      </c>
      <c r="C409" s="558" t="inlineStr">
        <is>
          <t>0105-0092</t>
        </is>
      </c>
      <c r="D409" s="158" t="inlineStr">
        <is>
          <t>LAMINA RECT ESMALTADA BLANCA #26 1.08X14.55</t>
        </is>
      </c>
      <c r="E409" s="158" t="inlineStr">
        <is>
          <t>UND</t>
        </is>
      </c>
      <c r="F409" s="158" t="inlineStr">
        <is>
          <t>MATERIALES</t>
        </is>
      </c>
      <c r="G409" s="158" t="inlineStr">
        <is>
          <t>CUBIERTAS E IMPERMEBILIZANTES</t>
        </is>
      </c>
    </row>
    <row r="410">
      <c r="A410" s="159" t="n"/>
      <c r="B410" s="158" t="inlineStr">
        <is>
          <t>MAT05-0093</t>
        </is>
      </c>
      <c r="C410" s="558" t="inlineStr">
        <is>
          <t>0105-0093</t>
        </is>
      </c>
      <c r="D410" s="158" t="inlineStr">
        <is>
          <t>LAMINA RECT ESMALTADA BLANCA #26 1.08X3.45</t>
        </is>
      </c>
      <c r="E410" s="158" t="inlineStr">
        <is>
          <t>UND</t>
        </is>
      </c>
      <c r="F410" s="158" t="inlineStr">
        <is>
          <t>MATERIALES</t>
        </is>
      </c>
      <c r="G410" s="158" t="inlineStr">
        <is>
          <t>CUBIERTAS E IMPERMEBILIZANTES</t>
        </is>
      </c>
    </row>
    <row r="411">
      <c r="A411" s="159" t="n"/>
      <c r="B411" s="158" t="inlineStr">
        <is>
          <t>MAT05-0094</t>
        </is>
      </c>
      <c r="C411" s="558" t="inlineStr">
        <is>
          <t>0105-0094</t>
        </is>
      </c>
      <c r="D411" s="158" t="inlineStr">
        <is>
          <t>LAMINA RECT ESMALTADA BLANCA #26 1.08X6.7</t>
        </is>
      </c>
      <c r="E411" s="158" t="inlineStr">
        <is>
          <t>UND</t>
        </is>
      </c>
      <c r="F411" s="158" t="inlineStr">
        <is>
          <t>MATERIALES</t>
        </is>
      </c>
      <c r="G411" s="158" t="inlineStr">
        <is>
          <t>CUBIERTAS E IMPERMEBILIZANTES</t>
        </is>
      </c>
    </row>
    <row r="412">
      <c r="A412" s="159" t="n"/>
      <c r="B412" s="158" t="inlineStr">
        <is>
          <t>MAT05-0095</t>
        </is>
      </c>
      <c r="C412" s="558" t="inlineStr">
        <is>
          <t>0105-0095</t>
        </is>
      </c>
      <c r="D412" s="158" t="inlineStr">
        <is>
          <t>LAMINA RECT ESMALTADA BLANCA #26 1.08X12.55</t>
        </is>
      </c>
      <c r="E412" s="158" t="inlineStr">
        <is>
          <t>UND</t>
        </is>
      </c>
      <c r="F412" s="158" t="inlineStr">
        <is>
          <t>MATERIALES</t>
        </is>
      </c>
      <c r="G412" s="158" t="inlineStr">
        <is>
          <t>CUBIERTAS E IMPERMEBILIZANTES</t>
        </is>
      </c>
    </row>
    <row r="413">
      <c r="A413" s="159" t="n"/>
      <c r="B413" s="158" t="inlineStr">
        <is>
          <t>MAT05-0096</t>
        </is>
      </c>
      <c r="C413" s="558" t="inlineStr">
        <is>
          <t>0105-0096</t>
        </is>
      </c>
      <c r="D413" s="158" t="inlineStr">
        <is>
          <t>LAMINA RECT ESMALTADA BLANCA #26 1.08X3.65</t>
        </is>
      </c>
      <c r="E413" s="158" t="inlineStr">
        <is>
          <t>UND</t>
        </is>
      </c>
      <c r="F413" s="158" t="inlineStr">
        <is>
          <t>MATERIALES</t>
        </is>
      </c>
      <c r="G413" s="158" t="inlineStr">
        <is>
          <t>CUBIERTAS E IMPERMEBILIZANTES</t>
        </is>
      </c>
    </row>
    <row r="414">
      <c r="A414" s="159" t="n"/>
      <c r="B414" s="158" t="inlineStr">
        <is>
          <t>MAT05-0097</t>
        </is>
      </c>
      <c r="C414" s="558" t="inlineStr">
        <is>
          <t>0105-0097</t>
        </is>
      </c>
      <c r="D414" s="158" t="inlineStr">
        <is>
          <t>LAMINA RECT ESMALTADA BLANCA #26 1.08X4.25</t>
        </is>
      </c>
      <c r="E414" s="158" t="inlineStr">
        <is>
          <t>UND</t>
        </is>
      </c>
      <c r="F414" s="158" t="inlineStr">
        <is>
          <t>MATERIALES</t>
        </is>
      </c>
      <c r="G414" s="158" t="inlineStr">
        <is>
          <t>CUBIERTAS E IMPERMEBILIZANTES</t>
        </is>
      </c>
    </row>
    <row r="415">
      <c r="A415" s="159" t="n"/>
      <c r="B415" s="158" t="inlineStr">
        <is>
          <t>MAT05-0098</t>
        </is>
      </c>
      <c r="C415" s="558" t="inlineStr">
        <is>
          <t>0105-0098</t>
        </is>
      </c>
      <c r="D415" s="158" t="inlineStr">
        <is>
          <t>LAMINA RECT ESMALTADA BLANCA #26 1.08X8.7</t>
        </is>
      </c>
      <c r="E415" s="158" t="inlineStr">
        <is>
          <t>UND</t>
        </is>
      </c>
      <c r="F415" s="158" t="inlineStr">
        <is>
          <t>MATERIALES</t>
        </is>
      </c>
      <c r="G415" s="158" t="inlineStr">
        <is>
          <t>CUBIERTAS E IMPERMEBILIZANTES</t>
        </is>
      </c>
    </row>
    <row r="416">
      <c r="A416" s="159" t="n"/>
      <c r="B416" s="158" t="inlineStr">
        <is>
          <t>MAT05-0099</t>
        </is>
      </c>
      <c r="C416" s="558" t="inlineStr">
        <is>
          <t>0105-0099</t>
        </is>
      </c>
      <c r="D416" s="158" t="inlineStr">
        <is>
          <t>LAMINA RECT ESMALTADA BLANCA #26 1.08X14.2</t>
        </is>
      </c>
      <c r="E416" s="158" t="inlineStr">
        <is>
          <t>UND</t>
        </is>
      </c>
      <c r="F416" s="158" t="inlineStr">
        <is>
          <t>MATERIALES</t>
        </is>
      </c>
      <c r="G416" s="158" t="inlineStr">
        <is>
          <t>CUBIERTAS E IMPERMEBILIZANTES</t>
        </is>
      </c>
    </row>
    <row r="417">
      <c r="A417" s="159" t="n"/>
      <c r="B417" s="158" t="inlineStr">
        <is>
          <t>MAT05-0100</t>
        </is>
      </c>
      <c r="C417" s="558" t="inlineStr">
        <is>
          <t>0105-0100</t>
        </is>
      </c>
      <c r="D417" s="158" t="inlineStr">
        <is>
          <t>LAMINA RECT ESMALTADA BLANCA #26 1.08X14.5</t>
        </is>
      </c>
      <c r="E417" s="158" t="inlineStr">
        <is>
          <t>UND</t>
        </is>
      </c>
      <c r="F417" s="158" t="inlineStr">
        <is>
          <t>MATERIALES</t>
        </is>
      </c>
      <c r="G417" s="158" t="inlineStr">
        <is>
          <t>CUBIERTAS E IMPERMEBILIZANTES</t>
        </is>
      </c>
    </row>
    <row r="418">
      <c r="A418" s="159" t="n"/>
      <c r="B418" s="158" t="inlineStr">
        <is>
          <t>MAT05-0101</t>
        </is>
      </c>
      <c r="C418" s="558" t="inlineStr">
        <is>
          <t>0105-0101</t>
        </is>
      </c>
      <c r="D418" s="158" t="inlineStr">
        <is>
          <t>LAMINA RECT ESMALTADA BLANCA #26 1.08X13.8</t>
        </is>
      </c>
      <c r="E418" s="158" t="inlineStr">
        <is>
          <t>UND</t>
        </is>
      </c>
      <c r="F418" s="158" t="inlineStr">
        <is>
          <t>MATERIALES</t>
        </is>
      </c>
      <c r="G418" s="158" t="inlineStr">
        <is>
          <t>CUBIERTAS E IMPERMEBILIZANTES</t>
        </is>
      </c>
    </row>
    <row r="419">
      <c r="A419" s="159" t="n"/>
      <c r="B419" s="158" t="inlineStr">
        <is>
          <t>MAT05-0102</t>
        </is>
      </c>
      <c r="C419" s="558" t="inlineStr">
        <is>
          <t>0105-0102</t>
        </is>
      </c>
      <c r="D419" s="158" t="inlineStr">
        <is>
          <t>LAMINA RECT ESMALTADA BLANCA #26 1.08X9.3</t>
        </is>
      </c>
      <c r="E419" s="158" t="inlineStr">
        <is>
          <t>UND</t>
        </is>
      </c>
      <c r="F419" s="158" t="inlineStr">
        <is>
          <t>MATERIALES</t>
        </is>
      </c>
      <c r="G419" s="158" t="inlineStr">
        <is>
          <t>CUBIERTAS E IMPERMEBILIZANTES</t>
        </is>
      </c>
    </row>
    <row r="420">
      <c r="A420" s="159" t="n"/>
      <c r="B420" s="158" t="inlineStr">
        <is>
          <t>MAT05-0103</t>
        </is>
      </c>
      <c r="C420" s="558" t="inlineStr">
        <is>
          <t>0105-0103</t>
        </is>
      </c>
      <c r="D420" s="158" t="inlineStr">
        <is>
          <t>IMPERMEABILIZANTE MASTERSEAL 590</t>
        </is>
      </c>
      <c r="E420" s="158" t="inlineStr">
        <is>
          <t>SACO</t>
        </is>
      </c>
      <c r="F420" s="158" t="inlineStr">
        <is>
          <t>MATERIALES</t>
        </is>
      </c>
      <c r="G420" s="158" t="inlineStr">
        <is>
          <t>CUBIERTAS E IMPERMEBILIZANTES</t>
        </is>
      </c>
    </row>
    <row r="421">
      <c r="A421" s="159" t="n"/>
      <c r="B421" s="158" t="inlineStr">
        <is>
          <t>MAT05-0104</t>
        </is>
      </c>
      <c r="C421" s="558" t="inlineStr">
        <is>
          <t>0105-0104</t>
        </is>
      </c>
      <c r="D421" s="158" t="inlineStr">
        <is>
          <t>MASTERSEAL HLM 5000</t>
        </is>
      </c>
      <c r="E421" s="158" t="inlineStr">
        <is>
          <t>CUB</t>
        </is>
      </c>
      <c r="F421" s="158" t="inlineStr">
        <is>
          <t>MATERIALES</t>
        </is>
      </c>
      <c r="G421" s="158" t="inlineStr">
        <is>
          <t>CUBIERTAS E IMPERMEBILIZANTES</t>
        </is>
      </c>
    </row>
    <row r="422">
      <c r="A422" s="159" t="n"/>
      <c r="B422" s="158" t="inlineStr">
        <is>
          <t>MAT05-0105</t>
        </is>
      </c>
      <c r="C422" s="558" t="inlineStr">
        <is>
          <t>0105-0105</t>
        </is>
      </c>
      <c r="D422" s="158" t="inlineStr">
        <is>
          <t>ACERO SUAVE BLANCO 0.44 X 914</t>
        </is>
      </c>
      <c r="E422" s="158" t="inlineStr">
        <is>
          <t>KG</t>
        </is>
      </c>
      <c r="F422" s="158" t="inlineStr">
        <is>
          <t>MATERIALES</t>
        </is>
      </c>
      <c r="G422" s="158" t="inlineStr">
        <is>
          <t>CUBIERTAS E IMPERMEBILIZANTES</t>
        </is>
      </c>
    </row>
    <row r="423">
      <c r="A423" s="159" t="n"/>
      <c r="B423" s="158" t="inlineStr">
        <is>
          <t>MAT05-0106</t>
        </is>
      </c>
      <c r="C423" s="558" t="inlineStr">
        <is>
          <t>0105-0106</t>
        </is>
      </c>
      <c r="D423" s="158" t="inlineStr">
        <is>
          <t>PRIMER P/IMPERMEABILIZANTE TIPO MAPECOAT I 600W/PARTE A CUB 2.3KG</t>
        </is>
      </c>
      <c r="E423" s="158" t="inlineStr">
        <is>
          <t>CUBETA</t>
        </is>
      </c>
      <c r="F423" s="158" t="inlineStr">
        <is>
          <t>MATERIALES</t>
        </is>
      </c>
      <c r="G423" s="158" t="inlineStr">
        <is>
          <t>CUBIERTAS E IMPERMEBILIZANTES</t>
        </is>
      </c>
    </row>
    <row r="424">
      <c r="A424" s="159" t="n"/>
      <c r="B424" s="158" t="inlineStr">
        <is>
          <t>MAT05-0107</t>
        </is>
      </c>
      <c r="C424" s="558" t="inlineStr">
        <is>
          <t>0105-0107</t>
        </is>
      </c>
      <c r="D424" s="158" t="inlineStr">
        <is>
          <t>PRIMER P/IMPERMEABILIZANTE TIPO MAPECOAT I 600W/PARTE B CUB 3.6KG</t>
        </is>
      </c>
      <c r="E424" s="158" t="inlineStr">
        <is>
          <t>CUBETA</t>
        </is>
      </c>
      <c r="F424" s="158" t="inlineStr">
        <is>
          <t>MATERIALES</t>
        </is>
      </c>
      <c r="G424" s="158" t="inlineStr">
        <is>
          <t>CUBIERTAS E IMPERMEBILIZANTES</t>
        </is>
      </c>
    </row>
    <row r="425">
      <c r="A425" s="159" t="n"/>
      <c r="B425" s="158" t="inlineStr">
        <is>
          <t>MAT05-0108</t>
        </is>
      </c>
      <c r="C425" s="558" t="inlineStr">
        <is>
          <t>0105-0108</t>
        </is>
      </c>
      <c r="D425" s="158" t="inlineStr">
        <is>
          <t>PRIMER CAPA IMPERMEABILIZANTE PURTOP EASY GREY CUB/25 KG</t>
        </is>
      </c>
      <c r="E425" s="158" t="inlineStr">
        <is>
          <t>CUBETA</t>
        </is>
      </c>
      <c r="F425" s="158" t="inlineStr">
        <is>
          <t>MATERIALES</t>
        </is>
      </c>
      <c r="G425" s="158" t="inlineStr">
        <is>
          <t>CUBIERTAS E IMPERMEBILIZANTES</t>
        </is>
      </c>
    </row>
    <row r="426">
      <c r="A426" s="159" t="n"/>
      <c r="B426" s="158" t="inlineStr">
        <is>
          <t>MAT05-0109</t>
        </is>
      </c>
      <c r="C426" s="558" t="inlineStr">
        <is>
          <t>0105-0109</t>
        </is>
      </c>
      <c r="D426" s="158" t="inlineStr">
        <is>
          <t>CAPA ACABADO IMPERMEABILIZANTE, MAPECOAT PU 20 N/PARTE A RAL 7032 (GRIS) CUBETA/17.2KG</t>
        </is>
      </c>
      <c r="E426" s="158" t="inlineStr">
        <is>
          <t>CUBETA</t>
        </is>
      </c>
      <c r="F426" s="158" t="inlineStr">
        <is>
          <t>MATERIALES</t>
        </is>
      </c>
      <c r="G426" s="158" t="inlineStr">
        <is>
          <t>CUBIERTAS E IMPERMEBILIZANTES</t>
        </is>
      </c>
    </row>
    <row r="427">
      <c r="A427" s="159" t="n"/>
      <c r="B427" s="158" t="inlineStr">
        <is>
          <t>MAT05-0110</t>
        </is>
      </c>
      <c r="C427" s="558" t="inlineStr">
        <is>
          <t>0105-0110</t>
        </is>
      </c>
      <c r="D427" s="158" t="inlineStr">
        <is>
          <t>CAPA ACABADO IMPERMEABILIZANTE, MAPECOAT PU 20 N/PARTE B CUBETA 2.8KG</t>
        </is>
      </c>
      <c r="E427" s="158" t="inlineStr">
        <is>
          <t>CUBETA</t>
        </is>
      </c>
      <c r="F427" s="158" t="inlineStr">
        <is>
          <t>MATERIALES</t>
        </is>
      </c>
      <c r="G427" s="158" t="inlineStr">
        <is>
          <t>CUBIERTAS E IMPERMEBILIZANTES</t>
        </is>
      </c>
    </row>
    <row r="428">
      <c r="A428" s="159" t="n"/>
      <c r="B428" s="158" t="inlineStr">
        <is>
          <t>MAT05-0111</t>
        </is>
      </c>
      <c r="C428" s="558" t="inlineStr">
        <is>
          <t>0105-0111</t>
        </is>
      </c>
      <c r="D428" s="158" t="inlineStr">
        <is>
          <t>ARENA SILICA (KG)</t>
        </is>
      </c>
      <c r="E428" s="158" t="inlineStr">
        <is>
          <t>KG</t>
        </is>
      </c>
      <c r="F428" s="158" t="inlineStr">
        <is>
          <t>MATERIALES</t>
        </is>
      </c>
      <c r="G428" s="158" t="inlineStr">
        <is>
          <t>CUBIERTAS E IMPERMEBILIZANTES</t>
        </is>
      </c>
    </row>
    <row r="429">
      <c r="A429" s="159" t="n"/>
      <c r="B429" s="158" t="inlineStr">
        <is>
          <t>MAT08-0522</t>
        </is>
      </c>
      <c r="C429" s="558" t="inlineStr">
        <is>
          <t>0108-0522</t>
        </is>
      </c>
      <c r="D429" s="158" t="inlineStr">
        <is>
          <t>BONDEX GRIS PREMIUM ORO 25KG</t>
        </is>
      </c>
      <c r="E429" s="158" t="inlineStr">
        <is>
          <t>SACO</t>
        </is>
      </c>
      <c r="F429" s="158" t="inlineStr">
        <is>
          <t>MATERIALES</t>
        </is>
      </c>
      <c r="G429" s="158" t="inlineStr">
        <is>
          <t>FERRETERIA GENERAL</t>
        </is>
      </c>
    </row>
    <row r="430" customFormat="1" s="560">
      <c r="A430" s="557" t="n"/>
      <c r="B430" s="557" t="inlineStr">
        <is>
          <t>(ID) Insumo</t>
        </is>
      </c>
      <c r="C430" s="558" t="n"/>
      <c r="D430" s="557" t="inlineStr">
        <is>
          <t>Descripción</t>
        </is>
      </c>
      <c r="E430" s="557" t="inlineStr">
        <is>
          <t>Unidad</t>
        </is>
      </c>
      <c r="F430" s="557" t="inlineStr">
        <is>
          <t>Grupo de Insumo</t>
        </is>
      </c>
      <c r="G430" s="557" t="inlineStr">
        <is>
          <t>Familia de Insumos</t>
        </is>
      </c>
    </row>
    <row r="431">
      <c r="A431" s="159" t="n"/>
      <c r="B431" s="158" t="inlineStr">
        <is>
          <t>MAT06-0002</t>
        </is>
      </c>
      <c r="C431" s="558" t="inlineStr">
        <is>
          <t>0106-0002</t>
        </is>
      </c>
      <c r="D431" s="158" t="inlineStr">
        <is>
          <t>ACOPLE P/ BASE MEDIDOR 2</t>
        </is>
      </c>
      <c r="E431" s="158" t="inlineStr">
        <is>
          <t>UND</t>
        </is>
      </c>
      <c r="F431" s="158" t="inlineStr">
        <is>
          <t>MATERIALES</t>
        </is>
      </c>
      <c r="G431" s="158" t="inlineStr">
        <is>
          <t>ELECTRICO</t>
        </is>
      </c>
    </row>
    <row r="432">
      <c r="A432" s="159" t="n"/>
      <c r="B432" s="158" t="inlineStr">
        <is>
          <t>MAT06-0003</t>
        </is>
      </c>
      <c r="C432" s="558" t="inlineStr">
        <is>
          <t>0106-0003</t>
        </is>
      </c>
      <c r="D432" s="158" t="inlineStr">
        <is>
          <t>ACOPLE P/BASE DE MEDIDOR 1 1/2 A150 S.D</t>
        </is>
      </c>
      <c r="E432" s="158" t="inlineStr">
        <is>
          <t>UND</t>
        </is>
      </c>
      <c r="F432" s="158" t="inlineStr">
        <is>
          <t>MATERIALES</t>
        </is>
      </c>
      <c r="G432" s="158" t="inlineStr">
        <is>
          <t>ELECTRICO</t>
        </is>
      </c>
    </row>
    <row r="433">
      <c r="A433" s="159" t="n"/>
      <c r="B433" s="158" t="inlineStr">
        <is>
          <t>MAT06-0004</t>
        </is>
      </c>
      <c r="C433" s="558" t="inlineStr">
        <is>
          <t>0106-0004</t>
        </is>
      </c>
      <c r="D433" s="158" t="inlineStr">
        <is>
          <t>ADAPT SECILLO 1 MODULO 5521-5EW  DECORADOR BLANCO</t>
        </is>
      </c>
      <c r="E433" s="158" t="inlineStr">
        <is>
          <t>UND</t>
        </is>
      </c>
      <c r="F433" s="158" t="inlineStr">
        <is>
          <t>MATERIALES</t>
        </is>
      </c>
      <c r="G433" s="158" t="inlineStr">
        <is>
          <t>ELECTRICO</t>
        </is>
      </c>
    </row>
    <row r="434">
      <c r="A434" s="159" t="n"/>
      <c r="B434" s="158" t="inlineStr">
        <is>
          <t>MAT06-0005</t>
        </is>
      </c>
      <c r="C434" s="558" t="inlineStr">
        <is>
          <t>0106-0005</t>
        </is>
      </c>
      <c r="D434" s="158" t="inlineStr">
        <is>
          <t>ADAPTA DOBLE 2 MODULOS 5522-5EW DECORADOR BLANCO</t>
        </is>
      </c>
      <c r="E434" s="158" t="inlineStr">
        <is>
          <t>UND</t>
        </is>
      </c>
      <c r="F434" s="158" t="inlineStr">
        <is>
          <t>MATERIALES</t>
        </is>
      </c>
      <c r="G434" s="158" t="inlineStr">
        <is>
          <t>ELECTRICO</t>
        </is>
      </c>
    </row>
    <row r="435">
      <c r="A435" s="159" t="n"/>
      <c r="B435" s="158" t="inlineStr">
        <is>
          <t>MAT06-0006</t>
        </is>
      </c>
      <c r="C435" s="558" t="inlineStr">
        <is>
          <t>0106-0006</t>
        </is>
      </c>
      <c r="D435" s="158" t="inlineStr">
        <is>
          <t>APAGADOR DOBLE 15A 120 DECO</t>
        </is>
      </c>
      <c r="E435" s="158" t="inlineStr">
        <is>
          <t>UND</t>
        </is>
      </c>
      <c r="F435" s="158" t="inlineStr">
        <is>
          <t>MATERIALES</t>
        </is>
      </c>
      <c r="G435" s="158" t="inlineStr">
        <is>
          <t>ELECTRICO</t>
        </is>
      </c>
    </row>
    <row r="436">
      <c r="A436" s="159" t="n"/>
      <c r="B436" s="158" t="inlineStr">
        <is>
          <t>MAT06-0007</t>
        </is>
      </c>
      <c r="C436" s="558" t="inlineStr">
        <is>
          <t>0106-0007</t>
        </is>
      </c>
      <c r="D436" s="158" t="inlineStr">
        <is>
          <t>APAGADOR DOBLE COOPER</t>
        </is>
      </c>
      <c r="E436" s="158" t="inlineStr">
        <is>
          <t>UND</t>
        </is>
      </c>
      <c r="F436" s="158" t="inlineStr">
        <is>
          <t>MATERIALES</t>
        </is>
      </c>
      <c r="G436" s="158" t="inlineStr">
        <is>
          <t>ELECTRICO</t>
        </is>
      </c>
    </row>
    <row r="437">
      <c r="A437" s="159" t="n"/>
      <c r="B437" s="158" t="inlineStr">
        <is>
          <t>MAT06-0008</t>
        </is>
      </c>
      <c r="C437" s="558" t="inlineStr">
        <is>
          <t>0106-0008</t>
        </is>
      </c>
      <c r="D437" s="158" t="inlineStr">
        <is>
          <t>APAGADOR DOBLE TRIWAY DECO</t>
        </is>
      </c>
      <c r="E437" s="158" t="inlineStr">
        <is>
          <t>UND</t>
        </is>
      </c>
      <c r="F437" s="158" t="inlineStr">
        <is>
          <t>MATERIALES</t>
        </is>
      </c>
      <c r="G437" s="158" t="inlineStr">
        <is>
          <t>ELECTRICO</t>
        </is>
      </c>
    </row>
    <row r="438">
      <c r="A438" s="159" t="n"/>
      <c r="B438" s="158" t="inlineStr">
        <is>
          <t>MAT06-0009</t>
        </is>
      </c>
      <c r="C438" s="558" t="inlineStr">
        <is>
          <t>0106-0009</t>
        </is>
      </c>
      <c r="D438" s="158" t="inlineStr">
        <is>
          <t>APAGADOR SENCILLO 15A 120 DECO</t>
        </is>
      </c>
      <c r="E438" s="158" t="inlineStr">
        <is>
          <t>UND</t>
        </is>
      </c>
      <c r="F438" s="158" t="inlineStr">
        <is>
          <t>MATERIALES</t>
        </is>
      </c>
      <c r="G438" s="158" t="inlineStr">
        <is>
          <t>ELECTRICO</t>
        </is>
      </c>
    </row>
    <row r="439">
      <c r="A439" s="159" t="n"/>
      <c r="B439" s="158" t="inlineStr">
        <is>
          <t>MAT06-0010</t>
        </is>
      </c>
      <c r="C439" s="558" t="inlineStr">
        <is>
          <t>0106-0010</t>
        </is>
      </c>
      <c r="D439" s="158" t="inlineStr">
        <is>
          <t>APAGADOR SENCILLO COOPER</t>
        </is>
      </c>
      <c r="E439" s="158" t="inlineStr">
        <is>
          <t>UND</t>
        </is>
      </c>
      <c r="F439" s="158" t="inlineStr">
        <is>
          <t>MATERIALES</t>
        </is>
      </c>
      <c r="G439" s="158" t="inlineStr">
        <is>
          <t>ELECTRICO</t>
        </is>
      </c>
    </row>
    <row r="440">
      <c r="A440" s="159" t="n"/>
      <c r="B440" s="158" t="inlineStr">
        <is>
          <t>MAT06-0011</t>
        </is>
      </c>
      <c r="C440" s="558" t="inlineStr">
        <is>
          <t>0106-0011</t>
        </is>
      </c>
      <c r="D440" s="158" t="inlineStr">
        <is>
          <t>APAGADOR SENCILLO TRIWAY</t>
        </is>
      </c>
      <c r="E440" s="158" t="inlineStr">
        <is>
          <t>UND</t>
        </is>
      </c>
      <c r="F440" s="158" t="inlineStr">
        <is>
          <t>MATERIALES</t>
        </is>
      </c>
      <c r="G440" s="158" t="inlineStr">
        <is>
          <t>ELECTRICO</t>
        </is>
      </c>
    </row>
    <row r="441">
      <c r="A441" s="159" t="n"/>
      <c r="B441" s="158" t="inlineStr">
        <is>
          <t>MAT06-0012</t>
        </is>
      </c>
      <c r="C441" s="558" t="inlineStr">
        <is>
          <t>0106-0012</t>
        </is>
      </c>
      <c r="D441" s="158" t="inlineStr">
        <is>
          <t>APAGADOR TRIPLE 15A 120 DECO</t>
        </is>
      </c>
      <c r="E441" s="158" t="inlineStr">
        <is>
          <t>UND</t>
        </is>
      </c>
      <c r="F441" s="158" t="inlineStr">
        <is>
          <t>MATERIALES</t>
        </is>
      </c>
      <c r="G441" s="158" t="inlineStr">
        <is>
          <t>ELECTRICO</t>
        </is>
      </c>
    </row>
    <row r="442">
      <c r="A442" s="159" t="n"/>
      <c r="B442" s="158" t="inlineStr">
        <is>
          <t>MAT06-0013</t>
        </is>
      </c>
      <c r="C442" s="558" t="inlineStr">
        <is>
          <t>0106-0013</t>
        </is>
      </c>
      <c r="D442" s="158" t="inlineStr">
        <is>
          <t>APAGADOR TRIPLE COOPER</t>
        </is>
      </c>
      <c r="E442" s="158" t="inlineStr">
        <is>
          <t>UND</t>
        </is>
      </c>
      <c r="F442" s="158" t="inlineStr">
        <is>
          <t>MATERIALES</t>
        </is>
      </c>
      <c r="G442" s="158" t="inlineStr">
        <is>
          <t>ELECTRICO</t>
        </is>
      </c>
    </row>
    <row r="443">
      <c r="A443" s="159" t="n"/>
      <c r="B443" s="158" t="inlineStr">
        <is>
          <t>MAT06-0014</t>
        </is>
      </c>
      <c r="C443" s="558" t="inlineStr">
        <is>
          <t>0106-0014</t>
        </is>
      </c>
      <c r="D443" s="158" t="inlineStr">
        <is>
          <t>CENTRO DE CARGA CH4L125FP-USA EMPOTRAR</t>
        </is>
      </c>
      <c r="E443" s="158" t="inlineStr">
        <is>
          <t>UND</t>
        </is>
      </c>
      <c r="F443" s="158" t="inlineStr">
        <is>
          <t>MATERIALES</t>
        </is>
      </c>
      <c r="G443" s="158" t="inlineStr">
        <is>
          <t>ELECTRICO</t>
        </is>
      </c>
    </row>
    <row r="444">
      <c r="A444" s="159" t="n"/>
      <c r="B444" s="158" t="inlineStr">
        <is>
          <t>MAT06-0015</t>
        </is>
      </c>
      <c r="C444" s="558" t="inlineStr">
        <is>
          <t>0106-0015</t>
        </is>
      </c>
      <c r="D444" s="158" t="inlineStr">
        <is>
          <t>ARO REPELLO EMT 4X4 1GANG</t>
        </is>
      </c>
      <c r="E444" s="158" t="inlineStr">
        <is>
          <t>UND</t>
        </is>
      </c>
      <c r="F444" s="158" t="inlineStr">
        <is>
          <t>MATERIALES</t>
        </is>
      </c>
      <c r="G444" s="158" t="inlineStr">
        <is>
          <t>ELECTRICO</t>
        </is>
      </c>
    </row>
    <row r="445">
      <c r="A445" s="159" t="n"/>
      <c r="B445" s="158" t="inlineStr">
        <is>
          <t>MAT06-0016</t>
        </is>
      </c>
      <c r="C445" s="558" t="inlineStr">
        <is>
          <t>0106-0016</t>
        </is>
      </c>
      <c r="D445" s="158" t="inlineStr">
        <is>
          <t>ARO REPELLO EMT 4X4 2GANG</t>
        </is>
      </c>
      <c r="E445" s="158" t="inlineStr">
        <is>
          <t>UND</t>
        </is>
      </c>
      <c r="F445" s="158" t="inlineStr">
        <is>
          <t>MATERIALES</t>
        </is>
      </c>
      <c r="G445" s="158" t="inlineStr">
        <is>
          <t>ELECTRICO</t>
        </is>
      </c>
    </row>
    <row r="446">
      <c r="A446" s="159" t="n"/>
      <c r="B446" s="158" t="inlineStr">
        <is>
          <t>MAT06-0017</t>
        </is>
      </c>
      <c r="C446" s="558" t="inlineStr">
        <is>
          <t>0106-0017</t>
        </is>
      </c>
      <c r="D446" s="158" t="inlineStr">
        <is>
          <t>BASE MEDIDOR MS1254JCBM+A125+QO2100</t>
        </is>
      </c>
      <c r="E446" s="158" t="inlineStr">
        <is>
          <t>UND</t>
        </is>
      </c>
      <c r="F446" s="158" t="inlineStr">
        <is>
          <t>MATERIALES</t>
        </is>
      </c>
      <c r="G446" s="158" t="inlineStr">
        <is>
          <t>ELECTRICO</t>
        </is>
      </c>
    </row>
    <row r="447">
      <c r="A447" s="159" t="n"/>
      <c r="B447" s="158" t="inlineStr">
        <is>
          <t>MAT06-0018</t>
        </is>
      </c>
      <c r="C447" s="558" t="inlineStr">
        <is>
          <t>0106-0018</t>
        </is>
      </c>
      <c r="D447" s="158" t="inlineStr">
        <is>
          <t>BOMBILLO 100W</t>
        </is>
      </c>
      <c r="E447" s="158" t="inlineStr">
        <is>
          <t>UND</t>
        </is>
      </c>
      <c r="F447" s="158" t="inlineStr">
        <is>
          <t>MATERIALES</t>
        </is>
      </c>
      <c r="G447" s="158" t="inlineStr">
        <is>
          <t>ELECTRICO</t>
        </is>
      </c>
    </row>
    <row r="448">
      <c r="A448" s="159" t="n"/>
      <c r="B448" s="158" t="inlineStr">
        <is>
          <t>MAT06-0019</t>
        </is>
      </c>
      <c r="C448" s="558" t="inlineStr">
        <is>
          <t>0106-0019</t>
        </is>
      </c>
      <c r="D448" s="158" t="inlineStr">
        <is>
          <t>BOMBILLO 50W</t>
        </is>
      </c>
      <c r="E448" s="158" t="inlineStr">
        <is>
          <t>UND</t>
        </is>
      </c>
      <c r="F448" s="158" t="inlineStr">
        <is>
          <t>MATERIALES</t>
        </is>
      </c>
      <c r="G448" s="158" t="inlineStr">
        <is>
          <t>ELECTRICO</t>
        </is>
      </c>
    </row>
    <row r="449">
      <c r="A449" s="159" t="n"/>
      <c r="B449" s="158" t="inlineStr">
        <is>
          <t>MAT06-0020</t>
        </is>
      </c>
      <c r="C449" s="558" t="inlineStr">
        <is>
          <t>0106-0020</t>
        </is>
      </c>
      <c r="D449" s="158" t="inlineStr">
        <is>
          <t>BREAKER  2/100AMP QOM100VH CENTRO CARGA</t>
        </is>
      </c>
      <c r="E449" s="158" t="inlineStr">
        <is>
          <t>UND</t>
        </is>
      </c>
      <c r="F449" s="158" t="inlineStr">
        <is>
          <t>MATERIALES</t>
        </is>
      </c>
      <c r="G449" s="158" t="inlineStr">
        <is>
          <t>ELECTRICO</t>
        </is>
      </c>
    </row>
    <row r="450">
      <c r="A450" s="159" t="n"/>
      <c r="B450" s="158" t="inlineStr">
        <is>
          <t>MAT06-0021</t>
        </is>
      </c>
      <c r="C450" s="558" t="inlineStr">
        <is>
          <t>0106-0021</t>
        </is>
      </c>
      <c r="D450" s="158" t="inlineStr">
        <is>
          <t>BREAKER 2P/100AMP QO2100 BASE MEDIDOR</t>
        </is>
      </c>
      <c r="E450" s="158" t="inlineStr">
        <is>
          <t>UND</t>
        </is>
      </c>
      <c r="F450" s="158" t="inlineStr">
        <is>
          <t>MATERIALES</t>
        </is>
      </c>
      <c r="G450" s="158" t="inlineStr">
        <is>
          <t>ELECTRICO</t>
        </is>
      </c>
    </row>
    <row r="451">
      <c r="A451" s="159" t="n"/>
      <c r="B451" s="158" t="inlineStr">
        <is>
          <t>MAT06-0022</t>
        </is>
      </c>
      <c r="C451" s="558" t="inlineStr">
        <is>
          <t>0106-0022</t>
        </is>
      </c>
      <c r="D451" s="158" t="inlineStr">
        <is>
          <t>BREAKER QO120PDF DUAL 20AMP</t>
        </is>
      </c>
      <c r="E451" s="158" t="inlineStr">
        <is>
          <t>UND</t>
        </is>
      </c>
      <c r="F451" s="158" t="inlineStr">
        <is>
          <t>MATERIALES</t>
        </is>
      </c>
      <c r="G451" s="158" t="inlineStr">
        <is>
          <t>ELECTRICO</t>
        </is>
      </c>
    </row>
    <row r="452">
      <c r="A452" s="159" t="n"/>
      <c r="B452" s="158" t="inlineStr">
        <is>
          <t>MAT06-0023</t>
        </is>
      </c>
      <c r="C452" s="558" t="inlineStr">
        <is>
          <t>0106-0023</t>
        </is>
      </c>
      <c r="D452" s="158" t="inlineStr">
        <is>
          <t>BREAKER QO220 2P/20AMP</t>
        </is>
      </c>
      <c r="E452" s="158" t="inlineStr">
        <is>
          <t>UND</t>
        </is>
      </c>
      <c r="F452" s="158" t="inlineStr">
        <is>
          <t>MATERIALES</t>
        </is>
      </c>
      <c r="G452" s="158" t="inlineStr">
        <is>
          <t>ELECTRICO</t>
        </is>
      </c>
    </row>
    <row r="453">
      <c r="A453" s="159" t="n"/>
      <c r="B453" s="158" t="inlineStr">
        <is>
          <t>MAT06-0024</t>
        </is>
      </c>
      <c r="C453" s="558" t="inlineStr">
        <is>
          <t>0106-0024</t>
        </is>
      </c>
      <c r="D453" s="158" t="inlineStr">
        <is>
          <t>BREAKER QO230 2P/30AMP</t>
        </is>
      </c>
      <c r="E453" s="158" t="inlineStr">
        <is>
          <t>UND</t>
        </is>
      </c>
      <c r="F453" s="158" t="inlineStr">
        <is>
          <t>MATERIALES</t>
        </is>
      </c>
      <c r="G453" s="158" t="inlineStr">
        <is>
          <t>ELECTRICO</t>
        </is>
      </c>
    </row>
    <row r="454">
      <c r="A454" s="159" t="n"/>
      <c r="B454" s="158" t="inlineStr">
        <is>
          <t>MAT06-0025</t>
        </is>
      </c>
      <c r="C454" s="558" t="inlineStr">
        <is>
          <t>0106-0025</t>
        </is>
      </c>
      <c r="D454" s="158" t="inlineStr">
        <is>
          <t>BREAKER QO240 2P/40AMP</t>
        </is>
      </c>
      <c r="E454" s="158" t="inlineStr">
        <is>
          <t>UND</t>
        </is>
      </c>
      <c r="F454" s="158" t="inlineStr">
        <is>
          <t>MATERIALES</t>
        </is>
      </c>
      <c r="G454" s="158" t="inlineStr">
        <is>
          <t>ELECTRICO</t>
        </is>
      </c>
    </row>
    <row r="455">
      <c r="A455" s="159" t="n"/>
      <c r="B455" s="158" t="inlineStr">
        <is>
          <t>MAT06-0026</t>
        </is>
      </c>
      <c r="C455" s="558" t="inlineStr">
        <is>
          <t>0106-0026</t>
        </is>
      </c>
      <c r="D455" s="158" t="inlineStr">
        <is>
          <t>BREAKER QO250 2P/50AMP</t>
        </is>
      </c>
      <c r="E455" s="158" t="inlineStr">
        <is>
          <t>UND</t>
        </is>
      </c>
      <c r="F455" s="158" t="inlineStr">
        <is>
          <t>MATERIALES</t>
        </is>
      </c>
      <c r="G455" s="158" t="inlineStr">
        <is>
          <t>ELECTRICO</t>
        </is>
      </c>
    </row>
    <row r="456">
      <c r="A456" s="159" t="n"/>
      <c r="B456" s="158" t="inlineStr">
        <is>
          <t>MAT06-0027</t>
        </is>
      </c>
      <c r="C456" s="558" t="inlineStr">
        <is>
          <t>0106-0027</t>
        </is>
      </c>
      <c r="D456" s="158" t="inlineStr">
        <is>
          <t>CABLE #10 BLANCO</t>
        </is>
      </c>
      <c r="E456" s="158" t="inlineStr">
        <is>
          <t>M</t>
        </is>
      </c>
      <c r="F456" s="158" t="inlineStr">
        <is>
          <t>MATERIALES</t>
        </is>
      </c>
      <c r="G456" s="158" t="inlineStr">
        <is>
          <t>ELECTRICO</t>
        </is>
      </c>
    </row>
    <row r="457">
      <c r="A457" s="159" t="n"/>
      <c r="B457" s="158" t="inlineStr">
        <is>
          <t>MAT06-0028</t>
        </is>
      </c>
      <c r="C457" s="558" t="inlineStr">
        <is>
          <t>0106-0028</t>
        </is>
      </c>
      <c r="D457" s="158" t="inlineStr">
        <is>
          <t>CABLE #10 ROJO</t>
        </is>
      </c>
      <c r="E457" s="158" t="inlineStr">
        <is>
          <t>M</t>
        </is>
      </c>
      <c r="F457" s="158" t="inlineStr">
        <is>
          <t>MATERIALES</t>
        </is>
      </c>
      <c r="G457" s="158" t="inlineStr">
        <is>
          <t>ELECTRICO</t>
        </is>
      </c>
    </row>
    <row r="458">
      <c r="A458" s="159" t="n"/>
      <c r="B458" s="158" t="inlineStr">
        <is>
          <t>MAT06-0029</t>
        </is>
      </c>
      <c r="C458" s="558" t="inlineStr">
        <is>
          <t>0106-0029</t>
        </is>
      </c>
      <c r="D458" s="158" t="inlineStr">
        <is>
          <t>CABLE #10 VERDE</t>
        </is>
      </c>
      <c r="E458" s="158" t="inlineStr">
        <is>
          <t>M</t>
        </is>
      </c>
      <c r="F458" s="158" t="inlineStr">
        <is>
          <t>MATERIALES</t>
        </is>
      </c>
      <c r="G458" s="158" t="inlineStr">
        <is>
          <t>ELECTRICO</t>
        </is>
      </c>
    </row>
    <row r="459">
      <c r="A459" s="159" t="n"/>
      <c r="B459" s="158" t="inlineStr">
        <is>
          <t>MAT06-0030</t>
        </is>
      </c>
      <c r="C459" s="558" t="inlineStr">
        <is>
          <t>0106-0030</t>
        </is>
      </c>
      <c r="D459" s="158" t="inlineStr">
        <is>
          <t>CABLE #12 AZUL</t>
        </is>
      </c>
      <c r="E459" s="158" t="inlineStr">
        <is>
          <t>M</t>
        </is>
      </c>
      <c r="F459" s="158" t="inlineStr">
        <is>
          <t>MATERIALES</t>
        </is>
      </c>
      <c r="G459" s="158" t="inlineStr">
        <is>
          <t>ELECTRICO</t>
        </is>
      </c>
    </row>
    <row r="460">
      <c r="A460" s="159" t="n"/>
      <c r="B460" s="158" t="inlineStr">
        <is>
          <t>MAT06-0031</t>
        </is>
      </c>
      <c r="C460" s="558" t="inlineStr">
        <is>
          <t>0106-0031</t>
        </is>
      </c>
      <c r="D460" s="158" t="inlineStr">
        <is>
          <t>CABLE #12 BLANCO</t>
        </is>
      </c>
      <c r="E460" s="158" t="inlineStr">
        <is>
          <t>M</t>
        </is>
      </c>
      <c r="F460" s="158" t="inlineStr">
        <is>
          <t>MATERIALES</t>
        </is>
      </c>
      <c r="G460" s="158" t="inlineStr">
        <is>
          <t>ELECTRICO</t>
        </is>
      </c>
    </row>
    <row r="461">
      <c r="A461" s="159" t="n"/>
      <c r="B461" s="158" t="inlineStr">
        <is>
          <t>MAT06-0032</t>
        </is>
      </c>
      <c r="C461" s="558" t="inlineStr">
        <is>
          <t>0106-0032</t>
        </is>
      </c>
      <c r="D461" s="158" t="inlineStr">
        <is>
          <t>CABLE #12 NEGRO</t>
        </is>
      </c>
      <c r="E461" s="158" t="inlineStr">
        <is>
          <t>M</t>
        </is>
      </c>
      <c r="F461" s="158" t="inlineStr">
        <is>
          <t>MATERIALES</t>
        </is>
      </c>
      <c r="G461" s="158" t="inlineStr">
        <is>
          <t>ELECTRICO</t>
        </is>
      </c>
    </row>
    <row r="462">
      <c r="A462" s="159" t="n"/>
      <c r="B462" s="158" t="inlineStr">
        <is>
          <t>MAT06-0033</t>
        </is>
      </c>
      <c r="C462" s="558" t="inlineStr">
        <is>
          <t>0106-0033</t>
        </is>
      </c>
      <c r="D462" s="158" t="inlineStr">
        <is>
          <t>CABLE #12 ROJO</t>
        </is>
      </c>
      <c r="E462" s="158" t="inlineStr">
        <is>
          <t>M</t>
        </is>
      </c>
      <c r="F462" s="158" t="inlineStr">
        <is>
          <t>MATERIALES</t>
        </is>
      </c>
      <c r="G462" s="158" t="inlineStr">
        <is>
          <t>ELECTRICO</t>
        </is>
      </c>
    </row>
    <row r="463">
      <c r="A463" s="159" t="n"/>
      <c r="B463" s="158" t="inlineStr">
        <is>
          <t>MAT06-0034</t>
        </is>
      </c>
      <c r="C463" s="558" t="inlineStr">
        <is>
          <t>0106-0034</t>
        </is>
      </c>
      <c r="D463" s="158" t="inlineStr">
        <is>
          <t>CABLE #12 VERDE</t>
        </is>
      </c>
      <c r="E463" s="158" t="inlineStr">
        <is>
          <t>M</t>
        </is>
      </c>
      <c r="F463" s="158" t="inlineStr">
        <is>
          <t>MATERIALES</t>
        </is>
      </c>
      <c r="G463" s="158" t="inlineStr">
        <is>
          <t>ELECTRICO</t>
        </is>
      </c>
    </row>
    <row r="464">
      <c r="A464" s="159" t="n"/>
      <c r="B464" s="158" t="inlineStr">
        <is>
          <t>MAT06-0035</t>
        </is>
      </c>
      <c r="C464" s="558" t="inlineStr">
        <is>
          <t>0106-0035</t>
        </is>
      </c>
      <c r="D464" s="158" t="inlineStr">
        <is>
          <t>CABLE #6 ROJO</t>
        </is>
      </c>
      <c r="E464" s="158" t="inlineStr">
        <is>
          <t>M</t>
        </is>
      </c>
      <c r="F464" s="158" t="inlineStr">
        <is>
          <t>MATERIALES</t>
        </is>
      </c>
      <c r="G464" s="158" t="inlineStr">
        <is>
          <t>ELECTRICO</t>
        </is>
      </c>
    </row>
    <row r="465">
      <c r="A465" s="159" t="n"/>
      <c r="B465" s="158" t="inlineStr">
        <is>
          <t>MAT06-0036</t>
        </is>
      </c>
      <c r="C465" s="558" t="inlineStr">
        <is>
          <t>0106-0036</t>
        </is>
      </c>
      <c r="D465" s="158" t="inlineStr">
        <is>
          <t>CABLE #6 VERDE</t>
        </is>
      </c>
      <c r="E465" s="158" t="inlineStr">
        <is>
          <t>M</t>
        </is>
      </c>
      <c r="F465" s="158" t="inlineStr">
        <is>
          <t>MATERIALES</t>
        </is>
      </c>
      <c r="G465" s="158" t="inlineStr">
        <is>
          <t>ELECTRICO</t>
        </is>
      </c>
    </row>
    <row r="466">
      <c r="A466" s="159" t="n"/>
      <c r="B466" s="158" t="inlineStr">
        <is>
          <t>MAT06-0037</t>
        </is>
      </c>
      <c r="C466" s="558" t="inlineStr">
        <is>
          <t>0106-0037</t>
        </is>
      </c>
      <c r="D466" s="158" t="inlineStr">
        <is>
          <t>CABLE #8 BLANCO</t>
        </is>
      </c>
      <c r="E466" s="158" t="inlineStr">
        <is>
          <t>M</t>
        </is>
      </c>
      <c r="F466" s="158" t="inlineStr">
        <is>
          <t>MATERIALES</t>
        </is>
      </c>
      <c r="G466" s="158" t="inlineStr">
        <is>
          <t>ELECTRICO</t>
        </is>
      </c>
    </row>
    <row r="467">
      <c r="A467" s="159" t="n"/>
      <c r="B467" s="158" t="inlineStr">
        <is>
          <t>MAT06-0038</t>
        </is>
      </c>
      <c r="C467" s="558" t="inlineStr">
        <is>
          <t>0106-0038</t>
        </is>
      </c>
      <c r="D467" s="158" t="inlineStr">
        <is>
          <t>CABLE #8 ROJO</t>
        </is>
      </c>
      <c r="E467" s="158" t="inlineStr">
        <is>
          <t>M</t>
        </is>
      </c>
      <c r="F467" s="158" t="inlineStr">
        <is>
          <t>MATERIALES</t>
        </is>
      </c>
      <c r="G467" s="158" t="inlineStr">
        <is>
          <t>ELECTRICO</t>
        </is>
      </c>
    </row>
    <row r="468">
      <c r="A468" s="159" t="n"/>
      <c r="B468" s="158" t="inlineStr">
        <is>
          <t>MAT06-0039</t>
        </is>
      </c>
      <c r="C468" s="558" t="inlineStr">
        <is>
          <t>0106-0039</t>
        </is>
      </c>
      <c r="D468" s="158" t="inlineStr">
        <is>
          <t>CABLE #8 VERDE</t>
        </is>
      </c>
      <c r="E468" s="158" t="inlineStr">
        <is>
          <t>M</t>
        </is>
      </c>
      <c r="F468" s="158" t="inlineStr">
        <is>
          <t>MATERIALES</t>
        </is>
      </c>
      <c r="G468" s="158" t="inlineStr">
        <is>
          <t>ELECTRICO</t>
        </is>
      </c>
    </row>
    <row r="469">
      <c r="A469" s="159" t="n"/>
      <c r="B469" s="158" t="inlineStr">
        <is>
          <t>MAT06-0040</t>
        </is>
      </c>
      <c r="C469" s="558" t="inlineStr">
        <is>
          <t>0106-0040</t>
        </is>
      </c>
      <c r="D469" s="158" t="inlineStr">
        <is>
          <t>CABLE ALUMINIO 1/0 SERIE 8000</t>
        </is>
      </c>
      <c r="E469" s="158" t="inlineStr">
        <is>
          <t>M</t>
        </is>
      </c>
      <c r="F469" s="158" t="inlineStr">
        <is>
          <t>MATERIALES</t>
        </is>
      </c>
      <c r="G469" s="158" t="inlineStr">
        <is>
          <t>ELECTRICO</t>
        </is>
      </c>
    </row>
    <row r="470">
      <c r="A470" s="159" t="n"/>
      <c r="B470" s="158" t="inlineStr">
        <is>
          <t>MAT06-0041</t>
        </is>
      </c>
      <c r="C470" s="558" t="inlineStr">
        <is>
          <t>0106-0041</t>
        </is>
      </c>
      <c r="D470" s="158" t="inlineStr">
        <is>
          <t>CABLE DE ALUMINIO #6 SERIE 8000</t>
        </is>
      </c>
      <c r="E470" s="158" t="inlineStr">
        <is>
          <t>M</t>
        </is>
      </c>
      <c r="F470" s="158" t="inlineStr">
        <is>
          <t>MATERIALES</t>
        </is>
      </c>
      <c r="G470" s="158" t="inlineStr">
        <is>
          <t>ELECTRICO</t>
        </is>
      </c>
    </row>
    <row r="471">
      <c r="A471" s="159" t="n"/>
      <c r="B471" s="158" t="inlineStr">
        <is>
          <t>MAT06-0042</t>
        </is>
      </c>
      <c r="C471" s="558" t="inlineStr">
        <is>
          <t>0106-0042</t>
        </is>
      </c>
      <c r="D471" s="158" t="inlineStr">
        <is>
          <t>CABLE TGP 3X12</t>
        </is>
      </c>
      <c r="E471" s="158" t="inlineStr">
        <is>
          <t>M</t>
        </is>
      </c>
      <c r="F471" s="158" t="inlineStr">
        <is>
          <t>MATERIALES</t>
        </is>
      </c>
      <c r="G471" s="158" t="inlineStr">
        <is>
          <t>ELECTRICO</t>
        </is>
      </c>
    </row>
    <row r="472">
      <c r="A472" s="159" t="n"/>
      <c r="B472" s="158" t="inlineStr">
        <is>
          <t>MAT06-0043</t>
        </is>
      </c>
      <c r="C472" s="558" t="inlineStr">
        <is>
          <t>0106-0043</t>
        </is>
      </c>
      <c r="D472" s="158" t="inlineStr">
        <is>
          <t>CABLE UTP CAT 5 AZUL</t>
        </is>
      </c>
      <c r="E472" s="158" t="inlineStr">
        <is>
          <t>M</t>
        </is>
      </c>
      <c r="F472" s="158" t="inlineStr">
        <is>
          <t>MATERIALES</t>
        </is>
      </c>
      <c r="G472" s="158" t="inlineStr">
        <is>
          <t>ELECTRICO</t>
        </is>
      </c>
    </row>
    <row r="473">
      <c r="A473" s="159" t="n"/>
      <c r="B473" s="158" t="inlineStr">
        <is>
          <t>MAT06-0044</t>
        </is>
      </c>
      <c r="C473" s="558" t="inlineStr">
        <is>
          <t>0106-0044</t>
        </is>
      </c>
      <c r="D473" s="158" t="inlineStr">
        <is>
          <t>CAJA ESTANCA PARED LISA 100X100X55MM</t>
        </is>
      </c>
      <c r="E473" s="158" t="inlineStr">
        <is>
          <t>UND</t>
        </is>
      </c>
      <c r="F473" s="158" t="inlineStr">
        <is>
          <t>MATERIALES</t>
        </is>
      </c>
      <c r="G473" s="158" t="inlineStr">
        <is>
          <t>ELECTRICO</t>
        </is>
      </c>
    </row>
    <row r="474">
      <c r="A474" s="159" t="n"/>
      <c r="B474" s="158" t="inlineStr">
        <is>
          <t>MAT06-0045</t>
        </is>
      </c>
      <c r="C474" s="558" t="inlineStr">
        <is>
          <t>0106-0045</t>
        </is>
      </c>
      <c r="D474" s="158" t="inlineStr">
        <is>
          <t>CAJA CUADRADA EMT 4X4 DOBLE FONDO CON HUECO DE 1</t>
        </is>
      </c>
      <c r="E474" s="158" t="inlineStr">
        <is>
          <t>UND</t>
        </is>
      </c>
      <c r="F474" s="158" t="inlineStr">
        <is>
          <t>MATERIALES</t>
        </is>
      </c>
      <c r="G474" s="158" t="inlineStr">
        <is>
          <t>ELECTRICO</t>
        </is>
      </c>
    </row>
    <row r="475">
      <c r="A475" s="159" t="n"/>
      <c r="B475" s="158" t="inlineStr">
        <is>
          <t>MAT06-0046</t>
        </is>
      </c>
      <c r="C475" s="558" t="inlineStr">
        <is>
          <t>0106-0046</t>
        </is>
      </c>
      <c r="D475" s="158" t="inlineStr">
        <is>
          <t>CAJA CUADRADA EMT 4X4 DOBLE FONDO CON HUECO DE 3/4</t>
        </is>
      </c>
      <c r="E475" s="158" t="inlineStr">
        <is>
          <t>UND</t>
        </is>
      </c>
      <c r="F475" s="158" t="inlineStr">
        <is>
          <t>MATERIALES</t>
        </is>
      </c>
      <c r="G475" s="158" t="inlineStr">
        <is>
          <t>ELECTRICO</t>
        </is>
      </c>
    </row>
    <row r="476">
      <c r="A476" s="159" t="n"/>
      <c r="B476" s="158" t="inlineStr">
        <is>
          <t>MAT06-0047</t>
        </is>
      </c>
      <c r="C476" s="558" t="inlineStr">
        <is>
          <t>0106-0047</t>
        </is>
      </c>
      <c r="D476" s="158" t="inlineStr">
        <is>
          <t>BREAKER CHF250 2 POLOS 50 AMP</t>
        </is>
      </c>
      <c r="E476" s="158" t="inlineStr">
        <is>
          <t>UND</t>
        </is>
      </c>
      <c r="F476" s="158" t="inlineStr">
        <is>
          <t>MATERIALES</t>
        </is>
      </c>
      <c r="G476" s="158" t="inlineStr">
        <is>
          <t>ELECTRICO</t>
        </is>
      </c>
    </row>
    <row r="477">
      <c r="A477" s="159" t="n"/>
      <c r="B477" s="158" t="inlineStr">
        <is>
          <t>MAT06-0048</t>
        </is>
      </c>
      <c r="C477" s="558" t="inlineStr">
        <is>
          <t>0106-0048</t>
        </is>
      </c>
      <c r="D477" s="158" t="inlineStr">
        <is>
          <t>CAJA OCTAGONAL 1/2 EMT PESADAS (8 SALIDAS )</t>
        </is>
      </c>
      <c r="E477" s="158" t="inlineStr">
        <is>
          <t>UND</t>
        </is>
      </c>
      <c r="F477" s="158" t="inlineStr">
        <is>
          <t>MATERIALES</t>
        </is>
      </c>
      <c r="G477" s="158" t="inlineStr">
        <is>
          <t>ELECTRICO</t>
        </is>
      </c>
    </row>
    <row r="478">
      <c r="A478" s="159" t="n"/>
      <c r="B478" s="158" t="inlineStr">
        <is>
          <t>MAT06-0049</t>
        </is>
      </c>
      <c r="C478" s="558" t="inlineStr">
        <is>
          <t>0106-0049</t>
        </is>
      </c>
      <c r="D478" s="158" t="inlineStr">
        <is>
          <t>CAJA OCTOGONAL EMT 3/4</t>
        </is>
      </c>
      <c r="E478" s="158" t="inlineStr">
        <is>
          <t>UND</t>
        </is>
      </c>
      <c r="F478" s="158" t="inlineStr">
        <is>
          <t>MATERIALES</t>
        </is>
      </c>
      <c r="G478" s="158" t="inlineStr">
        <is>
          <t>ELECTRICO</t>
        </is>
      </c>
    </row>
    <row r="479">
      <c r="A479" s="159" t="n"/>
      <c r="B479" s="158" t="inlineStr">
        <is>
          <t>MAT06-0050</t>
        </is>
      </c>
      <c r="C479" s="558" t="inlineStr">
        <is>
          <t>0106-0050</t>
        </is>
      </c>
      <c r="D479" s="158" t="inlineStr">
        <is>
          <t>CAJA RECTANGULAR EMT 1/2 UL</t>
        </is>
      </c>
      <c r="E479" s="158" t="inlineStr">
        <is>
          <t>UND</t>
        </is>
      </c>
      <c r="F479" s="158" t="inlineStr">
        <is>
          <t>MATERIALES</t>
        </is>
      </c>
      <c r="G479" s="158" t="inlineStr">
        <is>
          <t>ELECTRICO</t>
        </is>
      </c>
    </row>
    <row r="480">
      <c r="A480" s="159" t="n"/>
      <c r="B480" s="158" t="inlineStr">
        <is>
          <t>MAT06-0051</t>
        </is>
      </c>
      <c r="C480" s="558" t="inlineStr">
        <is>
          <t>0106-0051</t>
        </is>
      </c>
      <c r="D480" s="158" t="inlineStr">
        <is>
          <t>CAJA RECTANGULAR EMT 3/4 UL</t>
        </is>
      </c>
      <c r="E480" s="158" t="inlineStr">
        <is>
          <t>UND</t>
        </is>
      </c>
      <c r="F480" s="158" t="inlineStr">
        <is>
          <t>MATERIALES</t>
        </is>
      </c>
      <c r="G480" s="158" t="inlineStr">
        <is>
          <t>ELECTRICO</t>
        </is>
      </c>
    </row>
    <row r="481">
      <c r="A481" s="159" t="n"/>
      <c r="B481" s="158" t="inlineStr">
        <is>
          <t>MAT06-0052</t>
        </is>
      </c>
      <c r="C481" s="558" t="inlineStr">
        <is>
          <t>0106-0052</t>
        </is>
      </c>
      <c r="D481" s="158" t="inlineStr">
        <is>
          <t>CALENTADOR INSTANTANEO KRONOX 12000 W/240 V</t>
        </is>
      </c>
      <c r="E481" s="158" t="inlineStr">
        <is>
          <t>UND</t>
        </is>
      </c>
      <c r="F481" s="158" t="inlineStr">
        <is>
          <t>MATERIALES</t>
        </is>
      </c>
      <c r="G481" s="158" t="inlineStr">
        <is>
          <t>ELECTRICO</t>
        </is>
      </c>
    </row>
    <row r="482">
      <c r="A482" s="159" t="n"/>
      <c r="B482" s="158" t="inlineStr">
        <is>
          <t>MAT06-0053</t>
        </is>
      </c>
      <c r="C482" s="558" t="inlineStr">
        <is>
          <t>0106-0053</t>
        </is>
      </c>
      <c r="D482" s="158" t="inlineStr">
        <is>
          <t>CENTRO DE CARGA 30CIR QO330Q125+ TAPA QOC342MF</t>
        </is>
      </c>
      <c r="E482" s="158" t="inlineStr">
        <is>
          <t>UND</t>
        </is>
      </c>
      <c r="F482" s="158" t="inlineStr">
        <is>
          <t>MATERIALES</t>
        </is>
      </c>
      <c r="G482" s="158" t="inlineStr">
        <is>
          <t>ELECTRICO</t>
        </is>
      </c>
    </row>
    <row r="483">
      <c r="A483" s="159" t="n"/>
      <c r="B483" s="158" t="inlineStr">
        <is>
          <t>MAT06-0054</t>
        </is>
      </c>
      <c r="C483" s="558" t="inlineStr">
        <is>
          <t>0106-0054</t>
        </is>
      </c>
      <c r="D483" s="158" t="inlineStr">
        <is>
          <t>CENTRO DE CARGA QO124L125PG</t>
        </is>
      </c>
      <c r="E483" s="158" t="inlineStr">
        <is>
          <t>UND</t>
        </is>
      </c>
      <c r="F483" s="158" t="inlineStr">
        <is>
          <t>MATERIALES</t>
        </is>
      </c>
      <c r="G483" s="158" t="inlineStr">
        <is>
          <t>ELECTRICO</t>
        </is>
      </c>
    </row>
    <row r="484">
      <c r="A484" s="159" t="n"/>
      <c r="B484" s="158" t="inlineStr">
        <is>
          <t>MAT06-0055</t>
        </is>
      </c>
      <c r="C484" s="558" t="inlineStr">
        <is>
          <t>0106-0055</t>
        </is>
      </c>
      <c r="D484" s="158" t="inlineStr">
        <is>
          <t>CONDULETA BOTAGUA 1-1/4</t>
        </is>
      </c>
      <c r="E484" s="158" t="inlineStr">
        <is>
          <t>UND</t>
        </is>
      </c>
      <c r="F484" s="158" t="inlineStr">
        <is>
          <t>MATERIALES</t>
        </is>
      </c>
      <c r="G484" s="158" t="inlineStr">
        <is>
          <t>ELECTRICO</t>
        </is>
      </c>
    </row>
    <row r="485">
      <c r="A485" s="159" t="n"/>
      <c r="B485" s="158" t="inlineStr">
        <is>
          <t>MAT06-0056</t>
        </is>
      </c>
      <c r="C485" s="558" t="inlineStr">
        <is>
          <t>0106-0056</t>
        </is>
      </c>
      <c r="D485" s="158" t="inlineStr">
        <is>
          <t>CONDULETA BOTAGUA 1</t>
        </is>
      </c>
      <c r="E485" s="158" t="inlineStr">
        <is>
          <t>UND</t>
        </is>
      </c>
      <c r="F485" s="158" t="inlineStr">
        <is>
          <t>MATERIALES</t>
        </is>
      </c>
      <c r="G485" s="158" t="inlineStr">
        <is>
          <t>ELECTRICO</t>
        </is>
      </c>
    </row>
    <row r="486">
      <c r="A486" s="159" t="n"/>
      <c r="B486" s="158" t="inlineStr">
        <is>
          <t>MAT06-0057</t>
        </is>
      </c>
      <c r="C486" s="558" t="inlineStr">
        <is>
          <t>0106-0057</t>
        </is>
      </c>
      <c r="D486" s="158" t="inlineStr">
        <is>
          <t>CONDULETA BOTAGUA 1 1/2</t>
        </is>
      </c>
      <c r="E486" s="158" t="inlineStr">
        <is>
          <t>UND</t>
        </is>
      </c>
      <c r="F486" s="158" t="inlineStr">
        <is>
          <t>MATERIALES</t>
        </is>
      </c>
      <c r="G486" s="158" t="inlineStr">
        <is>
          <t>ELECTRICO</t>
        </is>
      </c>
    </row>
    <row r="487">
      <c r="A487" s="159" t="n"/>
      <c r="B487" s="158" t="inlineStr">
        <is>
          <t>MAT06-0058</t>
        </is>
      </c>
      <c r="C487" s="558" t="inlineStr">
        <is>
          <t>0106-0058</t>
        </is>
      </c>
      <c r="D487" s="158" t="inlineStr">
        <is>
          <t>CONDULETA BOTAGUA 2</t>
        </is>
      </c>
      <c r="E487" s="158" t="inlineStr">
        <is>
          <t>UND</t>
        </is>
      </c>
      <c r="F487" s="158" t="inlineStr">
        <is>
          <t>MATERIALES</t>
        </is>
      </c>
      <c r="G487" s="158" t="inlineStr">
        <is>
          <t>ELECTRICO</t>
        </is>
      </c>
    </row>
    <row r="488">
      <c r="A488" s="159" t="n"/>
      <c r="B488" s="158" t="inlineStr">
        <is>
          <t>MAT06-0059</t>
        </is>
      </c>
      <c r="C488" s="558" t="inlineStr">
        <is>
          <t>0106-0059</t>
        </is>
      </c>
      <c r="D488" s="158" t="inlineStr">
        <is>
          <t>CONECTOR DE BARRIL COBRE-ALUMINO #4</t>
        </is>
      </c>
      <c r="E488" s="158" t="inlineStr">
        <is>
          <t>UND</t>
        </is>
      </c>
      <c r="F488" s="158" t="inlineStr">
        <is>
          <t>MATERIALES</t>
        </is>
      </c>
      <c r="G488" s="158" t="inlineStr">
        <is>
          <t>ELECTRICO</t>
        </is>
      </c>
    </row>
    <row r="489">
      <c r="A489" s="159" t="n"/>
      <c r="B489" s="158" t="inlineStr">
        <is>
          <t>MAT06-0060</t>
        </is>
      </c>
      <c r="C489" s="558" t="inlineStr">
        <is>
          <t>0106-0060</t>
        </is>
      </c>
      <c r="D489" s="158" t="inlineStr">
        <is>
          <t>CONECTOR DE BARRIL PARA 1/0 CU-AL</t>
        </is>
      </c>
      <c r="E489" s="158" t="inlineStr">
        <is>
          <t>UND</t>
        </is>
      </c>
      <c r="F489" s="158" t="inlineStr">
        <is>
          <t>MATERIALES</t>
        </is>
      </c>
      <c r="G489" s="158" t="inlineStr">
        <is>
          <t>ELECTRICO</t>
        </is>
      </c>
    </row>
    <row r="490">
      <c r="A490" s="159" t="n"/>
      <c r="B490" s="158" t="inlineStr">
        <is>
          <t>MAT06-0061</t>
        </is>
      </c>
      <c r="C490" s="558" t="inlineStr">
        <is>
          <t>0106-0061</t>
        </is>
      </c>
      <c r="D490" s="158" t="inlineStr">
        <is>
          <t>CONECTOR DERIVADOR 12-10 AWG IDC 562 562 AMARILLO</t>
        </is>
      </c>
      <c r="E490" s="158" t="inlineStr">
        <is>
          <t>CAJA</t>
        </is>
      </c>
      <c r="F490" s="158" t="inlineStr">
        <is>
          <t>MATERIALES</t>
        </is>
      </c>
      <c r="G490" s="158" t="inlineStr">
        <is>
          <t>ELECTRICO</t>
        </is>
      </c>
    </row>
    <row r="491">
      <c r="A491" s="159" t="n"/>
      <c r="B491" s="158" t="inlineStr">
        <is>
          <t>MAT06-0062</t>
        </is>
      </c>
      <c r="C491" s="558" t="inlineStr">
        <is>
          <t>0106-0062</t>
        </is>
      </c>
      <c r="D491" s="158" t="inlineStr">
        <is>
          <t>CONECTOR RESORTE ROJO</t>
        </is>
      </c>
      <c r="E491" s="158" t="inlineStr">
        <is>
          <t>UND</t>
        </is>
      </c>
      <c r="F491" s="158" t="inlineStr">
        <is>
          <t>MATERIALES</t>
        </is>
      </c>
      <c r="G491" s="158" t="inlineStr">
        <is>
          <t>ELECTRICO</t>
        </is>
      </c>
    </row>
    <row r="492">
      <c r="A492" s="159" t="n"/>
      <c r="B492" s="158" t="inlineStr">
        <is>
          <t>MAT06-0063</t>
        </is>
      </c>
      <c r="C492" s="558" t="inlineStr">
        <is>
          <t>0106-0063</t>
        </is>
      </c>
      <c r="D492" s="158" t="inlineStr">
        <is>
          <t>CONECTOR COAXIAL TIPO F BLANCO COOPER</t>
        </is>
      </c>
      <c r="E492" s="158" t="inlineStr">
        <is>
          <t>UND</t>
        </is>
      </c>
      <c r="F492" s="158" t="inlineStr">
        <is>
          <t>MATERIALES</t>
        </is>
      </c>
      <c r="G492" s="158" t="inlineStr">
        <is>
          <t>ELECTRICO</t>
        </is>
      </c>
    </row>
    <row r="493">
      <c r="A493" s="159" t="n"/>
      <c r="B493" s="158" t="inlineStr">
        <is>
          <t>MAT06-0064</t>
        </is>
      </c>
      <c r="C493" s="558" t="inlineStr">
        <is>
          <t>0106-0064</t>
        </is>
      </c>
      <c r="D493" s="158" t="inlineStr">
        <is>
          <t>TOMA DOBLE POLARIZADO 2P+T P38 OVAL</t>
        </is>
      </c>
      <c r="E493" s="158" t="inlineStr">
        <is>
          <t>UND</t>
        </is>
      </c>
      <c r="F493" s="158" t="inlineStr">
        <is>
          <t>MATERIALES</t>
        </is>
      </c>
      <c r="G493" s="158" t="inlineStr">
        <is>
          <t>ELECTRICO</t>
        </is>
      </c>
    </row>
    <row r="494">
      <c r="A494" s="159" t="n"/>
      <c r="B494" s="158" t="inlineStr">
        <is>
          <t>MAT06-0065</t>
        </is>
      </c>
      <c r="C494" s="558" t="inlineStr">
        <is>
          <t>0106-0065</t>
        </is>
      </c>
      <c r="D494" s="158" t="inlineStr">
        <is>
          <t>CONECTOR FITTING RG6 P/COAXIAL 100% MALLA</t>
        </is>
      </c>
      <c r="E494" s="158" t="inlineStr">
        <is>
          <t>UND</t>
        </is>
      </c>
      <c r="F494" s="158" t="inlineStr">
        <is>
          <t>MATERIALES</t>
        </is>
      </c>
      <c r="G494" s="158" t="inlineStr">
        <is>
          <t>ELECTRICO</t>
        </is>
      </c>
    </row>
    <row r="495">
      <c r="A495" s="159" t="n"/>
      <c r="B495" s="158" t="inlineStr">
        <is>
          <t>MAT06-0066</t>
        </is>
      </c>
      <c r="C495" s="558" t="inlineStr">
        <is>
          <t>0106-0066</t>
        </is>
      </c>
      <c r="D495" s="158" t="inlineStr">
        <is>
          <t>CONECTOR RESORTE AMARILLO</t>
        </is>
      </c>
      <c r="E495" s="158" t="inlineStr">
        <is>
          <t>CAJA</t>
        </is>
      </c>
      <c r="F495" s="158" t="inlineStr">
        <is>
          <t>MATERIALES</t>
        </is>
      </c>
      <c r="G495" s="158" t="inlineStr">
        <is>
          <t>ELECTRICO</t>
        </is>
      </c>
    </row>
    <row r="496">
      <c r="A496" s="159" t="n"/>
      <c r="B496" s="158" t="inlineStr">
        <is>
          <t>MAT06-0067</t>
        </is>
      </c>
      <c r="C496" s="558" t="inlineStr">
        <is>
          <t>0106-0067</t>
        </is>
      </c>
      <c r="D496" s="158" t="inlineStr">
        <is>
          <t>CONECTOR RJ11 CAT3 BLANCO COOPER</t>
        </is>
      </c>
      <c r="E496" s="158" t="inlineStr">
        <is>
          <t>UND</t>
        </is>
      </c>
      <c r="F496" s="158" t="inlineStr">
        <is>
          <t>MATERIALES</t>
        </is>
      </c>
      <c r="G496" s="158" t="inlineStr">
        <is>
          <t>ELECTRICO</t>
        </is>
      </c>
    </row>
    <row r="497">
      <c r="A497" s="159" t="n"/>
      <c r="B497" s="158" t="inlineStr">
        <is>
          <t>MAT06-0068</t>
        </is>
      </c>
      <c r="C497" s="558" t="inlineStr">
        <is>
          <t>0106-0068</t>
        </is>
      </c>
      <c r="D497" s="158" t="inlineStr">
        <is>
          <t>CONECTOR RJ45 CAT5E 5547-5EW BLANCO COOPER</t>
        </is>
      </c>
      <c r="E497" s="158" t="inlineStr">
        <is>
          <t>UND</t>
        </is>
      </c>
      <c r="F497" s="158" t="inlineStr">
        <is>
          <t>MATERIALES</t>
        </is>
      </c>
      <c r="G497" s="158" t="inlineStr">
        <is>
          <t>ELECTRICO</t>
        </is>
      </c>
    </row>
    <row r="498">
      <c r="A498" s="159" t="n"/>
      <c r="B498" s="158" t="inlineStr">
        <is>
          <t>MAT06-0069</t>
        </is>
      </c>
      <c r="C498" s="558" t="inlineStr">
        <is>
          <t>0106-0069</t>
        </is>
      </c>
      <c r="D498" s="158" t="inlineStr">
        <is>
          <t>CONECTOR TORNILLO EMT 1</t>
        </is>
      </c>
      <c r="E498" s="158" t="inlineStr">
        <is>
          <t>UND</t>
        </is>
      </c>
      <c r="F498" s="158" t="inlineStr">
        <is>
          <t>MATERIALES</t>
        </is>
      </c>
      <c r="G498" s="158" t="inlineStr">
        <is>
          <t>ELECTRICO</t>
        </is>
      </c>
    </row>
    <row r="499">
      <c r="A499" s="159" t="n"/>
      <c r="B499" s="158" t="inlineStr">
        <is>
          <t>MAT06-0070</t>
        </is>
      </c>
      <c r="C499" s="558" t="inlineStr">
        <is>
          <t>0106-0070</t>
        </is>
      </c>
      <c r="D499" s="158" t="inlineStr">
        <is>
          <t>CONECTOR TORNILLO EMT 1 1/2</t>
        </is>
      </c>
      <c r="E499" s="158" t="inlineStr">
        <is>
          <t>UND</t>
        </is>
      </c>
      <c r="F499" s="158" t="inlineStr">
        <is>
          <t>MATERIALES</t>
        </is>
      </c>
      <c r="G499" s="158" t="inlineStr">
        <is>
          <t>ELECTRICO</t>
        </is>
      </c>
    </row>
    <row r="500">
      <c r="A500" s="159" t="n"/>
      <c r="B500" s="158" t="inlineStr">
        <is>
          <t>MAT06-0071</t>
        </is>
      </c>
      <c r="C500" s="558" t="inlineStr">
        <is>
          <t>0106-0071</t>
        </is>
      </c>
      <c r="D500" s="158" t="inlineStr">
        <is>
          <t>CONECTOR TORNILLO EMT 2</t>
        </is>
      </c>
      <c r="E500" s="158" t="inlineStr">
        <is>
          <t>UND</t>
        </is>
      </c>
      <c r="F500" s="158" t="inlineStr">
        <is>
          <t>MATERIALES</t>
        </is>
      </c>
      <c r="G500" s="158" t="inlineStr">
        <is>
          <t>ELECTRICO</t>
        </is>
      </c>
    </row>
    <row r="501">
      <c r="A501" s="159" t="n"/>
      <c r="B501" s="158" t="inlineStr">
        <is>
          <t>MAT06-0072</t>
        </is>
      </c>
      <c r="C501" s="558" t="inlineStr">
        <is>
          <t>0106-0072</t>
        </is>
      </c>
      <c r="D501" s="158" t="inlineStr">
        <is>
          <t>CONECTOR TSJ 1/2-3/8 EMT</t>
        </is>
      </c>
      <c r="E501" s="158" t="inlineStr">
        <is>
          <t>UND</t>
        </is>
      </c>
      <c r="F501" s="158" t="inlineStr">
        <is>
          <t>MATERIALES</t>
        </is>
      </c>
      <c r="G501" s="158" t="inlineStr">
        <is>
          <t>ELECTRICO</t>
        </is>
      </c>
    </row>
    <row r="502">
      <c r="A502" s="159" t="n"/>
      <c r="B502" s="158" t="inlineStr">
        <is>
          <t>MAT06-0073</t>
        </is>
      </c>
      <c r="C502" s="558" t="inlineStr">
        <is>
          <t>0106-0073</t>
        </is>
      </c>
      <c r="D502" s="158" t="inlineStr">
        <is>
          <t>DETECTOR DE HUMO</t>
        </is>
      </c>
      <c r="E502" s="158" t="inlineStr">
        <is>
          <t>UND</t>
        </is>
      </c>
      <c r="F502" s="158" t="inlineStr">
        <is>
          <t>MATERIALES</t>
        </is>
      </c>
      <c r="G502" s="158" t="inlineStr">
        <is>
          <t>ELECTRICO</t>
        </is>
      </c>
    </row>
    <row r="503">
      <c r="A503" s="159" t="n"/>
      <c r="B503" s="158" t="inlineStr">
        <is>
          <t>MAT06-0074</t>
        </is>
      </c>
      <c r="C503" s="558" t="inlineStr">
        <is>
          <t>0106-0074</t>
        </is>
      </c>
      <c r="D503" s="158" t="inlineStr">
        <is>
          <t>GABINETE 15" PLASTICO UL</t>
        </is>
      </c>
      <c r="E503" s="158" t="inlineStr">
        <is>
          <t>UND</t>
        </is>
      </c>
      <c r="F503" s="158" t="inlineStr">
        <is>
          <t>MATERIALES</t>
        </is>
      </c>
      <c r="G503" s="158" t="inlineStr">
        <is>
          <t>ELECTRICO</t>
        </is>
      </c>
    </row>
    <row r="504">
      <c r="A504" s="159" t="n"/>
      <c r="B504" s="158" t="inlineStr">
        <is>
          <t>MAT06-0075</t>
        </is>
      </c>
      <c r="C504" s="558" t="inlineStr">
        <is>
          <t>0106-0075</t>
        </is>
      </c>
      <c r="D504" s="158" t="inlineStr">
        <is>
          <t>GAZA EMT 2 OREJAS 2"</t>
        </is>
      </c>
      <c r="E504" s="158" t="inlineStr">
        <is>
          <t>UND</t>
        </is>
      </c>
      <c r="F504" s="158" t="inlineStr">
        <is>
          <t>MATERIALES</t>
        </is>
      </c>
      <c r="G504" s="158" t="inlineStr">
        <is>
          <t>ELECTRICO</t>
        </is>
      </c>
    </row>
    <row r="505">
      <c r="A505" s="159" t="n"/>
      <c r="B505" s="158" t="inlineStr">
        <is>
          <t>MAT06-0076</t>
        </is>
      </c>
      <c r="C505" s="558" t="inlineStr">
        <is>
          <t>0106-0076</t>
        </is>
      </c>
      <c r="D505" s="158" t="inlineStr">
        <is>
          <t>GAZA EMT 1 OREJAS 1/2</t>
        </is>
      </c>
      <c r="E505" s="158" t="inlineStr">
        <is>
          <t>UND</t>
        </is>
      </c>
      <c r="F505" s="158" t="inlineStr">
        <is>
          <t>MATERIALES</t>
        </is>
      </c>
      <c r="G505" s="158" t="inlineStr">
        <is>
          <t>ELECTRICO</t>
        </is>
      </c>
    </row>
    <row r="506">
      <c r="A506" s="159" t="n"/>
      <c r="B506" s="158" t="inlineStr">
        <is>
          <t>MAT06-0077</t>
        </is>
      </c>
      <c r="C506" s="558" t="inlineStr">
        <is>
          <t>0106-0077</t>
        </is>
      </c>
      <c r="D506" s="158" t="inlineStr">
        <is>
          <t>GAZA P/VARILLA COPPERWELD USA UL</t>
        </is>
      </c>
      <c r="E506" s="158" t="inlineStr">
        <is>
          <t>UND</t>
        </is>
      </c>
      <c r="F506" s="158" t="inlineStr">
        <is>
          <t>MATERIALES</t>
        </is>
      </c>
      <c r="G506" s="158" t="inlineStr">
        <is>
          <t>ELECTRICO</t>
        </is>
      </c>
    </row>
    <row r="507">
      <c r="A507" s="159" t="n"/>
      <c r="B507" s="158" t="inlineStr">
        <is>
          <t>MAT06-0078</t>
        </is>
      </c>
      <c r="C507" s="558" t="inlineStr">
        <is>
          <t>0106-0078</t>
        </is>
      </c>
      <c r="D507" s="158" t="inlineStr">
        <is>
          <t>LAMPARA DE EMERGENCIA</t>
        </is>
      </c>
      <c r="E507" s="158" t="inlineStr">
        <is>
          <t>UND</t>
        </is>
      </c>
      <c r="F507" s="158" t="inlineStr">
        <is>
          <t>MATERIALES</t>
        </is>
      </c>
      <c r="G507" s="158" t="inlineStr">
        <is>
          <t>ELECTRICO</t>
        </is>
      </c>
    </row>
    <row r="508">
      <c r="A508" s="159" t="n"/>
      <c r="B508" s="158" t="inlineStr">
        <is>
          <t>MAT06-0079</t>
        </is>
      </c>
      <c r="C508" s="558" t="inlineStr">
        <is>
          <t>0106-0079</t>
        </is>
      </c>
      <c r="D508" s="158" t="inlineStr">
        <is>
          <t>LAMPARA TORTUGA 50013AEPI-BK</t>
        </is>
      </c>
      <c r="E508" s="158" t="inlineStr">
        <is>
          <t>UND</t>
        </is>
      </c>
      <c r="F508" s="158" t="inlineStr">
        <is>
          <t>MATERIALES</t>
        </is>
      </c>
      <c r="G508" s="158" t="inlineStr">
        <is>
          <t>ELECTRICO</t>
        </is>
      </c>
    </row>
    <row r="509">
      <c r="A509" s="159" t="n"/>
      <c r="B509" s="158" t="inlineStr">
        <is>
          <t>MAT06-0081</t>
        </is>
      </c>
      <c r="C509" s="558" t="inlineStr">
        <is>
          <t>0106-0081</t>
        </is>
      </c>
      <c r="D509" s="158" t="inlineStr">
        <is>
          <t>MODULO P / 4 BASES MEDIDOR 125A</t>
        </is>
      </c>
      <c r="E509" s="158" t="inlineStr">
        <is>
          <t>UND</t>
        </is>
      </c>
      <c r="F509" s="158" t="inlineStr">
        <is>
          <t>MATERIALES</t>
        </is>
      </c>
      <c r="G509" s="158" t="inlineStr">
        <is>
          <t>ELECTRICO</t>
        </is>
      </c>
    </row>
    <row r="510">
      <c r="A510" s="159" t="n"/>
      <c r="B510" s="158" t="inlineStr">
        <is>
          <t>MAT06-0082</t>
        </is>
      </c>
      <c r="C510" s="558" t="inlineStr">
        <is>
          <t>0106-0082</t>
        </is>
      </c>
      <c r="D510" s="158" t="inlineStr">
        <is>
          <t>MSLED180W REFLECT EXTER PANEL SOLAR C/SENSOR MOV 180° BLANCA</t>
        </is>
      </c>
      <c r="E510" s="158" t="inlineStr">
        <is>
          <t>UND</t>
        </is>
      </c>
      <c r="F510" s="158" t="inlineStr">
        <is>
          <t>MATERIALES</t>
        </is>
      </c>
      <c r="G510" s="158" t="inlineStr">
        <is>
          <t>ELECTRICO</t>
        </is>
      </c>
    </row>
    <row r="511">
      <c r="A511" s="159" t="n"/>
      <c r="B511" s="158" t="inlineStr">
        <is>
          <t>MAT06-0083</t>
        </is>
      </c>
      <c r="C511" s="558" t="inlineStr">
        <is>
          <t>0106-0083</t>
        </is>
      </c>
      <c r="D511" s="158" t="inlineStr">
        <is>
          <t>PLACA INTEMP. P/TOMA 3726-SC SIERRA</t>
        </is>
      </c>
      <c r="E511" s="158" t="inlineStr">
        <is>
          <t>UND</t>
        </is>
      </c>
      <c r="F511" s="158" t="inlineStr">
        <is>
          <t>MATERIALES</t>
        </is>
      </c>
      <c r="G511" s="158" t="inlineStr">
        <is>
          <t>ELECTRICO</t>
        </is>
      </c>
    </row>
    <row r="512">
      <c r="A512" s="159" t="n"/>
      <c r="B512" s="158" t="inlineStr">
        <is>
          <t>MAT06-0084</t>
        </is>
      </c>
      <c r="C512" s="558" t="inlineStr">
        <is>
          <t>0106-0084</t>
        </is>
      </c>
      <c r="D512" s="158" t="inlineStr">
        <is>
          <t>PLACA ACERO INOXIDABLE P/TOMA 50A 2 GANG CUADRADA</t>
        </is>
      </c>
      <c r="E512" s="158" t="inlineStr">
        <is>
          <t>UND</t>
        </is>
      </c>
      <c r="F512" s="158" t="inlineStr">
        <is>
          <t>MATERIALES</t>
        </is>
      </c>
      <c r="G512" s="158" t="inlineStr">
        <is>
          <t>ELECTRICO</t>
        </is>
      </c>
    </row>
    <row r="513">
      <c r="A513" s="159" t="n"/>
      <c r="B513" s="158" t="inlineStr">
        <is>
          <t>MAT06-0085</t>
        </is>
      </c>
      <c r="C513" s="558" t="inlineStr">
        <is>
          <t>0106-0085</t>
        </is>
      </c>
      <c r="D513" s="158" t="inlineStr">
        <is>
          <t>PLACA DECORA BLANCA 1GANG (COOPER)</t>
        </is>
      </c>
      <c r="E513" s="158" t="inlineStr">
        <is>
          <t>UND</t>
        </is>
      </c>
      <c r="F513" s="158" t="inlineStr">
        <is>
          <t>MATERIALES</t>
        </is>
      </c>
      <c r="G513" s="158" t="inlineStr">
        <is>
          <t>ELECTRICO</t>
        </is>
      </c>
    </row>
    <row r="514">
      <c r="A514" s="159" t="n"/>
      <c r="B514" s="158" t="inlineStr">
        <is>
          <t>MAT06-0086</t>
        </is>
      </c>
      <c r="C514" s="558" t="inlineStr">
        <is>
          <t>0106-0086</t>
        </is>
      </c>
      <c r="D514" s="158" t="inlineStr">
        <is>
          <t>PLACA DECORATOR BLANCA 1 GANG ROYER</t>
        </is>
      </c>
      <c r="E514" s="158" t="inlineStr">
        <is>
          <t>UND</t>
        </is>
      </c>
      <c r="F514" s="158" t="inlineStr">
        <is>
          <t>MATERIALES</t>
        </is>
      </c>
      <c r="G514" s="158" t="inlineStr">
        <is>
          <t>ELECTRICO</t>
        </is>
      </c>
    </row>
    <row r="515">
      <c r="A515" s="159" t="n"/>
      <c r="B515" s="158" t="inlineStr">
        <is>
          <t>MAT06-0087</t>
        </is>
      </c>
      <c r="C515" s="558" t="inlineStr">
        <is>
          <t>0106-0087</t>
        </is>
      </c>
      <c r="D515" s="158" t="inlineStr">
        <is>
          <t>PLAFON BLANCO</t>
        </is>
      </c>
      <c r="E515" s="158" t="inlineStr">
        <is>
          <t>UND</t>
        </is>
      </c>
      <c r="F515" s="158" t="inlineStr">
        <is>
          <t>MATERIALES</t>
        </is>
      </c>
      <c r="G515" s="158" t="inlineStr">
        <is>
          <t>ELECTRICO</t>
        </is>
      </c>
    </row>
    <row r="516">
      <c r="A516" s="159" t="n"/>
      <c r="B516" s="158" t="inlineStr">
        <is>
          <t>MAT06-0088</t>
        </is>
      </c>
      <c r="C516" s="558" t="inlineStr">
        <is>
          <t>0106-0088</t>
        </is>
      </c>
      <c r="D516" s="158" t="inlineStr">
        <is>
          <t>TAPA CIEGA PARA CAJA OCTAGONAL</t>
        </is>
      </c>
      <c r="E516" s="158" t="inlineStr">
        <is>
          <t>UND</t>
        </is>
      </c>
      <c r="F516" s="158" t="inlineStr">
        <is>
          <t>MATERIALES</t>
        </is>
      </c>
      <c r="G516" s="158" t="inlineStr">
        <is>
          <t>ELECTRICO</t>
        </is>
      </c>
    </row>
    <row r="517">
      <c r="A517" s="159" t="n"/>
      <c r="B517" s="158" t="inlineStr">
        <is>
          <t>MAT06-0089</t>
        </is>
      </c>
      <c r="C517" s="558" t="inlineStr">
        <is>
          <t>0106-0089</t>
        </is>
      </c>
      <c r="D517" s="158" t="inlineStr">
        <is>
          <t>TAPA CIEGA BLANCA 2X4</t>
        </is>
      </c>
      <c r="E517" s="158" t="inlineStr">
        <is>
          <t>UND</t>
        </is>
      </c>
      <c r="F517" s="158" t="inlineStr">
        <is>
          <t>MATERIALES</t>
        </is>
      </c>
      <c r="G517" s="158" t="inlineStr">
        <is>
          <t>ELECTRICO</t>
        </is>
      </c>
    </row>
    <row r="518">
      <c r="A518" s="159" t="n"/>
      <c r="B518" s="158" t="inlineStr">
        <is>
          <t>MAT06-0090</t>
        </is>
      </c>
      <c r="C518" s="558" t="inlineStr">
        <is>
          <t>0106-0090</t>
        </is>
      </c>
      <c r="D518" s="158" t="inlineStr">
        <is>
          <t>TAPE ELECTRICO BLANCO EATON</t>
        </is>
      </c>
      <c r="E518" s="158" t="inlineStr">
        <is>
          <t>UND</t>
        </is>
      </c>
      <c r="F518" s="158" t="inlineStr">
        <is>
          <t>MATERIALES</t>
        </is>
      </c>
      <c r="G518" s="158" t="inlineStr">
        <is>
          <t>ELECTRICO</t>
        </is>
      </c>
    </row>
    <row r="519">
      <c r="A519" s="159" t="n"/>
      <c r="B519" s="158" t="inlineStr">
        <is>
          <t>MAT06-0091</t>
        </is>
      </c>
      <c r="C519" s="558" t="inlineStr">
        <is>
          <t>0106-0091</t>
        </is>
      </c>
      <c r="D519" s="158" t="inlineStr">
        <is>
          <t>TAPE ELECTRICO VERDE EATON</t>
        </is>
      </c>
      <c r="E519" s="158" t="inlineStr">
        <is>
          <t>UND</t>
        </is>
      </c>
      <c r="F519" s="158" t="inlineStr">
        <is>
          <t>MATERIALES</t>
        </is>
      </c>
      <c r="G519" s="158" t="inlineStr">
        <is>
          <t>ELECTRICO</t>
        </is>
      </c>
    </row>
    <row r="520">
      <c r="A520" s="159" t="n"/>
      <c r="B520" s="158" t="inlineStr">
        <is>
          <t>MAT06-0092</t>
        </is>
      </c>
      <c r="C520" s="558" t="inlineStr">
        <is>
          <t>0106-0092</t>
        </is>
      </c>
      <c r="D520" s="158" t="inlineStr">
        <is>
          <t>TAPE SUPER 33+3M 19MM</t>
        </is>
      </c>
      <c r="E520" s="158" t="inlineStr">
        <is>
          <t>UND</t>
        </is>
      </c>
      <c r="F520" s="158" t="inlineStr">
        <is>
          <t>MATERIALES</t>
        </is>
      </c>
      <c r="G520" s="158" t="inlineStr">
        <is>
          <t>ELECTRICO</t>
        </is>
      </c>
    </row>
    <row r="521">
      <c r="A521" s="159" t="n"/>
      <c r="B521" s="158" t="inlineStr">
        <is>
          <t>MAT06-0093</t>
        </is>
      </c>
      <c r="C521" s="558" t="inlineStr">
        <is>
          <t>0106-0093</t>
        </is>
      </c>
      <c r="D521" s="158" t="inlineStr">
        <is>
          <t>TERMINAL DE UÑA  P/CABLE #12</t>
        </is>
      </c>
      <c r="E521" s="158" t="inlineStr">
        <is>
          <t>UND</t>
        </is>
      </c>
      <c r="F521" s="158" t="inlineStr">
        <is>
          <t>MATERIALES</t>
        </is>
      </c>
      <c r="G521" s="158" t="inlineStr">
        <is>
          <t>ELECTRICO</t>
        </is>
      </c>
    </row>
    <row r="522">
      <c r="A522" s="159" t="n"/>
      <c r="B522" s="158" t="inlineStr">
        <is>
          <t>MAT06-0094</t>
        </is>
      </c>
      <c r="C522" s="558" t="inlineStr">
        <is>
          <t>0106-0094</t>
        </is>
      </c>
      <c r="D522" s="158" t="inlineStr">
        <is>
          <t>BREAKER CHF120 1 POLO 20 AMP</t>
        </is>
      </c>
      <c r="E522" s="158" t="inlineStr">
        <is>
          <t>UND</t>
        </is>
      </c>
      <c r="F522" s="158" t="inlineStr">
        <is>
          <t>MATERIALES</t>
        </is>
      </c>
      <c r="G522" s="158" t="inlineStr">
        <is>
          <t>ELECTRICO</t>
        </is>
      </c>
    </row>
    <row r="523">
      <c r="A523" s="159" t="n"/>
      <c r="B523" s="158" t="inlineStr">
        <is>
          <t>MAT06-0096</t>
        </is>
      </c>
      <c r="C523" s="558" t="inlineStr">
        <is>
          <t>0106-0096</t>
        </is>
      </c>
      <c r="D523" s="158" t="inlineStr">
        <is>
          <t>TOMA DOBLE POLARIZADO 15A 120 TR DECO</t>
        </is>
      </c>
      <c r="E523" s="158" t="inlineStr">
        <is>
          <t>UND</t>
        </is>
      </c>
      <c r="F523" s="158" t="inlineStr">
        <is>
          <t>MATERIALES</t>
        </is>
      </c>
      <c r="G523" s="158" t="inlineStr">
        <is>
          <t>ELECTRICO</t>
        </is>
      </c>
    </row>
    <row r="524">
      <c r="A524" s="159" t="n"/>
      <c r="B524" s="158" t="inlineStr">
        <is>
          <t>MAT06-0097</t>
        </is>
      </c>
      <c r="C524" s="558" t="inlineStr">
        <is>
          <t>0106-0097</t>
        </is>
      </c>
      <c r="D524" s="158" t="inlineStr">
        <is>
          <t>TOMA EMPOTRAR 50A 250V NEMA 10-50 COOPER</t>
        </is>
      </c>
      <c r="E524" s="158" t="inlineStr">
        <is>
          <t>UND</t>
        </is>
      </c>
      <c r="F524" s="158" t="inlineStr">
        <is>
          <t>MATERIALES</t>
        </is>
      </c>
      <c r="G524" s="158" t="inlineStr">
        <is>
          <t>ELECTRICO</t>
        </is>
      </c>
    </row>
    <row r="525">
      <c r="A525" s="159" t="n"/>
      <c r="B525" s="158" t="inlineStr">
        <is>
          <t>MAT06-0098</t>
        </is>
      </c>
      <c r="C525" s="558" t="inlineStr">
        <is>
          <t>0106-0098</t>
        </is>
      </c>
      <c r="D525" s="158" t="inlineStr">
        <is>
          <t>TUBO EMT 1 (3M)</t>
        </is>
      </c>
      <c r="E525" s="158" t="inlineStr">
        <is>
          <t>UND</t>
        </is>
      </c>
      <c r="F525" s="158" t="inlineStr">
        <is>
          <t>MATERIALES</t>
        </is>
      </c>
      <c r="G525" s="158" t="inlineStr">
        <is>
          <t>ELECTRICO</t>
        </is>
      </c>
    </row>
    <row r="526">
      <c r="A526" s="159" t="n"/>
      <c r="B526" s="158" t="inlineStr">
        <is>
          <t>MAT06-0099</t>
        </is>
      </c>
      <c r="C526" s="558" t="inlineStr">
        <is>
          <t>0106-0099</t>
        </is>
      </c>
      <c r="D526" s="158" t="inlineStr">
        <is>
          <t>TUBO EMT 1 1/2  (3M)</t>
        </is>
      </c>
      <c r="E526" s="158" t="inlineStr">
        <is>
          <t>UND</t>
        </is>
      </c>
      <c r="F526" s="158" t="inlineStr">
        <is>
          <t>MATERIALES</t>
        </is>
      </c>
      <c r="G526" s="158" t="inlineStr">
        <is>
          <t>ELECTRICO</t>
        </is>
      </c>
    </row>
    <row r="527">
      <c r="A527" s="159" t="n"/>
      <c r="B527" s="158" t="inlineStr">
        <is>
          <t>MAT06-0100</t>
        </is>
      </c>
      <c r="C527" s="558" t="inlineStr">
        <is>
          <t>0106-0100</t>
        </is>
      </c>
      <c r="D527" s="158" t="inlineStr">
        <is>
          <t>TUBO EMT 2 (3M)</t>
        </is>
      </c>
      <c r="E527" s="158" t="inlineStr">
        <is>
          <t>UND</t>
        </is>
      </c>
      <c r="F527" s="158" t="inlineStr">
        <is>
          <t>MATERIALES</t>
        </is>
      </c>
      <c r="G527" s="158" t="inlineStr">
        <is>
          <t>ELECTRICO</t>
        </is>
      </c>
    </row>
    <row r="528">
      <c r="A528" s="159" t="n"/>
      <c r="B528" s="158" t="inlineStr">
        <is>
          <t>MAT06-0101</t>
        </is>
      </c>
      <c r="C528" s="558" t="inlineStr">
        <is>
          <t>0106-0101</t>
        </is>
      </c>
      <c r="D528" s="158" t="inlineStr">
        <is>
          <t>VARILLA COOPER WEL 5/8" 1.83MTRS</t>
        </is>
      </c>
      <c r="E528" s="158" t="inlineStr">
        <is>
          <t>UND</t>
        </is>
      </c>
      <c r="F528" s="158" t="inlineStr">
        <is>
          <t>MATERIALES</t>
        </is>
      </c>
      <c r="G528" s="158" t="inlineStr">
        <is>
          <t>ELECTRICO</t>
        </is>
      </c>
    </row>
    <row r="529">
      <c r="A529" s="159" t="n"/>
      <c r="B529" s="158" t="inlineStr">
        <is>
          <t>MAT06-0102</t>
        </is>
      </c>
      <c r="C529" s="558" t="inlineStr">
        <is>
          <t>0106-0102</t>
        </is>
      </c>
      <c r="D529" s="158" t="inlineStr">
        <is>
          <t>VARILLA COOPERWELL 1/2   1.83M USA</t>
        </is>
      </c>
      <c r="E529" s="158" t="inlineStr">
        <is>
          <t>UND</t>
        </is>
      </c>
      <c r="F529" s="158" t="inlineStr">
        <is>
          <t>MATERIALES</t>
        </is>
      </c>
      <c r="G529" s="158" t="inlineStr">
        <is>
          <t>ELECTRICO</t>
        </is>
      </c>
    </row>
    <row r="530">
      <c r="A530" s="159" t="n"/>
      <c r="B530" s="158" t="inlineStr">
        <is>
          <t>MAT06-0103</t>
        </is>
      </c>
      <c r="C530" s="558" t="inlineStr">
        <is>
          <t>0106-0103</t>
        </is>
      </c>
      <c r="D530" s="158" t="inlineStr">
        <is>
          <t>VARILLA COOPERWELL 5/8 1.5M</t>
        </is>
      </c>
      <c r="E530" s="158" t="inlineStr">
        <is>
          <t>UND</t>
        </is>
      </c>
      <c r="F530" s="158" t="inlineStr">
        <is>
          <t>MATERIALES</t>
        </is>
      </c>
      <c r="G530" s="158" t="inlineStr">
        <is>
          <t>ELECTRICO</t>
        </is>
      </c>
    </row>
    <row r="531">
      <c r="A531" s="159" t="n"/>
      <c r="B531" s="158" t="inlineStr">
        <is>
          <t>MAT06-0104</t>
        </is>
      </c>
      <c r="C531" s="558" t="inlineStr">
        <is>
          <t>0106-0104</t>
        </is>
      </c>
      <c r="D531" s="158" t="inlineStr">
        <is>
          <t>VARILLA COOPERWELL 5/8 3M</t>
        </is>
      </c>
      <c r="E531" s="158" t="inlineStr">
        <is>
          <t>UND</t>
        </is>
      </c>
      <c r="F531" s="158" t="inlineStr">
        <is>
          <t>MATERIALES</t>
        </is>
      </c>
      <c r="G531" s="158" t="inlineStr">
        <is>
          <t>ELECTRICO</t>
        </is>
      </c>
    </row>
    <row r="532">
      <c r="A532" s="159" t="n"/>
      <c r="B532" s="158" t="inlineStr">
        <is>
          <t>MAT06-0105</t>
        </is>
      </c>
      <c r="C532" s="558" t="inlineStr">
        <is>
          <t>0106-0105</t>
        </is>
      </c>
      <c r="D532" s="158" t="inlineStr">
        <is>
          <t>UNION PVC EMT ROSCA 2"</t>
        </is>
      </c>
      <c r="E532" s="158" t="inlineStr">
        <is>
          <t>UND</t>
        </is>
      </c>
      <c r="F532" s="158" t="inlineStr">
        <is>
          <t>MATERIALES</t>
        </is>
      </c>
      <c r="G532" s="158" t="inlineStr">
        <is>
          <t>ELECTRICO</t>
        </is>
      </c>
    </row>
    <row r="533">
      <c r="A533" s="159" t="n"/>
      <c r="B533" s="158" t="inlineStr">
        <is>
          <t>MAT06-0106</t>
        </is>
      </c>
      <c r="C533" s="558" t="inlineStr">
        <is>
          <t>0106-0106</t>
        </is>
      </c>
      <c r="D533" s="158" t="inlineStr">
        <is>
          <t>TUBO EMT DE ½</t>
        </is>
      </c>
      <c r="E533" s="158" t="inlineStr">
        <is>
          <t>UND</t>
        </is>
      </c>
      <c r="F533" s="158" t="inlineStr">
        <is>
          <t>MATERIALES</t>
        </is>
      </c>
      <c r="G533" s="158" t="inlineStr">
        <is>
          <t>ELECTRICO</t>
        </is>
      </c>
    </row>
    <row r="534">
      <c r="A534" s="159" t="n"/>
      <c r="B534" s="158" t="inlineStr">
        <is>
          <t>MAT06-0107</t>
        </is>
      </c>
      <c r="C534" s="558" t="inlineStr">
        <is>
          <t>0106-0107</t>
        </is>
      </c>
      <c r="D534" s="158" t="inlineStr">
        <is>
          <t>TUBO EMT DE 3/4</t>
        </is>
      </c>
      <c r="E534" s="158" t="inlineStr">
        <is>
          <t>UND</t>
        </is>
      </c>
      <c r="F534" s="158" t="inlineStr">
        <is>
          <t>MATERIALES</t>
        </is>
      </c>
      <c r="G534" s="158" t="inlineStr">
        <is>
          <t>ELECTRICO</t>
        </is>
      </c>
    </row>
    <row r="535">
      <c r="A535" s="159" t="n"/>
      <c r="B535" s="158" t="inlineStr">
        <is>
          <t>MAT06-0108</t>
        </is>
      </c>
      <c r="C535" s="558" t="inlineStr">
        <is>
          <t>0106-0108</t>
        </is>
      </c>
      <c r="D535" s="158" t="inlineStr">
        <is>
          <t>GAZA EMT 1 OREJAS 3/4"</t>
        </is>
      </c>
      <c r="E535" s="158" t="inlineStr">
        <is>
          <t>UND</t>
        </is>
      </c>
      <c r="F535" s="158" t="inlineStr">
        <is>
          <t>MATERIALES</t>
        </is>
      </c>
      <c r="G535" s="158" t="inlineStr">
        <is>
          <t>ELECTRICO</t>
        </is>
      </c>
    </row>
    <row r="536">
      <c r="A536" s="159" t="n"/>
      <c r="B536" s="158" t="inlineStr">
        <is>
          <t>MAT06-0109</t>
        </is>
      </c>
      <c r="C536" s="558" t="inlineStr">
        <is>
          <t>0106-0109</t>
        </is>
      </c>
      <c r="D536" s="158" t="inlineStr">
        <is>
          <t>GAZA EMT 1 OREJAS 1"</t>
        </is>
      </c>
      <c r="E536" s="158" t="inlineStr">
        <is>
          <t>UND</t>
        </is>
      </c>
      <c r="F536" s="158" t="inlineStr">
        <is>
          <t>MATERIALES</t>
        </is>
      </c>
      <c r="G536" s="158" t="inlineStr">
        <is>
          <t>ELECTRICO</t>
        </is>
      </c>
    </row>
    <row r="537">
      <c r="A537" s="159" t="n"/>
      <c r="B537" s="158" t="inlineStr">
        <is>
          <t>MAT06-0110</t>
        </is>
      </c>
      <c r="C537" s="558" t="inlineStr">
        <is>
          <t>0106-0110</t>
        </is>
      </c>
      <c r="D537" s="158" t="inlineStr">
        <is>
          <t>CAJA CUADRADA EMT CON HUECO DE 1/2 Y 3/4</t>
        </is>
      </c>
      <c r="E537" s="158" t="inlineStr">
        <is>
          <t>UND</t>
        </is>
      </c>
      <c r="F537" s="158" t="inlineStr">
        <is>
          <t>MATERIALES</t>
        </is>
      </c>
      <c r="G537" s="158" t="inlineStr">
        <is>
          <t>ELECTRICO</t>
        </is>
      </c>
    </row>
    <row r="538">
      <c r="A538" s="159" t="n"/>
      <c r="B538" s="158" t="inlineStr">
        <is>
          <t>MAT06-0111</t>
        </is>
      </c>
      <c r="C538" s="558" t="inlineStr">
        <is>
          <t>0106-0111</t>
        </is>
      </c>
      <c r="D538" s="158" t="inlineStr">
        <is>
          <t>CUBIERTA PARA CENTRO DE CARGA TIPO QOC24UF, MONTAJE DE EMPOTRAR</t>
        </is>
      </c>
      <c r="E538" s="158" t="inlineStr">
        <is>
          <t>UND</t>
        </is>
      </c>
      <c r="F538" s="158" t="inlineStr">
        <is>
          <t>MATERIALES</t>
        </is>
      </c>
      <c r="G538" s="158" t="inlineStr">
        <is>
          <t>ELECTRICO</t>
        </is>
      </c>
    </row>
    <row r="539">
      <c r="A539" s="159" t="n"/>
      <c r="B539" s="158" t="inlineStr">
        <is>
          <t>MAT06-0112</t>
        </is>
      </c>
      <c r="C539" s="558" t="inlineStr">
        <is>
          <t>0106-0112</t>
        </is>
      </c>
      <c r="D539" s="158" t="inlineStr">
        <is>
          <t>CANALETA PISO 50X12</t>
        </is>
      </c>
      <c r="E539" s="158" t="inlineStr">
        <is>
          <t>UND</t>
        </is>
      </c>
      <c r="F539" s="158" t="inlineStr">
        <is>
          <t>MATERIALES</t>
        </is>
      </c>
      <c r="G539" s="158" t="inlineStr">
        <is>
          <t>ELECTRICO</t>
        </is>
      </c>
    </row>
    <row r="540">
      <c r="A540" s="159" t="n"/>
      <c r="B540" s="158" t="inlineStr">
        <is>
          <t>MAT06-0114</t>
        </is>
      </c>
      <c r="C540" s="558" t="inlineStr">
        <is>
          <t>0106-0114</t>
        </is>
      </c>
      <c r="D540" s="158" t="inlineStr">
        <is>
          <t>TAPA CIEGA CUADRADA 4X4 EMT</t>
        </is>
      </c>
      <c r="E540" s="158" t="inlineStr">
        <is>
          <t>UND</t>
        </is>
      </c>
      <c r="F540" s="158" t="inlineStr">
        <is>
          <t>MATERIALES</t>
        </is>
      </c>
      <c r="G540" s="158" t="inlineStr">
        <is>
          <t>ELECTRICO</t>
        </is>
      </c>
    </row>
    <row r="541">
      <c r="A541" s="159" t="n"/>
      <c r="B541" s="158" t="inlineStr">
        <is>
          <t>MAT06-0115</t>
        </is>
      </c>
      <c r="C541" s="558" t="inlineStr">
        <is>
          <t>0106-0115</t>
        </is>
      </c>
      <c r="D541" s="158" t="inlineStr">
        <is>
          <t>DIMMER ROYER</t>
        </is>
      </c>
      <c r="E541" s="158" t="inlineStr">
        <is>
          <t>UND</t>
        </is>
      </c>
      <c r="F541" s="158" t="inlineStr">
        <is>
          <t>MATERIALES</t>
        </is>
      </c>
      <c r="G541" s="158" t="inlineStr">
        <is>
          <t>ELECTRICO</t>
        </is>
      </c>
    </row>
    <row r="542">
      <c r="A542" s="159" t="n"/>
      <c r="B542" s="158" t="inlineStr">
        <is>
          <t>MAT06-0117</t>
        </is>
      </c>
      <c r="C542" s="558" t="inlineStr">
        <is>
          <t>0106-0117</t>
        </is>
      </c>
      <c r="D542" s="158" t="inlineStr">
        <is>
          <t>CONECTOR DE RESORTE 3M AZUL</t>
        </is>
      </c>
      <c r="E542" s="158" t="inlineStr">
        <is>
          <t>UND</t>
        </is>
      </c>
      <c r="F542" s="158" t="inlineStr">
        <is>
          <t>MATERIALES</t>
        </is>
      </c>
      <c r="G542" s="158" t="inlineStr">
        <is>
          <t>ELECTRICO</t>
        </is>
      </c>
    </row>
    <row r="543">
      <c r="A543" s="159" t="n"/>
      <c r="B543" s="158" t="inlineStr">
        <is>
          <t>MAT06-0118</t>
        </is>
      </c>
      <c r="C543" s="558" t="inlineStr">
        <is>
          <t>0106-0118</t>
        </is>
      </c>
      <c r="D543" s="158" t="inlineStr">
        <is>
          <t>CABLE ALUMINIO ACSR 3 X 6</t>
        </is>
      </c>
      <c r="E543" s="158" t="inlineStr">
        <is>
          <t>M</t>
        </is>
      </c>
      <c r="F543" s="158" t="inlineStr">
        <is>
          <t>MATERIALES</t>
        </is>
      </c>
      <c r="G543" s="158" t="inlineStr">
        <is>
          <t>ELECTRICO</t>
        </is>
      </c>
    </row>
    <row r="544">
      <c r="A544" s="159" t="n"/>
      <c r="B544" s="158" t="inlineStr">
        <is>
          <t>MAT06-0119</t>
        </is>
      </c>
      <c r="C544" s="558" t="inlineStr">
        <is>
          <t>0106-0119</t>
        </is>
      </c>
      <c r="D544" s="158" t="inlineStr">
        <is>
          <t>CONECTOR TORNILLO EMT 11/4</t>
        </is>
      </c>
      <c r="E544" s="158" t="inlineStr">
        <is>
          <t>UND</t>
        </is>
      </c>
      <c r="F544" s="158" t="inlineStr">
        <is>
          <t>MATERIALES</t>
        </is>
      </c>
      <c r="G544" s="158" t="inlineStr">
        <is>
          <t>ELECTRICO</t>
        </is>
      </c>
    </row>
    <row r="545">
      <c r="A545" s="159" t="n"/>
      <c r="B545" s="158" t="inlineStr">
        <is>
          <t>MAT06-0120</t>
        </is>
      </c>
      <c r="C545" s="558" t="inlineStr">
        <is>
          <t>0106-0120</t>
        </is>
      </c>
      <c r="D545" s="158" t="inlineStr">
        <is>
          <t>TUBO EMT 11/4</t>
        </is>
      </c>
      <c r="E545" s="158" t="inlineStr">
        <is>
          <t>UND</t>
        </is>
      </c>
      <c r="F545" s="158" t="inlineStr">
        <is>
          <t>MATERIALES</t>
        </is>
      </c>
      <c r="G545" s="158" t="inlineStr">
        <is>
          <t>ELECTRICO</t>
        </is>
      </c>
    </row>
    <row r="546">
      <c r="A546" s="159" t="n"/>
      <c r="B546" s="158" t="inlineStr">
        <is>
          <t>MAT06-0121</t>
        </is>
      </c>
      <c r="C546" s="558" t="inlineStr">
        <is>
          <t>0106-0121</t>
        </is>
      </c>
      <c r="D546" s="158" t="inlineStr">
        <is>
          <t>CONECTOR MACHO RJ45</t>
        </is>
      </c>
      <c r="E546" s="158" t="inlineStr">
        <is>
          <t>UND</t>
        </is>
      </c>
      <c r="F546" s="158" t="inlineStr">
        <is>
          <t>MATERIALES</t>
        </is>
      </c>
      <c r="G546" s="158" t="inlineStr">
        <is>
          <t>ELECTRICO</t>
        </is>
      </c>
    </row>
    <row r="547">
      <c r="A547" s="159" t="n"/>
      <c r="B547" s="158" t="inlineStr">
        <is>
          <t>MAT06-0122</t>
        </is>
      </c>
      <c r="C547" s="558" t="inlineStr">
        <is>
          <t>0106-0122</t>
        </is>
      </c>
      <c r="D547" s="158" t="inlineStr">
        <is>
          <t>CABLE TSJ 3X12</t>
        </is>
      </c>
      <c r="E547" s="158" t="inlineStr">
        <is>
          <t>M</t>
        </is>
      </c>
      <c r="F547" s="158" t="inlineStr">
        <is>
          <t>MATERIALES</t>
        </is>
      </c>
      <c r="G547" s="158" t="inlineStr">
        <is>
          <t>ELECTRICO</t>
        </is>
      </c>
    </row>
    <row r="548">
      <c r="A548" s="159" t="n"/>
      <c r="B548" s="158" t="inlineStr">
        <is>
          <t>MAT06-0123</t>
        </is>
      </c>
      <c r="C548" s="558" t="inlineStr">
        <is>
          <t>0106-0123</t>
        </is>
      </c>
      <c r="D548" s="158" t="inlineStr">
        <is>
          <t>TIRA LED</t>
        </is>
      </c>
      <c r="E548" s="158" t="inlineStr">
        <is>
          <t>UND</t>
        </is>
      </c>
      <c r="F548" s="158" t="inlineStr">
        <is>
          <t>MATERIALES</t>
        </is>
      </c>
      <c r="G548" s="158" t="inlineStr">
        <is>
          <t>ELECTRICO</t>
        </is>
      </c>
    </row>
    <row r="549">
      <c r="A549" s="159" t="n"/>
      <c r="B549" s="158" t="inlineStr">
        <is>
          <t>MAT06-0124</t>
        </is>
      </c>
      <c r="C549" s="558" t="inlineStr">
        <is>
          <t>0106-0124</t>
        </is>
      </c>
      <c r="D549" s="158" t="inlineStr">
        <is>
          <t>LAMPARA LED REDONDO CALIDA 6W XT-2312</t>
        </is>
      </c>
      <c r="E549" s="158" t="inlineStr">
        <is>
          <t>UND</t>
        </is>
      </c>
      <c r="F549" s="158" t="inlineStr">
        <is>
          <t>MATERIALES</t>
        </is>
      </c>
      <c r="G549" s="158" t="inlineStr">
        <is>
          <t>ELECTRICO</t>
        </is>
      </c>
    </row>
    <row r="550">
      <c r="A550" s="159" t="n"/>
      <c r="B550" s="158" t="inlineStr">
        <is>
          <t>MAT06-0125</t>
        </is>
      </c>
      <c r="C550" s="558" t="inlineStr">
        <is>
          <t>0106-0125</t>
        </is>
      </c>
      <c r="D550" s="158" t="inlineStr">
        <is>
          <t>CAMARA DE SEGURIDAD</t>
        </is>
      </c>
      <c r="E550" s="158" t="inlineStr">
        <is>
          <t>UND</t>
        </is>
      </c>
      <c r="F550" s="158" t="inlineStr">
        <is>
          <t>MATERIALES</t>
        </is>
      </c>
      <c r="G550" s="158" t="inlineStr">
        <is>
          <t>ELECTRICO</t>
        </is>
      </c>
    </row>
    <row r="551">
      <c r="A551" s="159" t="n"/>
      <c r="B551" s="158" t="inlineStr">
        <is>
          <t>MAT06-0126</t>
        </is>
      </c>
      <c r="C551" s="558" t="inlineStr">
        <is>
          <t>0106-0126</t>
        </is>
      </c>
      <c r="D551" s="158" t="inlineStr">
        <is>
          <t>EXTENSION ELECTRICA</t>
        </is>
      </c>
      <c r="E551" s="158" t="inlineStr">
        <is>
          <t>UND</t>
        </is>
      </c>
      <c r="F551" s="158" t="inlineStr">
        <is>
          <t>MATERIALES</t>
        </is>
      </c>
      <c r="G551" s="158" t="inlineStr">
        <is>
          <t>ELECTRICO</t>
        </is>
      </c>
    </row>
    <row r="552">
      <c r="A552" s="159" t="n"/>
      <c r="B552" s="158" t="inlineStr">
        <is>
          <t>MAT06-0127</t>
        </is>
      </c>
      <c r="C552" s="558" t="inlineStr">
        <is>
          <t>0106-0127</t>
        </is>
      </c>
      <c r="D552" s="158" t="inlineStr">
        <is>
          <t>ENCHUFE PARA EXTENSION MACHO</t>
        </is>
      </c>
      <c r="E552" s="158" t="inlineStr">
        <is>
          <t>UND</t>
        </is>
      </c>
      <c r="F552" s="158" t="inlineStr">
        <is>
          <t>MATERIALES</t>
        </is>
      </c>
      <c r="G552" s="158" t="inlineStr">
        <is>
          <t>ELECTRICO</t>
        </is>
      </c>
    </row>
    <row r="553">
      <c r="A553" s="159" t="n"/>
      <c r="B553" s="158" t="inlineStr">
        <is>
          <t>MAT06-0128</t>
        </is>
      </c>
      <c r="C553" s="558" t="inlineStr">
        <is>
          <t>0106-0128</t>
        </is>
      </c>
      <c r="D553" s="158" t="inlineStr">
        <is>
          <t>ENCHUFE PARA EXTENSION HEMBRA</t>
        </is>
      </c>
      <c r="E553" s="158" t="inlineStr">
        <is>
          <t>UND</t>
        </is>
      </c>
      <c r="F553" s="158" t="inlineStr">
        <is>
          <t>MATERIALES</t>
        </is>
      </c>
      <c r="G553" s="158" t="inlineStr">
        <is>
          <t>ELECTRICO</t>
        </is>
      </c>
    </row>
    <row r="554">
      <c r="A554" s="159" t="n"/>
      <c r="B554" s="158" t="inlineStr">
        <is>
          <t>MAT06-0129</t>
        </is>
      </c>
      <c r="C554" s="558" t="inlineStr">
        <is>
          <t>0106-0129</t>
        </is>
      </c>
      <c r="D554" s="158" t="inlineStr">
        <is>
          <t>CABLE TSJ 2X14</t>
        </is>
      </c>
      <c r="E554" s="158" t="inlineStr">
        <is>
          <t>UND</t>
        </is>
      </c>
      <c r="F554" s="158" t="inlineStr">
        <is>
          <t>MATERIALES</t>
        </is>
      </c>
      <c r="G554" s="158" t="inlineStr">
        <is>
          <t>ELECTRICO</t>
        </is>
      </c>
    </row>
    <row r="555">
      <c r="A555" s="159" t="n"/>
      <c r="B555" s="158" t="inlineStr">
        <is>
          <t>MAT06-0130</t>
        </is>
      </c>
      <c r="C555" s="558" t="inlineStr">
        <is>
          <t>0106-0130</t>
        </is>
      </c>
      <c r="D555" s="158" t="inlineStr">
        <is>
          <t>ADAPTADOR TIRA LED</t>
        </is>
      </c>
      <c r="E555" s="158" t="inlineStr">
        <is>
          <t>UND</t>
        </is>
      </c>
      <c r="F555" s="158" t="inlineStr">
        <is>
          <t>MATERIALES</t>
        </is>
      </c>
      <c r="G555" s="158" t="inlineStr">
        <is>
          <t>ELECTRICO</t>
        </is>
      </c>
    </row>
    <row r="556">
      <c r="A556" s="159" t="n"/>
      <c r="B556" s="158" t="inlineStr">
        <is>
          <t>MAT06-0131</t>
        </is>
      </c>
      <c r="C556" s="558" t="inlineStr">
        <is>
          <t>0106-0131</t>
        </is>
      </c>
      <c r="D556" s="158" t="inlineStr">
        <is>
          <t>CABLE TSJ 3X10</t>
        </is>
      </c>
      <c r="E556" s="158" t="inlineStr">
        <is>
          <t>UND</t>
        </is>
      </c>
      <c r="F556" s="158" t="inlineStr">
        <is>
          <t>MATERIALES</t>
        </is>
      </c>
      <c r="G556" s="158" t="inlineStr">
        <is>
          <t>ELECTRICO</t>
        </is>
      </c>
    </row>
    <row r="557">
      <c r="A557" s="159" t="n"/>
      <c r="B557" s="158" t="inlineStr">
        <is>
          <t>MAT06-0132</t>
        </is>
      </c>
      <c r="C557" s="558" t="inlineStr">
        <is>
          <t>0106-0132</t>
        </is>
      </c>
      <c r="D557" s="158" t="inlineStr">
        <is>
          <t>TOMA DE PARCHE 240</t>
        </is>
      </c>
      <c r="E557" s="158" t="inlineStr">
        <is>
          <t>UND</t>
        </is>
      </c>
      <c r="F557" s="158" t="inlineStr">
        <is>
          <t>MATERIALES</t>
        </is>
      </c>
      <c r="G557" s="158" t="inlineStr">
        <is>
          <t>ELECTRICO</t>
        </is>
      </c>
    </row>
    <row r="558">
      <c r="A558" s="159" t="n"/>
      <c r="B558" s="158" t="inlineStr">
        <is>
          <t>MAT06-0133</t>
        </is>
      </c>
      <c r="C558" s="558" t="inlineStr">
        <is>
          <t>0106-0133</t>
        </is>
      </c>
      <c r="D558" s="158" t="inlineStr">
        <is>
          <t>ENCHUFE  240</t>
        </is>
      </c>
      <c r="E558" s="158" t="inlineStr">
        <is>
          <t>UND</t>
        </is>
      </c>
      <c r="F558" s="158" t="inlineStr">
        <is>
          <t>MATERIALES</t>
        </is>
      </c>
      <c r="G558" s="158" t="inlineStr">
        <is>
          <t>ELECTRICO</t>
        </is>
      </c>
    </row>
    <row r="559">
      <c r="A559" s="159" t="n"/>
      <c r="B559" s="158" t="inlineStr">
        <is>
          <t>MAT06-0134</t>
        </is>
      </c>
      <c r="C559" s="558" t="inlineStr">
        <is>
          <t>0106-0134</t>
        </is>
      </c>
      <c r="D559" s="158" t="inlineStr">
        <is>
          <t>ETIQUETADORA SPB-01 3M</t>
        </is>
      </c>
      <c r="E559" s="158" t="inlineStr">
        <is>
          <t>UND</t>
        </is>
      </c>
      <c r="F559" s="158" t="inlineStr">
        <is>
          <t>MATERIALES</t>
        </is>
      </c>
      <c r="G559" s="158" t="inlineStr">
        <is>
          <t>ELECTRICO</t>
        </is>
      </c>
    </row>
    <row r="560">
      <c r="A560" s="159" t="n"/>
      <c r="B560" s="158" t="inlineStr">
        <is>
          <t>MAT06-0135</t>
        </is>
      </c>
      <c r="C560" s="558" t="inlineStr">
        <is>
          <t>0106-0135</t>
        </is>
      </c>
      <c r="D560" s="158" t="inlineStr">
        <is>
          <t>BOMBILLO LED P/PLAFON</t>
        </is>
      </c>
      <c r="E560" s="158" t="inlineStr">
        <is>
          <t>UND</t>
        </is>
      </c>
      <c r="F560" s="158" t="inlineStr">
        <is>
          <t>MATERIALES</t>
        </is>
      </c>
      <c r="G560" s="158" t="inlineStr">
        <is>
          <t>ELECTRICO</t>
        </is>
      </c>
    </row>
    <row r="561">
      <c r="A561" s="159" t="n"/>
      <c r="B561" s="158" t="inlineStr">
        <is>
          <t>MAT06-0136</t>
        </is>
      </c>
      <c r="C561" s="558" t="inlineStr">
        <is>
          <t>0106-0136</t>
        </is>
      </c>
      <c r="D561" s="158" t="inlineStr">
        <is>
          <t>CABLE UTP CAT 6 AZUL</t>
        </is>
      </c>
      <c r="E561" s="158" t="inlineStr">
        <is>
          <t>M</t>
        </is>
      </c>
      <c r="F561" s="158" t="inlineStr">
        <is>
          <t>MATERIALES</t>
        </is>
      </c>
      <c r="G561" s="158" t="inlineStr">
        <is>
          <t>ELECTRICO</t>
        </is>
      </c>
    </row>
    <row r="562">
      <c r="A562" s="159" t="n"/>
      <c r="B562" s="158" t="inlineStr">
        <is>
          <t>MAT06-0137</t>
        </is>
      </c>
      <c r="C562" s="558" t="inlineStr">
        <is>
          <t>0106-0137</t>
        </is>
      </c>
      <c r="D562" s="158" t="inlineStr">
        <is>
          <t>GABINETE PLASTICO 200X200X126</t>
        </is>
      </c>
      <c r="E562" s="158" t="inlineStr">
        <is>
          <t>UND</t>
        </is>
      </c>
      <c r="F562" s="158" t="inlineStr">
        <is>
          <t>MATERIALES</t>
        </is>
      </c>
      <c r="G562" s="158" t="inlineStr">
        <is>
          <t>ELECTRICO</t>
        </is>
      </c>
    </row>
    <row r="563">
      <c r="A563" s="159" t="n"/>
      <c r="B563" s="158" t="inlineStr">
        <is>
          <t>MAT06-0138</t>
        </is>
      </c>
      <c r="C563" s="558" t="inlineStr">
        <is>
          <t>0106-0138</t>
        </is>
      </c>
      <c r="D563" s="158" t="inlineStr">
        <is>
          <t>GABINETE METALICO 50X50X25</t>
        </is>
      </c>
      <c r="E563" s="158" t="inlineStr">
        <is>
          <t>UND</t>
        </is>
      </c>
      <c r="F563" s="158" t="inlineStr">
        <is>
          <t>MATERIALES</t>
        </is>
      </c>
      <c r="G563" s="158" t="inlineStr">
        <is>
          <t>ELECTRICO</t>
        </is>
      </c>
    </row>
    <row r="564">
      <c r="A564" s="159" t="n"/>
      <c r="B564" s="158" t="inlineStr">
        <is>
          <t>MAT06-0139</t>
        </is>
      </c>
      <c r="C564" s="558" t="inlineStr">
        <is>
          <t>0106-0139</t>
        </is>
      </c>
      <c r="D564" s="158" t="inlineStr">
        <is>
          <t>TESTER MULTIMETRO DIGITAL</t>
        </is>
      </c>
      <c r="E564" s="158" t="inlineStr">
        <is>
          <t>UND</t>
        </is>
      </c>
      <c r="F564" s="158" t="inlineStr">
        <is>
          <t>MATERIALES</t>
        </is>
      </c>
      <c r="G564" s="158" t="inlineStr">
        <is>
          <t>ELECTRICO</t>
        </is>
      </c>
    </row>
    <row r="565">
      <c r="A565" s="159" t="n"/>
      <c r="B565" s="158" t="inlineStr">
        <is>
          <t>MAT06-0140</t>
        </is>
      </c>
      <c r="C565" s="558" t="inlineStr">
        <is>
          <t>0106-0140</t>
        </is>
      </c>
      <c r="D565" s="158" t="inlineStr">
        <is>
          <t>TUBO BIEX 1/2</t>
        </is>
      </c>
      <c r="E565" s="158" t="inlineStr">
        <is>
          <t>M</t>
        </is>
      </c>
      <c r="F565" s="158" t="inlineStr">
        <is>
          <t>MATERIALES</t>
        </is>
      </c>
      <c r="G565" s="158" t="inlineStr">
        <is>
          <t>ELECTRICO</t>
        </is>
      </c>
    </row>
    <row r="566">
      <c r="A566" s="159" t="n"/>
      <c r="B566" s="158" t="inlineStr">
        <is>
          <t>MAT06-0141</t>
        </is>
      </c>
      <c r="C566" s="558" t="inlineStr">
        <is>
          <t>0106-0141</t>
        </is>
      </c>
      <c r="D566" s="158" t="inlineStr">
        <is>
          <t>CONECTOR BIEX 1/2</t>
        </is>
      </c>
      <c r="E566" s="158" t="inlineStr">
        <is>
          <t>UND</t>
        </is>
      </c>
      <c r="F566" s="158" t="inlineStr">
        <is>
          <t>MATERIALES</t>
        </is>
      </c>
      <c r="G566" s="158" t="inlineStr">
        <is>
          <t>ELECTRICO</t>
        </is>
      </c>
    </row>
    <row r="567">
      <c r="A567" s="159" t="n"/>
      <c r="B567" s="158" t="inlineStr">
        <is>
          <t>MAT06-0142</t>
        </is>
      </c>
      <c r="C567" s="558" t="inlineStr">
        <is>
          <t>0106-0142</t>
        </is>
      </c>
      <c r="D567" s="158" t="inlineStr">
        <is>
          <t>CENTRO DE CARGA QO 120/240V 1FASE N/S UL 3H NEMA 30-40 CIRCUITOS 200A</t>
        </is>
      </c>
      <c r="E567" s="158" t="inlineStr">
        <is>
          <t>UND</t>
        </is>
      </c>
      <c r="F567" s="158" t="inlineStr">
        <is>
          <t>MATERIALES</t>
        </is>
      </c>
      <c r="G567" s="158" t="inlineStr">
        <is>
          <t>ELECTRICO</t>
        </is>
      </c>
    </row>
    <row r="568">
      <c r="A568" s="159" t="n"/>
      <c r="B568" s="158" t="inlineStr">
        <is>
          <t>MAT06-0143</t>
        </is>
      </c>
      <c r="C568" s="558" t="inlineStr">
        <is>
          <t>0106-0143</t>
        </is>
      </c>
      <c r="D568" s="158" t="inlineStr">
        <is>
          <t>CUBIERTA PARA CENTRO DE CARGA QO MONTAJE PARA EMPOTRAR 30 CIRCUITOS</t>
        </is>
      </c>
      <c r="E568" s="158" t="inlineStr">
        <is>
          <t>UND</t>
        </is>
      </c>
      <c r="F568" s="158" t="inlineStr">
        <is>
          <t>MATERIALES</t>
        </is>
      </c>
      <c r="G568" s="158" t="inlineStr">
        <is>
          <t>ELECTRICO</t>
        </is>
      </c>
    </row>
    <row r="569">
      <c r="A569" s="159" t="n"/>
      <c r="B569" s="158" t="inlineStr">
        <is>
          <t>MAT06-0144</t>
        </is>
      </c>
      <c r="C569" s="558" t="inlineStr">
        <is>
          <t>0106-0144</t>
        </is>
      </c>
      <c r="D569" s="158" t="inlineStr">
        <is>
          <t>BREAKER PRINCIPAL P/CENTRO CARGA QOM2200VH C/BARRAS 120/240V 2P 200A 22KA</t>
        </is>
      </c>
      <c r="E569" s="158" t="inlineStr">
        <is>
          <t>UND</t>
        </is>
      </c>
      <c r="F569" s="158" t="inlineStr">
        <is>
          <t>MATERIALES</t>
        </is>
      </c>
      <c r="G569" s="158" t="inlineStr">
        <is>
          <t>ELECTRICO</t>
        </is>
      </c>
    </row>
    <row r="570">
      <c r="A570" s="159" t="n"/>
      <c r="B570" s="158" t="inlineStr">
        <is>
          <t>MAT06-0145</t>
        </is>
      </c>
      <c r="C570" s="558" t="inlineStr">
        <is>
          <t>0106-0145</t>
        </is>
      </c>
      <c r="D570" s="158" t="inlineStr">
        <is>
          <t>CABLE COBRE 1/0</t>
        </is>
      </c>
      <c r="E570" s="158" t="inlineStr">
        <is>
          <t>M</t>
        </is>
      </c>
      <c r="F570" s="158" t="inlineStr">
        <is>
          <t>MATERIALES</t>
        </is>
      </c>
      <c r="G570" s="158" t="inlineStr">
        <is>
          <t>ELECTRICO</t>
        </is>
      </c>
    </row>
    <row r="571">
      <c r="A571" s="159" t="n"/>
      <c r="B571" s="158" t="inlineStr">
        <is>
          <t>MAT06-0146</t>
        </is>
      </c>
      <c r="C571" s="558" t="inlineStr">
        <is>
          <t>0106-0146</t>
        </is>
      </c>
      <c r="D571" s="158" t="inlineStr">
        <is>
          <t>CALENTADOR INSTANTANEO RHEEM A GAS 13 L/M</t>
        </is>
      </c>
      <c r="E571" s="158" t="inlineStr">
        <is>
          <t>UND</t>
        </is>
      </c>
      <c r="F571" s="158" t="inlineStr">
        <is>
          <t>MATERIALES</t>
        </is>
      </c>
      <c r="G571" s="158" t="inlineStr">
        <is>
          <t>ELECTRICO</t>
        </is>
      </c>
    </row>
    <row r="572">
      <c r="A572" s="159" t="n"/>
      <c r="B572" s="158" t="inlineStr">
        <is>
          <t>MAT06-0147</t>
        </is>
      </c>
      <c r="C572" s="558" t="inlineStr">
        <is>
          <t>0106-0147</t>
        </is>
      </c>
      <c r="D572" s="158" t="inlineStr">
        <is>
          <t>PATCH CORD</t>
        </is>
      </c>
      <c r="E572" s="158" t="inlineStr">
        <is>
          <t>UND</t>
        </is>
      </c>
      <c r="F572" s="158" t="inlineStr">
        <is>
          <t>MATERIALES</t>
        </is>
      </c>
      <c r="G572" s="158" t="inlineStr">
        <is>
          <t>ELECTRICO</t>
        </is>
      </c>
    </row>
    <row r="573">
      <c r="A573" s="159" t="n"/>
      <c r="B573" s="158" t="inlineStr">
        <is>
          <t>MAT06-0148</t>
        </is>
      </c>
      <c r="C573" s="558" t="inlineStr">
        <is>
          <t>0106-0148</t>
        </is>
      </c>
      <c r="D573" s="158" t="inlineStr">
        <is>
          <t>TOMA PARCHE WD112 50A 250V 3P-3H NEMA 10-50 COOPER</t>
        </is>
      </c>
      <c r="E573" s="158" t="inlineStr">
        <is>
          <t>UND</t>
        </is>
      </c>
      <c r="F573" s="158" t="inlineStr">
        <is>
          <t>MATERIALES</t>
        </is>
      </c>
      <c r="G573" s="158" t="inlineStr">
        <is>
          <t>ELECTRICO</t>
        </is>
      </c>
    </row>
    <row r="574">
      <c r="A574" s="159" t="n"/>
      <c r="B574" s="158" t="inlineStr">
        <is>
          <t>MAT06-0149</t>
        </is>
      </c>
      <c r="C574" s="558" t="inlineStr">
        <is>
          <t>0106-0149</t>
        </is>
      </c>
      <c r="D574" s="158" t="inlineStr">
        <is>
          <t>CABLE #4</t>
        </is>
      </c>
      <c r="E574" s="158" t="inlineStr">
        <is>
          <t>M</t>
        </is>
      </c>
      <c r="F574" s="158" t="inlineStr">
        <is>
          <t>MATERIALES</t>
        </is>
      </c>
      <c r="G574" s="158" t="inlineStr">
        <is>
          <t>ELECTRICO</t>
        </is>
      </c>
    </row>
    <row r="575">
      <c r="A575" s="159" t="n"/>
      <c r="B575" s="158" t="inlineStr">
        <is>
          <t>MAT06-0150</t>
        </is>
      </c>
      <c r="C575" s="558" t="inlineStr">
        <is>
          <t>0106-0150</t>
        </is>
      </c>
      <c r="D575" s="158" t="inlineStr">
        <is>
          <t>TAPON FINAL P/TIRA LED</t>
        </is>
      </c>
      <c r="E575" s="158" t="inlineStr">
        <is>
          <t>UND</t>
        </is>
      </c>
      <c r="F575" s="158" t="inlineStr">
        <is>
          <t>MATERIALES</t>
        </is>
      </c>
      <c r="G575" s="158" t="inlineStr">
        <is>
          <t>ELECTRICO</t>
        </is>
      </c>
    </row>
    <row r="576">
      <c r="A576" s="159" t="n"/>
      <c r="B576" s="158" t="inlineStr">
        <is>
          <t>MAT06-0151</t>
        </is>
      </c>
      <c r="C576" s="558" t="inlineStr">
        <is>
          <t>0106-0151</t>
        </is>
      </c>
      <c r="D576" s="158" t="inlineStr">
        <is>
          <t>EMPOTRABLE LED REDONDO 5"</t>
        </is>
      </c>
      <c r="E576" s="158" t="inlineStr">
        <is>
          <t>UND</t>
        </is>
      </c>
      <c r="F576" s="158" t="inlineStr">
        <is>
          <t>MATERIALES</t>
        </is>
      </c>
      <c r="G576" s="158" t="inlineStr">
        <is>
          <t>ELECTRICO</t>
        </is>
      </c>
    </row>
    <row r="577">
      <c r="A577" s="159" t="n"/>
      <c r="B577" s="158" t="inlineStr">
        <is>
          <t>MAT06-0152</t>
        </is>
      </c>
      <c r="C577" s="558" t="inlineStr">
        <is>
          <t>0106-0152</t>
        </is>
      </c>
      <c r="D577" s="158" t="inlineStr">
        <is>
          <t>TOMA EXTENSION POLARIZADO 15A 125V</t>
        </is>
      </c>
      <c r="E577" s="158" t="inlineStr">
        <is>
          <t>UND</t>
        </is>
      </c>
      <c r="F577" s="158" t="inlineStr">
        <is>
          <t>MATERIALES</t>
        </is>
      </c>
      <c r="G577" s="158" t="inlineStr">
        <is>
          <t>ELECTRICO</t>
        </is>
      </c>
    </row>
    <row r="578">
      <c r="A578" s="159" t="n"/>
      <c r="B578" s="158" t="inlineStr">
        <is>
          <t>MAT06-0153</t>
        </is>
      </c>
      <c r="C578" s="558" t="inlineStr">
        <is>
          <t>0106-0153</t>
        </is>
      </c>
      <c r="D578" s="158" t="inlineStr">
        <is>
          <t>ENCHUFE AMARILLO 15A 125V</t>
        </is>
      </c>
      <c r="E578" s="158" t="inlineStr">
        <is>
          <t>UND</t>
        </is>
      </c>
      <c r="F578" s="158" t="inlineStr">
        <is>
          <t>MATERIALES</t>
        </is>
      </c>
      <c r="G578" s="158" t="inlineStr">
        <is>
          <t>ELECTRICO</t>
        </is>
      </c>
    </row>
    <row r="579">
      <c r="A579" s="159" t="n"/>
      <c r="B579" s="158" t="inlineStr">
        <is>
          <t>MAT06-0154</t>
        </is>
      </c>
      <c r="C579" s="558" t="inlineStr">
        <is>
          <t>0106-0154</t>
        </is>
      </c>
      <c r="D579" s="158" t="inlineStr">
        <is>
          <t>CABLE #2 TRIPLEX</t>
        </is>
      </c>
      <c r="E579" s="158" t="inlineStr">
        <is>
          <t>M</t>
        </is>
      </c>
      <c r="F579" s="158" t="inlineStr">
        <is>
          <t>MATERIALES</t>
        </is>
      </c>
      <c r="G579" s="158" t="inlineStr">
        <is>
          <t>ELECTRICO</t>
        </is>
      </c>
    </row>
    <row r="580">
      <c r="A580" s="159" t="n"/>
      <c r="B580" s="158" t="inlineStr">
        <is>
          <t>MAT06-0155</t>
        </is>
      </c>
      <c r="C580" s="558" t="inlineStr">
        <is>
          <t>0106-0155</t>
        </is>
      </c>
      <c r="D580" s="158" t="inlineStr">
        <is>
          <t>CABLE #4 TRIPLEX</t>
        </is>
      </c>
      <c r="E580" s="158" t="inlineStr">
        <is>
          <t>M</t>
        </is>
      </c>
      <c r="F580" s="158" t="inlineStr">
        <is>
          <t>MATERIALES</t>
        </is>
      </c>
      <c r="G580" s="158" t="inlineStr">
        <is>
          <t>ELECTRICO</t>
        </is>
      </c>
    </row>
    <row r="581">
      <c r="A581" s="159" t="n"/>
      <c r="B581" s="158" t="inlineStr">
        <is>
          <t>MAT06-0156</t>
        </is>
      </c>
      <c r="C581" s="558" t="inlineStr">
        <is>
          <t>0106-0156</t>
        </is>
      </c>
      <c r="D581" s="158" t="inlineStr">
        <is>
          <t>CABLE TGP 3X10</t>
        </is>
      </c>
      <c r="E581" s="158" t="inlineStr">
        <is>
          <t>M</t>
        </is>
      </c>
      <c r="F581" s="158" t="inlineStr">
        <is>
          <t>MATERIALES</t>
        </is>
      </c>
      <c r="G581" s="158" t="inlineStr">
        <is>
          <t>ELECTRICO</t>
        </is>
      </c>
    </row>
    <row r="582">
      <c r="A582" s="159" t="n"/>
      <c r="B582" s="158" t="inlineStr">
        <is>
          <t>MAT06-0157</t>
        </is>
      </c>
      <c r="C582" s="558" t="inlineStr">
        <is>
          <t>0106-0157</t>
        </is>
      </c>
      <c r="D582" s="158" t="inlineStr">
        <is>
          <t>CABLE 3X6AWG</t>
        </is>
      </c>
      <c r="E582" s="158" t="inlineStr">
        <is>
          <t>M</t>
        </is>
      </c>
      <c r="F582" s="158" t="inlineStr">
        <is>
          <t>MATERIALES</t>
        </is>
      </c>
      <c r="G582" s="158" t="inlineStr">
        <is>
          <t>ELECTRICO</t>
        </is>
      </c>
    </row>
    <row r="583">
      <c r="A583" s="159" t="n"/>
      <c r="B583" s="158" t="inlineStr">
        <is>
          <t>MAT06-0158</t>
        </is>
      </c>
      <c r="C583" s="558" t="inlineStr">
        <is>
          <t>0106-0158</t>
        </is>
      </c>
      <c r="D583" s="158" t="inlineStr">
        <is>
          <t>PANEL LED PRO DIMEABLE 0-10V 2X2 40W 4000LM</t>
        </is>
      </c>
      <c r="E583" s="158" t="inlineStr">
        <is>
          <t>UND</t>
        </is>
      </c>
      <c r="F583" s="158" t="inlineStr">
        <is>
          <t>MATERIALES</t>
        </is>
      </c>
      <c r="G583" s="158" t="inlineStr">
        <is>
          <t>ELECTRICO</t>
        </is>
      </c>
    </row>
    <row r="584">
      <c r="A584" s="159" t="n"/>
      <c r="B584" s="158" t="inlineStr">
        <is>
          <t>MAT06-0159</t>
        </is>
      </c>
      <c r="C584" s="558" t="inlineStr">
        <is>
          <t>0106-0159</t>
        </is>
      </c>
      <c r="D584" s="158" t="inlineStr">
        <is>
          <t>KIT DE SUSPENSION PANEL 2X2 600X600 OSRAM</t>
        </is>
      </c>
      <c r="E584" s="158" t="inlineStr">
        <is>
          <t>UND</t>
        </is>
      </c>
      <c r="F584" s="158" t="inlineStr">
        <is>
          <t>MATERIALES</t>
        </is>
      </c>
      <c r="G584" s="158" t="inlineStr">
        <is>
          <t>ELECTRICO</t>
        </is>
      </c>
    </row>
    <row r="585">
      <c r="A585" s="159" t="n"/>
      <c r="B585" s="158" t="inlineStr">
        <is>
          <t>MAT06-0160</t>
        </is>
      </c>
      <c r="C585" s="558" t="inlineStr">
        <is>
          <t>0106-0160</t>
        </is>
      </c>
      <c r="D585" s="158" t="inlineStr">
        <is>
          <t>CONECTOR MACHO 13 MM</t>
        </is>
      </c>
      <c r="E585" s="158" t="inlineStr">
        <is>
          <t>UND</t>
        </is>
      </c>
      <c r="F585" s="158" t="inlineStr">
        <is>
          <t>MATERIALES</t>
        </is>
      </c>
      <c r="G585" s="158" t="inlineStr">
        <is>
          <t>ELECTRICO</t>
        </is>
      </c>
    </row>
    <row r="586">
      <c r="A586" s="159" t="n"/>
      <c r="B586" s="158" t="inlineStr">
        <is>
          <t>MAT06-0161</t>
        </is>
      </c>
      <c r="C586" s="558" t="inlineStr">
        <is>
          <t>0106-0161</t>
        </is>
      </c>
      <c r="D586" s="158" t="inlineStr">
        <is>
          <t>CABLE TSJ 3X8</t>
        </is>
      </c>
      <c r="E586" s="158" t="inlineStr">
        <is>
          <t>M</t>
        </is>
      </c>
      <c r="F586" s="158" t="inlineStr">
        <is>
          <t>MATERIALES</t>
        </is>
      </c>
      <c r="G586" s="158" t="inlineStr">
        <is>
          <t>ELECTRICO</t>
        </is>
      </c>
    </row>
    <row r="587">
      <c r="A587" s="159" t="n"/>
      <c r="B587" s="158" t="inlineStr">
        <is>
          <t>MAT06-0162</t>
        </is>
      </c>
      <c r="C587" s="558" t="inlineStr">
        <is>
          <t>0106-0162</t>
        </is>
      </c>
      <c r="D587" s="158" t="inlineStr">
        <is>
          <t>CABLE FLEX.RVK 5 X 1.5MM</t>
        </is>
      </c>
      <c r="E587" s="158" t="inlineStr">
        <is>
          <t>M</t>
        </is>
      </c>
      <c r="F587" s="158" t="inlineStr">
        <is>
          <t>MATERIALES</t>
        </is>
      </c>
      <c r="G587" s="158" t="inlineStr">
        <is>
          <t>ELECTRICO</t>
        </is>
      </c>
    </row>
    <row r="588">
      <c r="A588" s="159" t="n"/>
      <c r="B588" s="158" t="inlineStr">
        <is>
          <t>MAT06-0163</t>
        </is>
      </c>
      <c r="C588" s="558" t="inlineStr">
        <is>
          <t>0106-0163</t>
        </is>
      </c>
      <c r="D588" s="158" t="inlineStr">
        <is>
          <t>ENCHUFE ELECTRICO 15A-125V POLARIZADO</t>
        </is>
      </c>
      <c r="E588" s="158" t="inlineStr">
        <is>
          <t>UND</t>
        </is>
      </c>
      <c r="F588" s="158" t="inlineStr">
        <is>
          <t>MATERIALES</t>
        </is>
      </c>
      <c r="G588" s="158" t="inlineStr">
        <is>
          <t>ELECTRICO</t>
        </is>
      </c>
    </row>
    <row r="589">
      <c r="A589" s="159" t="n"/>
      <c r="B589" s="158" t="inlineStr">
        <is>
          <t>MAT06-0164</t>
        </is>
      </c>
      <c r="C589" s="558" t="inlineStr">
        <is>
          <t>0106-0164</t>
        </is>
      </c>
      <c r="D589" s="158" t="inlineStr">
        <is>
          <t>CONECTOR DE COMPRESION #2</t>
        </is>
      </c>
      <c r="E589" s="158" t="inlineStr">
        <is>
          <t>UND</t>
        </is>
      </c>
      <c r="F589" s="158" t="inlineStr">
        <is>
          <t>MATERIALES</t>
        </is>
      </c>
      <c r="G589" s="158" t="inlineStr">
        <is>
          <t>ELECTRICO</t>
        </is>
      </c>
    </row>
    <row r="590">
      <c r="A590" s="159" t="n"/>
      <c r="B590" s="158" t="inlineStr">
        <is>
          <t>MAT06-0165</t>
        </is>
      </c>
      <c r="C590" s="558" t="inlineStr">
        <is>
          <t>0106-0165</t>
        </is>
      </c>
      <c r="D590" s="158" t="inlineStr">
        <is>
          <t>CONECTOR DE COMPRESION #4</t>
        </is>
      </c>
      <c r="E590" s="158" t="inlineStr">
        <is>
          <t>UND</t>
        </is>
      </c>
      <c r="F590" s="158" t="inlineStr">
        <is>
          <t>MATERIALES</t>
        </is>
      </c>
      <c r="G590" s="158" t="inlineStr">
        <is>
          <t>ELECTRICO</t>
        </is>
      </c>
    </row>
    <row r="591">
      <c r="A591" s="159" t="n"/>
      <c r="B591" s="158" t="inlineStr">
        <is>
          <t>MAT06-0166</t>
        </is>
      </c>
      <c r="C591" s="558" t="inlineStr">
        <is>
          <t>0106-0166</t>
        </is>
      </c>
      <c r="D591" s="158" t="inlineStr">
        <is>
          <t>LAMPARA HOUSING LED TUNABLE 6" 3K/4K/6K</t>
        </is>
      </c>
      <c r="E591" s="158" t="inlineStr">
        <is>
          <t>UND</t>
        </is>
      </c>
      <c r="F591" s="158" t="inlineStr">
        <is>
          <t>MATERIALES</t>
        </is>
      </c>
      <c r="G591" s="158" t="inlineStr">
        <is>
          <t>ELECTRICO</t>
        </is>
      </c>
    </row>
    <row r="592">
      <c r="A592" s="159" t="n"/>
      <c r="B592" s="158" t="inlineStr">
        <is>
          <t>MAT06-0167</t>
        </is>
      </c>
      <c r="C592" s="558" t="inlineStr">
        <is>
          <t>0106-0167</t>
        </is>
      </c>
      <c r="D592" s="158" t="inlineStr">
        <is>
          <t>BALUM P/CAMARA</t>
        </is>
      </c>
      <c r="E592" s="158" t="inlineStr">
        <is>
          <t>UND</t>
        </is>
      </c>
      <c r="F592" s="158" t="inlineStr">
        <is>
          <t>MATERIALES</t>
        </is>
      </c>
      <c r="G592" s="158" t="inlineStr">
        <is>
          <t>ELECTRICO</t>
        </is>
      </c>
    </row>
    <row r="593">
      <c r="A593" s="159" t="n"/>
      <c r="B593" s="158" t="inlineStr">
        <is>
          <t>MAT06-0168</t>
        </is>
      </c>
      <c r="C593" s="558" t="inlineStr">
        <is>
          <t>0106-0168</t>
        </is>
      </c>
      <c r="D593" s="158" t="inlineStr">
        <is>
          <t>BREAKER SD QO 120 1P 20A CAFI</t>
        </is>
      </c>
      <c r="E593" s="158" t="inlineStr">
        <is>
          <t>UND</t>
        </is>
      </c>
      <c r="F593" s="158" t="inlineStr">
        <is>
          <t>MATERIALES</t>
        </is>
      </c>
      <c r="G593" s="158" t="inlineStr">
        <is>
          <t>ELECTRICO</t>
        </is>
      </c>
    </row>
    <row r="594">
      <c r="A594" s="159" t="n"/>
      <c r="B594" s="158" t="inlineStr">
        <is>
          <t>MAT06-0169</t>
        </is>
      </c>
      <c r="C594" s="558" t="inlineStr">
        <is>
          <t>0106-0169</t>
        </is>
      </c>
      <c r="D594" s="158" t="inlineStr">
        <is>
          <t>JACK DC CA-16 1T MACHO</t>
        </is>
      </c>
      <c r="E594" s="158" t="inlineStr">
        <is>
          <t>UND</t>
        </is>
      </c>
      <c r="F594" s="158" t="inlineStr">
        <is>
          <t>MATERIALES</t>
        </is>
      </c>
      <c r="G594" s="158" t="inlineStr">
        <is>
          <t>ELECTRICO</t>
        </is>
      </c>
    </row>
    <row r="595">
      <c r="A595" s="159" t="n"/>
      <c r="B595" s="158" t="inlineStr">
        <is>
          <t>MAT06-0170</t>
        </is>
      </c>
      <c r="C595" s="558" t="inlineStr">
        <is>
          <t>0106-0170</t>
        </is>
      </c>
      <c r="D595" s="158" t="inlineStr">
        <is>
          <t>JACK DC CA-16 1T HEMBRA</t>
        </is>
      </c>
      <c r="E595" s="158" t="inlineStr">
        <is>
          <t>UND</t>
        </is>
      </c>
      <c r="F595" s="158" t="inlineStr">
        <is>
          <t>MATERIALES</t>
        </is>
      </c>
      <c r="G595" s="158" t="inlineStr">
        <is>
          <t>ELECTRICO</t>
        </is>
      </c>
    </row>
    <row r="596">
      <c r="A596" s="159" t="n"/>
      <c r="B596" s="158" t="inlineStr">
        <is>
          <t>MAT06-0171</t>
        </is>
      </c>
      <c r="C596" s="558" t="inlineStr">
        <is>
          <t>0106-0171</t>
        </is>
      </c>
      <c r="D596" s="158" t="inlineStr">
        <is>
          <t>ADAPT 12V 2A DLUX</t>
        </is>
      </c>
      <c r="E596" s="158" t="inlineStr">
        <is>
          <t>UND</t>
        </is>
      </c>
      <c r="F596" s="158" t="inlineStr">
        <is>
          <t>MATERIALES</t>
        </is>
      </c>
      <c r="G596" s="158" t="inlineStr">
        <is>
          <t>ELECTRICO</t>
        </is>
      </c>
    </row>
    <row r="597">
      <c r="A597" s="159" t="n"/>
      <c r="B597" s="158" t="inlineStr">
        <is>
          <t>MAT06-0172</t>
        </is>
      </c>
      <c r="C597" s="558" t="inlineStr">
        <is>
          <t>0106-0172</t>
        </is>
      </c>
      <c r="D597" s="158" t="inlineStr">
        <is>
          <t>ALARMA</t>
        </is>
      </c>
      <c r="E597" s="158" t="inlineStr">
        <is>
          <t>UND</t>
        </is>
      </c>
      <c r="F597" s="158" t="inlineStr">
        <is>
          <t>MATERIALES</t>
        </is>
      </c>
      <c r="G597" s="158" t="inlineStr">
        <is>
          <t>ELECTRICO</t>
        </is>
      </c>
    </row>
    <row r="598">
      <c r="A598" s="159" t="n"/>
      <c r="B598" s="158" t="inlineStr">
        <is>
          <t>MAT06-0173</t>
        </is>
      </c>
      <c r="C598" s="558" t="inlineStr">
        <is>
          <t>0106-0173</t>
        </is>
      </c>
      <c r="D598" s="158" t="inlineStr">
        <is>
          <t>CAJA INDUSTRIAL  IP65 4 MODULO</t>
        </is>
      </c>
      <c r="E598" s="158" t="inlineStr">
        <is>
          <t>UND</t>
        </is>
      </c>
      <c r="F598" s="158" t="inlineStr">
        <is>
          <t>MATERIALES</t>
        </is>
      </c>
      <c r="G598" s="158" t="inlineStr">
        <is>
          <t>ELECTRICO</t>
        </is>
      </c>
    </row>
    <row r="599">
      <c r="A599" s="159" t="n"/>
      <c r="B599" s="158" t="inlineStr">
        <is>
          <t>MAT06-0174</t>
        </is>
      </c>
      <c r="C599" s="558" t="inlineStr">
        <is>
          <t>0106-0174</t>
        </is>
      </c>
      <c r="D599" s="158" t="inlineStr">
        <is>
          <t>BREAKER NB 1 1 POLO-20A UL</t>
        </is>
      </c>
      <c r="E599" s="158" t="inlineStr">
        <is>
          <t>UND</t>
        </is>
      </c>
      <c r="F599" s="158" t="inlineStr">
        <is>
          <t>MATERIALES</t>
        </is>
      </c>
      <c r="G599" s="158" t="inlineStr">
        <is>
          <t>ELECTRICO</t>
        </is>
      </c>
    </row>
    <row r="600">
      <c r="A600" s="159" t="n"/>
      <c r="B600" s="158" t="inlineStr">
        <is>
          <t>MAT06-0175</t>
        </is>
      </c>
      <c r="C600" s="558" t="inlineStr">
        <is>
          <t>0106-0175</t>
        </is>
      </c>
      <c r="D600" s="158" t="inlineStr">
        <is>
          <t>BREAKER NB 1 2 POLO-40A UL</t>
        </is>
      </c>
      <c r="E600" s="158" t="inlineStr">
        <is>
          <t>UND</t>
        </is>
      </c>
      <c r="F600" s="158" t="inlineStr">
        <is>
          <t>MATERIALES</t>
        </is>
      </c>
      <c r="G600" s="158" t="inlineStr">
        <is>
          <t>ELECTRICO</t>
        </is>
      </c>
    </row>
    <row r="601">
      <c r="A601" s="159" t="n"/>
      <c r="B601" s="158" t="inlineStr">
        <is>
          <t>MAT06-0176</t>
        </is>
      </c>
      <c r="C601" s="558" t="inlineStr">
        <is>
          <t>0106-0176</t>
        </is>
      </c>
      <c r="D601" s="158" t="inlineStr">
        <is>
          <t>TOMA 2P+T 15/20A 125V 50X50 MM 13955 P/TABLERO ACQUA</t>
        </is>
      </c>
      <c r="E601" s="158" t="inlineStr">
        <is>
          <t>UND</t>
        </is>
      </c>
      <c r="F601" s="158" t="inlineStr">
        <is>
          <t>MATERIALES</t>
        </is>
      </c>
      <c r="G601" s="158" t="inlineStr">
        <is>
          <t>ELECTRICO</t>
        </is>
      </c>
    </row>
    <row r="602">
      <c r="A602" s="159" t="n"/>
      <c r="B602" s="158" t="inlineStr">
        <is>
          <t>MAT06-0177</t>
        </is>
      </c>
      <c r="C602" s="558" t="inlineStr">
        <is>
          <t>0106-0177</t>
        </is>
      </c>
      <c r="D602" s="158" t="inlineStr">
        <is>
          <t>PEINE DE CONEXIÓN P/BREAKER NB1 TIPO HORQUILLA 2 POLOS</t>
        </is>
      </c>
      <c r="E602" s="158" t="inlineStr">
        <is>
          <t>UND</t>
        </is>
      </c>
      <c r="F602" s="158" t="inlineStr">
        <is>
          <t>MATERIALES</t>
        </is>
      </c>
      <c r="G602" s="158" t="inlineStr">
        <is>
          <t>ELECTRICO</t>
        </is>
      </c>
    </row>
    <row r="603">
      <c r="A603" s="159" t="n"/>
      <c r="B603" s="158" t="inlineStr">
        <is>
          <t>MAT06-0178</t>
        </is>
      </c>
      <c r="C603" s="558" t="inlineStr">
        <is>
          <t>0106-0178</t>
        </is>
      </c>
      <c r="D603" s="158" t="inlineStr">
        <is>
          <t>TERMINAL CABLE HEMBRA NO 10-12 REDONDO AMARILLO</t>
        </is>
      </c>
      <c r="E603" s="158" t="inlineStr">
        <is>
          <t>UND</t>
        </is>
      </c>
      <c r="F603" s="158" t="inlineStr">
        <is>
          <t>MATERIALES</t>
        </is>
      </c>
      <c r="G603" s="158" t="inlineStr">
        <is>
          <t>ELECTRICO</t>
        </is>
      </c>
    </row>
    <row r="604">
      <c r="A604" s="159" t="n"/>
      <c r="B604" s="158" t="inlineStr">
        <is>
          <t>MAT06-0179</t>
        </is>
      </c>
      <c r="C604" s="558" t="inlineStr">
        <is>
          <t>0106-0179</t>
        </is>
      </c>
      <c r="D604" s="158" t="inlineStr">
        <is>
          <t>PANEL 3LED 18W CUADRADO XT-2307 KAT</t>
        </is>
      </c>
      <c r="E604" s="158" t="inlineStr">
        <is>
          <t>UND</t>
        </is>
      </c>
      <c r="F604" s="158" t="inlineStr">
        <is>
          <t>MATERIALES</t>
        </is>
      </c>
      <c r="G604" s="158" t="inlineStr">
        <is>
          <t>ELECTRICO</t>
        </is>
      </c>
    </row>
    <row r="605">
      <c r="A605" s="159" t="n"/>
      <c r="B605" s="158" t="inlineStr">
        <is>
          <t>MAT06-0180</t>
        </is>
      </c>
      <c r="C605" s="558" t="inlineStr">
        <is>
          <t>0106-0180</t>
        </is>
      </c>
      <c r="D605" s="158" t="inlineStr">
        <is>
          <t>LAMPARA DE COLGAR XH9010 XH</t>
        </is>
      </c>
      <c r="E605" s="158" t="inlineStr">
        <is>
          <t>UND</t>
        </is>
      </c>
      <c r="F605" s="158" t="inlineStr">
        <is>
          <t>MATERIALES</t>
        </is>
      </c>
      <c r="G605" s="158" t="inlineStr">
        <is>
          <t>ELECTRICO</t>
        </is>
      </c>
    </row>
    <row r="606">
      <c r="A606" s="159" t="n"/>
      <c r="B606" s="158" t="inlineStr">
        <is>
          <t>MAT06-0181</t>
        </is>
      </c>
      <c r="C606" s="558" t="inlineStr">
        <is>
          <t>0106-0181</t>
        </is>
      </c>
      <c r="D606" s="158" t="inlineStr">
        <is>
          <t>SPOT TRILUZ 3W KAT</t>
        </is>
      </c>
      <c r="E606" s="158" t="inlineStr">
        <is>
          <t>UND</t>
        </is>
      </c>
      <c r="F606" s="158" t="inlineStr">
        <is>
          <t>MATERIALES</t>
        </is>
      </c>
      <c r="G606" s="158" t="inlineStr">
        <is>
          <t>ELECTRICO</t>
        </is>
      </c>
    </row>
    <row r="607">
      <c r="A607" s="159" t="n"/>
      <c r="B607" s="158" t="inlineStr">
        <is>
          <t>MAT06-0182</t>
        </is>
      </c>
      <c r="C607" s="558" t="inlineStr">
        <is>
          <t>0106-0182</t>
        </is>
      </c>
      <c r="D607" s="158" t="inlineStr">
        <is>
          <t>PLACA  ADAPTADOR P/TOMA 15/20A 125V ACQUA</t>
        </is>
      </c>
      <c r="E607" s="158" t="inlineStr">
        <is>
          <t>UND</t>
        </is>
      </c>
      <c r="F607" s="158" t="inlineStr">
        <is>
          <t>MATERIALES</t>
        </is>
      </c>
      <c r="G607" s="158" t="inlineStr">
        <is>
          <t>ELECTRICO</t>
        </is>
      </c>
    </row>
    <row r="608">
      <c r="A608" s="159" t="n"/>
      <c r="B608" s="158" t="inlineStr">
        <is>
          <t>MAT06-0183</t>
        </is>
      </c>
      <c r="C608" s="558" t="inlineStr">
        <is>
          <t>0106-0183</t>
        </is>
      </c>
      <c r="D608" s="158" t="inlineStr">
        <is>
          <t>TOMA DOBLE GFCI 15A/125V ULGF15W</t>
        </is>
      </c>
      <c r="E608" s="158" t="inlineStr">
        <is>
          <t>UND</t>
        </is>
      </c>
      <c r="F608" s="158" t="inlineStr">
        <is>
          <t>MATERIALES</t>
        </is>
      </c>
      <c r="G608" s="158" t="inlineStr">
        <is>
          <t>ELECTRICO</t>
        </is>
      </c>
    </row>
    <row r="609">
      <c r="A609" s="159" t="n"/>
      <c r="B609" s="158" t="inlineStr">
        <is>
          <t>MAT06-0184</t>
        </is>
      </c>
      <c r="C609" s="558" t="inlineStr">
        <is>
          <t>0106-0184</t>
        </is>
      </c>
      <c r="D609" s="158" t="inlineStr">
        <is>
          <t>CANASTA BASOR BF2R 300X105X3000 EZ 207398 (UL)</t>
        </is>
      </c>
      <c r="E609" s="158" t="inlineStr">
        <is>
          <t>UND</t>
        </is>
      </c>
      <c r="F609" s="158" t="inlineStr">
        <is>
          <t>MATERIALES</t>
        </is>
      </c>
      <c r="G609" s="158" t="inlineStr">
        <is>
          <t>ELECTRICO</t>
        </is>
      </c>
    </row>
    <row r="610">
      <c r="A610" s="159" t="n"/>
      <c r="B610" s="158" t="inlineStr">
        <is>
          <t>MAT06-0185</t>
        </is>
      </c>
      <c r="C610" s="558" t="inlineStr">
        <is>
          <t>0106-0185</t>
        </is>
      </c>
      <c r="D610" s="158" t="inlineStr">
        <is>
          <t>SALIDA TUBOS STB 12MM-32MM GS 218798 BASOR</t>
        </is>
      </c>
      <c r="E610" s="158" t="inlineStr">
        <is>
          <t>UND</t>
        </is>
      </c>
      <c r="F610" s="158" t="inlineStr">
        <is>
          <t>MATERIALES</t>
        </is>
      </c>
      <c r="G610" s="158" t="inlineStr">
        <is>
          <t>ELECTRICO</t>
        </is>
      </c>
    </row>
    <row r="611">
      <c r="A611" s="159" t="n"/>
      <c r="B611" s="158" t="inlineStr">
        <is>
          <t>MAT06-0186</t>
        </is>
      </c>
      <c r="C611" s="558" t="inlineStr">
        <is>
          <t>0106-0186</t>
        </is>
      </c>
      <c r="D611" s="158" t="inlineStr">
        <is>
          <t>CONECTOR BARRIL CU #02 U.L.</t>
        </is>
      </c>
      <c r="E611" s="158" t="inlineStr">
        <is>
          <t>UND</t>
        </is>
      </c>
      <c r="F611" s="158" t="inlineStr">
        <is>
          <t>MATERIALES</t>
        </is>
      </c>
      <c r="G611" s="158" t="inlineStr">
        <is>
          <t>ELECTRICO</t>
        </is>
      </c>
    </row>
    <row r="612">
      <c r="A612" s="159" t="n"/>
      <c r="B612" s="158" t="inlineStr">
        <is>
          <t>MAT06-0187</t>
        </is>
      </c>
      <c r="C612" s="558" t="inlineStr">
        <is>
          <t>0106-0187</t>
        </is>
      </c>
      <c r="D612" s="158" t="inlineStr">
        <is>
          <t>CLIP FIJACIÓN CFBFR41 I301 (MURCIELAGO) 210284 BASOR</t>
        </is>
      </c>
      <c r="E612" s="158" t="inlineStr">
        <is>
          <t>UND</t>
        </is>
      </c>
      <c r="F612" s="158" t="inlineStr">
        <is>
          <t>MATERIALES</t>
        </is>
      </c>
      <c r="G612" s="158" t="inlineStr">
        <is>
          <t>ELECTRICO</t>
        </is>
      </c>
    </row>
    <row r="613">
      <c r="A613" s="159" t="n"/>
      <c r="B613" s="158" t="inlineStr">
        <is>
          <t>MAT06-0188</t>
        </is>
      </c>
      <c r="C613" s="558" t="inlineStr">
        <is>
          <t>0106-0188</t>
        </is>
      </c>
      <c r="D613" s="158" t="inlineStr">
        <is>
          <t>BASE MEDIDOR MONOFASICA 200 AMP. N3R MILBANK</t>
        </is>
      </c>
      <c r="E613" s="158" t="inlineStr">
        <is>
          <t>UND</t>
        </is>
      </c>
      <c r="F613" s="158" t="inlineStr">
        <is>
          <t>MATERIALES</t>
        </is>
      </c>
      <c r="G613" s="158" t="inlineStr">
        <is>
          <t>ELECTRICO</t>
        </is>
      </c>
    </row>
    <row r="614">
      <c r="A614" s="159" t="n"/>
      <c r="B614" s="158" t="inlineStr">
        <is>
          <t>MAT06-0189</t>
        </is>
      </c>
      <c r="C614" s="558" t="inlineStr">
        <is>
          <t>0106-0189</t>
        </is>
      </c>
      <c r="D614" s="158" t="inlineStr">
        <is>
          <t>CONECTOR EMT PRESION 2" ( UL )</t>
        </is>
      </c>
      <c r="E614" s="158" t="inlineStr">
        <is>
          <t>UND</t>
        </is>
      </c>
      <c r="F614" s="158" t="inlineStr">
        <is>
          <t>MATERIALES</t>
        </is>
      </c>
      <c r="G614" s="158" t="inlineStr">
        <is>
          <t>ELECTRICO</t>
        </is>
      </c>
    </row>
    <row r="615">
      <c r="A615" s="159" t="n"/>
      <c r="B615" s="158" t="inlineStr">
        <is>
          <t>MAT06-0190</t>
        </is>
      </c>
      <c r="C615" s="558" t="inlineStr">
        <is>
          <t>0106-0190</t>
        </is>
      </c>
      <c r="D615" s="158" t="inlineStr">
        <is>
          <t>BASE MEDIDOR MBB150BTSCR 120/240 C/BREAKER 150A</t>
        </is>
      </c>
      <c r="E615" s="158" t="inlineStr">
        <is>
          <t>UND</t>
        </is>
      </c>
      <c r="F615" s="158" t="inlineStr">
        <is>
          <t>MATERIALES</t>
        </is>
      </c>
      <c r="G615" s="158" t="inlineStr">
        <is>
          <t>ELECTRICO</t>
        </is>
      </c>
    </row>
    <row r="616">
      <c r="A616" s="159" t="n"/>
      <c r="B616" s="158" t="inlineStr">
        <is>
          <t>MAT06-0191</t>
        </is>
      </c>
      <c r="C616" s="558" t="inlineStr">
        <is>
          <t>0106-0191</t>
        </is>
      </c>
      <c r="D616" s="158" t="inlineStr">
        <is>
          <t>CAJA BREAKER PLUG-ON UL QO130L200P+QOC30UF 1F BARRAS 200A 30 ESPACIOS EMPOTRAR</t>
        </is>
      </c>
      <c r="E616" s="158" t="inlineStr">
        <is>
          <t>UND</t>
        </is>
      </c>
      <c r="F616" s="158" t="inlineStr">
        <is>
          <t>MATERIALES</t>
        </is>
      </c>
      <c r="G616" s="158" t="inlineStr">
        <is>
          <t>ELECTRICO</t>
        </is>
      </c>
    </row>
    <row r="617">
      <c r="A617" s="159" t="n"/>
      <c r="B617" s="158" t="inlineStr">
        <is>
          <t>MAT06-0192</t>
        </is>
      </c>
      <c r="C617" s="558" t="inlineStr">
        <is>
          <t>0106-0192</t>
        </is>
      </c>
      <c r="D617" s="158" t="inlineStr">
        <is>
          <t>BREAKER PRINCIPAL QOM2150VH 2P 150A 240V</t>
        </is>
      </c>
      <c r="E617" s="158" t="inlineStr">
        <is>
          <t>UND</t>
        </is>
      </c>
      <c r="F617" s="158" t="inlineStr">
        <is>
          <t>MATERIALES</t>
        </is>
      </c>
      <c r="G617" s="158" t="inlineStr">
        <is>
          <t>ELECTRICO</t>
        </is>
      </c>
    </row>
    <row r="618">
      <c r="A618" s="159" t="n"/>
      <c r="B618" s="158" t="inlineStr">
        <is>
          <t>MAT06-0193</t>
        </is>
      </c>
      <c r="C618" s="558" t="inlineStr">
        <is>
          <t>0106-0193</t>
        </is>
      </c>
      <c r="D618" s="158" t="inlineStr">
        <is>
          <t>REFLECTOR LED FLOODLIGHT SLIM 150W 12000LM 6500K 100/265V ILUKON</t>
        </is>
      </c>
      <c r="E618" s="158" t="inlineStr">
        <is>
          <t>UND</t>
        </is>
      </c>
      <c r="F618" s="158" t="inlineStr">
        <is>
          <t>MATERIALES</t>
        </is>
      </c>
      <c r="G618" s="158" t="inlineStr">
        <is>
          <t>ELECTRICO</t>
        </is>
      </c>
    </row>
    <row r="619">
      <c r="A619" s="159" t="n"/>
      <c r="B619" s="158" t="inlineStr">
        <is>
          <t>MAT06-0194</t>
        </is>
      </c>
      <c r="C619" s="558" t="inlineStr">
        <is>
          <t>0106-0194</t>
        </is>
      </c>
      <c r="D619" s="158" t="inlineStr">
        <is>
          <t>BASE PARA FOTOCELDA CON SOPORTE FISHER S476-81</t>
        </is>
      </c>
      <c r="E619" s="158" t="inlineStr">
        <is>
          <t>UND</t>
        </is>
      </c>
      <c r="F619" s="158" t="inlineStr">
        <is>
          <t>MATERIALES</t>
        </is>
      </c>
      <c r="G619" s="158" t="inlineStr">
        <is>
          <t>ELECTRICO</t>
        </is>
      </c>
    </row>
    <row r="620">
      <c r="A620" s="159" t="n"/>
      <c r="B620" s="158" t="inlineStr">
        <is>
          <t>MAT06-0195</t>
        </is>
      </c>
      <c r="C620" s="558" t="inlineStr">
        <is>
          <t>0106-0195</t>
        </is>
      </c>
      <c r="D620" s="158" t="inlineStr">
        <is>
          <t>FOTOCELDA MULTIVOLTAJE 120-277V 1000W 1800VA LC2100</t>
        </is>
      </c>
      <c r="E620" s="158" t="inlineStr">
        <is>
          <t>UND</t>
        </is>
      </c>
      <c r="F620" s="158" t="inlineStr">
        <is>
          <t>MATERIALES</t>
        </is>
      </c>
      <c r="G620" s="158" t="inlineStr">
        <is>
          <t>ELECTRICO</t>
        </is>
      </c>
    </row>
    <row r="621">
      <c r="A621" s="159" t="n"/>
      <c r="B621" s="158" t="inlineStr">
        <is>
          <t>MAT06-0196</t>
        </is>
      </c>
      <c r="C621" s="558" t="inlineStr">
        <is>
          <t>0106-0196</t>
        </is>
      </c>
      <c r="D621" s="158" t="inlineStr">
        <is>
          <t>CONECTOR COMPRESION #1 6-2 YHO-100</t>
        </is>
      </c>
      <c r="E621" s="158" t="inlineStr">
        <is>
          <t>UND</t>
        </is>
      </c>
      <c r="F621" s="158" t="inlineStr">
        <is>
          <t>MATERIALES</t>
        </is>
      </c>
      <c r="G621" s="158" t="inlineStr">
        <is>
          <t>ELECTRICO</t>
        </is>
      </c>
    </row>
    <row r="622">
      <c r="A622" s="159" t="n"/>
      <c r="B622" s="158" t="inlineStr">
        <is>
          <t>MAT06-0197</t>
        </is>
      </c>
      <c r="C622" s="558" t="inlineStr">
        <is>
          <t>0106-0197</t>
        </is>
      </c>
      <c r="D622" s="158" t="inlineStr">
        <is>
          <t>CONECTOR ADAPTADOR HEMBRA EAGLE 110V SALIDA MACHO EAGLE 220V</t>
        </is>
      </c>
      <c r="E622" s="158" t="inlineStr">
        <is>
          <t>UND</t>
        </is>
      </c>
      <c r="F622" s="158" t="inlineStr">
        <is>
          <t>MATERIALES</t>
        </is>
      </c>
      <c r="G622" s="158" t="inlineStr">
        <is>
          <t>ELECTRICO</t>
        </is>
      </c>
    </row>
    <row r="623">
      <c r="A623" s="159" t="n"/>
      <c r="B623" s="158" t="inlineStr">
        <is>
          <t>MAT06-0198</t>
        </is>
      </c>
      <c r="C623" s="558" t="inlineStr">
        <is>
          <t>0106-0198</t>
        </is>
      </c>
      <c r="D623" s="158" t="inlineStr">
        <is>
          <t>PORTAELECTRODO 300 AMPS KIMPIN KPH05A-300</t>
        </is>
      </c>
      <c r="E623" s="158" t="inlineStr">
        <is>
          <t>UND</t>
        </is>
      </c>
      <c r="F623" s="158" t="inlineStr">
        <is>
          <t>MATERIALES</t>
        </is>
      </c>
      <c r="G623" s="158" t="inlineStr">
        <is>
          <t>ELECTRICO</t>
        </is>
      </c>
    </row>
    <row r="624">
      <c r="A624" s="159" t="n"/>
      <c r="B624" s="158" t="inlineStr">
        <is>
          <t>MAT06-0199</t>
        </is>
      </c>
      <c r="C624" s="558" t="inlineStr">
        <is>
          <t>0106-0199</t>
        </is>
      </c>
      <c r="D624" s="158" t="inlineStr">
        <is>
          <t>BREAKER QO120 PRESION</t>
        </is>
      </c>
      <c r="E624" s="158" t="inlineStr">
        <is>
          <t>UND</t>
        </is>
      </c>
      <c r="F624" s="158" t="inlineStr">
        <is>
          <t>MATERIALES</t>
        </is>
      </c>
      <c r="G624" s="158" t="inlineStr">
        <is>
          <t>ELECTRICO</t>
        </is>
      </c>
    </row>
    <row r="625">
      <c r="A625" s="159" t="n"/>
      <c r="B625" s="158" t="inlineStr">
        <is>
          <t>MAT06-0200</t>
        </is>
      </c>
      <c r="C625" s="558" t="inlineStr">
        <is>
          <t>0106-0200</t>
        </is>
      </c>
      <c r="D625" s="158" t="inlineStr">
        <is>
          <t>PRENSA TIERRA 300AMP UYUSTOOLS</t>
        </is>
      </c>
      <c r="E625" s="158" t="inlineStr">
        <is>
          <t>UND</t>
        </is>
      </c>
      <c r="F625" s="158" t="inlineStr">
        <is>
          <t>MATERIALES</t>
        </is>
      </c>
      <c r="G625" s="158" t="inlineStr">
        <is>
          <t>ELECTRICO</t>
        </is>
      </c>
    </row>
    <row r="626">
      <c r="A626" s="159" t="n"/>
      <c r="B626" s="158" t="inlineStr">
        <is>
          <t>MAT06-0201</t>
        </is>
      </c>
      <c r="C626" s="558" t="inlineStr">
        <is>
          <t>0106-0201</t>
        </is>
      </c>
      <c r="D626" s="158" t="inlineStr">
        <is>
          <t>REMATE PREFORMADO #6</t>
        </is>
      </c>
      <c r="E626" s="158" t="inlineStr">
        <is>
          <t>UND</t>
        </is>
      </c>
      <c r="F626" s="158" t="inlineStr">
        <is>
          <t>MATERIALES</t>
        </is>
      </c>
      <c r="G626" s="158" t="inlineStr">
        <is>
          <t>ELECTRICO</t>
        </is>
      </c>
    </row>
    <row r="627">
      <c r="A627" s="159" t="n"/>
      <c r="B627" s="158" t="inlineStr">
        <is>
          <t>MAT06-0202</t>
        </is>
      </c>
      <c r="C627" s="558" t="inlineStr">
        <is>
          <t>0106-0202</t>
        </is>
      </c>
      <c r="D627" s="158" t="inlineStr">
        <is>
          <t>LAMPARA LED 100W</t>
        </is>
      </c>
      <c r="E627" s="158" t="inlineStr">
        <is>
          <t>UND</t>
        </is>
      </c>
      <c r="F627" s="158" t="inlineStr">
        <is>
          <t>MATERIALES</t>
        </is>
      </c>
      <c r="G627" s="158" t="inlineStr">
        <is>
          <t>ELECTRICO</t>
        </is>
      </c>
    </row>
    <row r="628">
      <c r="A628" s="159" t="n"/>
      <c r="B628" s="158" t="inlineStr">
        <is>
          <t>MAT06-0203</t>
        </is>
      </c>
      <c r="C628" s="558" t="inlineStr">
        <is>
          <t>0106-0203</t>
        </is>
      </c>
      <c r="D628" s="158" t="inlineStr">
        <is>
          <t>ADAPTADOR 12VDC 5 AMP SPS12DC5A</t>
        </is>
      </c>
      <c r="E628" s="158" t="inlineStr">
        <is>
          <t>UND</t>
        </is>
      </c>
      <c r="F628" s="158" t="inlineStr">
        <is>
          <t>MATERIALES</t>
        </is>
      </c>
      <c r="G628" s="158" t="inlineStr">
        <is>
          <t>ELECTRICO</t>
        </is>
      </c>
    </row>
    <row r="629">
      <c r="A629" s="159" t="n"/>
      <c r="B629" s="158" t="inlineStr">
        <is>
          <t>MAT06-0204</t>
        </is>
      </c>
      <c r="C629" s="558" t="inlineStr">
        <is>
          <t>0106-0204</t>
        </is>
      </c>
      <c r="D629" s="158" t="inlineStr">
        <is>
          <t>ADAPTADOR 12VDC-5AMP 4 SALIDAS # 334-117</t>
        </is>
      </c>
      <c r="E629" s="158" t="inlineStr">
        <is>
          <t>UND</t>
        </is>
      </c>
      <c r="F629" s="158" t="inlineStr">
        <is>
          <t>MATERIALES</t>
        </is>
      </c>
      <c r="G629" s="158" t="inlineStr">
        <is>
          <t>ELECTRICO</t>
        </is>
      </c>
    </row>
    <row r="630">
      <c r="A630" s="159" t="n"/>
      <c r="B630" s="158" t="inlineStr">
        <is>
          <t>MAT06-0205</t>
        </is>
      </c>
      <c r="C630" s="558" t="inlineStr">
        <is>
          <t>0106-0205</t>
        </is>
      </c>
      <c r="D630" s="158" t="inlineStr">
        <is>
          <t>CABLE PORTAELECTRODO</t>
        </is>
      </c>
      <c r="E630" s="158" t="inlineStr">
        <is>
          <t>M</t>
        </is>
      </c>
      <c r="F630" s="158" t="inlineStr">
        <is>
          <t>MATERIALES</t>
        </is>
      </c>
      <c r="G630" s="158" t="inlineStr">
        <is>
          <t>ELECTRICO</t>
        </is>
      </c>
    </row>
    <row r="631">
      <c r="A631" s="159" t="n"/>
      <c r="B631" s="158" t="inlineStr">
        <is>
          <t>MAT06-0206</t>
        </is>
      </c>
      <c r="C631" s="558" t="inlineStr">
        <is>
          <t>0106-0206</t>
        </is>
      </c>
      <c r="D631" s="158" t="inlineStr">
        <is>
          <t>NEUTRACEN ACSR 3 X 2 (CONCH)</t>
        </is>
      </c>
      <c r="E631" s="158" t="inlineStr">
        <is>
          <t>M</t>
        </is>
      </c>
      <c r="F631" s="158" t="inlineStr">
        <is>
          <t>MATERIALES</t>
        </is>
      </c>
      <c r="G631" s="158" t="inlineStr">
        <is>
          <t>ELECTRICO</t>
        </is>
      </c>
    </row>
    <row r="632">
      <c r="A632" s="159" t="n"/>
      <c r="B632" s="158" t="inlineStr">
        <is>
          <t>MAT06-0207</t>
        </is>
      </c>
      <c r="C632" s="558" t="inlineStr">
        <is>
          <t>0106-0207</t>
        </is>
      </c>
      <c r="D632" s="158" t="inlineStr">
        <is>
          <t>REMATE CURVO P/ CABLE #2 ALUMOWELD GRANDE</t>
        </is>
      </c>
      <c r="E632" s="158" t="inlineStr">
        <is>
          <t>UND</t>
        </is>
      </c>
      <c r="F632" s="158" t="inlineStr">
        <is>
          <t>MATERIALES</t>
        </is>
      </c>
      <c r="G632" s="158" t="inlineStr">
        <is>
          <t>ELECTRICO</t>
        </is>
      </c>
    </row>
    <row r="633">
      <c r="A633" s="159" t="n"/>
      <c r="B633" s="158" t="inlineStr">
        <is>
          <t>MAT06-0208</t>
        </is>
      </c>
      <c r="C633" s="558" t="inlineStr">
        <is>
          <t>0106-0208</t>
        </is>
      </c>
      <c r="D633" s="158" t="inlineStr">
        <is>
          <t>CABLE #4 ROJO</t>
        </is>
      </c>
      <c r="E633" s="158" t="inlineStr">
        <is>
          <t>M</t>
        </is>
      </c>
      <c r="F633" s="158" t="inlineStr">
        <is>
          <t>MATERIALES</t>
        </is>
      </c>
      <c r="G633" s="158" t="inlineStr">
        <is>
          <t>ELECTRICO</t>
        </is>
      </c>
    </row>
    <row r="634">
      <c r="A634" s="159" t="n"/>
      <c r="B634" s="158" t="inlineStr">
        <is>
          <t>MAT06-0209</t>
        </is>
      </c>
      <c r="C634" s="558" t="inlineStr">
        <is>
          <t>0106-0209</t>
        </is>
      </c>
      <c r="D634" s="158" t="inlineStr">
        <is>
          <t>CABLE #4 BLANCO</t>
        </is>
      </c>
      <c r="E634" s="158" t="inlineStr">
        <is>
          <t>M</t>
        </is>
      </c>
      <c r="F634" s="158" t="inlineStr">
        <is>
          <t>MATERIALES</t>
        </is>
      </c>
      <c r="G634" s="158" t="inlineStr">
        <is>
          <t>ELECTRICO</t>
        </is>
      </c>
    </row>
    <row r="635">
      <c r="A635" s="159" t="n"/>
      <c r="B635" s="158" t="inlineStr">
        <is>
          <t>MAT06-0230</t>
        </is>
      </c>
      <c r="C635" s="558" t="inlineStr">
        <is>
          <t>0106-0230</t>
        </is>
      </c>
      <c r="D635" s="158" t="inlineStr">
        <is>
          <t>PANEL LED 2X4 EMPOTRABLE 50W 3000K/4000K/6000K</t>
        </is>
      </c>
      <c r="E635" s="158" t="inlineStr">
        <is>
          <t>UND</t>
        </is>
      </c>
      <c r="F635" s="158" t="inlineStr">
        <is>
          <t>MATERIALES</t>
        </is>
      </c>
      <c r="G635" s="158" t="inlineStr">
        <is>
          <t>ELECTRICO</t>
        </is>
      </c>
    </row>
    <row r="636">
      <c r="A636" s="159" t="n"/>
      <c r="B636" s="158" t="inlineStr">
        <is>
          <t>MAT06-0231</t>
        </is>
      </c>
      <c r="C636" s="558" t="inlineStr">
        <is>
          <t>0106-0231</t>
        </is>
      </c>
      <c r="D636" s="158" t="inlineStr">
        <is>
          <t>KIT DE SUSPENSION PANEL 1X4 300X1200</t>
        </is>
      </c>
      <c r="E636" s="158" t="inlineStr">
        <is>
          <t>UND</t>
        </is>
      </c>
      <c r="F636" s="158" t="inlineStr">
        <is>
          <t>MATERIALES</t>
        </is>
      </c>
      <c r="G636" s="158" t="inlineStr">
        <is>
          <t>ELECTRICO</t>
        </is>
      </c>
    </row>
    <row r="637">
      <c r="A637" s="159" t="n"/>
      <c r="B637" s="158" t="inlineStr">
        <is>
          <t>MAT06-0232</t>
        </is>
      </c>
      <c r="C637" s="558" t="inlineStr">
        <is>
          <t>0106-0232</t>
        </is>
      </c>
      <c r="D637" s="158" t="inlineStr">
        <is>
          <t>BREAKER CH2100 2POLOS 100AMP</t>
        </is>
      </c>
      <c r="E637" s="158" t="inlineStr">
        <is>
          <t>UND</t>
        </is>
      </c>
      <c r="F637" s="158" t="inlineStr">
        <is>
          <t>MATERIALES</t>
        </is>
      </c>
      <c r="G637" s="158" t="inlineStr">
        <is>
          <t>ELECTRICO</t>
        </is>
      </c>
    </row>
    <row r="638">
      <c r="A638" s="159" t="n"/>
      <c r="B638" s="158" t="inlineStr">
        <is>
          <t>MAT06-0233</t>
        </is>
      </c>
      <c r="C638" s="558" t="inlineStr">
        <is>
          <t>0106-0233</t>
        </is>
      </c>
      <c r="D638" s="158" t="inlineStr">
        <is>
          <t>CABLE ALUMINIO 2/0 SERIE 8000</t>
        </is>
      </c>
      <c r="E638" s="158" t="inlineStr">
        <is>
          <t>UND</t>
        </is>
      </c>
      <c r="F638" s="158" t="inlineStr">
        <is>
          <t>MATERIALES</t>
        </is>
      </c>
      <c r="G638" s="158" t="inlineStr">
        <is>
          <t>ELECTRICO</t>
        </is>
      </c>
    </row>
    <row r="639">
      <c r="A639" s="159" t="n"/>
      <c r="B639" s="158" t="inlineStr">
        <is>
          <t>MAT06-0234</t>
        </is>
      </c>
      <c r="C639" s="558" t="inlineStr">
        <is>
          <t>0106-0234</t>
        </is>
      </c>
      <c r="D639" s="158" t="inlineStr">
        <is>
          <t>CALENTADOR P/AGUA A GAS LP. 16LXM,</t>
        </is>
      </c>
      <c r="E639" s="158" t="inlineStr">
        <is>
          <t>UND</t>
        </is>
      </c>
      <c r="F639" s="158" t="inlineStr">
        <is>
          <t>MATERIALES</t>
        </is>
      </c>
      <c r="G639" s="158" t="inlineStr">
        <is>
          <t>ELECTRICO</t>
        </is>
      </c>
    </row>
    <row r="640">
      <c r="A640" s="159" t="n"/>
      <c r="B640" s="158" t="inlineStr">
        <is>
          <t>MAT06-0235</t>
        </is>
      </c>
      <c r="C640" s="558" t="inlineStr">
        <is>
          <t>0106-0235</t>
        </is>
      </c>
      <c r="D640" s="158" t="inlineStr">
        <is>
          <t>CABLE DE ALUMINIO #4 SERIE 8000</t>
        </is>
      </c>
      <c r="E640" s="158" t="inlineStr">
        <is>
          <t>M</t>
        </is>
      </c>
      <c r="F640" s="158" t="inlineStr">
        <is>
          <t>MATERIALES</t>
        </is>
      </c>
      <c r="G640" s="158" t="inlineStr">
        <is>
          <t>ELECTRICO</t>
        </is>
      </c>
    </row>
    <row r="641">
      <c r="A641" s="159" t="n"/>
      <c r="B641" s="158" t="inlineStr">
        <is>
          <t>MAT06-0236</t>
        </is>
      </c>
      <c r="C641" s="558" t="inlineStr">
        <is>
          <t>0106-0236</t>
        </is>
      </c>
      <c r="D641" s="158" t="inlineStr">
        <is>
          <t>CABLE UTP CAT 6 INTERPERIE</t>
        </is>
      </c>
      <c r="E641" s="158" t="inlineStr">
        <is>
          <t>M</t>
        </is>
      </c>
      <c r="F641" s="158" t="inlineStr">
        <is>
          <t>MATERIALES</t>
        </is>
      </c>
      <c r="G641" s="158" t="inlineStr">
        <is>
          <t>ELECTRICO</t>
        </is>
      </c>
    </row>
    <row r="642">
      <c r="A642" s="159" t="n"/>
      <c r="B642" s="158" t="inlineStr">
        <is>
          <t>MAT06-0237</t>
        </is>
      </c>
      <c r="C642" s="558" t="inlineStr">
        <is>
          <t>0106-0237</t>
        </is>
      </c>
      <c r="D642" s="158" t="inlineStr">
        <is>
          <t>CENTRO DE CARGA QO 42 CIRCUITOS</t>
        </is>
      </c>
      <c r="E642" s="158" t="inlineStr">
        <is>
          <t>UND</t>
        </is>
      </c>
      <c r="F642" s="158" t="inlineStr">
        <is>
          <t>MATERIALES</t>
        </is>
      </c>
      <c r="G642" s="158" t="inlineStr">
        <is>
          <t>ELECTRICO</t>
        </is>
      </c>
    </row>
    <row r="643">
      <c r="A643" s="159" t="n"/>
      <c r="B643" s="158" t="inlineStr">
        <is>
          <t>MAT06-0238</t>
        </is>
      </c>
      <c r="C643" s="558" t="inlineStr">
        <is>
          <t>0106-0238</t>
        </is>
      </c>
      <c r="D643" s="158" t="inlineStr">
        <is>
          <t>CUBIERTA PARA CENTRO DE CARGA TIPO QO 42 CIRCUITOS</t>
        </is>
      </c>
      <c r="E643" s="158" t="inlineStr">
        <is>
          <t>UND</t>
        </is>
      </c>
      <c r="F643" s="158" t="inlineStr">
        <is>
          <t>MATERIALES</t>
        </is>
      </c>
      <c r="G643" s="158" t="inlineStr">
        <is>
          <t>ELECTRICO</t>
        </is>
      </c>
    </row>
    <row r="644">
      <c r="A644" s="159" t="n"/>
      <c r="B644" s="158" t="inlineStr">
        <is>
          <t>MAT06-0239</t>
        </is>
      </c>
      <c r="C644" s="558" t="inlineStr">
        <is>
          <t>0106-0239</t>
        </is>
      </c>
      <c r="D644" s="158" t="inlineStr">
        <is>
          <t>FUENTE DE PODER</t>
        </is>
      </c>
      <c r="E644" s="158" t="inlineStr">
        <is>
          <t>UND</t>
        </is>
      </c>
      <c r="F644" s="158" t="inlineStr">
        <is>
          <t>MATERIALES</t>
        </is>
      </c>
      <c r="G644" s="158" t="inlineStr">
        <is>
          <t>ELECTRICO</t>
        </is>
      </c>
    </row>
    <row r="645">
      <c r="A645" s="159" t="n"/>
      <c r="B645" s="158" t="inlineStr">
        <is>
          <t>MAT06-0240</t>
        </is>
      </c>
      <c r="C645" s="558" t="inlineStr">
        <is>
          <t>0106-0240</t>
        </is>
      </c>
      <c r="D645" s="158" t="inlineStr">
        <is>
          <t>ACCESS POINT WIFI 6 LONG-RANGE × 2</t>
        </is>
      </c>
      <c r="E645" s="158" t="inlineStr">
        <is>
          <t>UND</t>
        </is>
      </c>
      <c r="F645" s="158" t="inlineStr">
        <is>
          <t>MATERIALES</t>
        </is>
      </c>
      <c r="G645" s="158" t="inlineStr">
        <is>
          <t>ELECTRICO</t>
        </is>
      </c>
    </row>
    <row r="646">
      <c r="A646" s="159" t="n"/>
      <c r="B646" s="158" t="inlineStr">
        <is>
          <t>MAT06-0241</t>
        </is>
      </c>
      <c r="C646" s="558" t="inlineStr">
        <is>
          <t>0106-0241</t>
        </is>
      </c>
      <c r="D646" s="158" t="inlineStr">
        <is>
          <t>LAMPARA COLGANTE NEGRA</t>
        </is>
      </c>
      <c r="E646" s="158" t="inlineStr">
        <is>
          <t>UND</t>
        </is>
      </c>
      <c r="F646" s="158" t="inlineStr">
        <is>
          <t>MATERIALES</t>
        </is>
      </c>
      <c r="G646" s="158" t="inlineStr">
        <is>
          <t>ELECTRICO</t>
        </is>
      </c>
    </row>
    <row r="647">
      <c r="A647" s="159" t="n"/>
      <c r="B647" s="158" t="inlineStr">
        <is>
          <t>MAT06-0242</t>
        </is>
      </c>
      <c r="C647" s="558" t="inlineStr">
        <is>
          <t>0106-0242</t>
        </is>
      </c>
      <c r="D647" s="158" t="inlineStr">
        <is>
          <t>CONECTOR MACHO 9MM</t>
        </is>
      </c>
      <c r="E647" s="158" t="inlineStr">
        <is>
          <t>UND</t>
        </is>
      </c>
      <c r="F647" s="158" t="inlineStr">
        <is>
          <t>MATERIALES</t>
        </is>
      </c>
      <c r="G647" s="158" t="inlineStr">
        <is>
          <t>ELECTRICO</t>
        </is>
      </c>
    </row>
    <row r="648">
      <c r="A648" s="159" t="n"/>
      <c r="B648" s="158" t="inlineStr">
        <is>
          <t>MAT06-0243</t>
        </is>
      </c>
      <c r="C648" s="558" t="inlineStr">
        <is>
          <t>0106-0243</t>
        </is>
      </c>
      <c r="D648" s="158" t="inlineStr">
        <is>
          <t>GABINETE PLASTICO 28"</t>
        </is>
      </c>
      <c r="E648" s="158" t="inlineStr">
        <is>
          <t>UND</t>
        </is>
      </c>
      <c r="F648" s="158" t="inlineStr">
        <is>
          <t>MATERIALES</t>
        </is>
      </c>
      <c r="G648" s="158" t="inlineStr">
        <is>
          <t>ELECTRICO</t>
        </is>
      </c>
    </row>
    <row r="649">
      <c r="A649" s="159" t="n"/>
      <c r="B649" s="158" t="inlineStr">
        <is>
          <t>MAT06-0244</t>
        </is>
      </c>
      <c r="C649" s="558" t="inlineStr">
        <is>
          <t>0106-0244</t>
        </is>
      </c>
      <c r="D649" s="158" t="inlineStr">
        <is>
          <t>INTERRUPTOR PRINCIPAL CAJA NEMA 3R 150A MONOF</t>
        </is>
      </c>
      <c r="E649" s="158" t="inlineStr">
        <is>
          <t>UND</t>
        </is>
      </c>
      <c r="F649" s="158" t="inlineStr">
        <is>
          <t>MATERIALES</t>
        </is>
      </c>
      <c r="G649" s="158" t="inlineStr">
        <is>
          <t>ELECTRICO</t>
        </is>
      </c>
    </row>
    <row r="650">
      <c r="A650" s="159" t="n"/>
      <c r="B650" s="158" t="inlineStr">
        <is>
          <t>MAT06-0245</t>
        </is>
      </c>
      <c r="C650" s="558" t="inlineStr">
        <is>
          <t>0106-0245</t>
        </is>
      </c>
      <c r="D650" s="158" t="inlineStr">
        <is>
          <t>TOMA DOBLE 120V 20 A</t>
        </is>
      </c>
      <c r="E650" s="158" t="inlineStr">
        <is>
          <t>UND</t>
        </is>
      </c>
      <c r="F650" s="158" t="inlineStr">
        <is>
          <t>MATERIALES</t>
        </is>
      </c>
      <c r="G650" s="158" t="inlineStr">
        <is>
          <t>ELECTRICO</t>
        </is>
      </c>
    </row>
    <row r="651">
      <c r="A651" s="159" t="n"/>
      <c r="B651" s="158" t="inlineStr">
        <is>
          <t>MAT06-0246</t>
        </is>
      </c>
      <c r="C651" s="558" t="inlineStr">
        <is>
          <t>0106-0246</t>
        </is>
      </c>
      <c r="D651" s="158" t="inlineStr">
        <is>
          <t>UNION PVC EMT DE 1 1/2"</t>
        </is>
      </c>
      <c r="E651" s="158" t="inlineStr">
        <is>
          <t>UND</t>
        </is>
      </c>
      <c r="F651" s="158" t="inlineStr">
        <is>
          <t>MATERIALES</t>
        </is>
      </c>
      <c r="G651" s="158" t="inlineStr">
        <is>
          <t>ELECTRICO</t>
        </is>
      </c>
    </row>
    <row r="652">
      <c r="A652" s="159" t="n"/>
      <c r="B652" s="158" t="inlineStr">
        <is>
          <t>MAT06-0247</t>
        </is>
      </c>
      <c r="C652" s="558" t="inlineStr">
        <is>
          <t>0106-0247</t>
        </is>
      </c>
      <c r="D652" s="158" t="inlineStr">
        <is>
          <t>CABLE AISLADOR #3</t>
        </is>
      </c>
      <c r="E652" s="158" t="inlineStr">
        <is>
          <t>M</t>
        </is>
      </c>
      <c r="F652" s="158" t="inlineStr">
        <is>
          <t>MATERIALES</t>
        </is>
      </c>
      <c r="G652" s="158" t="inlineStr">
        <is>
          <t>ELECTRICO</t>
        </is>
      </c>
    </row>
    <row r="653">
      <c r="A653" s="159" t="n"/>
      <c r="B653" s="158" t="inlineStr">
        <is>
          <t>MAT06-0248</t>
        </is>
      </c>
      <c r="C653" s="558" t="inlineStr">
        <is>
          <t>0106-0248</t>
        </is>
      </c>
      <c r="D653" s="158" t="inlineStr">
        <is>
          <t>CABLE 1/0 TRIPLEX</t>
        </is>
      </c>
      <c r="E653" s="158" t="inlineStr">
        <is>
          <t>M</t>
        </is>
      </c>
      <c r="F653" s="158" t="inlineStr">
        <is>
          <t>MATERIALES</t>
        </is>
      </c>
      <c r="G653" s="158" t="inlineStr">
        <is>
          <t>ELECTRICO</t>
        </is>
      </c>
    </row>
    <row r="654">
      <c r="A654" s="159" t="n"/>
      <c r="B654" s="158" t="inlineStr">
        <is>
          <t>MAT06-0249</t>
        </is>
      </c>
      <c r="C654" s="558" t="inlineStr">
        <is>
          <t>0106-0249</t>
        </is>
      </c>
      <c r="D654" s="158" t="inlineStr">
        <is>
          <t>REMATE P/CABLE 1/0</t>
        </is>
      </c>
      <c r="E654" s="158" t="inlineStr">
        <is>
          <t>UND</t>
        </is>
      </c>
      <c r="F654" s="158" t="inlineStr">
        <is>
          <t>MATERIALES</t>
        </is>
      </c>
      <c r="G654" s="158" t="inlineStr">
        <is>
          <t>ELECTRICO</t>
        </is>
      </c>
    </row>
    <row r="655">
      <c r="A655" s="159" t="n"/>
      <c r="B655" s="158" t="inlineStr">
        <is>
          <t>MAT06-0250</t>
        </is>
      </c>
      <c r="C655" s="558" t="inlineStr">
        <is>
          <t>0106-0250</t>
        </is>
      </c>
      <c r="D655" s="158" t="inlineStr">
        <is>
          <t>LAMPARA LED CIRCULAR EMPOTRAR SLIM G2 LUZ CALIDA 3000K 12W 800LM IP 168MM 100-227V</t>
        </is>
      </c>
      <c r="E655" s="158" t="inlineStr">
        <is>
          <t>UND</t>
        </is>
      </c>
      <c r="F655" s="158" t="inlineStr">
        <is>
          <t>MATERIALES</t>
        </is>
      </c>
      <c r="G655" s="158" t="inlineStr">
        <is>
          <t>ELECTRICO</t>
        </is>
      </c>
    </row>
    <row r="656">
      <c r="A656" s="159" t="n"/>
      <c r="B656" s="158" t="inlineStr">
        <is>
          <t>MAT06-0251</t>
        </is>
      </c>
      <c r="C656" s="558" t="inlineStr">
        <is>
          <t>0106-0251</t>
        </is>
      </c>
      <c r="D656" s="158" t="inlineStr">
        <is>
          <t>LAMPARA DE COLGAR TIPO CAMPANA LED 100 WATTS</t>
        </is>
      </c>
      <c r="E656" s="158" t="inlineStr">
        <is>
          <t>UND</t>
        </is>
      </c>
      <c r="F656" s="158" t="inlineStr">
        <is>
          <t>MATERIALES</t>
        </is>
      </c>
      <c r="G656" s="158" t="inlineStr">
        <is>
          <t>ELECTRICO</t>
        </is>
      </c>
    </row>
    <row r="657">
      <c r="A657" s="159" t="n"/>
      <c r="B657" s="158" t="inlineStr">
        <is>
          <t>MAT06-0252</t>
        </is>
      </c>
      <c r="C657" s="558" t="inlineStr">
        <is>
          <t>0106-0252</t>
        </is>
      </c>
      <c r="D657" s="158" t="inlineStr">
        <is>
          <t>CAJA BREAKER PLUG-ON UL QO112L125PG+QOC16US 1F BARRAS 125A 12 ESPACIOS PARCHE</t>
        </is>
      </c>
      <c r="E657" s="158" t="inlineStr">
        <is>
          <t>UND</t>
        </is>
      </c>
      <c r="F657" s="158" t="inlineStr">
        <is>
          <t>MATERIALES</t>
        </is>
      </c>
      <c r="G657" s="158" t="inlineStr">
        <is>
          <t>ELECTRICO</t>
        </is>
      </c>
    </row>
    <row r="658">
      <c r="A658" s="159" t="n"/>
      <c r="B658" s="158" t="inlineStr">
        <is>
          <t>MAT06-0253</t>
        </is>
      </c>
      <c r="C658" s="558" t="inlineStr">
        <is>
          <t>0106-0253</t>
        </is>
      </c>
      <c r="D658" s="158" t="inlineStr">
        <is>
          <t>CABLE ALUMINIO ACSR 3X2</t>
        </is>
      </c>
      <c r="E658" s="158" t="inlineStr">
        <is>
          <t>M</t>
        </is>
      </c>
      <c r="F658" s="158" t="inlineStr">
        <is>
          <t>MATERIALES</t>
        </is>
      </c>
      <c r="G658" s="158" t="inlineStr">
        <is>
          <t>ELECTRICO</t>
        </is>
      </c>
    </row>
    <row r="659">
      <c r="A659" s="159" t="n"/>
      <c r="B659" s="158" t="inlineStr">
        <is>
          <t>MAT06-0254</t>
        </is>
      </c>
      <c r="C659" s="558" t="inlineStr">
        <is>
          <t>0106-0254</t>
        </is>
      </c>
      <c r="D659" s="158" t="inlineStr">
        <is>
          <t>DIMMER EA DMD -LED3 120V AC 3 VIAS</t>
        </is>
      </c>
      <c r="E659" s="158" t="inlineStr">
        <is>
          <t>UND</t>
        </is>
      </c>
      <c r="F659" s="158" t="inlineStr">
        <is>
          <t>MATERIALES</t>
        </is>
      </c>
      <c r="G659" s="158" t="inlineStr">
        <is>
          <t>ELECTRICO</t>
        </is>
      </c>
    </row>
    <row r="660">
      <c r="A660" s="159" t="n"/>
      <c r="B660" s="158" t="inlineStr">
        <is>
          <t>MAT06-0255</t>
        </is>
      </c>
      <c r="C660" s="558" t="inlineStr">
        <is>
          <t>0106-0255</t>
        </is>
      </c>
      <c r="D660" s="158" t="inlineStr">
        <is>
          <t>APAGADOR HBL RCD101W SENC DOBLE DEC 15A 120/277V BLANCO</t>
        </is>
      </c>
      <c r="E660" s="158" t="inlineStr">
        <is>
          <t>UND</t>
        </is>
      </c>
      <c r="F660" s="158" t="inlineStr">
        <is>
          <t>MATERIALES</t>
        </is>
      </c>
      <c r="G660" s="158" t="inlineStr">
        <is>
          <t>ELECTRICO</t>
        </is>
      </c>
    </row>
    <row r="661">
      <c r="A661" s="159" t="n"/>
      <c r="B661" s="158" t="inlineStr">
        <is>
          <t>MAT060256</t>
        </is>
      </c>
      <c r="C661" s="558" t="n">
        <v>1060256</v>
      </c>
      <c r="D661" s="158" t="inlineStr">
        <is>
          <t>ARO D/REPELLO 4X4 2GANG #52C17-25 C/RELIEVE</t>
        </is>
      </c>
      <c r="E661" s="158" t="inlineStr">
        <is>
          <t>UND</t>
        </is>
      </c>
      <c r="F661" s="158" t="inlineStr">
        <is>
          <t>MATERIALES</t>
        </is>
      </c>
      <c r="G661" s="158" t="inlineStr">
        <is>
          <t>ELECTRICO</t>
        </is>
      </c>
    </row>
    <row r="662">
      <c r="A662" s="159" t="n"/>
      <c r="B662" s="158" t="inlineStr">
        <is>
          <t>MAT06-0256</t>
        </is>
      </c>
      <c r="C662" s="558" t="inlineStr">
        <is>
          <t>0106-0256</t>
        </is>
      </c>
      <c r="D662" s="158" t="inlineStr">
        <is>
          <t>ARO D/REPELLO 4X4 2GANG #52C17-25 C/RELIEVE</t>
        </is>
      </c>
      <c r="E662" s="158" t="inlineStr">
        <is>
          <t>UND</t>
        </is>
      </c>
      <c r="F662" s="158" t="inlineStr">
        <is>
          <t>MATERIALES</t>
        </is>
      </c>
      <c r="G662" s="158" t="inlineStr">
        <is>
          <t>ELECTRICO</t>
        </is>
      </c>
    </row>
    <row r="663">
      <c r="A663" s="159" t="n"/>
      <c r="B663" s="158" t="inlineStr">
        <is>
          <t>MAT06-0257</t>
        </is>
      </c>
      <c r="C663" s="558" t="inlineStr">
        <is>
          <t>0106-0257</t>
        </is>
      </c>
      <c r="D663" s="158" t="inlineStr">
        <is>
          <t>PLACA HBL NPS262W DEC 2 GANG SIN TORNILLOS BLANCO</t>
        </is>
      </c>
      <c r="E663" s="158" t="inlineStr">
        <is>
          <t>UND</t>
        </is>
      </c>
      <c r="F663" s="158" t="inlineStr">
        <is>
          <t>MATERIALES</t>
        </is>
      </c>
      <c r="G663" s="158" t="inlineStr">
        <is>
          <t>ELECTRICO</t>
        </is>
      </c>
    </row>
    <row r="664">
      <c r="A664" s="159" t="n"/>
      <c r="B664" s="158" t="inlineStr">
        <is>
          <t>MAT06-0258</t>
        </is>
      </c>
      <c r="C664" s="558" t="inlineStr">
        <is>
          <t>0106-0258</t>
        </is>
      </c>
      <c r="D664" s="158" t="inlineStr">
        <is>
          <t>APAGADOR HBL RSD115W SENC DEC 15A 120/277V BLANCO</t>
        </is>
      </c>
      <c r="E664" s="158" t="inlineStr">
        <is>
          <t>UND</t>
        </is>
      </c>
      <c r="F664" s="158" t="inlineStr">
        <is>
          <t>MATERIALES</t>
        </is>
      </c>
      <c r="G664" s="158" t="inlineStr">
        <is>
          <t>ELECTRICO</t>
        </is>
      </c>
    </row>
    <row r="665">
      <c r="A665" s="159" t="n"/>
      <c r="B665" s="158" t="inlineStr">
        <is>
          <t>MAT06-0259</t>
        </is>
      </c>
      <c r="C665" s="558" t="inlineStr">
        <is>
          <t>0106-0259</t>
        </is>
      </c>
      <c r="D665" s="158" t="inlineStr">
        <is>
          <t>TOMA HBL TR USB15AC5W 15A 1 USB - 1 MINI USB BLANCO</t>
        </is>
      </c>
      <c r="E665" s="158" t="inlineStr">
        <is>
          <t>UND</t>
        </is>
      </c>
      <c r="F665" s="158" t="inlineStr">
        <is>
          <t>MATERIALES</t>
        </is>
      </c>
      <c r="G665" s="158" t="inlineStr">
        <is>
          <t>ELECTRICO</t>
        </is>
      </c>
    </row>
    <row r="666">
      <c r="A666" s="159" t="n"/>
      <c r="B666" s="158" t="inlineStr">
        <is>
          <t>MAT06-0260</t>
        </is>
      </c>
      <c r="C666" s="558" t="inlineStr">
        <is>
          <t>0106-0260</t>
        </is>
      </c>
      <c r="D666" s="158" t="inlineStr">
        <is>
          <t>BOMB LED 12W ILUK 6000K E27 120V A19 DIM1050LM UL</t>
        </is>
      </c>
      <c r="E666" s="158" t="inlineStr">
        <is>
          <t>UND</t>
        </is>
      </c>
      <c r="F666" s="158" t="inlineStr">
        <is>
          <t>MATERIALES</t>
        </is>
      </c>
      <c r="G666" s="158" t="inlineStr">
        <is>
          <t>ELECTRICO</t>
        </is>
      </c>
    </row>
    <row r="667">
      <c r="A667" s="159" t="n"/>
      <c r="B667" s="158" t="inlineStr">
        <is>
          <t>MAT06-0261</t>
        </is>
      </c>
      <c r="C667" s="558" t="inlineStr">
        <is>
          <t>0106-0261</t>
        </is>
      </c>
      <c r="D667" s="158" t="inlineStr">
        <is>
          <t>CABLE TGP 3X8</t>
        </is>
      </c>
      <c r="E667" s="158" t="inlineStr">
        <is>
          <t>M</t>
        </is>
      </c>
      <c r="F667" s="158" t="inlineStr">
        <is>
          <t>MATERIALES</t>
        </is>
      </c>
      <c r="G667" s="158" t="inlineStr">
        <is>
          <t>ELECTRICO</t>
        </is>
      </c>
    </row>
    <row r="668">
      <c r="A668" s="159" t="n"/>
      <c r="B668" s="158" t="inlineStr">
        <is>
          <t>MAT06-0262</t>
        </is>
      </c>
      <c r="C668" s="558" t="inlineStr">
        <is>
          <t>0106-0262</t>
        </is>
      </c>
      <c r="D668" s="158" t="inlineStr">
        <is>
          <t>LAMPARAS</t>
        </is>
      </c>
      <c r="E668" s="158" t="inlineStr">
        <is>
          <t>UND</t>
        </is>
      </c>
      <c r="F668" s="158" t="inlineStr">
        <is>
          <t>MATERIALES</t>
        </is>
      </c>
      <c r="G668" s="158" t="inlineStr">
        <is>
          <t>ELECTRICO</t>
        </is>
      </c>
    </row>
    <row r="669">
      <c r="A669" s="159" t="n"/>
      <c r="B669" s="158" t="inlineStr">
        <is>
          <t>MAT06-0263</t>
        </is>
      </c>
      <c r="C669" s="558" t="inlineStr">
        <is>
          <t>0106-0263</t>
        </is>
      </c>
      <c r="D669" s="158" t="inlineStr">
        <is>
          <t>CAJA INTEMPERIE 4X4</t>
        </is>
      </c>
      <c r="E669" s="158" t="inlineStr">
        <is>
          <t>UND</t>
        </is>
      </c>
      <c r="F669" s="158" t="inlineStr">
        <is>
          <t>MATERIALES</t>
        </is>
      </c>
      <c r="G669" s="158" t="inlineStr">
        <is>
          <t>ELECTRICO</t>
        </is>
      </c>
    </row>
    <row r="670">
      <c r="A670" s="159" t="n"/>
      <c r="B670" s="158" t="inlineStr">
        <is>
          <t>MAT06-0264</t>
        </is>
      </c>
      <c r="C670" s="558" t="inlineStr">
        <is>
          <t>0106-0264</t>
        </is>
      </c>
      <c r="D670" s="158" t="inlineStr">
        <is>
          <t>LAMPARA DE PARCHE LUZ FRÍA</t>
        </is>
      </c>
      <c r="E670" s="158" t="inlineStr">
        <is>
          <t>UND</t>
        </is>
      </c>
      <c r="F670" s="158" t="inlineStr">
        <is>
          <t>MATERIALES</t>
        </is>
      </c>
      <c r="G670" s="158" t="inlineStr">
        <is>
          <t>ELECTRICO</t>
        </is>
      </c>
    </row>
    <row r="671">
      <c r="A671" s="159" t="n"/>
      <c r="B671" s="158" t="inlineStr">
        <is>
          <t>MAT06-0265</t>
        </is>
      </c>
      <c r="C671" s="558" t="inlineStr">
        <is>
          <t>0106-0265</t>
        </is>
      </c>
      <c r="D671" s="158" t="inlineStr">
        <is>
          <t>BREAKER 30 AMP EUROPEO</t>
        </is>
      </c>
      <c r="E671" s="158" t="inlineStr">
        <is>
          <t>UND</t>
        </is>
      </c>
      <c r="F671" s="158" t="inlineStr">
        <is>
          <t>MATERIALES</t>
        </is>
      </c>
      <c r="G671" s="158" t="inlineStr">
        <is>
          <t>ELECTRICO</t>
        </is>
      </c>
    </row>
    <row r="672">
      <c r="A672" s="159" t="n"/>
      <c r="B672" s="158" t="inlineStr">
        <is>
          <t>MAT06-0266</t>
        </is>
      </c>
      <c r="C672" s="558" t="inlineStr">
        <is>
          <t>0106-0266</t>
        </is>
      </c>
      <c r="D672" s="158" t="inlineStr">
        <is>
          <t>BREAKER 40 AMP EUROPEO</t>
        </is>
      </c>
      <c r="E672" s="158" t="inlineStr">
        <is>
          <t>UND</t>
        </is>
      </c>
      <c r="F672" s="158" t="inlineStr">
        <is>
          <t>MATERIALES</t>
        </is>
      </c>
      <c r="G672" s="158" t="inlineStr">
        <is>
          <t>ELECTRICO</t>
        </is>
      </c>
    </row>
    <row r="673">
      <c r="A673" s="159" t="n"/>
      <c r="B673" s="158" t="inlineStr">
        <is>
          <t>MAT06-0267</t>
        </is>
      </c>
      <c r="C673" s="558" t="inlineStr">
        <is>
          <t>0106-0267</t>
        </is>
      </c>
      <c r="D673" s="158" t="inlineStr">
        <is>
          <t>TOMA PARCHE 20 AMP</t>
        </is>
      </c>
      <c r="E673" s="158" t="inlineStr">
        <is>
          <t>UND</t>
        </is>
      </c>
      <c r="F673" s="158" t="inlineStr">
        <is>
          <t>MATERIALES</t>
        </is>
      </c>
      <c r="G673" s="158" t="inlineStr">
        <is>
          <t>ELECTRICO</t>
        </is>
      </c>
    </row>
    <row r="674">
      <c r="A674" s="159" t="n"/>
      <c r="B674" s="158" t="inlineStr">
        <is>
          <t>MAT06-0268</t>
        </is>
      </c>
      <c r="C674" s="558" t="inlineStr">
        <is>
          <t>0106-0268</t>
        </is>
      </c>
      <c r="D674" s="158" t="inlineStr">
        <is>
          <t>SALIDA ESPECIAL PARCHE 50 AMP</t>
        </is>
      </c>
      <c r="E674" s="158" t="inlineStr">
        <is>
          <t>UND</t>
        </is>
      </c>
      <c r="F674" s="158" t="inlineStr">
        <is>
          <t>MATERIALES</t>
        </is>
      </c>
      <c r="G674" s="158" t="inlineStr">
        <is>
          <t>ELECTRICO</t>
        </is>
      </c>
    </row>
    <row r="675">
      <c r="A675" s="159" t="n"/>
      <c r="B675" s="158" t="inlineStr">
        <is>
          <t>MAT06-0269</t>
        </is>
      </c>
      <c r="C675" s="558" t="inlineStr">
        <is>
          <t>0106-0269</t>
        </is>
      </c>
      <c r="D675" s="158" t="inlineStr">
        <is>
          <t>RIEL DIN</t>
        </is>
      </c>
      <c r="E675" s="158" t="inlineStr">
        <is>
          <t>UND</t>
        </is>
      </c>
      <c r="F675" s="158" t="inlineStr">
        <is>
          <t>MATERIALES</t>
        </is>
      </c>
      <c r="G675" s="158" t="inlineStr">
        <is>
          <t>ELECTRICO</t>
        </is>
      </c>
    </row>
    <row r="676">
      <c r="A676" s="159" t="n"/>
      <c r="B676" s="158" t="inlineStr">
        <is>
          <t>MAT06-0270</t>
        </is>
      </c>
      <c r="C676" s="558" t="inlineStr">
        <is>
          <t>0106-0270</t>
        </is>
      </c>
      <c r="D676" s="158" t="inlineStr">
        <is>
          <t>CABLE NEGRO #8</t>
        </is>
      </c>
      <c r="E676" s="158" t="inlineStr">
        <is>
          <t>M</t>
        </is>
      </c>
      <c r="F676" s="158" t="inlineStr">
        <is>
          <t>MATERIALES</t>
        </is>
      </c>
      <c r="G676" s="158" t="inlineStr">
        <is>
          <t>ELECTRICO</t>
        </is>
      </c>
    </row>
    <row r="677">
      <c r="A677" s="159" t="n"/>
      <c r="B677" s="158" t="inlineStr">
        <is>
          <t>MAT06-0271</t>
        </is>
      </c>
      <c r="C677" s="558" t="inlineStr">
        <is>
          <t>0106-0271</t>
        </is>
      </c>
      <c r="D677" s="158" t="inlineStr">
        <is>
          <t>CABLE NEGRO #6</t>
        </is>
      </c>
      <c r="E677" s="158" t="inlineStr">
        <is>
          <t>M</t>
        </is>
      </c>
      <c r="F677" s="158" t="inlineStr">
        <is>
          <t>MATERIALES</t>
        </is>
      </c>
      <c r="G677" s="158" t="inlineStr">
        <is>
          <t>ELECTRICO</t>
        </is>
      </c>
    </row>
    <row r="678">
      <c r="A678" s="159" t="n"/>
      <c r="B678" s="158" t="inlineStr">
        <is>
          <t>MAT06-0272</t>
        </is>
      </c>
      <c r="C678" s="558" t="inlineStr">
        <is>
          <t>0106-0272</t>
        </is>
      </c>
      <c r="D678" s="158" t="inlineStr">
        <is>
          <t>TOMA PARCHE MACHO WD112 50A 250V 3P-3H NEMA 10-50 COOPER</t>
        </is>
      </c>
      <c r="E678" s="158" t="inlineStr">
        <is>
          <t>UND</t>
        </is>
      </c>
      <c r="F678" s="158" t="inlineStr">
        <is>
          <t>MATERIALES</t>
        </is>
      </c>
      <c r="G678" s="158" t="inlineStr">
        <is>
          <t>ELECTRICO</t>
        </is>
      </c>
    </row>
    <row r="679">
      <c r="A679" s="159" t="n"/>
      <c r="B679" s="158" t="inlineStr">
        <is>
          <t>MAT06-0273</t>
        </is>
      </c>
      <c r="C679" s="558" t="inlineStr">
        <is>
          <t>0106-0273</t>
        </is>
      </c>
      <c r="D679" s="158" t="inlineStr">
        <is>
          <t>TOMA PARCHE HEMBRA WD112 50A 250V 3P-3H NEMA 10-50 COOPER</t>
        </is>
      </c>
      <c r="E679" s="158" t="inlineStr">
        <is>
          <t>UND</t>
        </is>
      </c>
      <c r="F679" s="158" t="inlineStr">
        <is>
          <t>MATERIALES</t>
        </is>
      </c>
      <c r="G679" s="158" t="inlineStr">
        <is>
          <t>ELECTRICO</t>
        </is>
      </c>
    </row>
    <row r="680">
      <c r="A680" s="159" t="n"/>
      <c r="B680" s="158" t="inlineStr">
        <is>
          <t>MAT06-0274</t>
        </is>
      </c>
      <c r="C680" s="558" t="inlineStr">
        <is>
          <t>0106-0274</t>
        </is>
      </c>
      <c r="D680" s="158" t="inlineStr">
        <is>
          <t>TOMA PARCHE HEMBRA WD112 50A 250V 3P-3H NEMA 10-50 COOPER</t>
        </is>
      </c>
      <c r="E680" s="158" t="inlineStr">
        <is>
          <t>UND</t>
        </is>
      </c>
      <c r="F680" s="158" t="inlineStr">
        <is>
          <t>MATERIALES</t>
        </is>
      </c>
      <c r="G680" s="158" t="inlineStr">
        <is>
          <t>ELECTRICO</t>
        </is>
      </c>
    </row>
    <row r="681">
      <c r="A681" s="159" t="n"/>
      <c r="B681" s="158" t="inlineStr">
        <is>
          <t>MAT06-0275</t>
        </is>
      </c>
      <c r="C681" s="558" t="inlineStr">
        <is>
          <t>0106-0275</t>
        </is>
      </c>
      <c r="D681" s="158" t="inlineStr">
        <is>
          <t>RIEL B-LINE</t>
        </is>
      </c>
      <c r="E681" s="158" t="inlineStr">
        <is>
          <t>UND</t>
        </is>
      </c>
      <c r="F681" s="158" t="inlineStr">
        <is>
          <t>MATERIALES</t>
        </is>
      </c>
      <c r="G681" s="158" t="inlineStr">
        <is>
          <t>ELECTRICO</t>
        </is>
      </c>
    </row>
    <row r="682">
      <c r="A682" s="159" t="n"/>
      <c r="B682" s="158" t="inlineStr">
        <is>
          <t>MAT06-0276</t>
        </is>
      </c>
      <c r="C682" s="558" t="inlineStr">
        <is>
          <t>0106-0276</t>
        </is>
      </c>
      <c r="D682" s="158" t="inlineStr">
        <is>
          <t>GAZA PARA RIEL B-LINE 2 PULGADAS</t>
        </is>
      </c>
      <c r="E682" s="158" t="inlineStr">
        <is>
          <t>UND</t>
        </is>
      </c>
      <c r="F682" s="158" t="inlineStr">
        <is>
          <t>MATERIALES</t>
        </is>
      </c>
      <c r="G682" s="158" t="inlineStr">
        <is>
          <t>ELECTRICO</t>
        </is>
      </c>
    </row>
    <row r="683">
      <c r="A683" s="159" t="n"/>
      <c r="B683" s="158" t="inlineStr">
        <is>
          <t>MAT06-0277</t>
        </is>
      </c>
      <c r="C683" s="558" t="inlineStr">
        <is>
          <t>0106-0277</t>
        </is>
      </c>
      <c r="D683" s="158" t="inlineStr">
        <is>
          <t>SALIDA MACHO EXTENCION 20A 110V</t>
        </is>
      </c>
      <c r="E683" s="158" t="inlineStr">
        <is>
          <t>UND</t>
        </is>
      </c>
      <c r="F683" s="158" t="inlineStr">
        <is>
          <t>MATERIALES</t>
        </is>
      </c>
      <c r="G683" s="158" t="inlineStr">
        <is>
          <t>ELECTRICO</t>
        </is>
      </c>
    </row>
    <row r="684">
      <c r="A684" s="159" t="n"/>
      <c r="B684" s="158" t="inlineStr">
        <is>
          <t>MAT06-0278</t>
        </is>
      </c>
      <c r="C684" s="558" t="inlineStr">
        <is>
          <t>0106-0278</t>
        </is>
      </c>
      <c r="D684" s="158" t="inlineStr">
        <is>
          <t>SALIDA HEMBRA EXTENCION 20A 110V</t>
        </is>
      </c>
      <c r="E684" s="158" t="inlineStr">
        <is>
          <t>UND</t>
        </is>
      </c>
      <c r="F684" s="158" t="inlineStr">
        <is>
          <t>MATERIALES</t>
        </is>
      </c>
      <c r="G684" s="158" t="inlineStr">
        <is>
          <t>ELECTRICO</t>
        </is>
      </c>
    </row>
    <row r="685">
      <c r="A685" s="159" t="n"/>
      <c r="B685" s="158" t="inlineStr">
        <is>
          <t>MAT06-0279</t>
        </is>
      </c>
      <c r="C685" s="558" t="inlineStr">
        <is>
          <t>0106-0279</t>
        </is>
      </c>
      <c r="D685" s="158" t="inlineStr">
        <is>
          <t>CONECTOR DE COMPRESION #4</t>
        </is>
      </c>
      <c r="E685" s="158" t="inlineStr">
        <is>
          <t>UND</t>
        </is>
      </c>
      <c r="F685" s="158" t="inlineStr">
        <is>
          <t>MATERIALES</t>
        </is>
      </c>
      <c r="G685" s="158" t="inlineStr">
        <is>
          <t>ELECTRICO</t>
        </is>
      </c>
    </row>
    <row r="686">
      <c r="A686" s="159" t="n"/>
      <c r="B686" s="158" t="inlineStr">
        <is>
          <t>MAT06-0280</t>
        </is>
      </c>
      <c r="C686" s="558" t="inlineStr">
        <is>
          <t>0106-0280</t>
        </is>
      </c>
      <c r="D686" s="158" t="inlineStr">
        <is>
          <t>CENTRO CARGA 32 ESPACIOS SQUARE D QO DE EMPOTRAR</t>
        </is>
      </c>
      <c r="E686" s="158" t="inlineStr">
        <is>
          <t>UND</t>
        </is>
      </c>
      <c r="F686" s="158" t="inlineStr">
        <is>
          <t>MATERIALES</t>
        </is>
      </c>
      <c r="G686" s="158" t="inlineStr">
        <is>
          <t>ELECTRICO</t>
        </is>
      </c>
    </row>
    <row r="687">
      <c r="A687" s="159" t="n"/>
      <c r="B687" s="158" t="inlineStr">
        <is>
          <t>MAT06-0281</t>
        </is>
      </c>
      <c r="C687" s="558" t="inlineStr">
        <is>
          <t>0106-0281</t>
        </is>
      </c>
      <c r="D687" s="158" t="inlineStr">
        <is>
          <t>BOMBILLO 46 WATTS LED ALTA POTENCIA CON SOQUE DE 27</t>
        </is>
      </c>
      <c r="E687" s="158" t="inlineStr">
        <is>
          <t>UND</t>
        </is>
      </c>
      <c r="F687" s="158" t="inlineStr">
        <is>
          <t>MATERIALES</t>
        </is>
      </c>
      <c r="G687" s="158" t="inlineStr">
        <is>
          <t>ELECTRICO</t>
        </is>
      </c>
    </row>
    <row r="688">
      <c r="A688" s="159" t="n"/>
      <c r="B688" s="158" t="inlineStr">
        <is>
          <t>MAT06-0282</t>
        </is>
      </c>
      <c r="C688" s="558" t="inlineStr">
        <is>
          <t>0106-0282</t>
        </is>
      </c>
      <c r="D688" s="158" t="inlineStr">
        <is>
          <t>REFLECTOR LED 50 WATTS 5000K 110/277 V</t>
        </is>
      </c>
      <c r="E688" s="158" t="inlineStr">
        <is>
          <t>UND</t>
        </is>
      </c>
      <c r="F688" s="158" t="inlineStr">
        <is>
          <t>MATERIALES</t>
        </is>
      </c>
      <c r="G688" s="158" t="inlineStr">
        <is>
          <t>ELECTRICO</t>
        </is>
      </c>
    </row>
    <row r="689">
      <c r="A689" s="159" t="n"/>
      <c r="B689" s="158" t="inlineStr">
        <is>
          <t>MAT06-0283</t>
        </is>
      </c>
      <c r="C689" s="558" t="inlineStr">
        <is>
          <t>0106-0283</t>
        </is>
      </c>
      <c r="D689" s="158" t="inlineStr">
        <is>
          <t>CABLE FORRADO 3/0</t>
        </is>
      </c>
      <c r="E689" s="158" t="inlineStr">
        <is>
          <t>UND</t>
        </is>
      </c>
      <c r="F689" s="158" t="inlineStr">
        <is>
          <t>MATERIALES</t>
        </is>
      </c>
      <c r="G689" s="158" t="inlineStr">
        <is>
          <t>ELECTRICO</t>
        </is>
      </c>
    </row>
    <row r="690">
      <c r="A690" s="159" t="n"/>
      <c r="B690" s="158" t="inlineStr">
        <is>
          <t>MAT06-0284</t>
        </is>
      </c>
      <c r="C690" s="558" t="inlineStr">
        <is>
          <t>0106-0284</t>
        </is>
      </c>
      <c r="D690" s="158" t="inlineStr">
        <is>
          <t>CUCHILLA ELECTRICA DE 27KVA</t>
        </is>
      </c>
      <c r="E690" s="158" t="inlineStr">
        <is>
          <t>UND</t>
        </is>
      </c>
      <c r="F690" s="158" t="inlineStr">
        <is>
          <t>MATERIALES</t>
        </is>
      </c>
      <c r="G690" s="158" t="inlineStr">
        <is>
          <t>ELECTRICO</t>
        </is>
      </c>
    </row>
    <row r="691">
      <c r="A691" s="159" t="n"/>
      <c r="B691" s="158" t="inlineStr">
        <is>
          <t>MAT06-0285</t>
        </is>
      </c>
      <c r="C691" s="558" t="inlineStr">
        <is>
          <t>0106-0285</t>
        </is>
      </c>
      <c r="D691" s="158" t="inlineStr">
        <is>
          <t>PARARRAYOS DE 27KVA</t>
        </is>
      </c>
      <c r="E691" s="158" t="inlineStr">
        <is>
          <t>UND</t>
        </is>
      </c>
      <c r="F691" s="158" t="inlineStr">
        <is>
          <t>MATERIALES</t>
        </is>
      </c>
      <c r="G691" s="158" t="inlineStr">
        <is>
          <t>ELECTRICO</t>
        </is>
      </c>
    </row>
    <row r="692">
      <c r="A692" s="159" t="n"/>
      <c r="B692" s="158" t="inlineStr">
        <is>
          <t>MAT06-0286</t>
        </is>
      </c>
      <c r="C692" s="558" t="inlineStr">
        <is>
          <t>0106-0286</t>
        </is>
      </c>
      <c r="D692" s="158" t="inlineStr">
        <is>
          <t>ESTRIBO PARA LINEA CALIENTE</t>
        </is>
      </c>
      <c r="E692" s="158" t="inlineStr">
        <is>
          <t>UND</t>
        </is>
      </c>
      <c r="F692" s="158" t="inlineStr">
        <is>
          <t>MATERIALES</t>
        </is>
      </c>
      <c r="G692" s="158" t="inlineStr">
        <is>
          <t>ELECTRICO</t>
        </is>
      </c>
    </row>
    <row r="693">
      <c r="A693" s="159" t="n"/>
      <c r="B693" s="158" t="inlineStr">
        <is>
          <t>MAT06-0287</t>
        </is>
      </c>
      <c r="C693" s="558" t="inlineStr">
        <is>
          <t>0106-0287</t>
        </is>
      </c>
      <c r="D693" s="158" t="inlineStr">
        <is>
          <t>GRAPA PARA LINEA CALIENTE PERICO</t>
        </is>
      </c>
      <c r="E693" s="158" t="inlineStr">
        <is>
          <t>UND</t>
        </is>
      </c>
      <c r="F693" s="158" t="inlineStr">
        <is>
          <t>MATERIALES</t>
        </is>
      </c>
      <c r="G693" s="158" t="inlineStr">
        <is>
          <t>ELECTRICO</t>
        </is>
      </c>
    </row>
    <row r="694">
      <c r="A694" s="159" t="n"/>
      <c r="B694" s="158" t="inlineStr">
        <is>
          <t>MAT06-0288</t>
        </is>
      </c>
      <c r="C694" s="558" t="inlineStr">
        <is>
          <t>0106-0288</t>
        </is>
      </c>
      <c r="D694" s="158" t="inlineStr">
        <is>
          <t>ESCUADRA CNFL</t>
        </is>
      </c>
      <c r="E694" s="158" t="inlineStr">
        <is>
          <t>UND</t>
        </is>
      </c>
      <c r="F694" s="158" t="inlineStr">
        <is>
          <t>MATERIALES</t>
        </is>
      </c>
      <c r="G694" s="158" t="inlineStr">
        <is>
          <t>ELECTRICO</t>
        </is>
      </c>
    </row>
    <row r="695">
      <c r="A695" s="159" t="n"/>
      <c r="B695" s="158" t="inlineStr">
        <is>
          <t>MAT06-0289</t>
        </is>
      </c>
      <c r="C695" s="558" t="inlineStr">
        <is>
          <t>0106-0289</t>
        </is>
      </c>
      <c r="D695" s="158" t="inlineStr">
        <is>
          <t>ALAMBRE DE COBRE #6</t>
        </is>
      </c>
      <c r="E695" s="158" t="inlineStr">
        <is>
          <t>UND</t>
        </is>
      </c>
      <c r="F695" s="158" t="inlineStr">
        <is>
          <t>MATERIALES</t>
        </is>
      </c>
      <c r="G695" s="158" t="inlineStr">
        <is>
          <t>ELECTRICO</t>
        </is>
      </c>
    </row>
    <row r="696">
      <c r="A696" s="159" t="n"/>
      <c r="B696" s="158" t="inlineStr">
        <is>
          <t>MAT06-0290</t>
        </is>
      </c>
      <c r="C696" s="558" t="inlineStr">
        <is>
          <t>0106-0290</t>
        </is>
      </c>
      <c r="D696" s="158" t="inlineStr">
        <is>
          <t>CONECTOR DE COMPRESION DE ALUMINIO #3</t>
        </is>
      </c>
      <c r="E696" s="158" t="inlineStr">
        <is>
          <t>UND</t>
        </is>
      </c>
      <c r="F696" s="158" t="inlineStr">
        <is>
          <t>MATERIALES</t>
        </is>
      </c>
      <c r="G696" s="158" t="inlineStr">
        <is>
          <t>ELECTRICO</t>
        </is>
      </c>
    </row>
    <row r="697">
      <c r="A697" s="159" t="n"/>
      <c r="B697" s="158" t="inlineStr">
        <is>
          <t>MAT06-0291</t>
        </is>
      </c>
      <c r="C697" s="558" t="inlineStr">
        <is>
          <t>0106-0291</t>
        </is>
      </c>
      <c r="D697" s="158" t="inlineStr">
        <is>
          <t>ALAMBRE DE ATAR #6</t>
        </is>
      </c>
      <c r="E697" s="158" t="inlineStr">
        <is>
          <t>UND</t>
        </is>
      </c>
      <c r="F697" s="158" t="inlineStr">
        <is>
          <t>MATERIALES</t>
        </is>
      </c>
      <c r="G697" s="158" t="inlineStr">
        <is>
          <t>ELECTRICO</t>
        </is>
      </c>
    </row>
    <row r="698">
      <c r="A698" s="159" t="n"/>
      <c r="B698" s="158" t="inlineStr">
        <is>
          <t>MAT06-0292</t>
        </is>
      </c>
      <c r="C698" s="558" t="inlineStr">
        <is>
          <t>0106-0292</t>
        </is>
      </c>
      <c r="D698" s="158" t="inlineStr">
        <is>
          <t>CINTA BANDIT 1/2</t>
        </is>
      </c>
      <c r="E698" s="158" t="inlineStr">
        <is>
          <t>CAJA</t>
        </is>
      </c>
      <c r="F698" s="158" t="inlineStr">
        <is>
          <t>MATERIALES</t>
        </is>
      </c>
      <c r="G698" s="158" t="inlineStr">
        <is>
          <t>ELECTRICO</t>
        </is>
      </c>
    </row>
    <row r="699">
      <c r="A699" s="159" t="n"/>
      <c r="B699" s="158" t="inlineStr">
        <is>
          <t>MAT06-0293</t>
        </is>
      </c>
      <c r="C699" s="558" t="inlineStr">
        <is>
          <t>0106-0293</t>
        </is>
      </c>
      <c r="D699" s="158" t="inlineStr">
        <is>
          <t>HEBILLA 1/2</t>
        </is>
      </c>
      <c r="E699" s="158" t="inlineStr">
        <is>
          <t>UND</t>
        </is>
      </c>
      <c r="F699" s="158" t="inlineStr">
        <is>
          <t>MATERIALES</t>
        </is>
      </c>
      <c r="G699" s="158" t="inlineStr">
        <is>
          <t>ELECTRICO</t>
        </is>
      </c>
    </row>
    <row r="700">
      <c r="A700" s="159" t="n"/>
      <c r="B700" s="158" t="inlineStr">
        <is>
          <t>MAT06-0294</t>
        </is>
      </c>
      <c r="C700" s="558" t="inlineStr">
        <is>
          <t>0106-0294</t>
        </is>
      </c>
      <c r="D700" s="158" t="inlineStr">
        <is>
          <t>GASA 6 PULGADAS</t>
        </is>
      </c>
      <c r="E700" s="158" t="inlineStr">
        <is>
          <t>UND</t>
        </is>
      </c>
      <c r="F700" s="158" t="inlineStr">
        <is>
          <t>MATERIALES</t>
        </is>
      </c>
      <c r="G700" s="158" t="inlineStr">
        <is>
          <t>ELECTRICO</t>
        </is>
      </c>
    </row>
    <row r="701">
      <c r="A701" s="159" t="n"/>
      <c r="B701" s="158" t="inlineStr">
        <is>
          <t>MAT06-0295</t>
        </is>
      </c>
      <c r="C701" s="558" t="inlineStr">
        <is>
          <t>0106-0295</t>
        </is>
      </c>
      <c r="D701" s="158" t="inlineStr">
        <is>
          <t>GASA DE 7 PULGADAS</t>
        </is>
      </c>
      <c r="E701" s="158" t="inlineStr">
        <is>
          <t>UND</t>
        </is>
      </c>
      <c r="F701" s="158" t="inlineStr">
        <is>
          <t>MATERIALES</t>
        </is>
      </c>
      <c r="G701" s="158" t="inlineStr">
        <is>
          <t>ELECTRICO</t>
        </is>
      </c>
    </row>
    <row r="702">
      <c r="A702" s="159" t="n"/>
      <c r="B702" s="158" t="inlineStr">
        <is>
          <t>MAT06-0296</t>
        </is>
      </c>
      <c r="C702" s="558" t="inlineStr">
        <is>
          <t>0106-0296</t>
        </is>
      </c>
      <c r="D702" s="158" t="inlineStr">
        <is>
          <t>ABRAZADERA TIPO PERCHA</t>
        </is>
      </c>
      <c r="E702" s="158" t="inlineStr">
        <is>
          <t>UND</t>
        </is>
      </c>
      <c r="F702" s="158" t="inlineStr">
        <is>
          <t>MATERIALES</t>
        </is>
      </c>
      <c r="G702" s="158" t="inlineStr">
        <is>
          <t>ELECTRICO</t>
        </is>
      </c>
    </row>
    <row r="703">
      <c r="A703" s="159" t="n"/>
      <c r="B703" s="158" t="inlineStr">
        <is>
          <t>MAT06-0297</t>
        </is>
      </c>
      <c r="C703" s="558" t="inlineStr">
        <is>
          <t>0106-0297</t>
        </is>
      </c>
      <c r="D703" s="158" t="inlineStr">
        <is>
          <t>CABLE TSJ 2X12</t>
        </is>
      </c>
      <c r="E703" s="158" t="inlineStr">
        <is>
          <t>M</t>
        </is>
      </c>
      <c r="F703" s="158" t="inlineStr">
        <is>
          <t>MATERIALES</t>
        </is>
      </c>
      <c r="G703" s="158" t="inlineStr">
        <is>
          <t>ELECTRICO</t>
        </is>
      </c>
    </row>
    <row r="704">
      <c r="A704" s="159" t="n"/>
      <c r="B704" s="158" t="inlineStr">
        <is>
          <t>MAT06-0298</t>
        </is>
      </c>
      <c r="C704" s="558" t="inlineStr">
        <is>
          <t>0106-0298</t>
        </is>
      </c>
      <c r="D704" s="158" t="inlineStr">
        <is>
          <t>CONECTOR DE DEZPLAZAMIENTO DE AISLAMIENTO CALIBRE12/SCOTCHLOK</t>
        </is>
      </c>
      <c r="E704" s="158" t="inlineStr">
        <is>
          <t>UND</t>
        </is>
      </c>
      <c r="F704" s="158" t="inlineStr">
        <is>
          <t>MATERIALES</t>
        </is>
      </c>
      <c r="G704" s="158" t="inlineStr">
        <is>
          <t>ELECTRICO</t>
        </is>
      </c>
    </row>
    <row r="705">
      <c r="A705" s="159" t="n"/>
      <c r="B705" s="158" t="inlineStr">
        <is>
          <t>MAT06-0299</t>
        </is>
      </c>
      <c r="C705" s="558" t="inlineStr">
        <is>
          <t>0106-0299</t>
        </is>
      </c>
      <c r="D705" s="158" t="inlineStr">
        <is>
          <t>CONECTOR DE RESORTE AZUL</t>
        </is>
      </c>
      <c r="E705" s="158" t="inlineStr">
        <is>
          <t>UND</t>
        </is>
      </c>
      <c r="F705" s="158" t="inlineStr">
        <is>
          <t>MATERIALES</t>
        </is>
      </c>
      <c r="G705" s="158" t="inlineStr">
        <is>
          <t>ELECTRICO</t>
        </is>
      </c>
    </row>
    <row r="706">
      <c r="A706" s="159" t="n"/>
      <c r="B706" s="158" t="inlineStr">
        <is>
          <t>MAT06-0300</t>
        </is>
      </c>
      <c r="C706" s="558" t="inlineStr">
        <is>
          <t>0106-0300</t>
        </is>
      </c>
      <c r="D706" s="158" t="inlineStr">
        <is>
          <t>TOMA PARCHE 15 AMP</t>
        </is>
      </c>
      <c r="E706" s="158" t="inlineStr">
        <is>
          <t>UND</t>
        </is>
      </c>
      <c r="F706" s="158" t="inlineStr">
        <is>
          <t>MATERIALES</t>
        </is>
      </c>
      <c r="G706" s="158" t="inlineStr">
        <is>
          <t>ELECTRICO</t>
        </is>
      </c>
    </row>
    <row r="707">
      <c r="A707" s="159" t="n"/>
      <c r="B707" s="158" t="inlineStr">
        <is>
          <t>MAT06-0301</t>
        </is>
      </c>
      <c r="C707" s="558" t="inlineStr">
        <is>
          <t>0106-0301</t>
        </is>
      </c>
      <c r="D707" s="158" t="inlineStr">
        <is>
          <t>BREAKER DUAL 20AMP SQUARE D</t>
        </is>
      </c>
      <c r="E707" s="158" t="inlineStr">
        <is>
          <t>UND</t>
        </is>
      </c>
      <c r="F707" s="158" t="inlineStr">
        <is>
          <t>MATERIALES</t>
        </is>
      </c>
      <c r="G707" s="158" t="inlineStr">
        <is>
          <t>ELECTRICO</t>
        </is>
      </c>
    </row>
    <row r="708">
      <c r="A708" s="159" t="n"/>
      <c r="B708" s="158" t="inlineStr">
        <is>
          <t>MAT06-0302</t>
        </is>
      </c>
      <c r="C708" s="558" t="inlineStr">
        <is>
          <t>0106-0302</t>
        </is>
      </c>
      <c r="D708" s="158" t="inlineStr">
        <is>
          <t>BREAKER DOBLE 60AMP SQUARE D</t>
        </is>
      </c>
      <c r="E708" s="158" t="inlineStr">
        <is>
          <t>UND</t>
        </is>
      </c>
      <c r="F708" s="158" t="inlineStr">
        <is>
          <t>MATERIALES</t>
        </is>
      </c>
      <c r="G708" s="158" t="inlineStr">
        <is>
          <t>ELECTRICO</t>
        </is>
      </c>
    </row>
    <row r="709">
      <c r="A709" s="159" t="n"/>
      <c r="B709" s="158" t="inlineStr">
        <is>
          <t>MAT06-0303</t>
        </is>
      </c>
      <c r="C709" s="558" t="inlineStr">
        <is>
          <t>0106-0303</t>
        </is>
      </c>
      <c r="D709" s="158" t="inlineStr">
        <is>
          <t>BREAKER DOBLE DE 40AMP SQUARE D</t>
        </is>
      </c>
      <c r="E709" s="158" t="inlineStr">
        <is>
          <t>UND</t>
        </is>
      </c>
      <c r="F709" s="158" t="inlineStr">
        <is>
          <t>MATERIALES</t>
        </is>
      </c>
      <c r="G709" s="158" t="inlineStr">
        <is>
          <t>ELECTRICO</t>
        </is>
      </c>
    </row>
    <row r="710">
      <c r="A710" s="159" t="n"/>
      <c r="B710" s="158" t="inlineStr">
        <is>
          <t>MAT06-0304</t>
        </is>
      </c>
      <c r="C710" s="558" t="inlineStr">
        <is>
          <t>0106-0304</t>
        </is>
      </c>
      <c r="D710" s="158" t="inlineStr">
        <is>
          <t>BREAKER DOBLE DE 50 AMP SQUARE D</t>
        </is>
      </c>
      <c r="E710" s="158" t="inlineStr">
        <is>
          <t>UND</t>
        </is>
      </c>
      <c r="F710" s="158" t="inlineStr">
        <is>
          <t>MATERIALES</t>
        </is>
      </c>
      <c r="G710" s="158" t="inlineStr">
        <is>
          <t>ELECTRICO</t>
        </is>
      </c>
    </row>
    <row r="711">
      <c r="A711" s="159" t="n"/>
      <c r="B711" s="158" t="inlineStr">
        <is>
          <t>MAT06-0305</t>
        </is>
      </c>
      <c r="C711" s="558" t="inlineStr">
        <is>
          <t>0106-0305</t>
        </is>
      </c>
      <c r="D711" s="158" t="inlineStr">
        <is>
          <t>BREAKER DOBLE DE 125AMP SQUARE D</t>
        </is>
      </c>
      <c r="E711" s="158" t="inlineStr">
        <is>
          <t>UND</t>
        </is>
      </c>
      <c r="F711" s="158" t="inlineStr">
        <is>
          <t>MATERIALES</t>
        </is>
      </c>
      <c r="G711" s="158" t="inlineStr">
        <is>
          <t>ELECTRICO</t>
        </is>
      </c>
    </row>
    <row r="712">
      <c r="A712" s="159" t="n"/>
      <c r="B712" s="158" t="inlineStr">
        <is>
          <t>MAT06-0306</t>
        </is>
      </c>
      <c r="C712" s="558" t="inlineStr">
        <is>
          <t>0106-0306</t>
        </is>
      </c>
      <c r="D712" s="158" t="inlineStr">
        <is>
          <t>BREAKER SENCILLO 1 POLO 30AMP SQUARE D QUB</t>
        </is>
      </c>
      <c r="E712" s="158" t="inlineStr">
        <is>
          <t>UND</t>
        </is>
      </c>
      <c r="F712" s="158" t="inlineStr">
        <is>
          <t>MATERIALES</t>
        </is>
      </c>
      <c r="G712" s="158" t="inlineStr">
        <is>
          <t>ELECTRICO</t>
        </is>
      </c>
    </row>
    <row r="713">
      <c r="A713" s="159" t="n"/>
      <c r="B713" s="158" t="inlineStr">
        <is>
          <t>MAT06-0307</t>
        </is>
      </c>
      <c r="C713" s="558" t="inlineStr">
        <is>
          <t>0106-0307</t>
        </is>
      </c>
      <c r="D713" s="158" t="inlineStr">
        <is>
          <t>CONECTOR EMT 1/2 TORNILLO</t>
        </is>
      </c>
      <c r="E713" s="158" t="inlineStr">
        <is>
          <t>UND</t>
        </is>
      </c>
      <c r="F713" s="158" t="inlineStr">
        <is>
          <t>MATERIALES</t>
        </is>
      </c>
      <c r="G713" s="158" t="inlineStr">
        <is>
          <t>ELECTRICO</t>
        </is>
      </c>
    </row>
    <row r="714">
      <c r="A714" s="159" t="n"/>
      <c r="B714" s="158" t="inlineStr">
        <is>
          <t>MAT06-0308</t>
        </is>
      </c>
      <c r="C714" s="558" t="inlineStr">
        <is>
          <t>0106-0308</t>
        </is>
      </c>
      <c r="D714" s="158" t="inlineStr">
        <is>
          <t>CURVA PVC EMT 1/2 PULG</t>
        </is>
      </c>
      <c r="E714" s="158" t="inlineStr">
        <is>
          <t>UND</t>
        </is>
      </c>
      <c r="F714" s="158" t="inlineStr">
        <is>
          <t>MATERIALES</t>
        </is>
      </c>
      <c r="G714" s="158" t="inlineStr">
        <is>
          <t>ELECTRICO</t>
        </is>
      </c>
    </row>
    <row r="715">
      <c r="A715" s="159" t="n"/>
      <c r="B715" s="158" t="inlineStr">
        <is>
          <t>MAT06-0309</t>
        </is>
      </c>
      <c r="C715" s="558" t="inlineStr">
        <is>
          <t>0106-0309</t>
        </is>
      </c>
      <c r="D715" s="158" t="inlineStr">
        <is>
          <t>CAJA TOMA CORRIENTE PARA EXTERIOR</t>
        </is>
      </c>
      <c r="E715" s="158" t="inlineStr">
        <is>
          <t>UND</t>
        </is>
      </c>
      <c r="F715" s="158" t="inlineStr">
        <is>
          <t>MATERIALES</t>
        </is>
      </c>
      <c r="G715" s="158" t="inlineStr">
        <is>
          <t>ELECTRICO</t>
        </is>
      </c>
    </row>
    <row r="716">
      <c r="A716" s="159" t="n"/>
      <c r="B716" s="158" t="inlineStr">
        <is>
          <t>MAT06-0310</t>
        </is>
      </c>
      <c r="C716" s="558" t="inlineStr">
        <is>
          <t>0106-0310</t>
        </is>
      </c>
      <c r="D716" s="158" t="inlineStr">
        <is>
          <t>CAJA EA 5797-2FAB P/PISO DOBLE METALICA BRONCE</t>
        </is>
      </c>
      <c r="E716" s="158" t="inlineStr">
        <is>
          <t>UND</t>
        </is>
      </c>
      <c r="F716" s="158" t="inlineStr">
        <is>
          <t>MATERIALES</t>
        </is>
      </c>
      <c r="G716" s="158" t="inlineStr">
        <is>
          <t>ELECTRICO</t>
        </is>
      </c>
    </row>
    <row r="717">
      <c r="A717" s="159" t="n"/>
      <c r="B717" s="158" t="inlineStr">
        <is>
          <t>MAT06-0311</t>
        </is>
      </c>
      <c r="C717" s="558" t="inlineStr">
        <is>
          <t>0106-0311</t>
        </is>
      </c>
      <c r="D717" s="158" t="inlineStr">
        <is>
          <t>TOMA EA 8025W</t>
        </is>
      </c>
      <c r="E717" s="158" t="inlineStr">
        <is>
          <t>UND</t>
        </is>
      </c>
      <c r="F717" s="158" t="inlineStr">
        <is>
          <t>MATERIALES</t>
        </is>
      </c>
      <c r="G717" s="158" t="inlineStr">
        <is>
          <t>ELECTRICO</t>
        </is>
      </c>
    </row>
    <row r="718">
      <c r="A718" s="159" t="n"/>
      <c r="B718" s="158" t="inlineStr">
        <is>
          <t>MAT06-0316</t>
        </is>
      </c>
      <c r="C718" s="558" t="inlineStr">
        <is>
          <t>0106-0316</t>
        </is>
      </c>
      <c r="D718" s="158" t="inlineStr">
        <is>
          <t>PLACA INTER WP1110C PLASTICA P/INTEMP. W/USE 2 X4 PROF 3 5/8</t>
        </is>
      </c>
      <c r="E718" s="158" t="inlineStr">
        <is>
          <t>UND</t>
        </is>
      </c>
      <c r="F718" s="158" t="inlineStr">
        <is>
          <t>MATERIALES</t>
        </is>
      </c>
      <c r="G718" s="158" t="inlineStr">
        <is>
          <t>ELECTRICO</t>
        </is>
      </c>
    </row>
    <row r="719">
      <c r="A719" s="159" t="n"/>
      <c r="B719" s="158" t="inlineStr">
        <is>
          <t>MAT06-0317</t>
        </is>
      </c>
      <c r="C719" s="558" t="inlineStr">
        <is>
          <t>0106-0317</t>
        </is>
      </c>
      <c r="D719" s="158" t="inlineStr">
        <is>
          <t>TOMA HBL CR20WHI 20A 125V BLANCO (5-20R) A</t>
        </is>
      </c>
      <c r="E719" s="158" t="inlineStr">
        <is>
          <t>UND</t>
        </is>
      </c>
      <c r="F719" s="158" t="inlineStr">
        <is>
          <t>MATERIALES</t>
        </is>
      </c>
      <c r="G719" s="158" t="inlineStr">
        <is>
          <t>ELECTRICO</t>
        </is>
      </c>
    </row>
    <row r="720">
      <c r="A720" s="159" t="n"/>
      <c r="B720" s="158" t="inlineStr">
        <is>
          <t>MAT06-0318</t>
        </is>
      </c>
      <c r="C720" s="558" t="inlineStr">
        <is>
          <t>0106-0318</t>
        </is>
      </c>
      <c r="D720" s="158" t="inlineStr">
        <is>
          <t>GABINETE NEMA 3R</t>
        </is>
      </c>
      <c r="E720" s="158" t="inlineStr">
        <is>
          <t>UND</t>
        </is>
      </c>
      <c r="F720" s="158" t="inlineStr">
        <is>
          <t>MATERIALES</t>
        </is>
      </c>
      <c r="G720" s="158" t="inlineStr">
        <is>
          <t>ELECTRICO</t>
        </is>
      </c>
    </row>
    <row r="721">
      <c r="A721" s="159" t="n"/>
      <c r="B721" s="158" t="inlineStr">
        <is>
          <t>MAT06-0319</t>
        </is>
      </c>
      <c r="C721" s="558" t="inlineStr">
        <is>
          <t>0106-0319</t>
        </is>
      </c>
      <c r="D721" s="158" t="inlineStr">
        <is>
          <t>VARIADOR FRECUENCIA</t>
        </is>
      </c>
      <c r="E721" s="158" t="inlineStr">
        <is>
          <t>UND</t>
        </is>
      </c>
      <c r="F721" s="158" t="inlineStr">
        <is>
          <t>MATERIALES</t>
        </is>
      </c>
      <c r="G721" s="158" t="inlineStr">
        <is>
          <t>ELECTRICO</t>
        </is>
      </c>
    </row>
    <row r="722">
      <c r="A722" s="159" t="n"/>
      <c r="B722" s="158" t="inlineStr">
        <is>
          <t>MAT06-0320</t>
        </is>
      </c>
      <c r="C722" s="558" t="inlineStr">
        <is>
          <t>0106-0320</t>
        </is>
      </c>
      <c r="D722" s="158" t="inlineStr">
        <is>
          <t>DISYUNTOR 125AMP P/RIEL DIN</t>
        </is>
      </c>
      <c r="E722" s="158" t="inlineStr">
        <is>
          <t>UND</t>
        </is>
      </c>
      <c r="F722" s="158" t="inlineStr">
        <is>
          <t>MATERIALES</t>
        </is>
      </c>
      <c r="G722" s="158" t="inlineStr">
        <is>
          <t>ELECTRICO</t>
        </is>
      </c>
    </row>
    <row r="723">
      <c r="A723" s="159" t="n"/>
      <c r="B723" s="158" t="inlineStr">
        <is>
          <t>MAT06-0321</t>
        </is>
      </c>
      <c r="C723" s="558" t="inlineStr">
        <is>
          <t>0106-0321</t>
        </is>
      </c>
      <c r="D723" s="158" t="inlineStr">
        <is>
          <t>CABLE #14 RVK</t>
        </is>
      </c>
      <c r="E723" s="158" t="inlineStr">
        <is>
          <t>M</t>
        </is>
      </c>
      <c r="F723" s="158" t="inlineStr">
        <is>
          <t>MATERIALES</t>
        </is>
      </c>
      <c r="G723" s="158" t="inlineStr">
        <is>
          <t>ELECTRICO</t>
        </is>
      </c>
    </row>
    <row r="724">
      <c r="A724" s="159" t="n"/>
      <c r="B724" s="158" t="inlineStr">
        <is>
          <t>MAT06-0322</t>
        </is>
      </c>
      <c r="C724" s="558" t="inlineStr">
        <is>
          <t>0106-0322</t>
        </is>
      </c>
      <c r="D724" s="158" t="inlineStr">
        <is>
          <t>CABLE #10 RVK</t>
        </is>
      </c>
      <c r="E724" s="158" t="inlineStr">
        <is>
          <t>M</t>
        </is>
      </c>
      <c r="F724" s="158" t="inlineStr">
        <is>
          <t>MATERIALES</t>
        </is>
      </c>
      <c r="G724" s="158" t="inlineStr">
        <is>
          <t>ELECTRICO</t>
        </is>
      </c>
    </row>
    <row r="725">
      <c r="A725" s="159" t="n"/>
      <c r="B725" s="158" t="inlineStr">
        <is>
          <t>MAT06-0323</t>
        </is>
      </c>
      <c r="C725" s="558" t="inlineStr">
        <is>
          <t>0106-0323</t>
        </is>
      </c>
      <c r="D725" s="158" t="inlineStr">
        <is>
          <t>ENCHUFE MACHO 220V 50 AMP</t>
        </is>
      </c>
      <c r="E725" s="158" t="inlineStr">
        <is>
          <t>UND</t>
        </is>
      </c>
      <c r="F725" s="158" t="inlineStr">
        <is>
          <t>MATERIALES</t>
        </is>
      </c>
      <c r="G725" s="158" t="inlineStr">
        <is>
          <t>ELECTRICO</t>
        </is>
      </c>
    </row>
    <row r="726">
      <c r="A726" s="159" t="n"/>
      <c r="B726" s="158" t="inlineStr">
        <is>
          <t>MAT06-0324</t>
        </is>
      </c>
      <c r="C726" s="558" t="inlineStr">
        <is>
          <t>0106-0324</t>
        </is>
      </c>
      <c r="D726" s="158" t="inlineStr">
        <is>
          <t>BREAKER QUO220 1P/20AMP</t>
        </is>
      </c>
      <c r="E726" s="158" t="inlineStr">
        <is>
          <t>UND</t>
        </is>
      </c>
      <c r="F726" s="158" t="inlineStr">
        <is>
          <t>MATERIALES</t>
        </is>
      </c>
      <c r="G726" s="158" t="inlineStr">
        <is>
          <t>ELECTRICO</t>
        </is>
      </c>
    </row>
    <row r="727">
      <c r="A727" s="159" t="n"/>
      <c r="B727" s="158" t="inlineStr">
        <is>
          <t>MAT06-0325</t>
        </is>
      </c>
      <c r="C727" s="558" t="inlineStr">
        <is>
          <t>0106-0325</t>
        </is>
      </c>
      <c r="D727" s="158" t="inlineStr">
        <is>
          <t>CABLE COAXIAL</t>
        </is>
      </c>
      <c r="E727" s="158" t="inlineStr">
        <is>
          <t>M</t>
        </is>
      </c>
      <c r="F727" s="158" t="inlineStr">
        <is>
          <t>MATERIALES</t>
        </is>
      </c>
      <c r="G727" s="158" t="inlineStr">
        <is>
          <t>ELECTRICO</t>
        </is>
      </c>
    </row>
    <row r="728">
      <c r="A728" s="159" t="n"/>
      <c r="B728" s="158" t="inlineStr">
        <is>
          <t>MAT06-0326</t>
        </is>
      </c>
      <c r="C728" s="558" t="inlineStr">
        <is>
          <t>0106-0326</t>
        </is>
      </c>
      <c r="D728" s="158" t="inlineStr">
        <is>
          <t>CONECTOR MANGUITO</t>
        </is>
      </c>
      <c r="E728" s="158" t="inlineStr">
        <is>
          <t>UND</t>
        </is>
      </c>
      <c r="F728" s="158" t="inlineStr">
        <is>
          <t>MATERIALES</t>
        </is>
      </c>
      <c r="G728" s="158" t="inlineStr">
        <is>
          <t>ELECTRICO</t>
        </is>
      </c>
    </row>
    <row r="729">
      <c r="A729" s="159" t="n"/>
      <c r="B729" s="158" t="inlineStr">
        <is>
          <t>MAT06-0327</t>
        </is>
      </c>
      <c r="C729" s="558" t="inlineStr">
        <is>
          <t>0106-0327</t>
        </is>
      </c>
      <c r="D729" s="158" t="inlineStr">
        <is>
          <t>CABLE TSJ 4X12</t>
        </is>
      </c>
      <c r="E729" s="158" t="inlineStr">
        <is>
          <t>M</t>
        </is>
      </c>
      <c r="F729" s="158" t="inlineStr">
        <is>
          <t>MATERIALES</t>
        </is>
      </c>
      <c r="G729" s="158" t="inlineStr">
        <is>
          <t>ELECTRICO</t>
        </is>
      </c>
    </row>
    <row r="730">
      <c r="A730" s="159" t="n"/>
      <c r="B730" s="158" t="inlineStr">
        <is>
          <t>MAT06-0328</t>
        </is>
      </c>
      <c r="C730" s="558" t="inlineStr">
        <is>
          <t>0106-0328</t>
        </is>
      </c>
      <c r="D730" s="158" t="inlineStr">
        <is>
          <t>SPOT LED 6500K</t>
        </is>
      </c>
      <c r="E730" s="158" t="inlineStr">
        <is>
          <t>UND</t>
        </is>
      </c>
      <c r="F730" s="158" t="inlineStr">
        <is>
          <t>MATERIALES</t>
        </is>
      </c>
      <c r="G730" s="158" t="inlineStr">
        <is>
          <t>ELECTRICO</t>
        </is>
      </c>
    </row>
    <row r="731">
      <c r="A731" s="159" t="n"/>
      <c r="B731" s="158" t="inlineStr">
        <is>
          <t>MAT06-0329</t>
        </is>
      </c>
      <c r="C731" s="558" t="inlineStr">
        <is>
          <t>0106-0329</t>
        </is>
      </c>
      <c r="D731" s="158" t="inlineStr">
        <is>
          <t>BREAKER SDQOB 1 POLO/20AMP</t>
        </is>
      </c>
      <c r="E731" s="158" t="inlineStr">
        <is>
          <t>UND</t>
        </is>
      </c>
      <c r="F731" s="158" t="inlineStr">
        <is>
          <t>MATERIALES</t>
        </is>
      </c>
      <c r="G731" s="158" t="inlineStr">
        <is>
          <t>ELECTRICO</t>
        </is>
      </c>
    </row>
    <row r="732">
      <c r="A732" s="159" t="n"/>
      <c r="B732" s="158" t="inlineStr">
        <is>
          <t>MAT06-0330</t>
        </is>
      </c>
      <c r="C732" s="558" t="inlineStr">
        <is>
          <t>0106-0330</t>
        </is>
      </c>
      <c r="D732" s="158" t="inlineStr">
        <is>
          <t>CENTRO DE CARGA DE 24 ESPACIOS SQUARE D</t>
        </is>
      </c>
      <c r="E732" s="158" t="inlineStr">
        <is>
          <t>UND</t>
        </is>
      </c>
      <c r="F732" s="158" t="inlineStr">
        <is>
          <t>MATERIALES</t>
        </is>
      </c>
      <c r="G732" s="158" t="inlineStr">
        <is>
          <t>ELECTRICO</t>
        </is>
      </c>
    </row>
    <row r="733">
      <c r="A733" s="159" t="n"/>
      <c r="B733" s="158" t="inlineStr">
        <is>
          <t>MAT06-0331</t>
        </is>
      </c>
      <c r="C733" s="558" t="inlineStr">
        <is>
          <t>0106-0331</t>
        </is>
      </c>
      <c r="D733" s="158" t="inlineStr">
        <is>
          <t>DISTRIBUIDOR DIGITAL CATV 3 VIAS</t>
        </is>
      </c>
      <c r="E733" s="158" t="inlineStr">
        <is>
          <t>UND</t>
        </is>
      </c>
      <c r="F733" s="158" t="inlineStr">
        <is>
          <t>MATERIALES</t>
        </is>
      </c>
      <c r="G733" s="158" t="inlineStr">
        <is>
          <t>ELECTRICO</t>
        </is>
      </c>
    </row>
    <row r="734">
      <c r="A734" s="159" t="n"/>
      <c r="B734" s="158" t="inlineStr">
        <is>
          <t>MAT06-0332</t>
        </is>
      </c>
      <c r="C734" s="558" t="inlineStr">
        <is>
          <t>0106-0332</t>
        </is>
      </c>
      <c r="D734" s="158" t="inlineStr">
        <is>
          <t>BARRAS TIERRA BT8 4-8P</t>
        </is>
      </c>
      <c r="E734" s="158" t="inlineStr">
        <is>
          <t>UND</t>
        </is>
      </c>
      <c r="F734" s="158" t="inlineStr">
        <is>
          <t>MATERIALES</t>
        </is>
      </c>
      <c r="G734" s="158" t="inlineStr">
        <is>
          <t>ELECTRICO</t>
        </is>
      </c>
    </row>
    <row r="735">
      <c r="A735" s="159" t="n"/>
      <c r="B735" s="158" t="inlineStr">
        <is>
          <t>MAT06-0333</t>
        </is>
      </c>
      <c r="C735" s="558" t="inlineStr">
        <is>
          <t>0106-0333</t>
        </is>
      </c>
      <c r="D735" s="158" t="inlineStr">
        <is>
          <t>CONECTOR HEMBRA PARA PORTAELECTRODO</t>
        </is>
      </c>
      <c r="E735" s="158" t="inlineStr">
        <is>
          <t>UND</t>
        </is>
      </c>
      <c r="F735" s="158" t="inlineStr">
        <is>
          <t>MATERIALES</t>
        </is>
      </c>
      <c r="G735" s="158" t="inlineStr">
        <is>
          <t>ELECTRICO</t>
        </is>
      </c>
    </row>
    <row r="736">
      <c r="A736" s="159" t="n"/>
      <c r="B736" s="158" t="inlineStr">
        <is>
          <t>MAT06-0334</t>
        </is>
      </c>
      <c r="C736" s="558" t="inlineStr">
        <is>
          <t>0106-0334</t>
        </is>
      </c>
      <c r="D736" s="158" t="inlineStr">
        <is>
          <t>CENTRO DE CARGA DE 4 ESPACIOS</t>
        </is>
      </c>
      <c r="E736" s="158" t="inlineStr">
        <is>
          <t>UND</t>
        </is>
      </c>
      <c r="F736" s="158" t="inlineStr">
        <is>
          <t>MATERIALES</t>
        </is>
      </c>
      <c r="G736" s="158" t="inlineStr">
        <is>
          <t>ELECTRICO</t>
        </is>
      </c>
    </row>
    <row r="737">
      <c r="A737" s="159" t="n"/>
      <c r="B737" s="158" t="inlineStr">
        <is>
          <t>MAT08-0249</t>
        </is>
      </c>
      <c r="C737" s="558" t="inlineStr">
        <is>
          <t>0106-0335</t>
        </is>
      </c>
      <c r="D737" s="158" t="inlineStr">
        <is>
          <t>CONECTOR COMPRESION 1/0 ALUMINIO</t>
        </is>
      </c>
      <c r="E737" s="158" t="inlineStr">
        <is>
          <t>UND</t>
        </is>
      </c>
      <c r="F737" s="158" t="inlineStr">
        <is>
          <t>MATERIALES</t>
        </is>
      </c>
      <c r="G737" s="158" t="inlineStr">
        <is>
          <t>FERRETERIA GENERAL</t>
        </is>
      </c>
    </row>
    <row r="738" customFormat="1" s="560">
      <c r="A738" s="557" t="n"/>
      <c r="B738" s="557" t="inlineStr">
        <is>
          <t>(ID) Insumo</t>
        </is>
      </c>
      <c r="C738" s="558" t="n"/>
      <c r="D738" s="557" t="inlineStr">
        <is>
          <t>Descripción</t>
        </is>
      </c>
      <c r="E738" s="557" t="inlineStr">
        <is>
          <t>Unidad</t>
        </is>
      </c>
      <c r="F738" s="557" t="inlineStr">
        <is>
          <t>Grupo de Insumo</t>
        </is>
      </c>
      <c r="G738" s="557" t="inlineStr">
        <is>
          <t>Familia de Insumos</t>
        </is>
      </c>
    </row>
    <row r="739">
      <c r="A739" s="159" t="n"/>
      <c r="B739" s="158" t="inlineStr">
        <is>
          <t>MAT07-0001</t>
        </is>
      </c>
      <c r="C739" s="558" t="inlineStr">
        <is>
          <t>0107-0001</t>
        </is>
      </c>
      <c r="D739" s="158" t="inlineStr">
        <is>
          <t>ANGULAR CHANNEL 1X3" 0.36MM 3.05M</t>
        </is>
      </c>
      <c r="E739" s="158" t="inlineStr">
        <is>
          <t>UND</t>
        </is>
      </c>
      <c r="F739" s="158" t="inlineStr">
        <is>
          <t>MATERIALES</t>
        </is>
      </c>
      <c r="G739" s="158" t="inlineStr">
        <is>
          <t>ESTRUCTURA LIVIANA</t>
        </is>
      </c>
    </row>
    <row r="740">
      <c r="A740" s="159" t="n"/>
      <c r="B740" s="158" t="inlineStr">
        <is>
          <t>MAT07-0002</t>
        </is>
      </c>
      <c r="C740" s="558" t="inlineStr">
        <is>
          <t>0107-0002</t>
        </is>
      </c>
      <c r="D740" s="158" t="inlineStr">
        <is>
          <t>CANAL GYPSUM</t>
        </is>
      </c>
      <c r="E740" s="158" t="inlineStr">
        <is>
          <t>UND</t>
        </is>
      </c>
      <c r="F740" s="158" t="inlineStr">
        <is>
          <t>MATERIALES</t>
        </is>
      </c>
      <c r="G740" s="158" t="inlineStr">
        <is>
          <t>ESTRUCTURA LIVIANA</t>
        </is>
      </c>
    </row>
    <row r="741">
      <c r="A741" s="159" t="n"/>
      <c r="B741" s="158" t="inlineStr">
        <is>
          <t>MAT07-0003</t>
        </is>
      </c>
      <c r="C741" s="558" t="inlineStr">
        <is>
          <t>0107-0003</t>
        </is>
      </c>
      <c r="D741" s="158" t="inlineStr">
        <is>
          <t>CANAL U 1 1/2X16X4.88 CAL #20</t>
        </is>
      </c>
      <c r="E741" s="158" t="inlineStr">
        <is>
          <t>UND</t>
        </is>
      </c>
      <c r="F741" s="158" t="inlineStr">
        <is>
          <t>MATERIALES</t>
        </is>
      </c>
      <c r="G741" s="158" t="inlineStr">
        <is>
          <t>ESTRUCTURA LIVIANA</t>
        </is>
      </c>
    </row>
    <row r="742">
      <c r="A742" s="159" t="n"/>
      <c r="B742" s="158" t="inlineStr">
        <is>
          <t>MAT07-0004</t>
        </is>
      </c>
      <c r="C742" s="558" t="inlineStr">
        <is>
          <t>0107-0004</t>
        </is>
      </c>
      <c r="D742" s="158" t="inlineStr">
        <is>
          <t>CINTA JUNTAS PAPEL 2 X 250</t>
        </is>
      </c>
      <c r="E742" s="158" t="inlineStr">
        <is>
          <t>UND</t>
        </is>
      </c>
      <c r="F742" s="158" t="inlineStr">
        <is>
          <t>MATERIALES</t>
        </is>
      </c>
      <c r="G742" s="158" t="inlineStr">
        <is>
          <t>ESTRUCTURA LIVIANA</t>
        </is>
      </c>
    </row>
    <row r="743">
      <c r="A743" s="159" t="n"/>
      <c r="B743" s="158" t="inlineStr">
        <is>
          <t>MAT07-0005</t>
        </is>
      </c>
      <c r="C743" s="558" t="inlineStr">
        <is>
          <t>0107-0005</t>
        </is>
      </c>
      <c r="D743" s="158" t="inlineStr">
        <is>
          <t>CINTA MALLA ADHESIVA P/GYP (45M)</t>
        </is>
      </c>
      <c r="E743" s="158" t="inlineStr">
        <is>
          <t>ROLLO</t>
        </is>
      </c>
      <c r="F743" s="158" t="inlineStr">
        <is>
          <t>MATERIALES</t>
        </is>
      </c>
      <c r="G743" s="158" t="inlineStr">
        <is>
          <t>ESTRUCTURA LIVIANA</t>
        </is>
      </c>
    </row>
    <row r="744">
      <c r="A744" s="159" t="n"/>
      <c r="B744" s="158" t="inlineStr">
        <is>
          <t>MAT07-0006</t>
        </is>
      </c>
      <c r="C744" s="558" t="inlineStr">
        <is>
          <t>0107-0006</t>
        </is>
      </c>
      <c r="D744" s="158" t="inlineStr">
        <is>
          <t>CINTA MALLA ADHESIVA P/GYP (90M)</t>
        </is>
      </c>
      <c r="E744" s="158" t="inlineStr">
        <is>
          <t>ROLLO</t>
        </is>
      </c>
      <c r="F744" s="158" t="inlineStr">
        <is>
          <t>MATERIALES</t>
        </is>
      </c>
      <c r="G744" s="158" t="inlineStr">
        <is>
          <t>ESTRUCTURA LIVIANA</t>
        </is>
      </c>
    </row>
    <row r="745">
      <c r="A745" s="159" t="n"/>
      <c r="B745" s="158" t="inlineStr">
        <is>
          <t>MAT07-0007</t>
        </is>
      </c>
      <c r="C745" s="558" t="inlineStr">
        <is>
          <t>0107-0007</t>
        </is>
      </c>
      <c r="D745" s="158" t="inlineStr">
        <is>
          <t>CORNIZA PARA TABLILLA PVC BLANCA</t>
        </is>
      </c>
      <c r="E745" s="158" t="inlineStr">
        <is>
          <t>UND</t>
        </is>
      </c>
      <c r="F745" s="158" t="inlineStr">
        <is>
          <t>MATERIALES</t>
        </is>
      </c>
      <c r="G745" s="158" t="inlineStr">
        <is>
          <t>ESTRUCTURA LIVIANA</t>
        </is>
      </c>
    </row>
    <row r="746">
      <c r="A746" s="159" t="n"/>
      <c r="B746" s="158" t="inlineStr">
        <is>
          <t>MAT07-0008</t>
        </is>
      </c>
      <c r="C746" s="558" t="inlineStr">
        <is>
          <t>0107-0008</t>
        </is>
      </c>
      <c r="D746" s="158" t="inlineStr">
        <is>
          <t>ESQUINERO METAL 1 1/4X10</t>
        </is>
      </c>
      <c r="E746" s="158" t="inlineStr">
        <is>
          <t>UND</t>
        </is>
      </c>
      <c r="F746" s="158" t="inlineStr">
        <is>
          <t>MATERIALES</t>
        </is>
      </c>
      <c r="G746" s="158" t="inlineStr">
        <is>
          <t>ESTRUCTURA LIVIANA</t>
        </is>
      </c>
    </row>
    <row r="747">
      <c r="A747" s="159" t="n"/>
      <c r="B747" s="158" t="inlineStr">
        <is>
          <t>MAT07-0009</t>
        </is>
      </c>
      <c r="C747" s="558" t="inlineStr">
        <is>
          <t>0107-0009</t>
        </is>
      </c>
      <c r="D747" s="158" t="inlineStr">
        <is>
          <t>ESQUINERO PLASTICO 1 1/4X10</t>
        </is>
      </c>
      <c r="E747" s="158" t="inlineStr">
        <is>
          <t>UND</t>
        </is>
      </c>
      <c r="F747" s="158" t="inlineStr">
        <is>
          <t>MATERIALES</t>
        </is>
      </c>
      <c r="G747" s="158" t="inlineStr">
        <is>
          <t>ESTRUCTURA LIVIANA</t>
        </is>
      </c>
    </row>
    <row r="748">
      <c r="A748" s="159" t="n"/>
      <c r="B748" s="158" t="inlineStr">
        <is>
          <t>MAT07-0010</t>
        </is>
      </c>
      <c r="C748" s="558" t="inlineStr">
        <is>
          <t>0107-0010</t>
        </is>
      </c>
      <c r="D748" s="158" t="inlineStr">
        <is>
          <t>FURRING 2 1/2X3.66M CAL#25</t>
        </is>
      </c>
      <c r="E748" s="158" t="inlineStr">
        <is>
          <t>UND</t>
        </is>
      </c>
      <c r="F748" s="158" t="inlineStr">
        <is>
          <t>MATERIALES</t>
        </is>
      </c>
      <c r="G748" s="158" t="inlineStr">
        <is>
          <t>ESTRUCTURA LIVIANA</t>
        </is>
      </c>
    </row>
    <row r="749">
      <c r="A749" s="159" t="n"/>
      <c r="B749" s="158" t="inlineStr">
        <is>
          <t>MAT07-0011</t>
        </is>
      </c>
      <c r="C749" s="558" t="inlineStr">
        <is>
          <t>0107-0011</t>
        </is>
      </c>
      <c r="D749" s="158" t="inlineStr">
        <is>
          <t>GYPSUM DENSGLASS 12MM</t>
        </is>
      </c>
      <c r="E749" s="158" t="inlineStr">
        <is>
          <t>UND</t>
        </is>
      </c>
      <c r="F749" s="158" t="inlineStr">
        <is>
          <t>MATERIALES</t>
        </is>
      </c>
      <c r="G749" s="158" t="inlineStr">
        <is>
          <t>ESTRUCTURA LIVIANA</t>
        </is>
      </c>
    </row>
    <row r="750">
      <c r="A750" s="159" t="n"/>
      <c r="B750" s="158" t="inlineStr">
        <is>
          <t>MAT07-0012</t>
        </is>
      </c>
      <c r="C750" s="558" t="inlineStr">
        <is>
          <t>0107-0012</t>
        </is>
      </c>
      <c r="D750" s="158" t="inlineStr">
        <is>
          <t>GYPSUM MR VERDE 12MM</t>
        </is>
      </c>
      <c r="E750" s="158" t="inlineStr">
        <is>
          <t>UND</t>
        </is>
      </c>
      <c r="F750" s="158" t="inlineStr">
        <is>
          <t>MATERIALES</t>
        </is>
      </c>
      <c r="G750" s="158" t="inlineStr">
        <is>
          <t>ESTRUCTURA LIVIANA</t>
        </is>
      </c>
    </row>
    <row r="751">
      <c r="A751" s="159" t="n"/>
      <c r="B751" s="158" t="inlineStr">
        <is>
          <t>MAT07-0013</t>
        </is>
      </c>
      <c r="C751" s="558" t="inlineStr">
        <is>
          <t>0107-0013</t>
        </is>
      </c>
      <c r="D751" s="158" t="inlineStr">
        <is>
          <t>GYPSUM REGULAR 12MM</t>
        </is>
      </c>
      <c r="E751" s="158" t="inlineStr">
        <is>
          <t>UND</t>
        </is>
      </c>
      <c r="F751" s="158" t="inlineStr">
        <is>
          <t>MATERIALES</t>
        </is>
      </c>
      <c r="G751" s="158" t="inlineStr">
        <is>
          <t>ESTRUCTURA LIVIANA</t>
        </is>
      </c>
    </row>
    <row r="752">
      <c r="A752" s="159" t="n"/>
      <c r="B752" s="158" t="inlineStr">
        <is>
          <t>MAT07-0014</t>
        </is>
      </c>
      <c r="C752" s="558" t="inlineStr">
        <is>
          <t>0107-0014</t>
        </is>
      </c>
      <c r="D752" s="158" t="inlineStr">
        <is>
          <t>MOLDURA J METAL 1/2 X 10</t>
        </is>
      </c>
      <c r="E752" s="158" t="inlineStr">
        <is>
          <t>UND</t>
        </is>
      </c>
      <c r="F752" s="158" t="inlineStr">
        <is>
          <t>MATERIALES</t>
        </is>
      </c>
      <c r="G752" s="158" t="inlineStr">
        <is>
          <t>ESTRUCTURA LIVIANA</t>
        </is>
      </c>
    </row>
    <row r="753">
      <c r="A753" s="159" t="n"/>
      <c r="B753" s="158" t="inlineStr">
        <is>
          <t>MAT07-0015</t>
        </is>
      </c>
      <c r="C753" s="558" t="inlineStr">
        <is>
          <t>0107-0015</t>
        </is>
      </c>
      <c r="D753" s="158" t="inlineStr">
        <is>
          <t>PASTA P/GYPSUM</t>
        </is>
      </c>
      <c r="E753" s="158" t="inlineStr">
        <is>
          <t>CUBETA</t>
        </is>
      </c>
      <c r="F753" s="158" t="inlineStr">
        <is>
          <t>MATERIALES</t>
        </is>
      </c>
      <c r="G753" s="158" t="inlineStr">
        <is>
          <t>ESTRUCTURA LIVIANA</t>
        </is>
      </c>
    </row>
    <row r="754">
      <c r="A754" s="159" t="n"/>
      <c r="B754" s="158" t="inlineStr">
        <is>
          <t>MAT07-0016</t>
        </is>
      </c>
      <c r="C754" s="558" t="inlineStr">
        <is>
          <t>0107-0016</t>
        </is>
      </c>
      <c r="D754" s="158" t="inlineStr">
        <is>
          <t>PASTA PARA INTERIORES</t>
        </is>
      </c>
      <c r="E754" s="158" t="inlineStr">
        <is>
          <t>CAJA</t>
        </is>
      </c>
      <c r="F754" s="158" t="inlineStr">
        <is>
          <t>MATERIALES</t>
        </is>
      </c>
      <c r="G754" s="158" t="inlineStr">
        <is>
          <t>ESTRUCTURA LIVIANA</t>
        </is>
      </c>
    </row>
    <row r="755">
      <c r="A755" s="159" t="n"/>
      <c r="B755" s="158" t="inlineStr">
        <is>
          <t>MAT07-0017</t>
        </is>
      </c>
      <c r="C755" s="558" t="inlineStr">
        <is>
          <t>0107-0017</t>
        </is>
      </c>
      <c r="D755" s="158" t="inlineStr">
        <is>
          <t>STUD 1 5/8X10 CAL #25</t>
        </is>
      </c>
      <c r="E755" s="158" t="inlineStr">
        <is>
          <t>UND</t>
        </is>
      </c>
      <c r="F755" s="158" t="inlineStr">
        <is>
          <t>MATERIALES</t>
        </is>
      </c>
      <c r="G755" s="158" t="inlineStr">
        <is>
          <t>ESTRUCTURA LIVIANA</t>
        </is>
      </c>
    </row>
    <row r="756">
      <c r="A756" s="159" t="n"/>
      <c r="B756" s="158" t="inlineStr">
        <is>
          <t>MAT07-0018</t>
        </is>
      </c>
      <c r="C756" s="558" t="inlineStr">
        <is>
          <t>0107-0018</t>
        </is>
      </c>
      <c r="D756" s="158" t="inlineStr">
        <is>
          <t>STUD 3X10 CAL#25</t>
        </is>
      </c>
      <c r="E756" s="158" t="inlineStr">
        <is>
          <t>UND</t>
        </is>
      </c>
      <c r="F756" s="158" t="inlineStr">
        <is>
          <t>MATERIALES</t>
        </is>
      </c>
      <c r="G756" s="158" t="inlineStr">
        <is>
          <t>ESTRUCTURA LIVIANA</t>
        </is>
      </c>
    </row>
    <row r="757">
      <c r="A757" s="159" t="n"/>
      <c r="B757" s="158" t="inlineStr">
        <is>
          <t>MAT07-0019</t>
        </is>
      </c>
      <c r="C757" s="558" t="inlineStr">
        <is>
          <t>0107-0019</t>
        </is>
      </c>
      <c r="D757" s="158" t="inlineStr">
        <is>
          <t>STUD 4X10 CAL#25</t>
        </is>
      </c>
      <c r="E757" s="158" t="inlineStr">
        <is>
          <t>UND</t>
        </is>
      </c>
      <c r="F757" s="158" t="inlineStr">
        <is>
          <t>MATERIALES</t>
        </is>
      </c>
      <c r="G757" s="158" t="inlineStr">
        <is>
          <t>ESTRUCTURA LIVIANA</t>
        </is>
      </c>
    </row>
    <row r="758">
      <c r="A758" s="159" t="n"/>
      <c r="B758" s="158" t="inlineStr">
        <is>
          <t>MAT07-0020</t>
        </is>
      </c>
      <c r="C758" s="558" t="inlineStr">
        <is>
          <t>0107-0020</t>
        </is>
      </c>
      <c r="D758" s="158" t="inlineStr">
        <is>
          <t>TABLILLA PVC INTERIORES</t>
        </is>
      </c>
      <c r="E758" s="158" t="inlineStr">
        <is>
          <t>M2</t>
        </is>
      </c>
      <c r="F758" s="158" t="inlineStr">
        <is>
          <t>MATERIALES</t>
        </is>
      </c>
      <c r="G758" s="158" t="inlineStr">
        <is>
          <t>ESTRUCTURA LIVIANA</t>
        </is>
      </c>
    </row>
    <row r="759">
      <c r="A759" s="159" t="n"/>
      <c r="B759" s="158" t="inlineStr">
        <is>
          <t>MAT07-0021</t>
        </is>
      </c>
      <c r="C759" s="558" t="inlineStr">
        <is>
          <t>0107-0021</t>
        </is>
      </c>
      <c r="D759" s="158" t="inlineStr">
        <is>
          <t>TORNILLO 3/16X1/2 PTA BROCA CABEZA PLANA</t>
        </is>
      </c>
      <c r="E759" s="158" t="inlineStr">
        <is>
          <t>UND</t>
        </is>
      </c>
      <c r="F759" s="158" t="inlineStr">
        <is>
          <t>MATERIALES</t>
        </is>
      </c>
      <c r="G759" s="158" t="inlineStr">
        <is>
          <t>ESTRUCTURA LIVIANA</t>
        </is>
      </c>
    </row>
    <row r="760">
      <c r="A760" s="159" t="n"/>
      <c r="B760" s="158" t="inlineStr">
        <is>
          <t>MAT07-0022</t>
        </is>
      </c>
      <c r="C760" s="558" t="inlineStr">
        <is>
          <t>0107-0022</t>
        </is>
      </c>
      <c r="D760" s="158" t="inlineStr">
        <is>
          <t>TORNILLO CABEZA PLANA 7/16 PTA BROCA</t>
        </is>
      </c>
      <c r="E760" s="158" t="inlineStr">
        <is>
          <t>UND</t>
        </is>
      </c>
      <c r="F760" s="158" t="inlineStr">
        <is>
          <t>MATERIALES</t>
        </is>
      </c>
      <c r="G760" s="158" t="inlineStr">
        <is>
          <t>ESTRUCTURA LIVIANA</t>
        </is>
      </c>
    </row>
    <row r="761">
      <c r="A761" s="159" t="n"/>
      <c r="B761" s="158" t="inlineStr">
        <is>
          <t>MAT07-0023</t>
        </is>
      </c>
      <c r="C761" s="558" t="inlineStr">
        <is>
          <t>0107-0023</t>
        </is>
      </c>
      <c r="D761" s="158" t="inlineStr">
        <is>
          <t>TORNILLO GYPSUM 1" PTA FINA</t>
        </is>
      </c>
      <c r="E761" s="158" t="inlineStr">
        <is>
          <t>UND</t>
        </is>
      </c>
      <c r="F761" s="158" t="inlineStr">
        <is>
          <t>MATERIALES</t>
        </is>
      </c>
      <c r="G761" s="158" t="inlineStr">
        <is>
          <t>ESTRUCTURA LIVIANA</t>
        </is>
      </c>
    </row>
    <row r="762">
      <c r="A762" s="159" t="n"/>
      <c r="B762" s="158" t="inlineStr">
        <is>
          <t>MAT07-0024</t>
        </is>
      </c>
      <c r="C762" s="558" t="inlineStr">
        <is>
          <t>0107-0024</t>
        </is>
      </c>
      <c r="D762" s="158" t="inlineStr">
        <is>
          <t>TORNILLO GYPSUM 7/16 PUNTA FINA CON ARANDELA</t>
        </is>
      </c>
      <c r="E762" s="158" t="inlineStr">
        <is>
          <t>UND</t>
        </is>
      </c>
      <c r="F762" s="158" t="inlineStr">
        <is>
          <t>MATERIALES</t>
        </is>
      </c>
      <c r="G762" s="158" t="inlineStr">
        <is>
          <t>ESTRUCTURA LIVIANA</t>
        </is>
      </c>
    </row>
    <row r="763">
      <c r="A763" s="159" t="n"/>
      <c r="B763" s="158" t="inlineStr">
        <is>
          <t>MAT07-0025</t>
        </is>
      </c>
      <c r="C763" s="558" t="inlineStr">
        <is>
          <t>0107-0025</t>
        </is>
      </c>
      <c r="D763" s="158" t="inlineStr">
        <is>
          <t>TORNILLO P/GYP 1 1/4 P FINA</t>
        </is>
      </c>
      <c r="E763" s="158" t="inlineStr">
        <is>
          <t>UND</t>
        </is>
      </c>
      <c r="F763" s="158" t="inlineStr">
        <is>
          <t>MATERIALES</t>
        </is>
      </c>
      <c r="G763" s="158" t="inlineStr">
        <is>
          <t>ESTRUCTURA LIVIANA</t>
        </is>
      </c>
    </row>
    <row r="764">
      <c r="A764" s="159" t="n"/>
      <c r="B764" s="158" t="inlineStr">
        <is>
          <t>MAT07-0026</t>
        </is>
      </c>
      <c r="C764" s="558" t="inlineStr">
        <is>
          <t>0107-0026</t>
        </is>
      </c>
      <c r="D764" s="158" t="inlineStr">
        <is>
          <t>TORNILLO P/GYP 1 1/4 P/BROCA</t>
        </is>
      </c>
      <c r="E764" s="158" t="inlineStr">
        <is>
          <t>UND</t>
        </is>
      </c>
      <c r="F764" s="158" t="inlineStr">
        <is>
          <t>MATERIALES</t>
        </is>
      </c>
      <c r="G764" s="158" t="inlineStr">
        <is>
          <t>ESTRUCTURA LIVIANA</t>
        </is>
      </c>
    </row>
    <row r="765">
      <c r="A765" s="159" t="n"/>
      <c r="B765" s="158" t="inlineStr">
        <is>
          <t>MAT07-0027</t>
        </is>
      </c>
      <c r="C765" s="558" t="inlineStr">
        <is>
          <t>0107-0027</t>
        </is>
      </c>
      <c r="D765" s="158" t="inlineStr">
        <is>
          <t>TORNILLO P/GYP 8X 1/2 P/BROCA</t>
        </is>
      </c>
      <c r="E765" s="158" t="inlineStr">
        <is>
          <t>UND</t>
        </is>
      </c>
      <c r="F765" s="158" t="inlineStr">
        <is>
          <t>MATERIALES</t>
        </is>
      </c>
      <c r="G765" s="158" t="inlineStr">
        <is>
          <t>ESTRUCTURA LIVIANA</t>
        </is>
      </c>
    </row>
    <row r="766">
      <c r="A766" s="159" t="n"/>
      <c r="B766" s="158" t="inlineStr">
        <is>
          <t>MAT07-0028</t>
        </is>
      </c>
      <c r="C766" s="558" t="inlineStr">
        <is>
          <t>0107-0028</t>
        </is>
      </c>
      <c r="D766" s="158" t="inlineStr">
        <is>
          <t>TRACK 1 5/8X10 CAL#25</t>
        </is>
      </c>
      <c r="E766" s="158" t="inlineStr">
        <is>
          <t>UND</t>
        </is>
      </c>
      <c r="F766" s="158" t="inlineStr">
        <is>
          <t>MATERIALES</t>
        </is>
      </c>
      <c r="G766" s="158" t="inlineStr">
        <is>
          <t>ESTRUCTURA LIVIANA</t>
        </is>
      </c>
    </row>
    <row r="767">
      <c r="A767" s="159" t="n"/>
      <c r="B767" s="158" t="inlineStr">
        <is>
          <t>MAT07-0029</t>
        </is>
      </c>
      <c r="C767" s="558" t="inlineStr">
        <is>
          <t>0107-0029</t>
        </is>
      </c>
      <c r="D767" s="158" t="inlineStr">
        <is>
          <t>TRACK 3X10 CAL#25</t>
        </is>
      </c>
      <c r="E767" s="158" t="inlineStr">
        <is>
          <t>UND</t>
        </is>
      </c>
      <c r="F767" s="158" t="inlineStr">
        <is>
          <t>MATERIALES</t>
        </is>
      </c>
      <c r="G767" s="158" t="inlineStr">
        <is>
          <t>ESTRUCTURA LIVIANA</t>
        </is>
      </c>
    </row>
    <row r="768">
      <c r="A768" s="159" t="n"/>
      <c r="B768" s="158" t="inlineStr">
        <is>
          <t>MAT07-0030</t>
        </is>
      </c>
      <c r="C768" s="558" t="inlineStr">
        <is>
          <t>0107-0030</t>
        </is>
      </c>
      <c r="D768" s="158" t="inlineStr">
        <is>
          <t>TRACK 4X10 CAL#25</t>
        </is>
      </c>
      <c r="E768" s="158" t="inlineStr">
        <is>
          <t>UND</t>
        </is>
      </c>
      <c r="F768" s="158" t="inlineStr">
        <is>
          <t>MATERIALES</t>
        </is>
      </c>
      <c r="G768" s="158" t="inlineStr">
        <is>
          <t>ESTRUCTURA LIVIANA</t>
        </is>
      </c>
    </row>
    <row r="769">
      <c r="A769" s="159" t="n"/>
      <c r="B769" s="158" t="inlineStr">
        <is>
          <t>MAT07-0031</t>
        </is>
      </c>
      <c r="C769" s="558" t="inlineStr">
        <is>
          <t>0107-0031</t>
        </is>
      </c>
      <c r="D769" s="158" t="inlineStr">
        <is>
          <t>TORNILLO GYPSUM 6X2" P/FINA</t>
        </is>
      </c>
      <c r="E769" s="158" t="inlineStr">
        <is>
          <t>UND</t>
        </is>
      </c>
      <c r="F769" s="158" t="inlineStr">
        <is>
          <t>MATERIALES</t>
        </is>
      </c>
      <c r="G769" s="158" t="inlineStr">
        <is>
          <t>ESTRUCTURA LIVIANA</t>
        </is>
      </c>
    </row>
    <row r="770">
      <c r="A770" s="159" t="n"/>
      <c r="B770" s="158" t="inlineStr">
        <is>
          <t>MAT07-0032</t>
        </is>
      </c>
      <c r="C770" s="558" t="inlineStr">
        <is>
          <t>0107-0032</t>
        </is>
      </c>
      <c r="D770" s="158" t="inlineStr">
        <is>
          <t>GYPSUM CORTA FUEGO</t>
        </is>
      </c>
      <c r="E770" s="158" t="inlineStr">
        <is>
          <t>UND</t>
        </is>
      </c>
      <c r="F770" s="158" t="inlineStr">
        <is>
          <t>MATERIALES</t>
        </is>
      </c>
      <c r="G770" s="158" t="inlineStr">
        <is>
          <t>ESTRUCTURA LIVIANA</t>
        </is>
      </c>
    </row>
    <row r="771">
      <c r="A771" s="159" t="n"/>
      <c r="B771" s="158" t="inlineStr">
        <is>
          <t>MAT07-0033</t>
        </is>
      </c>
      <c r="C771" s="558" t="inlineStr">
        <is>
          <t>0107-0033</t>
        </is>
      </c>
      <c r="D771" s="158" t="inlineStr">
        <is>
          <t>PASTA RAPIDA 45</t>
        </is>
      </c>
      <c r="E771" s="158" t="inlineStr">
        <is>
          <t>SACO</t>
        </is>
      </c>
      <c r="F771" s="158" t="inlineStr">
        <is>
          <t>MATERIALES</t>
        </is>
      </c>
      <c r="G771" s="158" t="inlineStr">
        <is>
          <t>ESTRUCTURA LIVIANA</t>
        </is>
      </c>
    </row>
    <row r="772">
      <c r="A772" s="159" t="n"/>
      <c r="B772" s="158" t="inlineStr">
        <is>
          <t>MAT07-0034</t>
        </is>
      </c>
      <c r="C772" s="558" t="inlineStr">
        <is>
          <t>0107-0034</t>
        </is>
      </c>
      <c r="D772" s="158" t="inlineStr">
        <is>
          <t>TABLILLA BLANCA MATE CON DIVISION</t>
        </is>
      </c>
      <c r="E772" s="158" t="inlineStr">
        <is>
          <t>UND</t>
        </is>
      </c>
      <c r="F772" s="158" t="inlineStr">
        <is>
          <t>MATERIALES</t>
        </is>
      </c>
      <c r="G772" s="158" t="inlineStr">
        <is>
          <t>ESTRUCTURA LIVIANA</t>
        </is>
      </c>
    </row>
    <row r="773">
      <c r="A773" s="159" t="n"/>
      <c r="B773" s="158" t="inlineStr">
        <is>
          <t>MAT07-0035</t>
        </is>
      </c>
      <c r="C773" s="558" t="inlineStr">
        <is>
          <t>0107-0035</t>
        </is>
      </c>
      <c r="D773" s="158" t="inlineStr">
        <is>
          <t>GRAPAS PARA GYPSUM MODELO ET50 TRUPPER</t>
        </is>
      </c>
      <c r="E773" s="158" t="inlineStr">
        <is>
          <t>UND</t>
        </is>
      </c>
      <c r="F773" s="158" t="inlineStr">
        <is>
          <t>MATERIALES</t>
        </is>
      </c>
      <c r="G773" s="158" t="inlineStr">
        <is>
          <t>ESTRUCTURA LIVIANA</t>
        </is>
      </c>
    </row>
    <row r="774">
      <c r="A774" s="159" t="n"/>
      <c r="B774" s="158" t="inlineStr">
        <is>
          <t>MAT07-0036</t>
        </is>
      </c>
      <c r="C774" s="558" t="inlineStr">
        <is>
          <t>0107-0036</t>
        </is>
      </c>
      <c r="D774" s="158" t="inlineStr">
        <is>
          <t>TORNILLO 8X1 1/4 P/BROCA</t>
        </is>
      </c>
      <c r="E774" s="158" t="inlineStr">
        <is>
          <t>UND</t>
        </is>
      </c>
      <c r="F774" s="158" t="inlineStr">
        <is>
          <t>MATERIALES</t>
        </is>
      </c>
      <c r="G774" s="158" t="inlineStr">
        <is>
          <t>ESTRUCTURA LIVIANA</t>
        </is>
      </c>
    </row>
    <row r="775">
      <c r="A775" s="159" t="n"/>
      <c r="B775" s="158" t="inlineStr">
        <is>
          <t>MAT07-0038</t>
        </is>
      </c>
      <c r="C775" s="558" t="inlineStr">
        <is>
          <t>0107-0038</t>
        </is>
      </c>
      <c r="D775" s="158" t="inlineStr">
        <is>
          <t>VIGUETAS LIVIANA A BASE DE BLOQUES DE ESTEREOFON</t>
        </is>
      </c>
      <c r="E775" s="158" t="inlineStr">
        <is>
          <t>M2</t>
        </is>
      </c>
      <c r="F775" s="158" t="inlineStr">
        <is>
          <t>MATERIALES</t>
        </is>
      </c>
      <c r="G775" s="158" t="inlineStr">
        <is>
          <t>ESTRUCTURA LIVIANA</t>
        </is>
      </c>
    </row>
    <row r="776">
      <c r="A776" s="159" t="n"/>
      <c r="B776" s="158" t="inlineStr">
        <is>
          <t>MAT07-0039</t>
        </is>
      </c>
      <c r="C776" s="558" t="inlineStr">
        <is>
          <t>0107-0039</t>
        </is>
      </c>
      <c r="D776" s="158" t="inlineStr">
        <is>
          <t>ESPANDER P/GYPSUM</t>
        </is>
      </c>
      <c r="E776" s="158" t="inlineStr">
        <is>
          <t>UND</t>
        </is>
      </c>
      <c r="F776" s="158" t="inlineStr">
        <is>
          <t>MATERIALES</t>
        </is>
      </c>
      <c r="G776" s="158" t="inlineStr">
        <is>
          <t>ESTRUCTURA LIVIANA</t>
        </is>
      </c>
    </row>
    <row r="777">
      <c r="A777" s="159" t="n"/>
      <c r="B777" s="158" t="inlineStr">
        <is>
          <t>MAT07-0040</t>
        </is>
      </c>
      <c r="C777" s="558" t="inlineStr">
        <is>
          <t>0107-0040</t>
        </is>
      </c>
      <c r="D777" s="158" t="inlineStr">
        <is>
          <t>LAMINA DUROCK</t>
        </is>
      </c>
      <c r="E777" s="158" t="inlineStr">
        <is>
          <t>UND</t>
        </is>
      </c>
      <c r="F777" s="158" t="inlineStr">
        <is>
          <t>MATERIALES</t>
        </is>
      </c>
      <c r="G777" s="158" t="inlineStr">
        <is>
          <t>ESTRUCTURA LIVIANA</t>
        </is>
      </c>
    </row>
    <row r="778">
      <c r="A778" s="159" t="n"/>
      <c r="B778" s="158" t="inlineStr">
        <is>
          <t>MAT07-0041</t>
        </is>
      </c>
      <c r="C778" s="558" t="inlineStr">
        <is>
          <t>0107-0041</t>
        </is>
      </c>
      <c r="D778" s="158" t="inlineStr">
        <is>
          <t>CANAL U  CALIBRE 0.70MMX4.85M</t>
        </is>
      </c>
      <c r="E778" s="158" t="inlineStr">
        <is>
          <t>UND</t>
        </is>
      </c>
      <c r="F778" s="158" t="inlineStr">
        <is>
          <t>MATERIALES</t>
        </is>
      </c>
      <c r="G778" s="158" t="inlineStr">
        <is>
          <t>ESTRUCTURA LIVIANA</t>
        </is>
      </c>
    </row>
    <row r="779">
      <c r="A779" s="159" t="n"/>
      <c r="B779" s="158" t="inlineStr">
        <is>
          <t>MAT07-0042</t>
        </is>
      </c>
      <c r="C779" s="558" t="inlineStr">
        <is>
          <t>0107-0042</t>
        </is>
      </c>
      <c r="D779" s="158" t="inlineStr">
        <is>
          <t>FURRING CALIBRE 0.36X 3.66 CM</t>
        </is>
      </c>
      <c r="E779" s="158" t="inlineStr">
        <is>
          <t>UND</t>
        </is>
      </c>
      <c r="F779" s="158" t="inlineStr">
        <is>
          <t>MATERIALES</t>
        </is>
      </c>
      <c r="G779" s="158" t="inlineStr">
        <is>
          <t>ESTRUCTURA LIVIANA</t>
        </is>
      </c>
    </row>
    <row r="780">
      <c r="A780" s="159" t="n"/>
      <c r="B780" s="158" t="inlineStr">
        <is>
          <t>MAT07-0043</t>
        </is>
      </c>
      <c r="C780" s="558" t="inlineStr">
        <is>
          <t>0107-0043</t>
        </is>
      </c>
      <c r="D780" s="158" t="inlineStr">
        <is>
          <t>PERFIL J PARA GYPSUM</t>
        </is>
      </c>
      <c r="E780" s="158" t="inlineStr">
        <is>
          <t>UND</t>
        </is>
      </c>
      <c r="F780" s="158" t="inlineStr">
        <is>
          <t>MATERIALES</t>
        </is>
      </c>
      <c r="G780" s="158" t="inlineStr">
        <is>
          <t>ESTRUCTURA LIVIANA</t>
        </is>
      </c>
    </row>
    <row r="781">
      <c r="A781" s="159" t="n"/>
      <c r="B781" s="158" t="inlineStr">
        <is>
          <t>MAT07-0044</t>
        </is>
      </c>
      <c r="C781" s="558" t="inlineStr">
        <is>
          <t>0107-0044</t>
        </is>
      </c>
      <c r="D781" s="158" t="inlineStr">
        <is>
          <t>LAMINA PLYROCK DM 10MM,122X244CM</t>
        </is>
      </c>
      <c r="E781" s="158" t="inlineStr">
        <is>
          <t>UND</t>
        </is>
      </c>
      <c r="F781" s="158" t="inlineStr">
        <is>
          <t>MATERIALES</t>
        </is>
      </c>
      <c r="G781" s="158" t="inlineStr">
        <is>
          <t>ESTRUCTURA LIVIANA</t>
        </is>
      </c>
    </row>
    <row r="782" customFormat="1" s="560">
      <c r="A782" s="557" t="n"/>
      <c r="B782" s="557" t="inlineStr">
        <is>
          <t>(ID) Insumo</t>
        </is>
      </c>
      <c r="C782" s="558" t="n"/>
      <c r="D782" s="557" t="inlineStr">
        <is>
          <t>Descripción</t>
        </is>
      </c>
      <c r="E782" s="557" t="inlineStr">
        <is>
          <t>Unidad</t>
        </is>
      </c>
      <c r="F782" s="557" t="inlineStr">
        <is>
          <t>Grupo de Insumo</t>
        </is>
      </c>
      <c r="G782" s="557" t="inlineStr">
        <is>
          <t>Familia de Insumos</t>
        </is>
      </c>
    </row>
    <row r="783">
      <c r="A783" s="564" t="n"/>
      <c r="B783" s="158" t="inlineStr">
        <is>
          <t>MAT08-0001</t>
        </is>
      </c>
      <c r="C783" s="558" t="inlineStr">
        <is>
          <t>0108-0001</t>
        </is>
      </c>
      <c r="D783" s="158" t="inlineStr">
        <is>
          <t>ABRAZADERA AISLADA</t>
        </is>
      </c>
      <c r="E783" s="158" t="inlineStr">
        <is>
          <t>UND</t>
        </is>
      </c>
      <c r="F783" s="158" t="inlineStr">
        <is>
          <t>MATERIALES</t>
        </is>
      </c>
      <c r="G783" s="158" t="inlineStr">
        <is>
          <t>FERRETERIA GENERAL</t>
        </is>
      </c>
    </row>
    <row r="784">
      <c r="A784" s="564" t="n"/>
      <c r="B784" s="158" t="inlineStr">
        <is>
          <t>MAT08-0002</t>
        </is>
      </c>
      <c r="C784" s="558" t="inlineStr">
        <is>
          <t>0108-0002</t>
        </is>
      </c>
      <c r="D784" s="158" t="inlineStr">
        <is>
          <t>ACCESORIOS PARA  MEDIDOR  PARA  AGUA 1/2" SELLADO AL VACÍO</t>
        </is>
      </c>
      <c r="E784" s="158" t="inlineStr">
        <is>
          <t>UND</t>
        </is>
      </c>
      <c r="F784" s="158" t="inlineStr">
        <is>
          <t>MATERIALES</t>
        </is>
      </c>
      <c r="G784" s="158" t="inlineStr">
        <is>
          <t>FERRETERIA GENERAL</t>
        </is>
      </c>
    </row>
    <row r="785">
      <c r="A785" s="564" t="n"/>
      <c r="B785" s="158" t="inlineStr">
        <is>
          <t>MAT08-0003</t>
        </is>
      </c>
      <c r="C785" s="558" t="inlineStr">
        <is>
          <t>0108-0003</t>
        </is>
      </c>
      <c r="D785" s="158" t="inlineStr">
        <is>
          <t>ACETONA</t>
        </is>
      </c>
      <c r="E785" s="158" t="inlineStr">
        <is>
          <t>LITRO</t>
        </is>
      </c>
      <c r="F785" s="158" t="inlineStr">
        <is>
          <t>MATERIALES</t>
        </is>
      </c>
      <c r="G785" s="158" t="inlineStr">
        <is>
          <t>FERRETERIA GENERAL</t>
        </is>
      </c>
    </row>
    <row r="786">
      <c r="A786" s="564" t="n"/>
      <c r="B786" s="158" t="inlineStr">
        <is>
          <t>MAT08-0005</t>
        </is>
      </c>
      <c r="C786" s="558" t="inlineStr">
        <is>
          <t>0108-0005</t>
        </is>
      </c>
      <c r="D786" s="158" t="inlineStr">
        <is>
          <t>ACOPLE HEMBRA POLIETILENO 12MM</t>
        </is>
      </c>
      <c r="E786" s="158" t="inlineStr">
        <is>
          <t>UND</t>
        </is>
      </c>
      <c r="F786" s="158" t="inlineStr">
        <is>
          <t>MATERIALES</t>
        </is>
      </c>
      <c r="G786" s="158" t="inlineStr">
        <is>
          <t>FERRETERIA GENERAL</t>
        </is>
      </c>
    </row>
    <row r="787">
      <c r="A787" s="564" t="n"/>
      <c r="B787" s="158" t="inlineStr">
        <is>
          <t>MAT08-0006</t>
        </is>
      </c>
      <c r="C787" s="558" t="inlineStr">
        <is>
          <t>0108-0006</t>
        </is>
      </c>
      <c r="D787" s="158" t="inlineStr">
        <is>
          <t>AMARRA PLASTICA</t>
        </is>
      </c>
      <c r="E787" s="158" t="inlineStr">
        <is>
          <t>UND</t>
        </is>
      </c>
      <c r="F787" s="158" t="inlineStr">
        <is>
          <t>MATERIALES</t>
        </is>
      </c>
      <c r="G787" s="158" t="inlineStr">
        <is>
          <t>FERRETERIA GENERAL</t>
        </is>
      </c>
    </row>
    <row r="788">
      <c r="A788" s="564" t="n"/>
      <c r="B788" s="158" t="inlineStr">
        <is>
          <t>MAT08-0007</t>
        </is>
      </c>
      <c r="C788" s="558" t="inlineStr">
        <is>
          <t>0108-0007</t>
        </is>
      </c>
      <c r="D788" s="158" t="inlineStr">
        <is>
          <t>BATERIA CUADRADA 9V</t>
        </is>
      </c>
      <c r="E788" s="158" t="inlineStr">
        <is>
          <t>UND</t>
        </is>
      </c>
      <c r="F788" s="158" t="inlineStr">
        <is>
          <t>MATERIALES</t>
        </is>
      </c>
      <c r="G788" s="158" t="inlineStr">
        <is>
          <t>FERRETERIA GENERAL</t>
        </is>
      </c>
    </row>
    <row r="789">
      <c r="A789" s="564" t="n"/>
      <c r="B789" s="158" t="inlineStr">
        <is>
          <t>MAT08-0008</t>
        </is>
      </c>
      <c r="C789" s="558" t="inlineStr">
        <is>
          <t>0108-0008</t>
        </is>
      </c>
      <c r="D789" s="158" t="inlineStr">
        <is>
          <t>BONDEX PLUS CERAMICA Y PORCELANATO</t>
        </is>
      </c>
      <c r="E789" s="158" t="inlineStr">
        <is>
          <t>SACO</t>
        </is>
      </c>
      <c r="F789" s="158" t="inlineStr">
        <is>
          <t>MATERIALES</t>
        </is>
      </c>
      <c r="G789" s="158" t="inlineStr">
        <is>
          <t>FERRETERIA GENERAL</t>
        </is>
      </c>
    </row>
    <row r="790">
      <c r="A790" s="564" t="n"/>
      <c r="B790" s="158" t="inlineStr">
        <is>
          <t>MAT08-0010</t>
        </is>
      </c>
      <c r="C790" s="558" t="inlineStr">
        <is>
          <t>0108-0010</t>
        </is>
      </c>
      <c r="D790" s="158" t="inlineStr">
        <is>
          <t>BROCA P/CONCRETO 1/2" (12mm)</t>
        </is>
      </c>
      <c r="E790" s="158" t="inlineStr">
        <is>
          <t>UND</t>
        </is>
      </c>
      <c r="F790" s="158" t="inlineStr">
        <is>
          <t>MATERIALES</t>
        </is>
      </c>
      <c r="G790" s="158" t="inlineStr">
        <is>
          <t>FERRETERIA GENERAL</t>
        </is>
      </c>
    </row>
    <row r="791">
      <c r="A791" s="564" t="n"/>
      <c r="B791" s="158" t="inlineStr">
        <is>
          <t>MAT08-0011</t>
        </is>
      </c>
      <c r="C791" s="558" t="inlineStr">
        <is>
          <t>0108-0011</t>
        </is>
      </c>
      <c r="D791" s="158" t="inlineStr">
        <is>
          <t xml:space="preserve">BROCA P/CONCRETO 5/16" </t>
        </is>
      </c>
      <c r="E791" s="158" t="inlineStr">
        <is>
          <t>UND</t>
        </is>
      </c>
      <c r="F791" s="158" t="inlineStr">
        <is>
          <t>MATERIALES</t>
        </is>
      </c>
      <c r="G791" s="158" t="inlineStr">
        <is>
          <t>FERRETERIA GENERAL</t>
        </is>
      </c>
    </row>
    <row r="792">
      <c r="A792" s="564" t="n"/>
      <c r="B792" s="158" t="inlineStr">
        <is>
          <t>MAT08-0012</t>
        </is>
      </c>
      <c r="C792" s="558" t="inlineStr">
        <is>
          <t>0108-0012</t>
        </is>
      </c>
      <c r="D792" s="158" t="inlineStr">
        <is>
          <t>BROCHA CORRIENTE 2" (50mm)</t>
        </is>
      </c>
      <c r="E792" s="158" t="inlineStr">
        <is>
          <t>UND</t>
        </is>
      </c>
      <c r="F792" s="158" t="inlineStr">
        <is>
          <t>MATERIALES</t>
        </is>
      </c>
      <c r="G792" s="158" t="inlineStr">
        <is>
          <t>FERRETERIA GENERAL</t>
        </is>
      </c>
    </row>
    <row r="793">
      <c r="A793" s="564" t="n"/>
      <c r="B793" s="158" t="inlineStr">
        <is>
          <t>MAT08-0013</t>
        </is>
      </c>
      <c r="C793" s="558" t="inlineStr">
        <is>
          <t>0108-0013</t>
        </is>
      </c>
      <c r="D793" s="158" t="inlineStr">
        <is>
          <t>BROCHA CORRIENTE 3" (75mm)</t>
        </is>
      </c>
      <c r="E793" s="158" t="inlineStr">
        <is>
          <t>UND</t>
        </is>
      </c>
      <c r="F793" s="158" t="inlineStr">
        <is>
          <t>MATERIALES</t>
        </is>
      </c>
      <c r="G793" s="158" t="inlineStr">
        <is>
          <t>FERRETERIA GENERAL</t>
        </is>
      </c>
    </row>
    <row r="794">
      <c r="A794" s="564" t="n"/>
      <c r="B794" s="158" t="inlineStr">
        <is>
          <t>MAT08-0014</t>
        </is>
      </c>
      <c r="C794" s="558" t="inlineStr">
        <is>
          <t>0108-0014</t>
        </is>
      </c>
      <c r="D794" s="565" t="inlineStr">
        <is>
          <t>TORNILLO HILTI/8</t>
        </is>
      </c>
      <c r="E794" s="158" t="inlineStr">
        <is>
          <t>UND</t>
        </is>
      </c>
      <c r="F794" s="158" t="inlineStr">
        <is>
          <t>MATERIALES</t>
        </is>
      </c>
      <c r="G794" s="158" t="inlineStr">
        <is>
          <t>FERRETERIA GENERAL</t>
        </is>
      </c>
    </row>
    <row r="795">
      <c r="A795" s="564" t="n"/>
      <c r="B795" s="158" t="inlineStr">
        <is>
          <t>MAT08-0015</t>
        </is>
      </c>
      <c r="C795" s="558" t="inlineStr">
        <is>
          <t>0108-0015</t>
        </is>
      </c>
      <c r="D795" s="158" t="inlineStr">
        <is>
          <t>CAJA DE 1/2" DE PROTECCION AGUA HF FUNIDADELIMA</t>
        </is>
      </c>
      <c r="E795" s="158" t="inlineStr">
        <is>
          <t>UND</t>
        </is>
      </c>
      <c r="F795" s="158" t="inlineStr">
        <is>
          <t>MATERIALES</t>
        </is>
      </c>
      <c r="G795" s="158" t="inlineStr">
        <is>
          <t>FERRETERIA GENERAL</t>
        </is>
      </c>
    </row>
    <row r="796">
      <c r="A796" s="564" t="n"/>
      <c r="B796" s="158" t="inlineStr">
        <is>
          <t>MAT08-0016</t>
        </is>
      </c>
      <c r="C796" s="558" t="inlineStr">
        <is>
          <t>0108-0016</t>
        </is>
      </c>
      <c r="D796" s="158" t="inlineStr">
        <is>
          <t>CAJA PARA LAVADORA</t>
        </is>
      </c>
      <c r="E796" s="158" t="inlineStr">
        <is>
          <t>UND</t>
        </is>
      </c>
      <c r="F796" s="158" t="inlineStr">
        <is>
          <t>MATERIALES</t>
        </is>
      </c>
      <c r="G796" s="158" t="inlineStr">
        <is>
          <t>FERRETERIA GENERAL</t>
        </is>
      </c>
    </row>
    <row r="797">
      <c r="A797" s="564" t="n"/>
      <c r="B797" s="158" t="inlineStr">
        <is>
          <t>MAT08-0017</t>
        </is>
      </c>
      <c r="C797" s="558" t="inlineStr">
        <is>
          <t>0108-0017</t>
        </is>
      </c>
      <c r="D797" s="158" t="inlineStr">
        <is>
          <t>CAL</t>
        </is>
      </c>
      <c r="E797" s="158" t="inlineStr">
        <is>
          <t>BOLSA</t>
        </is>
      </c>
      <c r="F797" s="158" t="inlineStr">
        <is>
          <t>MATERIALES</t>
        </is>
      </c>
      <c r="G797" s="158" t="inlineStr">
        <is>
          <t>FERRETERIA GENERAL</t>
        </is>
      </c>
    </row>
    <row r="798">
      <c r="A798" s="564" t="n"/>
      <c r="B798" s="158" t="inlineStr">
        <is>
          <t>MAT08-0018</t>
        </is>
      </c>
      <c r="C798" s="558" t="inlineStr">
        <is>
          <t>0108-0018</t>
        </is>
      </c>
      <c r="D798" s="158" t="inlineStr">
        <is>
          <t>CINTA EMPAQUE 2" (50mm)</t>
        </is>
      </c>
      <c r="E798" s="158" t="inlineStr">
        <is>
          <t>UND</t>
        </is>
      </c>
      <c r="F798" s="158" t="inlineStr">
        <is>
          <t>MATERIALES</t>
        </is>
      </c>
      <c r="G798" s="158" t="inlineStr">
        <is>
          <t>FERRETERIA GENERAL</t>
        </is>
      </c>
    </row>
    <row r="799">
      <c r="A799" s="564" t="n"/>
      <c r="B799" s="158" t="inlineStr">
        <is>
          <t>MAT08-0019</t>
        </is>
      </c>
      <c r="C799" s="558" t="inlineStr">
        <is>
          <t>0108-0019</t>
        </is>
      </c>
      <c r="D799" s="158" t="inlineStr">
        <is>
          <t>CLAVO NEGRO 1" (25mm)</t>
        </is>
      </c>
      <c r="E799" s="158" t="inlineStr">
        <is>
          <t>CAJA</t>
        </is>
      </c>
      <c r="F799" s="158" t="inlineStr">
        <is>
          <t>MATERIALES</t>
        </is>
      </c>
      <c r="G799" s="158" t="inlineStr">
        <is>
          <t>FERRETERIA GENERAL</t>
        </is>
      </c>
    </row>
    <row r="800">
      <c r="A800" s="564" t="n"/>
      <c r="B800" s="158" t="inlineStr">
        <is>
          <t>MAT08-0022</t>
        </is>
      </c>
      <c r="C800" s="558" t="inlineStr">
        <is>
          <t>0108-0022</t>
        </is>
      </c>
      <c r="D800" s="158" t="inlineStr">
        <is>
          <t>CLAVO ACERO 2 X 3.8MM</t>
        </is>
      </c>
      <c r="E800" s="158" t="inlineStr">
        <is>
          <t>CAJA</t>
        </is>
      </c>
      <c r="F800" s="158" t="inlineStr">
        <is>
          <t>MATERIALES</t>
        </is>
      </c>
      <c r="G800" s="158" t="inlineStr">
        <is>
          <t>FERRETERIA GENERAL</t>
        </is>
      </c>
    </row>
    <row r="801">
      <c r="A801" s="564" t="n"/>
      <c r="B801" s="158" t="inlineStr">
        <is>
          <t>MAT08-0023</t>
        </is>
      </c>
      <c r="C801" s="558" t="inlineStr">
        <is>
          <t>0108-0023</t>
        </is>
      </c>
      <c r="D801" s="158" t="inlineStr">
        <is>
          <t>CLAVO C/CABEZA  2 1/2" (62mm)</t>
        </is>
      </c>
      <c r="E801" s="158" t="inlineStr">
        <is>
          <t>KG</t>
        </is>
      </c>
      <c r="F801" s="158" t="inlineStr">
        <is>
          <t>MATERIALES</t>
        </is>
      </c>
      <c r="G801" s="158" t="inlineStr">
        <is>
          <t>FERRETERIA GENERAL</t>
        </is>
      </c>
    </row>
    <row r="802">
      <c r="A802" s="564" t="n"/>
      <c r="B802" s="158" t="inlineStr">
        <is>
          <t>MAT08-0024</t>
        </is>
      </c>
      <c r="C802" s="558" t="inlineStr">
        <is>
          <t>0108-0024</t>
        </is>
      </c>
      <c r="D802" s="158" t="inlineStr">
        <is>
          <t>CLAVO C/CABEZA  2" (50mm)</t>
        </is>
      </c>
      <c r="E802" s="158" t="inlineStr">
        <is>
          <t>KG</t>
        </is>
      </c>
      <c r="F802" s="158" t="inlineStr">
        <is>
          <t>MATERIALES</t>
        </is>
      </c>
      <c r="G802" s="158" t="inlineStr">
        <is>
          <t>FERRETERIA GENERAL</t>
        </is>
      </c>
    </row>
    <row r="803">
      <c r="A803" s="564" t="n"/>
      <c r="B803" s="158" t="inlineStr">
        <is>
          <t>MAT08-0025</t>
        </is>
      </c>
      <c r="C803" s="558" t="inlineStr">
        <is>
          <t>0108-0025</t>
        </is>
      </c>
      <c r="D803" s="158" t="inlineStr">
        <is>
          <t>CLAVO DE ACERO 1" (25mm)</t>
        </is>
      </c>
      <c r="E803" s="158" t="inlineStr">
        <is>
          <t>CAJA</t>
        </is>
      </c>
      <c r="F803" s="158" t="inlineStr">
        <is>
          <t>MATERIALES</t>
        </is>
      </c>
      <c r="G803" s="158" t="inlineStr">
        <is>
          <t>FERRETERIA GENERAL</t>
        </is>
      </c>
    </row>
    <row r="804">
      <c r="A804" s="564" t="n"/>
      <c r="B804" s="158" t="inlineStr">
        <is>
          <t>MAT08-0026</t>
        </is>
      </c>
      <c r="C804" s="558" t="inlineStr">
        <is>
          <t>0108-0026</t>
        </is>
      </c>
      <c r="D804" s="158" t="inlineStr">
        <is>
          <t>CLAVO DE IMPACTO 1" (25mm)</t>
        </is>
      </c>
      <c r="E804" s="158" t="inlineStr">
        <is>
          <t>CAJA</t>
        </is>
      </c>
      <c r="F804" s="158" t="inlineStr">
        <is>
          <t>MATERIALES</t>
        </is>
      </c>
      <c r="G804" s="158" t="inlineStr">
        <is>
          <t>FERRETERIA GENERAL</t>
        </is>
      </c>
    </row>
    <row r="805">
      <c r="A805" s="564" t="n"/>
      <c r="B805" s="158" t="inlineStr">
        <is>
          <t>MAT08-0028</t>
        </is>
      </c>
      <c r="C805" s="558" t="inlineStr">
        <is>
          <t>0108-0028</t>
        </is>
      </c>
      <c r="D805" s="158" t="inlineStr">
        <is>
          <t>CODO 90 HG 1/2" (12mm)</t>
        </is>
      </c>
      <c r="E805" s="158" t="inlineStr">
        <is>
          <t>UND</t>
        </is>
      </c>
      <c r="F805" s="158" t="inlineStr">
        <is>
          <t>MATERIALES</t>
        </is>
      </c>
      <c r="G805" s="158" t="inlineStr">
        <is>
          <t>FERRETERIA GENERAL</t>
        </is>
      </c>
    </row>
    <row r="806">
      <c r="A806" s="564" t="n"/>
      <c r="B806" s="158" t="inlineStr">
        <is>
          <t>MAT08-0029</t>
        </is>
      </c>
      <c r="C806" s="558" t="inlineStr">
        <is>
          <t>0108-0029</t>
        </is>
      </c>
      <c r="D806" s="158" t="inlineStr">
        <is>
          <t>CRAYON AMARILLO</t>
        </is>
      </c>
      <c r="E806" s="158" t="inlineStr">
        <is>
          <t>UND</t>
        </is>
      </c>
      <c r="F806" s="158" t="inlineStr">
        <is>
          <t>MATERIALES</t>
        </is>
      </c>
      <c r="G806" s="158" t="inlineStr">
        <is>
          <t>FERRETERIA GENERAL</t>
        </is>
      </c>
    </row>
    <row r="807">
      <c r="A807" s="564" t="n"/>
      <c r="B807" s="158" t="inlineStr">
        <is>
          <t>MAT08-0031</t>
        </is>
      </c>
      <c r="C807" s="558" t="inlineStr">
        <is>
          <t>0108-0031</t>
        </is>
      </c>
      <c r="D807" s="158" t="inlineStr">
        <is>
          <t>CUERDA ALBAÑIL BLANCA</t>
        </is>
      </c>
      <c r="E807" s="158" t="inlineStr">
        <is>
          <t>UND</t>
        </is>
      </c>
      <c r="F807" s="158" t="inlineStr">
        <is>
          <t>MATERIALES</t>
        </is>
      </c>
      <c r="G807" s="158" t="inlineStr">
        <is>
          <t>FERRETERIA GENERAL</t>
        </is>
      </c>
    </row>
    <row r="808">
      <c r="A808" s="564" t="n"/>
      <c r="B808" s="158" t="inlineStr">
        <is>
          <t>MAT08-0032</t>
        </is>
      </c>
      <c r="C808" s="558" t="inlineStr">
        <is>
          <t>0108-0032</t>
        </is>
      </c>
      <c r="D808" s="158" t="inlineStr">
        <is>
          <t>BROCA DE 7/16" METAL</t>
        </is>
      </c>
      <c r="E808" s="158" t="inlineStr">
        <is>
          <t>UND</t>
        </is>
      </c>
      <c r="F808" s="158" t="inlineStr">
        <is>
          <t>MATERIALES</t>
        </is>
      </c>
      <c r="G808" s="158" t="inlineStr">
        <is>
          <t>FERRETERIA GENERAL</t>
        </is>
      </c>
    </row>
    <row r="809">
      <c r="A809" s="564" t="n"/>
      <c r="B809" s="158" t="inlineStr">
        <is>
          <t>MAT08-0033</t>
        </is>
      </c>
      <c r="C809" s="558" t="inlineStr">
        <is>
          <t>0108-0033</t>
        </is>
      </c>
      <c r="D809" s="158" t="inlineStr">
        <is>
          <t>DESAGUE METAL PARA LAVATORIO 1 1/4"</t>
        </is>
      </c>
      <c r="E809" s="158" t="inlineStr">
        <is>
          <t>UND</t>
        </is>
      </c>
      <c r="F809" s="158" t="inlineStr">
        <is>
          <t>MATERIALES</t>
        </is>
      </c>
      <c r="G809" s="158" t="inlineStr">
        <is>
          <t>FERRETERIA GENERAL</t>
        </is>
      </c>
    </row>
    <row r="810">
      <c r="A810" s="564" t="n"/>
      <c r="B810" s="158" t="inlineStr">
        <is>
          <t>MAT08-0034</t>
        </is>
      </c>
      <c r="C810" s="558" t="inlineStr">
        <is>
          <t>0108-0034</t>
        </is>
      </c>
      <c r="D810" s="158" t="inlineStr">
        <is>
          <t>HOJA DE SEGUETA</t>
        </is>
      </c>
      <c r="E810" s="158" t="inlineStr">
        <is>
          <t>UND</t>
        </is>
      </c>
      <c r="F810" s="158" t="inlineStr">
        <is>
          <t>MATERIALES</t>
        </is>
      </c>
      <c r="G810" s="158" t="inlineStr">
        <is>
          <t>FERRETERIA GENERAL</t>
        </is>
      </c>
    </row>
    <row r="811">
      <c r="A811" s="564" t="n"/>
      <c r="B811" s="158" t="inlineStr">
        <is>
          <t>MAT08-0035</t>
        </is>
      </c>
      <c r="C811" s="558" t="inlineStr">
        <is>
          <t>0108-0035</t>
        </is>
      </c>
      <c r="D811" s="158" t="inlineStr">
        <is>
          <t xml:space="preserve">DISCO PARA ESMERILAR DE 9" </t>
        </is>
      </c>
      <c r="E811" s="158" t="inlineStr">
        <is>
          <t>UND</t>
        </is>
      </c>
      <c r="F811" s="158" t="inlineStr">
        <is>
          <t>MATERIALES</t>
        </is>
      </c>
      <c r="G811" s="158" t="inlineStr">
        <is>
          <t>FERRETERIA GENERAL</t>
        </is>
      </c>
    </row>
    <row r="812">
      <c r="A812" s="564" t="n"/>
      <c r="B812" s="158" t="inlineStr">
        <is>
          <t>MAT08-0036</t>
        </is>
      </c>
      <c r="C812" s="558" t="inlineStr">
        <is>
          <t>0108-0036</t>
        </is>
      </c>
      <c r="D812" s="158" t="inlineStr">
        <is>
          <t>DISCO CORTE METAL 14"</t>
        </is>
      </c>
      <c r="E812" s="158" t="inlineStr">
        <is>
          <t>UND</t>
        </is>
      </c>
      <c r="F812" s="158" t="inlineStr">
        <is>
          <t>MATERIALES</t>
        </is>
      </c>
      <c r="G812" s="158" t="inlineStr">
        <is>
          <t>FERRETERIA GENERAL</t>
        </is>
      </c>
    </row>
    <row r="813">
      <c r="A813" s="564" t="n"/>
      <c r="B813" s="158" t="inlineStr">
        <is>
          <t>MAT08-0037</t>
        </is>
      </c>
      <c r="C813" s="558" t="inlineStr">
        <is>
          <t>0108-0037</t>
        </is>
      </c>
      <c r="D813" s="158" t="inlineStr">
        <is>
          <t>DISCO CORTE DIAMANTADO CONTINUO 4 1/2"</t>
        </is>
      </c>
      <c r="E813" s="158" t="inlineStr">
        <is>
          <t>UND</t>
        </is>
      </c>
      <c r="F813" s="158" t="inlineStr">
        <is>
          <t>MATERIALES</t>
        </is>
      </c>
      <c r="G813" s="158" t="inlineStr">
        <is>
          <t>FERRETERIA GENERAL</t>
        </is>
      </c>
    </row>
    <row r="814">
      <c r="A814" s="564" t="n"/>
      <c r="B814" s="158" t="inlineStr">
        <is>
          <t>MAT08-0038</t>
        </is>
      </c>
      <c r="C814" s="558" t="inlineStr">
        <is>
          <t>0108-0038</t>
        </is>
      </c>
      <c r="D814" s="158" t="inlineStr">
        <is>
          <t>DISCO CORTE METAL FINO 9"</t>
        </is>
      </c>
      <c r="E814" s="158" t="inlineStr">
        <is>
          <t>UND</t>
        </is>
      </c>
      <c r="F814" s="158" t="inlineStr">
        <is>
          <t>MATERIALES</t>
        </is>
      </c>
      <c r="G814" s="158" t="inlineStr">
        <is>
          <t>FERRETERIA GENERAL</t>
        </is>
      </c>
    </row>
    <row r="815">
      <c r="A815" s="564" t="n"/>
      <c r="B815" s="158" t="inlineStr">
        <is>
          <t>MAT08-0039</t>
        </is>
      </c>
      <c r="C815" s="558" t="inlineStr">
        <is>
          <t>0108-0039</t>
        </is>
      </c>
      <c r="D815" s="158" t="inlineStr">
        <is>
          <t>DISCO DIAMANTADO SEGMENTADO 4 1/2"</t>
        </is>
      </c>
      <c r="E815" s="158" t="inlineStr">
        <is>
          <t>UND</t>
        </is>
      </c>
      <c r="F815" s="158" t="inlineStr">
        <is>
          <t>MATERIALES</t>
        </is>
      </c>
      <c r="G815" s="158" t="inlineStr">
        <is>
          <t>FERRETERIA GENERAL</t>
        </is>
      </c>
    </row>
    <row r="816">
      <c r="A816" s="564" t="n"/>
      <c r="B816" s="158" t="inlineStr">
        <is>
          <t>MAT08-0040</t>
        </is>
      </c>
      <c r="C816" s="558" t="inlineStr">
        <is>
          <t>0108-0040</t>
        </is>
      </c>
      <c r="D816" s="158" t="inlineStr">
        <is>
          <t>DISCO ESMERILAR 4 1/2"</t>
        </is>
      </c>
      <c r="E816" s="158" t="inlineStr">
        <is>
          <t>UND</t>
        </is>
      </c>
      <c r="F816" s="158" t="inlineStr">
        <is>
          <t>MATERIALES</t>
        </is>
      </c>
      <c r="G816" s="158" t="inlineStr">
        <is>
          <t>FERRETERIA GENERAL</t>
        </is>
      </c>
    </row>
    <row r="817">
      <c r="A817" s="564" t="n"/>
      <c r="B817" s="158" t="inlineStr">
        <is>
          <t>MAT08-0042</t>
        </is>
      </c>
      <c r="C817" s="558" t="inlineStr">
        <is>
          <t>0108-0042</t>
        </is>
      </c>
      <c r="D817" s="158" t="inlineStr">
        <is>
          <t>DISCO FLAP G60 4 1/2"</t>
        </is>
      </c>
      <c r="E817" s="158" t="inlineStr">
        <is>
          <t>UND</t>
        </is>
      </c>
      <c r="F817" s="158" t="inlineStr">
        <is>
          <t>MATERIALES</t>
        </is>
      </c>
      <c r="G817" s="158" t="inlineStr">
        <is>
          <t>FERRETERIA GENERAL</t>
        </is>
      </c>
    </row>
    <row r="818">
      <c r="A818" s="564" t="n"/>
      <c r="B818" s="158" t="inlineStr">
        <is>
          <t>MAT08-0043</t>
        </is>
      </c>
      <c r="C818" s="558" t="inlineStr">
        <is>
          <t>0108-0043</t>
        </is>
      </c>
      <c r="D818" s="158" t="inlineStr">
        <is>
          <t>DISCO PUNTA DIAMANTE 9" SEGMENTADO</t>
        </is>
      </c>
      <c r="E818" s="158" t="inlineStr">
        <is>
          <t>UND</t>
        </is>
      </c>
      <c r="F818" s="158" t="inlineStr">
        <is>
          <t>MATERIALES</t>
        </is>
      </c>
      <c r="G818" s="158" t="inlineStr">
        <is>
          <t>FERRETERIA GENERAL</t>
        </is>
      </c>
    </row>
    <row r="819">
      <c r="A819" s="564" t="n"/>
      <c r="B819" s="158" t="inlineStr">
        <is>
          <t>MAT08-0044</t>
        </is>
      </c>
      <c r="C819" s="558" t="inlineStr">
        <is>
          <t>0108-0044</t>
        </is>
      </c>
      <c r="D819" s="158" t="inlineStr">
        <is>
          <t>EMPAQUE CERA</t>
        </is>
      </c>
      <c r="E819" s="158" t="inlineStr">
        <is>
          <t>UND</t>
        </is>
      </c>
      <c r="F819" s="158" t="inlineStr">
        <is>
          <t>MATERIALES</t>
        </is>
      </c>
      <c r="G819" s="158" t="inlineStr">
        <is>
          <t>FERRETERIA GENERAL</t>
        </is>
      </c>
    </row>
    <row r="820">
      <c r="A820" s="564" t="n"/>
      <c r="B820" s="158" t="inlineStr">
        <is>
          <t>MAT08-0045</t>
        </is>
      </c>
      <c r="C820" s="558" t="inlineStr">
        <is>
          <t>0108-0045</t>
        </is>
      </c>
      <c r="D820" s="158" t="inlineStr">
        <is>
          <t>ESPANDER PLASTICO #8</t>
        </is>
      </c>
      <c r="E820" s="158" t="inlineStr">
        <is>
          <t>UND</t>
        </is>
      </c>
      <c r="F820" s="158" t="inlineStr">
        <is>
          <t>MATERIALES</t>
        </is>
      </c>
      <c r="G820" s="158" t="inlineStr">
        <is>
          <t>FERRETERIA GENERAL</t>
        </is>
      </c>
    </row>
    <row r="821">
      <c r="A821" s="564" t="n"/>
      <c r="B821" s="158" t="inlineStr">
        <is>
          <t>MAT08-0046</t>
        </is>
      </c>
      <c r="C821" s="558" t="inlineStr">
        <is>
          <t>0108-0046</t>
        </is>
      </c>
      <c r="D821" s="158" t="inlineStr">
        <is>
          <t>ESPUMA EXPANSIVA</t>
        </is>
      </c>
      <c r="E821" s="158" t="inlineStr">
        <is>
          <t>UND</t>
        </is>
      </c>
      <c r="F821" s="158" t="inlineStr">
        <is>
          <t>MATERIALES</t>
        </is>
      </c>
      <c r="G821" s="158" t="inlineStr">
        <is>
          <t>FERRETERIA GENERAL</t>
        </is>
      </c>
    </row>
    <row r="822">
      <c r="A822" s="564" t="n"/>
      <c r="B822" s="158" t="inlineStr">
        <is>
          <t>MAT08-0047</t>
        </is>
      </c>
      <c r="C822" s="558" t="inlineStr">
        <is>
          <t>0108-0047</t>
        </is>
      </c>
      <c r="D822" s="158" t="inlineStr">
        <is>
          <t>EXTENSION METAL PARA SIFON 1 1/4"x8" (31mmx200mm)</t>
        </is>
      </c>
      <c r="E822" s="158" t="inlineStr">
        <is>
          <t>UND</t>
        </is>
      </c>
      <c r="F822" s="158" t="inlineStr">
        <is>
          <t>MATERIALES</t>
        </is>
      </c>
      <c r="G822" s="158" t="inlineStr">
        <is>
          <t>FERRETERIA GENERAL</t>
        </is>
      </c>
    </row>
    <row r="823">
      <c r="A823" s="564" t="n"/>
      <c r="B823" s="158" t="inlineStr">
        <is>
          <t>MAT08-0048</t>
        </is>
      </c>
      <c r="C823" s="558" t="inlineStr">
        <is>
          <t>0108-0048</t>
        </is>
      </c>
      <c r="D823" s="158" t="inlineStr">
        <is>
          <t>FELPA 1/2"</t>
        </is>
      </c>
      <c r="E823" s="158" t="inlineStr">
        <is>
          <t>UND</t>
        </is>
      </c>
      <c r="F823" s="158" t="inlineStr">
        <is>
          <t>MATERIALES</t>
        </is>
      </c>
      <c r="G823" s="158" t="inlineStr">
        <is>
          <t>FERRETERIA GENERAL</t>
        </is>
      </c>
    </row>
    <row r="824">
      <c r="A824" s="564" t="n"/>
      <c r="B824" s="158" t="inlineStr">
        <is>
          <t>MAT08-0049</t>
        </is>
      </c>
      <c r="C824" s="558" t="inlineStr">
        <is>
          <t>0108-0049</t>
        </is>
      </c>
      <c r="D824" s="158" t="inlineStr">
        <is>
          <t>FELPA 3/4"</t>
        </is>
      </c>
      <c r="E824" s="158" t="inlineStr">
        <is>
          <t>UND</t>
        </is>
      </c>
      <c r="F824" s="158" t="inlineStr">
        <is>
          <t>MATERIALES</t>
        </is>
      </c>
      <c r="G824" s="158" t="inlineStr">
        <is>
          <t>FERRETERIA GENERAL</t>
        </is>
      </c>
    </row>
    <row r="825">
      <c r="A825" s="564" t="n"/>
      <c r="B825" s="158" t="inlineStr">
        <is>
          <t>MAT08-0052</t>
        </is>
      </c>
      <c r="C825" s="558" t="inlineStr">
        <is>
          <t>0108-0052</t>
        </is>
      </c>
      <c r="D825" s="158" t="inlineStr">
        <is>
          <t>FLANGER DE INODORO 4" (100mm)</t>
        </is>
      </c>
      <c r="E825" s="158" t="inlineStr">
        <is>
          <t>UND</t>
        </is>
      </c>
      <c r="F825" s="158" t="inlineStr">
        <is>
          <t>MATERIALES</t>
        </is>
      </c>
      <c r="G825" s="158" t="inlineStr">
        <is>
          <t>FERRETERIA GENERAL</t>
        </is>
      </c>
    </row>
    <row r="826">
      <c r="A826" s="564" t="n"/>
      <c r="B826" s="158" t="inlineStr">
        <is>
          <t>MAT08-0053</t>
        </is>
      </c>
      <c r="C826" s="558" t="inlineStr">
        <is>
          <t>0108-0053</t>
        </is>
      </c>
      <c r="D826" s="158" t="inlineStr">
        <is>
          <t>FORMALETA 1X12X3VRS</t>
        </is>
      </c>
      <c r="E826" s="158" t="inlineStr">
        <is>
          <t>UND</t>
        </is>
      </c>
      <c r="F826" s="158" t="inlineStr">
        <is>
          <t>MATERIALES</t>
        </is>
      </c>
      <c r="G826" s="158" t="inlineStr">
        <is>
          <t>FERRETERIA GENERAL</t>
        </is>
      </c>
    </row>
    <row r="827">
      <c r="A827" s="564" t="n"/>
      <c r="B827" s="158" t="inlineStr">
        <is>
          <t>MAT08-0054</t>
        </is>
      </c>
      <c r="C827" s="558" t="inlineStr">
        <is>
          <t>0108-0054</t>
        </is>
      </c>
      <c r="D827" s="158" t="inlineStr">
        <is>
          <t xml:space="preserve">FORMALETA DE 1X12X4 VRS </t>
        </is>
      </c>
      <c r="E827" s="158" t="inlineStr">
        <is>
          <t>UND</t>
        </is>
      </c>
      <c r="F827" s="158" t="inlineStr">
        <is>
          <t>MATERIALES</t>
        </is>
      </c>
      <c r="G827" s="158" t="inlineStr">
        <is>
          <t>FERRETERIA GENERAL</t>
        </is>
      </c>
    </row>
    <row r="828">
      <c r="A828" s="564" t="n"/>
      <c r="B828" s="158" t="inlineStr">
        <is>
          <t>MAT08-0056</t>
        </is>
      </c>
      <c r="C828" s="558" t="inlineStr">
        <is>
          <t>0108-0056</t>
        </is>
      </c>
      <c r="D828" s="158" t="inlineStr">
        <is>
          <t>SEPARADOR P/CERAMICA 2MM</t>
        </is>
      </c>
      <c r="E828" s="158" t="inlineStr">
        <is>
          <t>UND</t>
        </is>
      </c>
      <c r="F828" s="158" t="inlineStr">
        <is>
          <t>MATERIALES</t>
        </is>
      </c>
      <c r="G828" s="158" t="inlineStr">
        <is>
          <t>FERRETERIA GENERAL</t>
        </is>
      </c>
    </row>
    <row r="829">
      <c r="A829" s="564" t="n"/>
      <c r="B829" s="158" t="inlineStr">
        <is>
          <t>MAT08-0057</t>
        </is>
      </c>
      <c r="C829" s="558" t="inlineStr">
        <is>
          <t>0108-0057</t>
        </is>
      </c>
      <c r="D829" s="158" t="inlineStr">
        <is>
          <t>DESATORADOR</t>
        </is>
      </c>
      <c r="E829" s="158" t="inlineStr">
        <is>
          <t>LITRO</t>
        </is>
      </c>
      <c r="F829" s="158" t="inlineStr">
        <is>
          <t>MATERIALES</t>
        </is>
      </c>
      <c r="G829" s="158" t="inlineStr">
        <is>
          <t>FERRETERIA GENERAL</t>
        </is>
      </c>
    </row>
    <row r="830">
      <c r="A830" s="564" t="n"/>
      <c r="B830" s="158" t="inlineStr">
        <is>
          <t>MAT08-0059</t>
        </is>
      </c>
      <c r="C830" s="558" t="inlineStr">
        <is>
          <t>0108-0059</t>
        </is>
      </c>
      <c r="D830" s="158" t="inlineStr">
        <is>
          <t>FUNDAS DE 10CM</t>
        </is>
      </c>
      <c r="E830" s="158" t="inlineStr">
        <is>
          <t>UND</t>
        </is>
      </c>
      <c r="F830" s="158" t="inlineStr">
        <is>
          <t>MATERIALES</t>
        </is>
      </c>
      <c r="G830" s="158" t="inlineStr">
        <is>
          <t>FERRETERIA GENERAL</t>
        </is>
      </c>
    </row>
    <row r="831">
      <c r="A831" s="564" t="n"/>
      <c r="B831" s="158" t="inlineStr">
        <is>
          <t>MAT08-0062</t>
        </is>
      </c>
      <c r="C831" s="558" t="inlineStr">
        <is>
          <t>0108-0062</t>
        </is>
      </c>
      <c r="D831" s="158" t="inlineStr">
        <is>
          <t>HIDROMETRO DE 1/2Q (12MM) ENCAPSULADO ROSCADO ARAD</t>
        </is>
      </c>
      <c r="E831" s="158" t="inlineStr">
        <is>
          <t>UND</t>
        </is>
      </c>
      <c r="F831" s="158" t="inlineStr">
        <is>
          <t>MATERIALES</t>
        </is>
      </c>
      <c r="G831" s="158" t="inlineStr">
        <is>
          <t>FERRETERIA GENERAL</t>
        </is>
      </c>
    </row>
    <row r="832">
      <c r="A832" s="564" t="n"/>
      <c r="B832" s="158" t="inlineStr">
        <is>
          <t>MAT08-0063</t>
        </is>
      </c>
      <c r="C832" s="558" t="inlineStr">
        <is>
          <t>0108-0063</t>
        </is>
      </c>
      <c r="D832" s="158" t="inlineStr">
        <is>
          <t>JUEGO DE ACCESORIOS 1/2 BRONCE BTP</t>
        </is>
      </c>
      <c r="E832" s="158" t="inlineStr">
        <is>
          <t>UND</t>
        </is>
      </c>
      <c r="F832" s="158" t="inlineStr">
        <is>
          <t>MATERIALES</t>
        </is>
      </c>
      <c r="G832" s="158" t="inlineStr">
        <is>
          <t>FERRETERIA GENERAL</t>
        </is>
      </c>
    </row>
    <row r="833">
      <c r="A833" s="564" t="n"/>
      <c r="B833" s="158" t="inlineStr">
        <is>
          <t>MAT08-0064</t>
        </is>
      </c>
      <c r="C833" s="558" t="inlineStr">
        <is>
          <t>0108-0064</t>
        </is>
      </c>
      <c r="D833" s="158" t="inlineStr">
        <is>
          <t>CANDADO</t>
        </is>
      </c>
      <c r="E833" s="158" t="inlineStr">
        <is>
          <t>UND</t>
        </is>
      </c>
      <c r="F833" s="158" t="inlineStr">
        <is>
          <t>MATERIALES</t>
        </is>
      </c>
      <c r="G833" s="158" t="inlineStr">
        <is>
          <t>FERRETERIA GENERAL</t>
        </is>
      </c>
    </row>
    <row r="834">
      <c r="A834" s="564" t="n"/>
      <c r="B834" s="158" t="inlineStr">
        <is>
          <t>MAT08-0065</t>
        </is>
      </c>
      <c r="C834" s="558" t="inlineStr">
        <is>
          <t>0108-0065</t>
        </is>
      </c>
      <c r="D834" s="158" t="inlineStr">
        <is>
          <t>LAMINA ESTEREOFON 2" 1.22X2.44MM</t>
        </is>
      </c>
      <c r="E834" s="158" t="inlineStr">
        <is>
          <t>UND</t>
        </is>
      </c>
      <c r="F834" s="158" t="inlineStr">
        <is>
          <t>MATERIALES</t>
        </is>
      </c>
      <c r="G834" s="158" t="inlineStr">
        <is>
          <t>FERRETERIA GENERAL</t>
        </is>
      </c>
    </row>
    <row r="835">
      <c r="A835" s="564" t="n"/>
      <c r="B835" s="158" t="inlineStr">
        <is>
          <t>MAT08-0066</t>
        </is>
      </c>
      <c r="C835" s="558" t="inlineStr">
        <is>
          <t>0108-0066</t>
        </is>
      </c>
      <c r="D835" s="158" t="inlineStr">
        <is>
          <t>LIJA METAL #120</t>
        </is>
      </c>
      <c r="E835" s="158" t="inlineStr">
        <is>
          <t>UND</t>
        </is>
      </c>
      <c r="F835" s="158" t="inlineStr">
        <is>
          <t>MATERIALES</t>
        </is>
      </c>
      <c r="G835" s="158" t="inlineStr">
        <is>
          <t>FERRETERIA GENERAL</t>
        </is>
      </c>
    </row>
    <row r="836">
      <c r="A836" s="564" t="n"/>
      <c r="B836" s="158" t="inlineStr">
        <is>
          <t>MAT08-0067</t>
        </is>
      </c>
      <c r="C836" s="558" t="inlineStr">
        <is>
          <t>0108-0067</t>
        </is>
      </c>
      <c r="D836" s="158" t="inlineStr">
        <is>
          <t>LIJA DE AGUA #120</t>
        </is>
      </c>
      <c r="E836" s="158" t="inlineStr">
        <is>
          <t>UND</t>
        </is>
      </c>
      <c r="F836" s="158" t="inlineStr">
        <is>
          <t>MATERIALES</t>
        </is>
      </c>
      <c r="G836" s="158" t="inlineStr">
        <is>
          <t>FERRETERIA GENERAL</t>
        </is>
      </c>
    </row>
    <row r="837">
      <c r="A837" s="564" t="n"/>
      <c r="B837" s="158" t="inlineStr">
        <is>
          <t>MAT08-0068</t>
        </is>
      </c>
      <c r="C837" s="558" t="inlineStr">
        <is>
          <t>0108-0068</t>
        </is>
      </c>
      <c r="D837" s="158" t="inlineStr">
        <is>
          <t>LIJA DE AGUA #150</t>
        </is>
      </c>
      <c r="E837" s="158" t="inlineStr">
        <is>
          <t>UND</t>
        </is>
      </c>
      <c r="F837" s="158" t="inlineStr">
        <is>
          <t>MATERIALES</t>
        </is>
      </c>
      <c r="G837" s="158" t="inlineStr">
        <is>
          <t>FERRETERIA GENERAL</t>
        </is>
      </c>
    </row>
    <row r="838">
      <c r="A838" s="564" t="n"/>
      <c r="B838" s="158" t="inlineStr">
        <is>
          <t>MAT08-0069</t>
        </is>
      </c>
      <c r="C838" s="558" t="inlineStr">
        <is>
          <t>0108-0069</t>
        </is>
      </c>
      <c r="D838" s="158" t="inlineStr">
        <is>
          <t>LIJA DE AGUA #180</t>
        </is>
      </c>
      <c r="E838" s="158" t="inlineStr">
        <is>
          <t>UND</t>
        </is>
      </c>
      <c r="F838" s="158" t="inlineStr">
        <is>
          <t>MATERIALES</t>
        </is>
      </c>
      <c r="G838" s="158" t="inlineStr">
        <is>
          <t>FERRETERIA GENERAL</t>
        </is>
      </c>
    </row>
    <row r="839">
      <c r="A839" s="564" t="n"/>
      <c r="B839" s="158" t="inlineStr">
        <is>
          <t>MAT08-0070</t>
        </is>
      </c>
      <c r="C839" s="558" t="inlineStr">
        <is>
          <t>0108-0070</t>
        </is>
      </c>
      <c r="D839" s="158" t="inlineStr">
        <is>
          <t>LIJA DE AGUA #220</t>
        </is>
      </c>
      <c r="E839" s="158" t="inlineStr">
        <is>
          <t>UND</t>
        </is>
      </c>
      <c r="F839" s="158" t="inlineStr">
        <is>
          <t>MATERIALES</t>
        </is>
      </c>
      <c r="G839" s="158" t="inlineStr">
        <is>
          <t>FERRETERIA GENERAL</t>
        </is>
      </c>
    </row>
    <row r="840">
      <c r="A840" s="564" t="n"/>
      <c r="B840" s="158" t="inlineStr">
        <is>
          <t>MAT08-0072</t>
        </is>
      </c>
      <c r="C840" s="558" t="inlineStr">
        <is>
          <t>0108-0072</t>
        </is>
      </c>
      <c r="D840" s="158" t="inlineStr">
        <is>
          <t>LLAVE  DE PASO PVC 1/2" (12mm)</t>
        </is>
      </c>
      <c r="E840" s="158" t="inlineStr">
        <is>
          <t>UND</t>
        </is>
      </c>
      <c r="F840" s="158" t="inlineStr">
        <is>
          <t>MATERIALES</t>
        </is>
      </c>
      <c r="G840" s="158" t="inlineStr">
        <is>
          <t>FERRETERIA GENERAL</t>
        </is>
      </c>
    </row>
    <row r="841">
      <c r="A841" s="564" t="n"/>
      <c r="B841" s="158" t="inlineStr">
        <is>
          <t>MAT08-0073</t>
        </is>
      </c>
      <c r="C841" s="558" t="inlineStr">
        <is>
          <t>0108-0073</t>
        </is>
      </c>
      <c r="D841" s="158" t="inlineStr">
        <is>
          <t>LLAVE DE CHORRO PREMIUM 1/2" (12mm)</t>
        </is>
      </c>
      <c r="E841" s="158" t="inlineStr">
        <is>
          <t>UND</t>
        </is>
      </c>
      <c r="F841" s="158" t="inlineStr">
        <is>
          <t>MATERIALES</t>
        </is>
      </c>
      <c r="G841" s="158" t="inlineStr">
        <is>
          <t>FERRETERIA GENERAL</t>
        </is>
      </c>
    </row>
    <row r="842">
      <c r="A842" s="564" t="n"/>
      <c r="B842" s="158" t="inlineStr">
        <is>
          <t>MAT08-0074</t>
        </is>
      </c>
      <c r="C842" s="558" t="inlineStr">
        <is>
          <t>0108-0074</t>
        </is>
      </c>
      <c r="D842" s="158" t="inlineStr">
        <is>
          <t>LLAVE DE CHORRO PVC 1/2" (12mm)</t>
        </is>
      </c>
      <c r="E842" s="158" t="inlineStr">
        <is>
          <t>UND</t>
        </is>
      </c>
      <c r="F842" s="158" t="inlineStr">
        <is>
          <t>MATERIALES</t>
        </is>
      </c>
      <c r="G842" s="158" t="inlineStr">
        <is>
          <t>FERRETERIA GENERAL</t>
        </is>
      </c>
    </row>
    <row r="843">
      <c r="A843" s="564" t="n"/>
      <c r="B843" s="158" t="inlineStr">
        <is>
          <t>MAT08-0075</t>
        </is>
      </c>
      <c r="C843" s="558" t="inlineStr">
        <is>
          <t>0108-0075</t>
        </is>
      </c>
      <c r="D843" s="158" t="inlineStr">
        <is>
          <t>LLAVE DE CONTROL ESCUADRA 1/2"x1/2" (12mmx12mm)</t>
        </is>
      </c>
      <c r="E843" s="158" t="inlineStr">
        <is>
          <t>UND</t>
        </is>
      </c>
      <c r="F843" s="158" t="inlineStr">
        <is>
          <t>MATERIALES</t>
        </is>
      </c>
      <c r="G843" s="158" t="inlineStr">
        <is>
          <t>FERRETERIA GENERAL</t>
        </is>
      </c>
    </row>
    <row r="844">
      <c r="A844" s="564" t="n"/>
      <c r="B844" s="158" t="inlineStr">
        <is>
          <t>MAT08-0079</t>
        </is>
      </c>
      <c r="C844" s="558" t="inlineStr">
        <is>
          <t>0108-0079</t>
        </is>
      </c>
      <c r="D844" s="158" t="inlineStr">
        <is>
          <t>MANGUERA ABASTO  1/2"x1/2" (12mmx12mm)</t>
        </is>
      </c>
      <c r="E844" s="158" t="inlineStr">
        <is>
          <t>UND</t>
        </is>
      </c>
      <c r="F844" s="158" t="inlineStr">
        <is>
          <t>MATERIALES</t>
        </is>
      </c>
      <c r="G844" s="158" t="inlineStr">
        <is>
          <t>FERRETERIA GENERAL</t>
        </is>
      </c>
    </row>
    <row r="845">
      <c r="A845" s="564" t="n"/>
      <c r="B845" s="158" t="inlineStr">
        <is>
          <t>MAT08-0080</t>
        </is>
      </c>
      <c r="C845" s="558" t="inlineStr">
        <is>
          <t>0108-0080</t>
        </is>
      </c>
      <c r="D845" s="158" t="inlineStr">
        <is>
          <t>CUTTER</t>
        </is>
      </c>
      <c r="E845" s="158" t="inlineStr">
        <is>
          <t>UND</t>
        </is>
      </c>
      <c r="F845" s="158" t="inlineStr">
        <is>
          <t>MATERIALES</t>
        </is>
      </c>
      <c r="G845" s="158" t="inlineStr">
        <is>
          <t>FERRETERIA GENERAL</t>
        </is>
      </c>
    </row>
    <row r="846">
      <c r="A846" s="564" t="n"/>
      <c r="B846" s="158" t="inlineStr">
        <is>
          <t>MAT08-0081</t>
        </is>
      </c>
      <c r="C846" s="558" t="inlineStr">
        <is>
          <t>0108-0081</t>
        </is>
      </c>
      <c r="D846" s="158" t="inlineStr">
        <is>
          <t>MANGUERA ABASTO P/INODORO 7/8"x1/2"</t>
        </is>
      </c>
      <c r="E846" s="158" t="inlineStr">
        <is>
          <t>UND</t>
        </is>
      </c>
      <c r="F846" s="158" t="inlineStr">
        <is>
          <t>MATERIALES</t>
        </is>
      </c>
      <c r="G846" s="158" t="inlineStr">
        <is>
          <t>FERRETERIA GENERAL</t>
        </is>
      </c>
    </row>
    <row r="847">
      <c r="A847" s="564" t="n"/>
      <c r="B847" s="158" t="inlineStr">
        <is>
          <t>MAT08-0085</t>
        </is>
      </c>
      <c r="C847" s="558" t="inlineStr">
        <is>
          <t>0108-0085</t>
        </is>
      </c>
      <c r="D847" s="158" t="inlineStr">
        <is>
          <t>MASKING BLANCO 2"</t>
        </is>
      </c>
      <c r="E847" s="158" t="inlineStr">
        <is>
          <t>UND</t>
        </is>
      </c>
      <c r="F847" s="158" t="inlineStr">
        <is>
          <t>MATERIALES</t>
        </is>
      </c>
      <c r="G847" s="158" t="inlineStr">
        <is>
          <t>FERRETERIA GENERAL</t>
        </is>
      </c>
    </row>
    <row r="848">
      <c r="A848" s="564" t="n"/>
      <c r="B848" s="158" t="inlineStr">
        <is>
          <t>MAT08-0087</t>
        </is>
      </c>
      <c r="C848" s="558" t="inlineStr">
        <is>
          <t>0108-0087</t>
        </is>
      </c>
      <c r="D848" s="158" t="inlineStr">
        <is>
          <t>MASKING AZUL 2"</t>
        </is>
      </c>
      <c r="E848" s="158" t="inlineStr">
        <is>
          <t>UND</t>
        </is>
      </c>
      <c r="F848" s="158" t="inlineStr">
        <is>
          <t>MATERIALES</t>
        </is>
      </c>
      <c r="G848" s="158" t="inlineStr">
        <is>
          <t>FERRETERIA GENERAL</t>
        </is>
      </c>
    </row>
    <row r="849">
      <c r="A849" s="564" t="n"/>
      <c r="B849" s="158" t="inlineStr">
        <is>
          <t>MAT08-0088</t>
        </is>
      </c>
      <c r="C849" s="558" t="inlineStr">
        <is>
          <t>0108-0088</t>
        </is>
      </c>
      <c r="D849" s="158" t="inlineStr">
        <is>
          <t>MAXISEAL PLUS GRIS 20KG</t>
        </is>
      </c>
      <c r="E849" s="158" t="inlineStr">
        <is>
          <t>UND</t>
        </is>
      </c>
      <c r="F849" s="158" t="inlineStr">
        <is>
          <t>MATERIALES</t>
        </is>
      </c>
      <c r="G849" s="158" t="inlineStr">
        <is>
          <t>FERRETERIA GENERAL</t>
        </is>
      </c>
    </row>
    <row r="850">
      <c r="A850" s="564" t="n"/>
      <c r="B850" s="158" t="inlineStr">
        <is>
          <t>MAT08-0091</t>
        </is>
      </c>
      <c r="C850" s="558" t="inlineStr">
        <is>
          <t>0108-0091</t>
        </is>
      </c>
      <c r="D850" s="158" t="inlineStr">
        <is>
          <t>MECHA BLANCA</t>
        </is>
      </c>
      <c r="E850" s="158" t="inlineStr">
        <is>
          <t>KG</t>
        </is>
      </c>
      <c r="F850" s="158" t="inlineStr">
        <is>
          <t>MATERIALES</t>
        </is>
      </c>
      <c r="G850" s="158" t="inlineStr">
        <is>
          <t>FERRETERIA GENERAL</t>
        </is>
      </c>
    </row>
    <row r="851">
      <c r="A851" s="564" t="n"/>
      <c r="B851" s="158" t="inlineStr">
        <is>
          <t>MAT08-0092</t>
        </is>
      </c>
      <c r="C851" s="558" t="inlineStr">
        <is>
          <t>0108-0092</t>
        </is>
      </c>
      <c r="D851" s="158" t="inlineStr">
        <is>
          <t>MERULA C/CATALIZADOR</t>
        </is>
      </c>
      <c r="E851" s="158" t="inlineStr">
        <is>
          <t>1/4 DE GALON</t>
        </is>
      </c>
      <c r="F851" s="158" t="inlineStr">
        <is>
          <t>MATERIALES</t>
        </is>
      </c>
      <c r="G851" s="158" t="inlineStr">
        <is>
          <t>FERRETERIA GENERAL</t>
        </is>
      </c>
    </row>
    <row r="852">
      <c r="A852" s="564" t="n"/>
      <c r="B852" s="158" t="inlineStr">
        <is>
          <t>MAT08-0093</t>
        </is>
      </c>
      <c r="C852" s="558" t="inlineStr">
        <is>
          <t>0108-0093</t>
        </is>
      </c>
      <c r="D852" s="158" t="inlineStr">
        <is>
          <t>MOLDURA J PLASTICA 1/2"</t>
        </is>
      </c>
      <c r="E852" s="158" t="inlineStr">
        <is>
          <t>UND</t>
        </is>
      </c>
      <c r="F852" s="158" t="inlineStr">
        <is>
          <t>MATERIALES</t>
        </is>
      </c>
      <c r="G852" s="158" t="inlineStr">
        <is>
          <t>FERRETERIA GENERAL</t>
        </is>
      </c>
    </row>
    <row r="853">
      <c r="A853" s="564" t="n"/>
      <c r="B853" s="158" t="inlineStr">
        <is>
          <t>MAT08-0094</t>
        </is>
      </c>
      <c r="C853" s="558" t="inlineStr">
        <is>
          <t>0108-0094</t>
        </is>
      </c>
      <c r="D853" s="158" t="inlineStr">
        <is>
          <t>NIPLE 1/2"x3" (12mmx75mm) H.G.</t>
        </is>
      </c>
      <c r="E853" s="158" t="inlineStr">
        <is>
          <t>UND</t>
        </is>
      </c>
      <c r="F853" s="158" t="inlineStr">
        <is>
          <t>MATERIALES</t>
        </is>
      </c>
      <c r="G853" s="158" t="inlineStr">
        <is>
          <t>FERRETERIA GENERAL</t>
        </is>
      </c>
    </row>
    <row r="854">
      <c r="A854" s="564" t="n"/>
      <c r="B854" s="158" t="inlineStr">
        <is>
          <t>MAT08-0095</t>
        </is>
      </c>
      <c r="C854" s="558" t="inlineStr">
        <is>
          <t>0108-0095</t>
        </is>
      </c>
      <c r="D854" s="158" t="inlineStr">
        <is>
          <t>NIPLE 1/2"X4" (12mmx100mm) HG</t>
        </is>
      </c>
      <c r="E854" s="158" t="inlineStr">
        <is>
          <t>UND</t>
        </is>
      </c>
      <c r="F854" s="158" t="inlineStr">
        <is>
          <t>MATERIALES</t>
        </is>
      </c>
      <c r="G854" s="158" t="inlineStr">
        <is>
          <t>FERRETERIA GENERAL</t>
        </is>
      </c>
    </row>
    <row r="855">
      <c r="A855" s="564" t="n"/>
      <c r="B855" s="158" t="inlineStr">
        <is>
          <t>MAT08-0098</t>
        </is>
      </c>
      <c r="C855" s="558" t="inlineStr">
        <is>
          <t>0108-0098</t>
        </is>
      </c>
      <c r="D855" s="158" t="inlineStr">
        <is>
          <t>PAPEL COBERTOR 9"</t>
        </is>
      </c>
      <c r="E855" s="158" t="inlineStr">
        <is>
          <t>ROLLO</t>
        </is>
      </c>
      <c r="F855" s="158" t="inlineStr">
        <is>
          <t>MATERIALES</t>
        </is>
      </c>
      <c r="G855" s="158" t="inlineStr">
        <is>
          <t>FERRETERIA GENERAL</t>
        </is>
      </c>
    </row>
    <row r="856">
      <c r="A856" s="564" t="n"/>
      <c r="B856" s="158" t="inlineStr">
        <is>
          <t>MAT08-0099</t>
        </is>
      </c>
      <c r="C856" s="558" t="inlineStr">
        <is>
          <t>0108-0099</t>
        </is>
      </c>
      <c r="D856" s="158" t="inlineStr">
        <is>
          <t>PLASTICO NEGRO</t>
        </is>
      </c>
      <c r="E856" s="158" t="inlineStr">
        <is>
          <t>ROLLO</t>
        </is>
      </c>
      <c r="F856" s="158" t="inlineStr">
        <is>
          <t>MATERIALES</t>
        </is>
      </c>
      <c r="G856" s="158" t="inlineStr">
        <is>
          <t>FERRETERIA GENERAL</t>
        </is>
      </c>
    </row>
    <row r="857">
      <c r="A857" s="564" t="n"/>
      <c r="B857" s="158" t="inlineStr">
        <is>
          <t>MAT08-0101</t>
        </is>
      </c>
      <c r="C857" s="558" t="inlineStr">
        <is>
          <t>0108-0101</t>
        </is>
      </c>
      <c r="D857" s="158" t="inlineStr">
        <is>
          <t>PLASTICO PARA PALETIZAR 80-120 CM</t>
        </is>
      </c>
      <c r="E857" s="158" t="inlineStr">
        <is>
          <t>UND</t>
        </is>
      </c>
      <c r="F857" s="158" t="inlineStr">
        <is>
          <t>MATERIALES</t>
        </is>
      </c>
      <c r="G857" s="158" t="inlineStr">
        <is>
          <t>FERRETERIA GENERAL</t>
        </is>
      </c>
    </row>
    <row r="858" ht="15.75" customHeight="1">
      <c r="A858" s="564" t="n"/>
      <c r="B858" s="158" t="inlineStr">
        <is>
          <t>MAT08-0102</t>
        </is>
      </c>
      <c r="C858" s="558" t="inlineStr">
        <is>
          <t>0108-0102</t>
        </is>
      </c>
      <c r="D858" s="158" t="inlineStr">
        <is>
          <t>REGLA DE 1"x3"x4VRS/S.C.</t>
        </is>
      </c>
      <c r="E858" s="158" t="inlineStr">
        <is>
          <t>UND</t>
        </is>
      </c>
      <c r="F858" s="158" t="inlineStr">
        <is>
          <t>MATERIALES</t>
        </is>
      </c>
      <c r="G858" s="158" t="inlineStr">
        <is>
          <t>FERRETERIA GENERAL</t>
        </is>
      </c>
    </row>
    <row r="859">
      <c r="A859" s="564" t="n"/>
      <c r="B859" s="158" t="inlineStr">
        <is>
          <t>MAT08-0104</t>
        </is>
      </c>
      <c r="C859" s="558" t="inlineStr">
        <is>
          <t>0108-0104</t>
        </is>
      </c>
      <c r="D859" s="158" t="inlineStr">
        <is>
          <t>REGLA SEMIDURO 1"x3"x4vrs S/C</t>
        </is>
      </c>
      <c r="E859" s="158" t="inlineStr">
        <is>
          <t>VRS</t>
        </is>
      </c>
      <c r="F859" s="158" t="inlineStr">
        <is>
          <t>MATERIALES</t>
        </is>
      </c>
      <c r="G859" s="158" t="inlineStr">
        <is>
          <t>FERRETERIA GENERAL</t>
        </is>
      </c>
    </row>
    <row r="860">
      <c r="A860" s="564" t="n"/>
      <c r="B860" s="158" t="inlineStr">
        <is>
          <t>MAT08-0105</t>
        </is>
      </c>
      <c r="C860" s="558" t="inlineStr">
        <is>
          <t>0108-0105</t>
        </is>
      </c>
      <c r="D860" s="158" t="inlineStr">
        <is>
          <t>RODILLO PARA FELPA</t>
        </is>
      </c>
      <c r="E860" s="158" t="inlineStr">
        <is>
          <t>UND</t>
        </is>
      </c>
      <c r="F860" s="158" t="inlineStr">
        <is>
          <t>MATERIALES</t>
        </is>
      </c>
      <c r="G860" s="158" t="inlineStr">
        <is>
          <t>FERRETERIA GENERAL</t>
        </is>
      </c>
    </row>
    <row r="861">
      <c r="A861" s="564" t="n"/>
      <c r="B861" s="158" t="inlineStr">
        <is>
          <t>MAT08-0106</t>
        </is>
      </c>
      <c r="C861" s="558" t="inlineStr">
        <is>
          <t>0108-0106</t>
        </is>
      </c>
      <c r="D861" s="158" t="inlineStr">
        <is>
          <t>SARAN 80% 2M DE ALTO</t>
        </is>
      </c>
      <c r="E861" s="158" t="inlineStr">
        <is>
          <t>ROLLO</t>
        </is>
      </c>
      <c r="F861" s="158" t="inlineStr">
        <is>
          <t>MATERIALES</t>
        </is>
      </c>
      <c r="G861" s="158" t="inlineStr">
        <is>
          <t>FERRETERIA GENERAL</t>
        </is>
      </c>
    </row>
    <row r="862">
      <c r="A862" s="564" t="n"/>
      <c r="B862" s="158" t="inlineStr">
        <is>
          <t>MAT08-0107</t>
        </is>
      </c>
      <c r="C862" s="558" t="inlineStr">
        <is>
          <t>0108-0107</t>
        </is>
      </c>
      <c r="D862" s="158" t="inlineStr">
        <is>
          <t>SEPARADOR DE 10CM DS150</t>
        </is>
      </c>
      <c r="E862" s="158" t="inlineStr">
        <is>
          <t>UND</t>
        </is>
      </c>
      <c r="F862" s="158" t="inlineStr">
        <is>
          <t>MATERIALES</t>
        </is>
      </c>
      <c r="G862" s="158" t="inlineStr">
        <is>
          <t>FERRETERIA GENERAL</t>
        </is>
      </c>
    </row>
    <row r="863">
      <c r="A863" s="564" t="n"/>
      <c r="B863" s="158" t="inlineStr">
        <is>
          <t>MAT08-0108</t>
        </is>
      </c>
      <c r="C863" s="558" t="inlineStr">
        <is>
          <t>0108-0108</t>
        </is>
      </c>
      <c r="D863" s="158" t="inlineStr">
        <is>
          <t>SEPARADOR TIPO CONO 2.5CM (1") SP125</t>
        </is>
      </c>
      <c r="E863" s="158" t="inlineStr">
        <is>
          <t>UND</t>
        </is>
      </c>
      <c r="F863" s="158" t="inlineStr">
        <is>
          <t>MATERIALES</t>
        </is>
      </c>
      <c r="G863" s="158" t="inlineStr">
        <is>
          <t>FERRETERIA GENERAL</t>
        </is>
      </c>
    </row>
    <row r="864">
      <c r="A864" s="564" t="n"/>
      <c r="B864" s="158" t="inlineStr">
        <is>
          <t>MAT08-0109</t>
        </is>
      </c>
      <c r="C864" s="558" t="inlineStr">
        <is>
          <t>0108-0109</t>
        </is>
      </c>
      <c r="D864" s="158" t="inlineStr">
        <is>
          <t>SEPARADOR TIPO CONO DE  9CM SP350</t>
        </is>
      </c>
      <c r="E864" s="158" t="inlineStr">
        <is>
          <t>UND</t>
        </is>
      </c>
      <c r="F864" s="158" t="inlineStr">
        <is>
          <t>MATERIALES</t>
        </is>
      </c>
      <c r="G864" s="158" t="inlineStr">
        <is>
          <t>FERRETERIA GENERAL</t>
        </is>
      </c>
    </row>
    <row r="865">
      <c r="A865" s="564" t="n"/>
      <c r="B865" s="158" t="inlineStr">
        <is>
          <t>MAT08-0110</t>
        </is>
      </c>
      <c r="C865" s="558" t="inlineStr">
        <is>
          <t>0108-0110</t>
        </is>
      </c>
      <c r="D865" s="158" t="inlineStr">
        <is>
          <t>SEPARADOR PARA CERAMICA 4 MM</t>
        </is>
      </c>
      <c r="E865" s="158" t="inlineStr">
        <is>
          <t>BOLSA</t>
        </is>
      </c>
      <c r="F865" s="158" t="inlineStr">
        <is>
          <t>MATERIALES</t>
        </is>
      </c>
      <c r="G865" s="158" t="inlineStr">
        <is>
          <t>FERRETERIA GENERAL</t>
        </is>
      </c>
    </row>
    <row r="866">
      <c r="A866" s="564" t="n"/>
      <c r="B866" s="158" t="inlineStr">
        <is>
          <t>MAT08-0113</t>
        </is>
      </c>
      <c r="C866" s="558" t="inlineStr">
        <is>
          <t>0108-0113</t>
        </is>
      </c>
      <c r="D866" s="158" t="inlineStr">
        <is>
          <t>SIFON CROMADO A PARED 1 1/4</t>
        </is>
      </c>
      <c r="E866" s="158" t="inlineStr">
        <is>
          <t>UND</t>
        </is>
      </c>
      <c r="F866" s="158" t="inlineStr">
        <is>
          <t>MATERIALES</t>
        </is>
      </c>
      <c r="G866" s="158" t="inlineStr">
        <is>
          <t>FERRETERIA GENERAL</t>
        </is>
      </c>
    </row>
    <row r="867">
      <c r="A867" s="564" t="n"/>
      <c r="B867" s="158" t="inlineStr">
        <is>
          <t>MAT08-0114</t>
        </is>
      </c>
      <c r="C867" s="558" t="inlineStr">
        <is>
          <t>0108-0114</t>
        </is>
      </c>
      <c r="D867" s="158" t="inlineStr">
        <is>
          <t>SILLETA P/MALLA SM100</t>
        </is>
      </c>
      <c r="E867" s="158" t="inlineStr">
        <is>
          <t>UND</t>
        </is>
      </c>
      <c r="F867" s="158" t="inlineStr">
        <is>
          <t>MATERIALES</t>
        </is>
      </c>
      <c r="G867" s="158" t="inlineStr">
        <is>
          <t>FERRETERIA GENERAL</t>
        </is>
      </c>
    </row>
    <row r="868">
      <c r="A868" s="564" t="n"/>
      <c r="B868" s="158" t="inlineStr">
        <is>
          <t>MAT08-0115</t>
        </is>
      </c>
      <c r="C868" s="558" t="inlineStr">
        <is>
          <t>0108-0115</t>
        </is>
      </c>
      <c r="D868" s="158" t="inlineStr">
        <is>
          <t>SILLETA P/MALLA SM475</t>
        </is>
      </c>
      <c r="E868" s="158" t="inlineStr">
        <is>
          <t>UND</t>
        </is>
      </c>
      <c r="F868" s="158" t="inlineStr">
        <is>
          <t>MATERIALES</t>
        </is>
      </c>
      <c r="G868" s="158" t="inlineStr">
        <is>
          <t>FERRETERIA GENERAL</t>
        </is>
      </c>
    </row>
    <row r="869">
      <c r="A869" s="564" t="n"/>
      <c r="B869" s="158" t="inlineStr">
        <is>
          <t>MAT08-0116</t>
        </is>
      </c>
      <c r="C869" s="558" t="inlineStr">
        <is>
          <t>0108-0116</t>
        </is>
      </c>
      <c r="D869" s="158" t="inlineStr">
        <is>
          <t>SOLDADURA 3/32 (6013)</t>
        </is>
      </c>
      <c r="E869" s="158" t="inlineStr">
        <is>
          <t>KG</t>
        </is>
      </c>
      <c r="F869" s="158" t="inlineStr">
        <is>
          <t>MATERIALES</t>
        </is>
      </c>
      <c r="G869" s="158" t="inlineStr">
        <is>
          <t>FERRETERIA GENERAL</t>
        </is>
      </c>
    </row>
    <row r="870">
      <c r="A870" s="564" t="n"/>
      <c r="B870" s="158" t="inlineStr">
        <is>
          <t>MAT08-0118</t>
        </is>
      </c>
      <c r="C870" s="558" t="inlineStr">
        <is>
          <t>0108-0118</t>
        </is>
      </c>
      <c r="D870" s="158" t="inlineStr">
        <is>
          <t>TAPE SCOTCH 35 ROJO</t>
        </is>
      </c>
      <c r="E870" s="158" t="inlineStr">
        <is>
          <t>UND</t>
        </is>
      </c>
      <c r="F870" s="158" t="inlineStr">
        <is>
          <t>MATERIALES</t>
        </is>
      </c>
      <c r="G870" s="158" t="inlineStr">
        <is>
          <t>FERRETERIA GENERAL</t>
        </is>
      </c>
    </row>
    <row r="871">
      <c r="A871" s="564" t="n"/>
      <c r="B871" s="158" t="inlineStr">
        <is>
          <t>MAT08-0119</t>
        </is>
      </c>
      <c r="C871" s="558" t="inlineStr">
        <is>
          <t>0108-0119</t>
        </is>
      </c>
      <c r="D871" s="158" t="inlineStr">
        <is>
          <t>TEFLON CINTA 1/2" (10M)</t>
        </is>
      </c>
      <c r="E871" s="158" t="inlineStr">
        <is>
          <t>UND</t>
        </is>
      </c>
      <c r="F871" s="158" t="inlineStr">
        <is>
          <t>MATERIALES</t>
        </is>
      </c>
      <c r="G871" s="158" t="inlineStr">
        <is>
          <t>FERRETERIA GENERAL</t>
        </is>
      </c>
    </row>
    <row r="872">
      <c r="A872" s="564" t="n"/>
      <c r="B872" s="158" t="inlineStr">
        <is>
          <t>MAT08-0120</t>
        </is>
      </c>
      <c r="C872" s="558" t="inlineStr">
        <is>
          <t>0108-0120</t>
        </is>
      </c>
      <c r="D872" s="158" t="inlineStr">
        <is>
          <t>TIRO FULMINANTE P/PISTOLA 25MM</t>
        </is>
      </c>
      <c r="E872" s="158" t="inlineStr">
        <is>
          <t>CAJA</t>
        </is>
      </c>
      <c r="F872" s="158" t="inlineStr">
        <is>
          <t>MATERIALES</t>
        </is>
      </c>
      <c r="G872" s="158" t="inlineStr">
        <is>
          <t>FERRETERIA GENERAL</t>
        </is>
      </c>
    </row>
    <row r="873">
      <c r="A873" s="564" t="n"/>
      <c r="B873" s="158" t="inlineStr">
        <is>
          <t>MAT08-0121</t>
        </is>
      </c>
      <c r="C873" s="558" t="inlineStr">
        <is>
          <t>0108-0121</t>
        </is>
      </c>
      <c r="D873" s="158" t="inlineStr">
        <is>
          <t>TIZA BLANCA PARA SOLDADOR</t>
        </is>
      </c>
      <c r="E873" s="158" t="inlineStr">
        <is>
          <t>UND</t>
        </is>
      </c>
      <c r="F873" s="158" t="inlineStr">
        <is>
          <t>MATERIALES</t>
        </is>
      </c>
      <c r="G873" s="158" t="inlineStr">
        <is>
          <t>FERRETERIA GENERAL</t>
        </is>
      </c>
    </row>
    <row r="874">
      <c r="A874" s="564" t="n"/>
      <c r="B874" s="158" t="inlineStr">
        <is>
          <t>MAT08-0122</t>
        </is>
      </c>
      <c r="C874" s="558" t="inlineStr">
        <is>
          <t>0108-0122</t>
        </is>
      </c>
      <c r="D874" s="566" t="inlineStr">
        <is>
          <t>TORNILLO 6X1 1/4 P/MADERA P/FINA</t>
        </is>
      </c>
      <c r="E874" s="158" t="inlineStr">
        <is>
          <t>UND</t>
        </is>
      </c>
      <c r="F874" s="158" t="inlineStr">
        <is>
          <t>MATERIALES</t>
        </is>
      </c>
      <c r="G874" s="158" t="inlineStr">
        <is>
          <t>FERRETERIA GENERAL</t>
        </is>
      </c>
    </row>
    <row r="875">
      <c r="A875" s="564" t="n"/>
      <c r="B875" s="158" t="inlineStr">
        <is>
          <t>MAT08-0125</t>
        </is>
      </c>
      <c r="C875" s="558" t="inlineStr">
        <is>
          <t>0108-0125</t>
        </is>
      </c>
      <c r="D875" s="158" t="inlineStr">
        <is>
          <t>TORNILLO 3/16x1/2" PTA FINA CABEZA PLANA</t>
        </is>
      </c>
      <c r="E875" s="158" t="inlineStr">
        <is>
          <t>UND</t>
        </is>
      </c>
      <c r="F875" s="158" t="inlineStr">
        <is>
          <t>MATERIALES</t>
        </is>
      </c>
      <c r="G875" s="158" t="inlineStr">
        <is>
          <t>FERRETERIA GENERAL</t>
        </is>
      </c>
    </row>
    <row r="876">
      <c r="A876" s="564" t="n"/>
      <c r="B876" s="158" t="inlineStr">
        <is>
          <t>MAT08-0126</t>
        </is>
      </c>
      <c r="C876" s="558" t="inlineStr">
        <is>
          <t>0108-0126</t>
        </is>
      </c>
      <c r="D876" s="158" t="inlineStr">
        <is>
          <t>TORNILLO 1" C/EMPAQUE, TUERCA ARANDELA Y TAPON (PARA UPVC)</t>
        </is>
      </c>
      <c r="E876" s="158" t="inlineStr">
        <is>
          <t>UND</t>
        </is>
      </c>
      <c r="F876" s="158" t="inlineStr">
        <is>
          <t>MATERIALES</t>
        </is>
      </c>
      <c r="G876" s="158" t="inlineStr">
        <is>
          <t>FERRETERIA GENERAL</t>
        </is>
      </c>
    </row>
    <row r="877">
      <c r="A877" s="564" t="n"/>
      <c r="B877" s="158" t="inlineStr">
        <is>
          <t>MAT08-0127</t>
        </is>
      </c>
      <c r="C877" s="558" t="inlineStr">
        <is>
          <t>0108-0127</t>
        </is>
      </c>
      <c r="D877" s="158" t="inlineStr">
        <is>
          <t>TORNILLO 2" GALVANIZADO P/TECHO  P/BROCA</t>
        </is>
      </c>
      <c r="E877" s="158" t="inlineStr">
        <is>
          <t>UND</t>
        </is>
      </c>
      <c r="F877" s="158" t="inlineStr">
        <is>
          <t>MATERIALES</t>
        </is>
      </c>
      <c r="G877" s="158" t="inlineStr">
        <is>
          <t>FERRETERIA GENERAL</t>
        </is>
      </c>
    </row>
    <row r="878">
      <c r="A878" s="564" t="n"/>
      <c r="B878" s="158" t="inlineStr">
        <is>
          <t>MAT08-0129</t>
        </is>
      </c>
      <c r="C878" s="558" t="inlineStr">
        <is>
          <t>0108-0129</t>
        </is>
      </c>
      <c r="D878" s="158" t="inlineStr">
        <is>
          <t>TORNILLO METAL #10 PARA S8</t>
        </is>
      </c>
      <c r="E878" s="158" t="inlineStr">
        <is>
          <t>UND</t>
        </is>
      </c>
      <c r="F878" s="158" t="inlineStr">
        <is>
          <t>MATERIALES</t>
        </is>
      </c>
      <c r="G878" s="158" t="inlineStr">
        <is>
          <t>FERRETERIA GENERAL</t>
        </is>
      </c>
    </row>
    <row r="879">
      <c r="A879" s="564" t="n"/>
      <c r="B879" s="158" t="inlineStr">
        <is>
          <t>MAT08-0130</t>
        </is>
      </c>
      <c r="C879" s="558" t="inlineStr">
        <is>
          <t>0108-0130</t>
        </is>
      </c>
      <c r="D879" s="158" t="inlineStr">
        <is>
          <t>ESPUMA P/LIMPIAR</t>
        </is>
      </c>
      <c r="E879" s="158" t="inlineStr">
        <is>
          <t>UND</t>
        </is>
      </c>
      <c r="F879" s="158" t="inlineStr">
        <is>
          <t>MATERIALES</t>
        </is>
      </c>
      <c r="G879" s="158" t="inlineStr">
        <is>
          <t>FERRETERIA GENERAL</t>
        </is>
      </c>
    </row>
    <row r="880">
      <c r="A880" s="564" t="n"/>
      <c r="B880" s="158" t="inlineStr">
        <is>
          <t>MAT08-0132</t>
        </is>
      </c>
      <c r="C880" s="558" t="inlineStr">
        <is>
          <t>0108-0132</t>
        </is>
      </c>
      <c r="D880" s="158" t="inlineStr">
        <is>
          <t>TORNILLO P/MADERA 6x2x0.8 PTA FINA</t>
        </is>
      </c>
      <c r="E880" s="158" t="inlineStr">
        <is>
          <t>UND</t>
        </is>
      </c>
      <c r="F880" s="158" t="inlineStr">
        <is>
          <t>MATERIALES</t>
        </is>
      </c>
      <c r="G880" s="158" t="inlineStr">
        <is>
          <t>FERRETERIA GENERAL</t>
        </is>
      </c>
    </row>
    <row r="881">
      <c r="A881" s="564" t="n"/>
      <c r="B881" s="158" t="inlineStr">
        <is>
          <t>MAT08-0134</t>
        </is>
      </c>
      <c r="C881" s="558" t="inlineStr">
        <is>
          <t>0108-0134</t>
        </is>
      </c>
      <c r="D881" s="158" t="inlineStr">
        <is>
          <t>UNION HG 1/2"</t>
        </is>
      </c>
      <c r="E881" s="158" t="inlineStr">
        <is>
          <t>UND</t>
        </is>
      </c>
      <c r="F881" s="158" t="inlineStr">
        <is>
          <t>MATERIALES</t>
        </is>
      </c>
      <c r="G881" s="158" t="inlineStr">
        <is>
          <t>FERRETERIA GENERAL</t>
        </is>
      </c>
    </row>
    <row r="882">
      <c r="A882" s="564" t="n"/>
      <c r="B882" s="158" t="inlineStr">
        <is>
          <t>MAT08-0135</t>
        </is>
      </c>
      <c r="C882" s="558" t="inlineStr">
        <is>
          <t>0108-0135</t>
        </is>
      </c>
      <c r="D882" s="158" t="inlineStr">
        <is>
          <t>DESAGUE PUSH P/BAÑO</t>
        </is>
      </c>
      <c r="E882" s="158" t="inlineStr">
        <is>
          <t>UND</t>
        </is>
      </c>
      <c r="F882" s="158" t="inlineStr">
        <is>
          <t>MATERIALES</t>
        </is>
      </c>
      <c r="G882" s="158" t="inlineStr">
        <is>
          <t>FERRETERIA GENERAL</t>
        </is>
      </c>
    </row>
    <row r="883">
      <c r="A883" s="564" t="n"/>
      <c r="B883" s="158" t="inlineStr">
        <is>
          <t>MAT08-0137</t>
        </is>
      </c>
      <c r="C883" s="558" t="inlineStr">
        <is>
          <t>0108-0137</t>
        </is>
      </c>
      <c r="D883" s="158" t="inlineStr">
        <is>
          <t>MASKING AZUL 3/4"</t>
        </is>
      </c>
      <c r="E883" s="158" t="inlineStr">
        <is>
          <t>UND</t>
        </is>
      </c>
      <c r="F883" s="158" t="inlineStr">
        <is>
          <t>MATERIALES</t>
        </is>
      </c>
      <c r="G883" s="158" t="inlineStr">
        <is>
          <t>FERRETERIA GENERAL</t>
        </is>
      </c>
    </row>
    <row r="884">
      <c r="A884" s="564" t="n"/>
      <c r="B884" s="158" t="inlineStr">
        <is>
          <t>MAT08-0138</t>
        </is>
      </c>
      <c r="C884" s="558" t="inlineStr">
        <is>
          <t>0108-0138</t>
        </is>
      </c>
      <c r="D884" s="158" t="inlineStr">
        <is>
          <t>ROLLO AISLANTE DE SONIDO</t>
        </is>
      </c>
      <c r="E884" s="158" t="inlineStr">
        <is>
          <t>ROLLO</t>
        </is>
      </c>
      <c r="F884" s="158" t="inlineStr">
        <is>
          <t>MATERIALES</t>
        </is>
      </c>
      <c r="G884" s="158" t="inlineStr">
        <is>
          <t>FERRETERIA GENERAL</t>
        </is>
      </c>
    </row>
    <row r="885">
      <c r="A885" s="564" t="n"/>
      <c r="B885" s="158" t="inlineStr">
        <is>
          <t>MAT08-0141</t>
        </is>
      </c>
      <c r="C885" s="558" t="inlineStr">
        <is>
          <t>0108-0141</t>
        </is>
      </c>
      <c r="D885" s="158" t="inlineStr">
        <is>
          <t>SEPARADORES TIPO CONO 12CM SP450</t>
        </is>
      </c>
      <c r="E885" s="158" t="inlineStr">
        <is>
          <t>UND</t>
        </is>
      </c>
      <c r="F885" s="158" t="inlineStr">
        <is>
          <t>MATERIALES</t>
        </is>
      </c>
      <c r="G885" s="158" t="inlineStr">
        <is>
          <t>FERRETERIA GENERAL</t>
        </is>
      </c>
    </row>
    <row r="886">
      <c r="A886" s="564" t="n"/>
      <c r="B886" s="158" t="inlineStr">
        <is>
          <t>MAT08-0142</t>
        </is>
      </c>
      <c r="C886" s="558" t="inlineStr">
        <is>
          <t>0108-0142</t>
        </is>
      </c>
      <c r="D886" s="158" t="inlineStr">
        <is>
          <t>SILLETA PARA MALLA SM 175</t>
        </is>
      </c>
      <c r="E886" s="158" t="inlineStr">
        <is>
          <t>UND</t>
        </is>
      </c>
      <c r="F886" s="158" t="inlineStr">
        <is>
          <t>MATERIALES</t>
        </is>
      </c>
      <c r="G886" s="158" t="inlineStr">
        <is>
          <t>FERRETERIA GENERAL</t>
        </is>
      </c>
    </row>
    <row r="887">
      <c r="A887" s="564" t="n"/>
      <c r="B887" s="158" t="inlineStr">
        <is>
          <t>MAT08-0151</t>
        </is>
      </c>
      <c r="C887" s="558" t="inlineStr">
        <is>
          <t>0108-0151</t>
        </is>
      </c>
      <c r="D887" s="158" t="inlineStr">
        <is>
          <t>ROLLO PLASTICO C/CINTA 80°C-120 CM. X 20 M</t>
        </is>
      </c>
      <c r="E887" s="158" t="inlineStr">
        <is>
          <t>UND</t>
        </is>
      </c>
      <c r="F887" s="158" t="inlineStr">
        <is>
          <t>MATERIALES</t>
        </is>
      </c>
      <c r="G887" s="158" t="inlineStr">
        <is>
          <t>FERRETERIA GENERAL</t>
        </is>
      </c>
    </row>
    <row r="888">
      <c r="A888" s="564" t="n"/>
      <c r="B888" s="158" t="inlineStr">
        <is>
          <t>MAT08-0152</t>
        </is>
      </c>
      <c r="C888" s="558" t="inlineStr">
        <is>
          <t>0108-0152</t>
        </is>
      </c>
      <c r="D888" s="158" t="inlineStr">
        <is>
          <t>ROLLO PLASTICO C/CINTA 80°C-180 CM. X 20M</t>
        </is>
      </c>
      <c r="E888" s="158" t="inlineStr">
        <is>
          <t>UND</t>
        </is>
      </c>
      <c r="F888" s="158" t="inlineStr">
        <is>
          <t>MATERIALES</t>
        </is>
      </c>
      <c r="G888" s="158" t="inlineStr">
        <is>
          <t>FERRETERIA GENERAL</t>
        </is>
      </c>
    </row>
    <row r="889">
      <c r="A889" s="564" t="n"/>
      <c r="B889" s="158" t="inlineStr">
        <is>
          <t>MAT08-0155</t>
        </is>
      </c>
      <c r="C889" s="558" t="inlineStr">
        <is>
          <t>0108-0155</t>
        </is>
      </c>
      <c r="D889" s="158" t="inlineStr">
        <is>
          <t>BOBINA POLIETILENO 2X50M</t>
        </is>
      </c>
      <c r="E889" s="158" t="inlineStr">
        <is>
          <t>UND</t>
        </is>
      </c>
      <c r="F889" s="158" t="inlineStr">
        <is>
          <t>MATERIALES</t>
        </is>
      </c>
      <c r="G889" s="158" t="inlineStr">
        <is>
          <t>FERRETERIA GENERAL</t>
        </is>
      </c>
    </row>
    <row r="890">
      <c r="A890" s="564" t="n"/>
      <c r="B890" s="158" t="inlineStr">
        <is>
          <t>MAT08-0157</t>
        </is>
      </c>
      <c r="C890" s="558" t="inlineStr">
        <is>
          <t>0108-0157</t>
        </is>
      </c>
      <c r="D890" s="158" t="inlineStr">
        <is>
          <t>SOLDADURA 5/32 (7018)</t>
        </is>
      </c>
      <c r="E890" s="158" t="inlineStr">
        <is>
          <t>UND</t>
        </is>
      </c>
      <c r="F890" s="158" t="inlineStr">
        <is>
          <t>MATERIALES</t>
        </is>
      </c>
      <c r="G890" s="158" t="inlineStr">
        <is>
          <t>FERRETERIA GENERAL</t>
        </is>
      </c>
    </row>
    <row r="891">
      <c r="A891" s="564" t="n"/>
      <c r="B891" s="158" t="inlineStr">
        <is>
          <t>MAT08-0158</t>
        </is>
      </c>
      <c r="C891" s="558" t="inlineStr">
        <is>
          <t>0108-0158</t>
        </is>
      </c>
      <c r="D891" s="158" t="inlineStr">
        <is>
          <t>SOLDADURA 1/8 (6013)</t>
        </is>
      </c>
      <c r="E891" s="158" t="inlineStr">
        <is>
          <t>UND</t>
        </is>
      </c>
      <c r="F891" s="158" t="inlineStr">
        <is>
          <t>MATERIALES</t>
        </is>
      </c>
      <c r="G891" s="158" t="inlineStr">
        <is>
          <t>FERRETERIA GENERAL</t>
        </is>
      </c>
    </row>
    <row r="892">
      <c r="A892" s="564" t="n"/>
      <c r="B892" s="158" t="inlineStr">
        <is>
          <t>MAT08-0159</t>
        </is>
      </c>
      <c r="C892" s="558" t="inlineStr">
        <is>
          <t>0108-0159</t>
        </is>
      </c>
      <c r="D892" s="158" t="inlineStr">
        <is>
          <t>BROCA COBALTO ESPIGA 1/2"x11/16</t>
        </is>
      </c>
      <c r="E892" s="158" t="inlineStr">
        <is>
          <t>UND</t>
        </is>
      </c>
      <c r="F892" s="158" t="inlineStr">
        <is>
          <t>MATERIALES</t>
        </is>
      </c>
      <c r="G892" s="158" t="inlineStr">
        <is>
          <t>FERRETERIA GENERAL</t>
        </is>
      </c>
    </row>
    <row r="893">
      <c r="A893" s="564" t="n"/>
      <c r="B893" s="158" t="inlineStr">
        <is>
          <t>MAT08-0160</t>
        </is>
      </c>
      <c r="C893" s="558" t="inlineStr">
        <is>
          <t>0108-0160</t>
        </is>
      </c>
      <c r="D893" s="158" t="inlineStr">
        <is>
          <t>SOLDADURA ALUMINIO 4043 0.9</t>
        </is>
      </c>
      <c r="E893" s="158" t="inlineStr">
        <is>
          <t>UND</t>
        </is>
      </c>
      <c r="F893" s="158" t="inlineStr">
        <is>
          <t>MATERIALES</t>
        </is>
      </c>
      <c r="G893" s="158" t="inlineStr">
        <is>
          <t>FERRETERIA GENERAL</t>
        </is>
      </c>
    </row>
    <row r="894">
      <c r="A894" s="564" t="n"/>
      <c r="B894" s="158" t="inlineStr">
        <is>
          <t>MAT08-0161</t>
        </is>
      </c>
      <c r="C894" s="558" t="inlineStr">
        <is>
          <t>0108-0161</t>
        </is>
      </c>
      <c r="D894" s="158" t="inlineStr">
        <is>
          <t>PAPEL STANDARD 60 CM X 45M</t>
        </is>
      </c>
      <c r="E894" s="158" t="inlineStr">
        <is>
          <t>UND</t>
        </is>
      </c>
      <c r="F894" s="158" t="inlineStr">
        <is>
          <t>MATERIALES</t>
        </is>
      </c>
      <c r="G894" s="158" t="inlineStr">
        <is>
          <t>FERRETERIA GENERAL</t>
        </is>
      </c>
    </row>
    <row r="895">
      <c r="A895" s="564" t="n"/>
      <c r="B895" s="158" t="inlineStr">
        <is>
          <t>MAT08-0162</t>
        </is>
      </c>
      <c r="C895" s="558" t="inlineStr">
        <is>
          <t>0108-0162</t>
        </is>
      </c>
      <c r="D895" s="158" t="inlineStr">
        <is>
          <t>SOLDADURA 0.9 PARA HIERRO</t>
        </is>
      </c>
      <c r="E895" s="158" t="inlineStr">
        <is>
          <t>UND</t>
        </is>
      </c>
      <c r="F895" s="158" t="inlineStr">
        <is>
          <t>MATERIALES</t>
        </is>
      </c>
      <c r="G895" s="158" t="inlineStr">
        <is>
          <t>FERRETERIA GENERAL</t>
        </is>
      </c>
    </row>
    <row r="896">
      <c r="A896" s="564" t="n"/>
      <c r="B896" s="158" t="inlineStr">
        <is>
          <t>MAT08-0166</t>
        </is>
      </c>
      <c r="C896" s="558" t="inlineStr">
        <is>
          <t>0108-0166</t>
        </is>
      </c>
      <c r="D896" s="158" t="inlineStr">
        <is>
          <t>PANTALLA PLASTICA P/ CARETA</t>
        </is>
      </c>
      <c r="E896" s="158" t="inlineStr">
        <is>
          <t>UND</t>
        </is>
      </c>
      <c r="F896" s="158" t="inlineStr">
        <is>
          <t>MATERIALES</t>
        </is>
      </c>
      <c r="G896" s="158" t="inlineStr">
        <is>
          <t>FERRETERIA GENERAL</t>
        </is>
      </c>
    </row>
    <row r="897">
      <c r="A897" s="564" t="n"/>
      <c r="B897" s="158" t="inlineStr">
        <is>
          <t>MAT08-0167</t>
        </is>
      </c>
      <c r="C897" s="558" t="inlineStr">
        <is>
          <t>0108-0167</t>
        </is>
      </c>
      <c r="D897" s="158" t="inlineStr">
        <is>
          <t>PANTALLA METAL P/ CARETA</t>
        </is>
      </c>
      <c r="E897" s="158" t="inlineStr">
        <is>
          <t>UND</t>
        </is>
      </c>
      <c r="F897" s="158" t="inlineStr">
        <is>
          <t>MATERIALES</t>
        </is>
      </c>
      <c r="G897" s="158" t="inlineStr">
        <is>
          <t>FERRETERIA GENERAL</t>
        </is>
      </c>
    </row>
    <row r="898">
      <c r="A898" s="564" t="n"/>
      <c r="B898" s="158" t="inlineStr">
        <is>
          <t>MAT08-0168</t>
        </is>
      </c>
      <c r="C898" s="558" t="inlineStr">
        <is>
          <t>0108-0168</t>
        </is>
      </c>
      <c r="D898" s="158" t="inlineStr">
        <is>
          <t>CARETA METAL  PROFESIONAL</t>
        </is>
      </c>
      <c r="E898" s="158" t="inlineStr">
        <is>
          <t>UND</t>
        </is>
      </c>
      <c r="F898" s="158" t="inlineStr">
        <is>
          <t>MATERIALES</t>
        </is>
      </c>
      <c r="G898" s="158" t="inlineStr">
        <is>
          <t>FERRETERIA GENERAL</t>
        </is>
      </c>
    </row>
    <row r="899">
      <c r="A899" s="564" t="n"/>
      <c r="B899" s="158" t="inlineStr">
        <is>
          <t>MAT08-0177</t>
        </is>
      </c>
      <c r="C899" s="558" t="inlineStr">
        <is>
          <t>0108-0177</t>
        </is>
      </c>
      <c r="D899" s="158" t="inlineStr">
        <is>
          <t>LAPIZ ROJO/VERDE/NARANJA</t>
        </is>
      </c>
      <c r="E899" s="158" t="inlineStr">
        <is>
          <t>UND</t>
        </is>
      </c>
      <c r="F899" s="158" t="inlineStr">
        <is>
          <t>MATERIALES</t>
        </is>
      </c>
      <c r="G899" s="158" t="inlineStr">
        <is>
          <t>FERRETERIA GENERAL</t>
        </is>
      </c>
    </row>
    <row r="900">
      <c r="A900" s="564" t="n"/>
      <c r="B900" s="158" t="inlineStr">
        <is>
          <t>MAT08-0178</t>
        </is>
      </c>
      <c r="C900" s="558" t="inlineStr">
        <is>
          <t>0108-0178</t>
        </is>
      </c>
      <c r="D900" s="158" t="inlineStr">
        <is>
          <t>PEINE DE METAL</t>
        </is>
      </c>
      <c r="E900" s="158" t="inlineStr">
        <is>
          <t>UND</t>
        </is>
      </c>
      <c r="F900" s="158" t="inlineStr">
        <is>
          <t>MATERIALES</t>
        </is>
      </c>
      <c r="G900" s="158" t="inlineStr">
        <is>
          <t>FERRETERIA GENERAL</t>
        </is>
      </c>
    </row>
    <row r="901">
      <c r="A901" s="564" t="n"/>
      <c r="B901" s="158" t="inlineStr">
        <is>
          <t>MAT08-0179</t>
        </is>
      </c>
      <c r="C901" s="558" t="inlineStr">
        <is>
          <t>0108-0179</t>
        </is>
      </c>
      <c r="D901" s="158" t="inlineStr">
        <is>
          <t>CHISPA P/CORTAR CERAMICA</t>
        </is>
      </c>
      <c r="E901" s="158" t="inlineStr">
        <is>
          <t>UND</t>
        </is>
      </c>
      <c r="F901" s="158" t="inlineStr">
        <is>
          <t>MATERIALES</t>
        </is>
      </c>
      <c r="G901" s="158" t="inlineStr">
        <is>
          <t>FERRETERIA GENERAL</t>
        </is>
      </c>
    </row>
    <row r="902">
      <c r="A902" s="564" t="n"/>
      <c r="B902" s="158" t="inlineStr">
        <is>
          <t>MAT08-0180</t>
        </is>
      </c>
      <c r="C902" s="558" t="inlineStr">
        <is>
          <t>0108-0180</t>
        </is>
      </c>
      <c r="D902" s="158" t="inlineStr">
        <is>
          <t>SACABOCADOS</t>
        </is>
      </c>
      <c r="E902" s="158" t="inlineStr">
        <is>
          <t>UND</t>
        </is>
      </c>
      <c r="F902" s="158" t="inlineStr">
        <is>
          <t>MATERIALES</t>
        </is>
      </c>
      <c r="G902" s="158" t="inlineStr">
        <is>
          <t>FERRETERIA GENERAL</t>
        </is>
      </c>
    </row>
    <row r="903">
      <c r="A903" s="564" t="n"/>
      <c r="B903" s="158" t="inlineStr">
        <is>
          <t>MAT08-0181</t>
        </is>
      </c>
      <c r="C903" s="558" t="inlineStr">
        <is>
          <t>0108-0181</t>
        </is>
      </c>
      <c r="D903" s="158" t="inlineStr">
        <is>
          <t>RUEDA FIJA 8"</t>
        </is>
      </c>
      <c r="E903" s="158" t="inlineStr">
        <is>
          <t>UND</t>
        </is>
      </c>
      <c r="F903" s="158" t="inlineStr">
        <is>
          <t>MATERIALES</t>
        </is>
      </c>
      <c r="G903" s="158" t="inlineStr">
        <is>
          <t>FERRETERIA GENERAL</t>
        </is>
      </c>
    </row>
    <row r="904">
      <c r="A904" s="564" t="n"/>
      <c r="B904" s="158" t="inlineStr">
        <is>
          <t>MAT08-0182</t>
        </is>
      </c>
      <c r="C904" s="558" t="inlineStr">
        <is>
          <t>0108-0182</t>
        </is>
      </c>
      <c r="D904" s="158" t="inlineStr">
        <is>
          <t>RUEDA GIRATORIA  8"</t>
        </is>
      </c>
      <c r="E904" s="158" t="inlineStr">
        <is>
          <t>UND</t>
        </is>
      </c>
      <c r="F904" s="158" t="inlineStr">
        <is>
          <t>MATERIALES</t>
        </is>
      </c>
      <c r="G904" s="158" t="inlineStr">
        <is>
          <t>FERRETERIA GENERAL</t>
        </is>
      </c>
    </row>
    <row r="905">
      <c r="A905" s="564" t="n"/>
      <c r="B905" s="158" t="inlineStr">
        <is>
          <t>MAT08-0184</t>
        </is>
      </c>
      <c r="C905" s="558" t="inlineStr">
        <is>
          <t>0108-0184</t>
        </is>
      </c>
      <c r="D905" s="158" t="inlineStr">
        <is>
          <t>MANGUERA RIEGO</t>
        </is>
      </c>
      <c r="E905" s="158" t="inlineStr">
        <is>
          <t>UND</t>
        </is>
      </c>
      <c r="F905" s="158" t="inlineStr">
        <is>
          <t>MATERIALES</t>
        </is>
      </c>
      <c r="G905" s="158" t="inlineStr">
        <is>
          <t>FERRETERIA GENERAL</t>
        </is>
      </c>
    </row>
    <row r="906">
      <c r="A906" s="564" t="n"/>
      <c r="B906" s="158" t="inlineStr">
        <is>
          <t>MAT08-0185</t>
        </is>
      </c>
      <c r="C906" s="558" t="inlineStr">
        <is>
          <t>0108-0185</t>
        </is>
      </c>
      <c r="D906" s="158" t="inlineStr">
        <is>
          <t>LONA</t>
        </is>
      </c>
      <c r="E906" s="158" t="inlineStr">
        <is>
          <t>UND</t>
        </is>
      </c>
      <c r="F906" s="158" t="inlineStr">
        <is>
          <t>MATERIALES</t>
        </is>
      </c>
      <c r="G906" s="158" t="inlineStr">
        <is>
          <t>FERRETERIA GENERAL</t>
        </is>
      </c>
    </row>
    <row r="907">
      <c r="A907" s="564" t="n"/>
      <c r="B907" s="158" t="inlineStr">
        <is>
          <t>MAT08-0186</t>
        </is>
      </c>
      <c r="C907" s="558" t="inlineStr">
        <is>
          <t>0108-0186</t>
        </is>
      </c>
      <c r="D907" s="158" t="inlineStr">
        <is>
          <t>SILICON ACRILICO</t>
        </is>
      </c>
      <c r="E907" s="158" t="inlineStr">
        <is>
          <t>UND</t>
        </is>
      </c>
      <c r="F907" s="158" t="inlineStr">
        <is>
          <t>MATERIALES</t>
        </is>
      </c>
      <c r="G907" s="158" t="inlineStr">
        <is>
          <t>FERRETERIA GENERAL</t>
        </is>
      </c>
    </row>
    <row r="908">
      <c r="A908" s="564" t="n"/>
      <c r="B908" s="158" t="inlineStr">
        <is>
          <t>MAT08-0187</t>
        </is>
      </c>
      <c r="C908" s="558" t="inlineStr">
        <is>
          <t>0108-0187</t>
        </is>
      </c>
      <c r="D908" s="158" t="inlineStr">
        <is>
          <t>LINGAS</t>
        </is>
      </c>
      <c r="E908" s="158" t="inlineStr">
        <is>
          <t>UND</t>
        </is>
      </c>
      <c r="F908" s="158" t="inlineStr">
        <is>
          <t>MATERIALES</t>
        </is>
      </c>
      <c r="G908" s="158" t="inlineStr">
        <is>
          <t>FERRETERIA GENERAL</t>
        </is>
      </c>
    </row>
    <row r="909">
      <c r="A909" s="564" t="n"/>
      <c r="B909" s="158" t="inlineStr">
        <is>
          <t>MAT08-0188</t>
        </is>
      </c>
      <c r="C909" s="558" t="inlineStr">
        <is>
          <t>0108-0188</t>
        </is>
      </c>
      <c r="D909" s="158" t="inlineStr">
        <is>
          <t>TIRA DE COBRE</t>
        </is>
      </c>
      <c r="E909" s="158" t="inlineStr">
        <is>
          <t>UND</t>
        </is>
      </c>
      <c r="F909" s="158" t="inlineStr">
        <is>
          <t>MATERIALES</t>
        </is>
      </c>
      <c r="G909" s="158" t="inlineStr">
        <is>
          <t>FERRETERIA GENERAL</t>
        </is>
      </c>
    </row>
    <row r="910">
      <c r="A910" s="564" t="n"/>
      <c r="B910" s="158" t="inlineStr">
        <is>
          <t>MAT08-0191</t>
        </is>
      </c>
      <c r="C910" s="558" t="inlineStr">
        <is>
          <t>0108-0191</t>
        </is>
      </c>
      <c r="D910" s="158" t="inlineStr">
        <is>
          <t>PERNO 3/8"x3 3/4"TIPO HILTI</t>
        </is>
      </c>
      <c r="E910" s="158" t="inlineStr">
        <is>
          <t>UND</t>
        </is>
      </c>
      <c r="F910" s="158" t="inlineStr">
        <is>
          <t>MATERIALES</t>
        </is>
      </c>
      <c r="G910" s="158" t="inlineStr">
        <is>
          <t>FERRETERIA GENERAL</t>
        </is>
      </c>
    </row>
    <row r="911">
      <c r="A911" s="564" t="n"/>
      <c r="B911" s="158" t="inlineStr">
        <is>
          <t>MAT08-0193</t>
        </is>
      </c>
      <c r="C911" s="558" t="inlineStr">
        <is>
          <t>0108-0193</t>
        </is>
      </c>
      <c r="D911" s="158" t="inlineStr">
        <is>
          <t>CODO BRONCE</t>
        </is>
      </c>
      <c r="E911" s="158" t="inlineStr">
        <is>
          <t>UND</t>
        </is>
      </c>
      <c r="F911" s="158" t="inlineStr">
        <is>
          <t>MATERIALES</t>
        </is>
      </c>
      <c r="G911" s="158" t="inlineStr">
        <is>
          <t>FERRETERIA GENERAL</t>
        </is>
      </c>
    </row>
    <row r="912">
      <c r="A912" s="564" t="n"/>
      <c r="B912" s="158" t="inlineStr">
        <is>
          <t>MAT08-0195</t>
        </is>
      </c>
      <c r="C912" s="558" t="inlineStr">
        <is>
          <t>0108-0195</t>
        </is>
      </c>
      <c r="D912" s="158" t="inlineStr">
        <is>
          <t>CEDAZO 1 1/4"</t>
        </is>
      </c>
      <c r="E912" s="158" t="inlineStr">
        <is>
          <t>M</t>
        </is>
      </c>
      <c r="F912" s="158" t="inlineStr">
        <is>
          <t>MATERIALES</t>
        </is>
      </c>
      <c r="G912" s="158" t="inlineStr">
        <is>
          <t>FERRETERIA GENERAL</t>
        </is>
      </c>
    </row>
    <row r="913">
      <c r="A913" s="564" t="n"/>
      <c r="B913" s="158" t="inlineStr">
        <is>
          <t>MAT08-0197</t>
        </is>
      </c>
      <c r="C913" s="558" t="inlineStr">
        <is>
          <t>0108-0197</t>
        </is>
      </c>
      <c r="D913" s="158" t="inlineStr">
        <is>
          <t>CLAVO NEGRO 3/4"</t>
        </is>
      </c>
      <c r="E913" s="158" t="inlineStr">
        <is>
          <t>CAJA</t>
        </is>
      </c>
      <c r="F913" s="158" t="inlineStr">
        <is>
          <t>MATERIALES</t>
        </is>
      </c>
      <c r="G913" s="158" t="inlineStr">
        <is>
          <t>FERRETERIA GENERAL</t>
        </is>
      </c>
    </row>
    <row r="914">
      <c r="A914" s="564" t="n"/>
      <c r="B914" s="158" t="inlineStr">
        <is>
          <t>MAT08-0199</t>
        </is>
      </c>
      <c r="C914" s="558" t="inlineStr">
        <is>
          <t>0108-0199</t>
        </is>
      </c>
      <c r="D914" s="158" t="inlineStr">
        <is>
          <t>ORING DE PUNTA STICK</t>
        </is>
      </c>
      <c r="E914" s="158" t="inlineStr">
        <is>
          <t>UND</t>
        </is>
      </c>
      <c r="F914" s="158" t="inlineStr">
        <is>
          <t>MATERIALES</t>
        </is>
      </c>
      <c r="G914" s="158" t="inlineStr">
        <is>
          <t>FERRETERIA GENERAL</t>
        </is>
      </c>
    </row>
    <row r="915">
      <c r="A915" s="564" t="n"/>
      <c r="B915" s="158" t="inlineStr">
        <is>
          <t>MAT08-0200</t>
        </is>
      </c>
      <c r="C915" s="558" t="inlineStr">
        <is>
          <t>0108-0200</t>
        </is>
      </c>
      <c r="D915" s="158" t="inlineStr">
        <is>
          <t>EMPAQUE HULE 1/2"</t>
        </is>
      </c>
      <c r="E915" s="158" t="inlineStr">
        <is>
          <t>UND</t>
        </is>
      </c>
      <c r="F915" s="158" t="inlineStr">
        <is>
          <t>MATERIALES</t>
        </is>
      </c>
      <c r="G915" s="158" t="inlineStr">
        <is>
          <t>FERRETERIA GENERAL</t>
        </is>
      </c>
    </row>
    <row r="916">
      <c r="A916" s="564" t="n"/>
      <c r="B916" s="158" t="inlineStr">
        <is>
          <t>MAT08-0201</t>
        </is>
      </c>
      <c r="C916" s="558" t="inlineStr">
        <is>
          <t>0108-0201</t>
        </is>
      </c>
      <c r="D916" s="158" t="inlineStr">
        <is>
          <t>ALFAJILLA CEPILLADA 2"x3"x3vrs</t>
        </is>
      </c>
      <c r="E916" s="158" t="inlineStr">
        <is>
          <t>UND</t>
        </is>
      </c>
      <c r="F916" s="158" t="inlineStr">
        <is>
          <t>MATERIALES</t>
        </is>
      </c>
      <c r="G916" s="158" t="inlineStr">
        <is>
          <t>FERRETERIA GENERAL</t>
        </is>
      </c>
    </row>
    <row r="917">
      <c r="A917" s="564" t="n"/>
      <c r="B917" s="158" t="inlineStr">
        <is>
          <t>MAT08-0202</t>
        </is>
      </c>
      <c r="C917" s="558" t="inlineStr">
        <is>
          <t>0108-0202</t>
        </is>
      </c>
      <c r="D917" s="158" t="inlineStr">
        <is>
          <t>TORNILLO P/MADERA 3/4 PUNTA FINA</t>
        </is>
      </c>
      <c r="E917" s="158" t="inlineStr">
        <is>
          <t>UND</t>
        </is>
      </c>
      <c r="F917" s="158" t="inlineStr">
        <is>
          <t>MATERIALES</t>
        </is>
      </c>
      <c r="G917" s="158" t="inlineStr">
        <is>
          <t>FERRETERIA GENERAL</t>
        </is>
      </c>
    </row>
    <row r="918">
      <c r="A918" s="564" t="n"/>
      <c r="B918" s="158" t="inlineStr">
        <is>
          <t>MAT08-0203</t>
        </is>
      </c>
      <c r="C918" s="558" t="inlineStr">
        <is>
          <t>0108-0203</t>
        </is>
      </c>
      <c r="D918" s="158" t="inlineStr">
        <is>
          <t>CINTA PELIGRO</t>
        </is>
      </c>
      <c r="E918" s="158" t="inlineStr">
        <is>
          <t>UND</t>
        </is>
      </c>
      <c r="F918" s="158" t="inlineStr">
        <is>
          <t>MATERIALES</t>
        </is>
      </c>
      <c r="G918" s="158" t="inlineStr">
        <is>
          <t>FERRETERIA GENERAL</t>
        </is>
      </c>
    </row>
    <row r="919">
      <c r="A919" s="564" t="n"/>
      <c r="B919" s="158" t="inlineStr">
        <is>
          <t>MAT08-0212</t>
        </is>
      </c>
      <c r="C919" s="558" t="inlineStr">
        <is>
          <t>0108-0212</t>
        </is>
      </c>
      <c r="D919" s="158" t="inlineStr">
        <is>
          <t>ROLLO MECATE PIOLA</t>
        </is>
      </c>
      <c r="E919" s="158" t="inlineStr">
        <is>
          <t>ROLLO</t>
        </is>
      </c>
      <c r="F919" s="158" t="inlineStr">
        <is>
          <t>MATERIALES</t>
        </is>
      </c>
      <c r="G919" s="158" t="inlineStr">
        <is>
          <t>FERRETERIA GENERAL</t>
        </is>
      </c>
    </row>
    <row r="920">
      <c r="A920" s="564" t="n"/>
      <c r="B920" s="158" t="inlineStr">
        <is>
          <t>MAT08-0216</t>
        </is>
      </c>
      <c r="C920" s="558" t="inlineStr">
        <is>
          <t>0108-0216</t>
        </is>
      </c>
      <c r="D920" s="158" t="inlineStr">
        <is>
          <t>SEPARADOR P/CERAMICA 2MM</t>
        </is>
      </c>
      <c r="E920" s="158" t="inlineStr">
        <is>
          <t>BOLSA</t>
        </is>
      </c>
      <c r="F920" s="158" t="inlineStr">
        <is>
          <t>MATERIALES</t>
        </is>
      </c>
      <c r="G920" s="158" t="inlineStr">
        <is>
          <t>FERRETERIA GENERAL</t>
        </is>
      </c>
    </row>
    <row r="921">
      <c r="A921" s="564" t="n"/>
      <c r="B921" s="158" t="inlineStr">
        <is>
          <t>MAT08-0219</t>
        </is>
      </c>
      <c r="C921" s="558" t="inlineStr">
        <is>
          <t>0108-0219</t>
        </is>
      </c>
      <c r="D921" s="158" t="inlineStr">
        <is>
          <t>RUEDA FIJA 6" FENOLICA</t>
        </is>
      </c>
      <c r="E921" s="158" t="inlineStr">
        <is>
          <t>UND</t>
        </is>
      </c>
      <c r="F921" s="158" t="inlineStr">
        <is>
          <t>MATERIALES</t>
        </is>
      </c>
      <c r="G921" s="158" t="inlineStr">
        <is>
          <t>FERRETERIA GENERAL</t>
        </is>
      </c>
    </row>
    <row r="922">
      <c r="A922" s="564" t="n"/>
      <c r="B922" s="158" t="inlineStr">
        <is>
          <t>MAT08-0220</t>
        </is>
      </c>
      <c r="C922" s="558" t="inlineStr">
        <is>
          <t>0108-0220</t>
        </is>
      </c>
      <c r="D922" s="158" t="inlineStr">
        <is>
          <t>RUEDA GIRATORIA 6" FENOLICA</t>
        </is>
      </c>
      <c r="E922" s="158" t="inlineStr">
        <is>
          <t>UND</t>
        </is>
      </c>
      <c r="F922" s="158" t="inlineStr">
        <is>
          <t>MATERIALES</t>
        </is>
      </c>
      <c r="G922" s="158" t="inlineStr">
        <is>
          <t>FERRETERIA GENERAL</t>
        </is>
      </c>
    </row>
    <row r="923">
      <c r="A923" s="564" t="n"/>
      <c r="B923" s="158" t="inlineStr">
        <is>
          <t>MAT08-0222</t>
        </is>
      </c>
      <c r="C923" s="558" t="inlineStr">
        <is>
          <t>0108-0222</t>
        </is>
      </c>
      <c r="D923" s="158" t="inlineStr">
        <is>
          <t>BROCA P/CONCRETO TIPO HILTY EN 3/8"</t>
        </is>
      </c>
      <c r="E923" s="158" t="inlineStr">
        <is>
          <t>UND</t>
        </is>
      </c>
      <c r="F923" s="158" t="inlineStr">
        <is>
          <t>MATERIALES</t>
        </is>
      </c>
      <c r="G923" s="158" t="inlineStr">
        <is>
          <t>FERRETERIA GENERAL</t>
        </is>
      </c>
    </row>
    <row r="924">
      <c r="A924" s="564" t="n"/>
      <c r="B924" s="158" t="inlineStr">
        <is>
          <t>MAT08-0223</t>
        </is>
      </c>
      <c r="C924" s="558" t="inlineStr">
        <is>
          <t>0108-0223</t>
        </is>
      </c>
      <c r="D924" s="158" t="inlineStr">
        <is>
          <t>BROCA P/CONCRETO EN 3/8" CORRIENTE</t>
        </is>
      </c>
      <c r="E924" s="158" t="inlineStr">
        <is>
          <t>UND</t>
        </is>
      </c>
      <c r="F924" s="158" t="inlineStr">
        <is>
          <t>MATERIALES</t>
        </is>
      </c>
      <c r="G924" s="158" t="inlineStr">
        <is>
          <t>FERRETERIA GENERAL</t>
        </is>
      </c>
    </row>
    <row r="925">
      <c r="A925" s="564" t="n"/>
      <c r="B925" s="158" t="inlineStr">
        <is>
          <t>MAT08-0224</t>
        </is>
      </c>
      <c r="C925" s="558" t="inlineStr">
        <is>
          <t>0108-0224</t>
        </is>
      </c>
      <c r="D925" s="158" t="inlineStr">
        <is>
          <t>BROCA P/CONCRETO EN 5/16" CORRRIENTE</t>
        </is>
      </c>
      <c r="E925" s="158" t="inlineStr">
        <is>
          <t>UND</t>
        </is>
      </c>
      <c r="F925" s="158" t="inlineStr">
        <is>
          <t>MATERIALES</t>
        </is>
      </c>
      <c r="G925" s="158" t="inlineStr">
        <is>
          <t>FERRETERIA GENERAL</t>
        </is>
      </c>
    </row>
    <row r="926">
      <c r="A926" s="564" t="n"/>
      <c r="B926" s="158" t="inlineStr">
        <is>
          <t>MAT08-0226</t>
        </is>
      </c>
      <c r="C926" s="558" t="inlineStr">
        <is>
          <t>0108-0226</t>
        </is>
      </c>
      <c r="D926" s="158" t="inlineStr">
        <is>
          <t>ESPANDER #6</t>
        </is>
      </c>
      <c r="E926" s="158" t="inlineStr">
        <is>
          <t>UND</t>
        </is>
      </c>
      <c r="F926" s="158" t="inlineStr">
        <is>
          <t>MATERIALES</t>
        </is>
      </c>
      <c r="G926" s="158" t="inlineStr">
        <is>
          <t>FERRETERIA GENERAL</t>
        </is>
      </c>
    </row>
    <row r="927">
      <c r="A927" s="564" t="n"/>
      <c r="B927" s="158" t="inlineStr">
        <is>
          <t>MAT08-0227</t>
        </is>
      </c>
      <c r="C927" s="558" t="inlineStr">
        <is>
          <t>0108-0227</t>
        </is>
      </c>
      <c r="D927" s="158" t="inlineStr">
        <is>
          <t>TORNILLO PARA ESPANDER #6</t>
        </is>
      </c>
      <c r="E927" s="158" t="inlineStr">
        <is>
          <t>UND</t>
        </is>
      </c>
      <c r="F927" s="158" t="inlineStr">
        <is>
          <t>MATERIALES</t>
        </is>
      </c>
      <c r="G927" s="158" t="inlineStr">
        <is>
          <t>FERRETERIA GENERAL</t>
        </is>
      </c>
    </row>
    <row r="928">
      <c r="A928" s="564" t="n"/>
      <c r="B928" s="158" t="inlineStr">
        <is>
          <t>MAT08-0228</t>
        </is>
      </c>
      <c r="C928" s="558" t="inlineStr">
        <is>
          <t>0108-0228</t>
        </is>
      </c>
      <c r="D928" s="158" t="inlineStr">
        <is>
          <t>BROCA P/CONCRETO 1 1/4"</t>
        </is>
      </c>
      <c r="E928" s="158" t="inlineStr">
        <is>
          <t>UND</t>
        </is>
      </c>
      <c r="F928" s="158" t="inlineStr">
        <is>
          <t>MATERIALES</t>
        </is>
      </c>
      <c r="G928" s="158" t="inlineStr">
        <is>
          <t>FERRETERIA GENERAL</t>
        </is>
      </c>
    </row>
    <row r="929">
      <c r="A929" s="564" t="n"/>
      <c r="B929" s="158" t="inlineStr">
        <is>
          <t>MAT08-0229</t>
        </is>
      </c>
      <c r="C929" s="558" t="inlineStr">
        <is>
          <t>0108-0229</t>
        </is>
      </c>
      <c r="D929" s="158" t="inlineStr">
        <is>
          <t>BROCA P/CONCRETO DE 5/32mmx6"</t>
        </is>
      </c>
      <c r="E929" s="158" t="inlineStr">
        <is>
          <t>UND</t>
        </is>
      </c>
      <c r="F929" s="158" t="inlineStr">
        <is>
          <t>MATERIALES</t>
        </is>
      </c>
      <c r="G929" s="158" t="inlineStr">
        <is>
          <t>FERRETERIA GENERAL</t>
        </is>
      </c>
    </row>
    <row r="930">
      <c r="A930" s="564" t="n"/>
      <c r="B930" s="158" t="inlineStr">
        <is>
          <t>MAT08-0231</t>
        </is>
      </c>
      <c r="C930" s="558" t="inlineStr">
        <is>
          <t>0108-0231</t>
        </is>
      </c>
      <c r="D930" s="158" t="inlineStr">
        <is>
          <t>TEFLON LIQUIDO</t>
        </is>
      </c>
      <c r="E930" s="158" t="inlineStr">
        <is>
          <t>UND</t>
        </is>
      </c>
      <c r="F930" s="158" t="inlineStr">
        <is>
          <t>MATERIALES</t>
        </is>
      </c>
      <c r="G930" s="158" t="inlineStr">
        <is>
          <t>FERRETERIA GENERAL</t>
        </is>
      </c>
    </row>
    <row r="931">
      <c r="A931" s="564" t="n"/>
      <c r="B931" s="158" t="inlineStr">
        <is>
          <t>MAT08-0237</t>
        </is>
      </c>
      <c r="C931" s="558" t="inlineStr">
        <is>
          <t>0108-0237</t>
        </is>
      </c>
      <c r="D931" s="158" t="inlineStr">
        <is>
          <t>BISAGRA GUIJOS DE 3"x3"</t>
        </is>
      </c>
      <c r="E931" s="158" t="inlineStr">
        <is>
          <t>UND</t>
        </is>
      </c>
      <c r="F931" s="158" t="inlineStr">
        <is>
          <t>MATERIALES</t>
        </is>
      </c>
      <c r="G931" s="158" t="inlineStr">
        <is>
          <t>FERRETERIA GENERAL</t>
        </is>
      </c>
    </row>
    <row r="932">
      <c r="A932" s="564" t="n"/>
      <c r="B932" s="158" t="inlineStr">
        <is>
          <t>MAT08-0238</t>
        </is>
      </c>
      <c r="C932" s="558" t="inlineStr">
        <is>
          <t>0108-0238</t>
        </is>
      </c>
      <c r="D932" s="158" t="inlineStr">
        <is>
          <t>ALDABA INDUSTRIAL</t>
        </is>
      </c>
      <c r="E932" s="158" t="inlineStr">
        <is>
          <t>UND</t>
        </is>
      </c>
      <c r="F932" s="158" t="inlineStr">
        <is>
          <t>MATERIALES</t>
        </is>
      </c>
      <c r="G932" s="158" t="inlineStr">
        <is>
          <t>FERRETERIA GENERAL</t>
        </is>
      </c>
    </row>
    <row r="933">
      <c r="A933" s="564" t="n"/>
      <c r="B933" s="158" t="inlineStr">
        <is>
          <t>MAT08-0240</t>
        </is>
      </c>
      <c r="C933" s="558" t="inlineStr">
        <is>
          <t>0108-0240</t>
        </is>
      </c>
      <c r="D933" s="158" t="inlineStr">
        <is>
          <t>GAZA ACERO 3/8"</t>
        </is>
      </c>
      <c r="E933" s="158" t="inlineStr">
        <is>
          <t>UND</t>
        </is>
      </c>
      <c r="F933" s="158" t="inlineStr">
        <is>
          <t>MATERIALES</t>
        </is>
      </c>
      <c r="G933" s="158" t="inlineStr">
        <is>
          <t>FERRETERIA GENERAL</t>
        </is>
      </c>
    </row>
    <row r="934">
      <c r="A934" s="564" t="n"/>
      <c r="B934" s="158" t="inlineStr">
        <is>
          <t>MAT08-0241</t>
        </is>
      </c>
      <c r="C934" s="558" t="inlineStr">
        <is>
          <t>0108-0241</t>
        </is>
      </c>
      <c r="D934" s="158" t="inlineStr">
        <is>
          <t>TAPONES PARA VARILLA DE 3/8"</t>
        </is>
      </c>
      <c r="E934" s="158" t="inlineStr">
        <is>
          <t>UND</t>
        </is>
      </c>
      <c r="F934" s="158" t="inlineStr">
        <is>
          <t>MATERIALES</t>
        </is>
      </c>
      <c r="G934" s="158" t="inlineStr">
        <is>
          <t>FERRETERIA GENERAL</t>
        </is>
      </c>
    </row>
    <row r="935">
      <c r="A935" s="564" t="n"/>
      <c r="B935" s="158" t="inlineStr">
        <is>
          <t>MAT08-0242</t>
        </is>
      </c>
      <c r="C935" s="558" t="inlineStr">
        <is>
          <t>0108-0242</t>
        </is>
      </c>
      <c r="D935" s="158" t="inlineStr">
        <is>
          <t xml:space="preserve">RUEDA GIRATORIA DE HULE 8" (200MM) </t>
        </is>
      </c>
      <c r="E935" s="158" t="inlineStr">
        <is>
          <t>UND</t>
        </is>
      </c>
      <c r="F935" s="158" t="inlineStr">
        <is>
          <t>MATERIALES</t>
        </is>
      </c>
      <c r="G935" s="158" t="inlineStr">
        <is>
          <t>FERRETERIA GENERAL</t>
        </is>
      </c>
    </row>
    <row r="936">
      <c r="A936" s="564" t="n"/>
      <c r="B936" s="158" t="inlineStr">
        <is>
          <t>MAT08-0243</t>
        </is>
      </c>
      <c r="C936" s="558" t="inlineStr">
        <is>
          <t>0108-0243</t>
        </is>
      </c>
      <c r="D936" s="158" t="inlineStr">
        <is>
          <t xml:space="preserve">RUEDA FIJA EUROPA RODILLO 8" (200MM) </t>
        </is>
      </c>
      <c r="E936" s="158" t="inlineStr">
        <is>
          <t>UND</t>
        </is>
      </c>
      <c r="F936" s="158" t="inlineStr">
        <is>
          <t>MATERIALES</t>
        </is>
      </c>
      <c r="G936" s="158" t="inlineStr">
        <is>
          <t>FERRETERIA GENERAL</t>
        </is>
      </c>
    </row>
    <row r="937">
      <c r="A937" s="564" t="n"/>
      <c r="B937" s="158" t="inlineStr">
        <is>
          <t>MAT08-0244</t>
        </is>
      </c>
      <c r="C937" s="558" t="inlineStr">
        <is>
          <t>0108-0244</t>
        </is>
      </c>
      <c r="D937" s="158" t="inlineStr">
        <is>
          <t>BROCA HSS 5/8"</t>
        </is>
      </c>
      <c r="E937" s="158" t="inlineStr">
        <is>
          <t>UND</t>
        </is>
      </c>
      <c r="F937" s="158" t="inlineStr">
        <is>
          <t>MATERIALES</t>
        </is>
      </c>
      <c r="G937" s="158" t="inlineStr">
        <is>
          <t>FERRETERIA GENERAL</t>
        </is>
      </c>
    </row>
    <row r="938">
      <c r="A938" s="564" t="n"/>
      <c r="B938" s="158" t="inlineStr">
        <is>
          <t>MAT08-0248</t>
        </is>
      </c>
      <c r="C938" s="558" t="inlineStr">
        <is>
          <t>0108-0248</t>
        </is>
      </c>
      <c r="D938" s="158" t="inlineStr">
        <is>
          <t>FORMALETA DE 6"x1"×4 VRS</t>
        </is>
      </c>
      <c r="E938" s="158" t="inlineStr">
        <is>
          <t>UND</t>
        </is>
      </c>
      <c r="F938" s="158" t="inlineStr">
        <is>
          <t>MATERIALES</t>
        </is>
      </c>
      <c r="G938" s="158" t="inlineStr">
        <is>
          <t>FERRETERIA GENERAL</t>
        </is>
      </c>
    </row>
    <row r="939">
      <c r="A939" s="564" t="n"/>
      <c r="B939" s="158" t="inlineStr">
        <is>
          <t>MAT08-0250</t>
        </is>
      </c>
      <c r="C939" s="558" t="inlineStr">
        <is>
          <t>0108-0250</t>
        </is>
      </c>
      <c r="D939" s="158" t="inlineStr">
        <is>
          <t>BROCA SIERRA</t>
        </is>
      </c>
      <c r="E939" s="158" t="inlineStr">
        <is>
          <t>UND</t>
        </is>
      </c>
      <c r="F939" s="158" t="inlineStr">
        <is>
          <t>MATERIALES</t>
        </is>
      </c>
      <c r="G939" s="158" t="inlineStr">
        <is>
          <t>FERRETERIA GENERAL</t>
        </is>
      </c>
    </row>
    <row r="940">
      <c r="A940" s="564" t="n"/>
      <c r="B940" s="158" t="inlineStr">
        <is>
          <t>MAT08-0253</t>
        </is>
      </c>
      <c r="C940" s="558" t="inlineStr">
        <is>
          <t>0108-0253</t>
        </is>
      </c>
      <c r="D940" s="158" t="inlineStr">
        <is>
          <t>DISCO DIAMANTADO CUP WHEEL DG-CW SPX 6"</t>
        </is>
      </c>
      <c r="E940" s="158" t="inlineStr">
        <is>
          <t>UND</t>
        </is>
      </c>
      <c r="F940" s="158" t="inlineStr">
        <is>
          <t>MATERIALES</t>
        </is>
      </c>
      <c r="G940" s="158" t="inlineStr">
        <is>
          <t>FERRETERIA GENERAL</t>
        </is>
      </c>
    </row>
    <row r="941">
      <c r="A941" s="564" t="n"/>
      <c r="B941" s="158" t="inlineStr">
        <is>
          <t>MAT08-0254</t>
        </is>
      </c>
      <c r="C941" s="558" t="inlineStr">
        <is>
          <t>0108-0254</t>
        </is>
      </c>
      <c r="D941" s="158" t="inlineStr">
        <is>
          <t>BROCA ESPECIAL P/FRESADORA</t>
        </is>
      </c>
      <c r="E941" s="158" t="inlineStr">
        <is>
          <t>UND</t>
        </is>
      </c>
      <c r="F941" s="158" t="inlineStr">
        <is>
          <t>MATERIALES</t>
        </is>
      </c>
      <c r="G941" s="158" t="inlineStr">
        <is>
          <t>FERRETERIA GENERAL</t>
        </is>
      </c>
    </row>
    <row r="942">
      <c r="A942" s="564" t="n"/>
      <c r="B942" s="158" t="inlineStr">
        <is>
          <t>MAT08-0255</t>
        </is>
      </c>
      <c r="C942" s="558" t="inlineStr">
        <is>
          <t>0108-0255</t>
        </is>
      </c>
      <c r="D942" s="158" t="inlineStr">
        <is>
          <t>LIMPIADOR BOQUILLAS</t>
        </is>
      </c>
      <c r="E942" s="158" t="inlineStr">
        <is>
          <t>UND</t>
        </is>
      </c>
      <c r="F942" s="158" t="inlineStr">
        <is>
          <t>MATERIALES</t>
        </is>
      </c>
      <c r="G942" s="158" t="inlineStr">
        <is>
          <t>FERRETERIA GENERAL</t>
        </is>
      </c>
    </row>
    <row r="943">
      <c r="A943" s="564" t="n"/>
      <c r="B943" s="158" t="inlineStr">
        <is>
          <t>MAT08-0257</t>
        </is>
      </c>
      <c r="C943" s="558" t="inlineStr">
        <is>
          <t>0108-0257</t>
        </is>
      </c>
      <c r="D943" s="158" t="inlineStr">
        <is>
          <t>DISCO SIERRA CIRCULAR 7-1/4"</t>
        </is>
      </c>
      <c r="E943" s="158" t="inlineStr">
        <is>
          <t>UND</t>
        </is>
      </c>
      <c r="F943" s="158" t="inlineStr">
        <is>
          <t>MATERIALES</t>
        </is>
      </c>
      <c r="G943" s="158" t="inlineStr">
        <is>
          <t>FERRETERIA GENERAL</t>
        </is>
      </c>
    </row>
    <row r="944">
      <c r="A944" s="564" t="n"/>
      <c r="B944" s="158" t="inlineStr">
        <is>
          <t>MAT08-0261</t>
        </is>
      </c>
      <c r="C944" s="558" t="inlineStr">
        <is>
          <t>0108-0261</t>
        </is>
      </c>
      <c r="D944" s="158" t="inlineStr">
        <is>
          <t>SARGENTO AJUSTALE</t>
        </is>
      </c>
      <c r="E944" s="158" t="inlineStr">
        <is>
          <t>UND</t>
        </is>
      </c>
      <c r="F944" s="158" t="inlineStr">
        <is>
          <t>MATERIALES</t>
        </is>
      </c>
      <c r="G944" s="158" t="inlineStr">
        <is>
          <t>FERRETERIA GENERAL</t>
        </is>
      </c>
    </row>
    <row r="945">
      <c r="A945" s="564" t="n"/>
      <c r="B945" s="158" t="inlineStr">
        <is>
          <t>MAT08-0262</t>
        </is>
      </c>
      <c r="C945" s="558" t="inlineStr">
        <is>
          <t>0108-0262</t>
        </is>
      </c>
      <c r="D945" s="158" t="inlineStr">
        <is>
          <t>COBERTOR P/AUTO</t>
        </is>
      </c>
      <c r="E945" s="158" t="inlineStr">
        <is>
          <t>UND</t>
        </is>
      </c>
      <c r="F945" s="158" t="inlineStr">
        <is>
          <t>MATERIALES</t>
        </is>
      </c>
      <c r="G945" s="158" t="inlineStr">
        <is>
          <t>FERRETERIA GENERAL</t>
        </is>
      </c>
    </row>
    <row r="946">
      <c r="A946" s="564" t="n"/>
      <c r="B946" s="158" t="inlineStr">
        <is>
          <t>MAT08-0264</t>
        </is>
      </c>
      <c r="C946" s="558" t="inlineStr">
        <is>
          <t>0108-0264</t>
        </is>
      </c>
      <c r="D946" s="158" t="inlineStr">
        <is>
          <t>BISAGRA GUIJO 1-1/4"x1/8"</t>
        </is>
      </c>
      <c r="E946" s="158" t="inlineStr">
        <is>
          <t>PAR</t>
        </is>
      </c>
      <c r="F946" s="158" t="inlineStr">
        <is>
          <t>MATERIALES</t>
        </is>
      </c>
      <c r="G946" s="158" t="inlineStr">
        <is>
          <t>FERRETERIA GENERAL</t>
        </is>
      </c>
    </row>
    <row r="947">
      <c r="A947" s="564" t="n"/>
      <c r="B947" s="158" t="inlineStr">
        <is>
          <t>MAT08-0269</t>
        </is>
      </c>
      <c r="C947" s="558" t="inlineStr">
        <is>
          <t>0108-0269</t>
        </is>
      </c>
      <c r="D947" s="158" t="inlineStr">
        <is>
          <t>SOLDADURA 7018 1/8" PULGADA</t>
        </is>
      </c>
      <c r="E947" s="158" t="inlineStr">
        <is>
          <t>KG</t>
        </is>
      </c>
      <c r="F947" s="158" t="inlineStr">
        <is>
          <t>MATERIALES</t>
        </is>
      </c>
      <c r="G947" s="158" t="inlineStr">
        <is>
          <t>FERRETERIA GENERAL</t>
        </is>
      </c>
    </row>
    <row r="948">
      <c r="A948" s="564" t="n"/>
      <c r="B948" s="158" t="inlineStr">
        <is>
          <t>MAT08-0271</t>
        </is>
      </c>
      <c r="C948" s="558" t="inlineStr">
        <is>
          <t>0108-0271</t>
        </is>
      </c>
      <c r="D948" s="158" t="inlineStr">
        <is>
          <t>GAZA P/CARROCERIA</t>
        </is>
      </c>
      <c r="E948" s="158" t="inlineStr">
        <is>
          <t>UND</t>
        </is>
      </c>
      <c r="F948" s="158" t="inlineStr">
        <is>
          <t>MATERIALES</t>
        </is>
      </c>
      <c r="G948" s="158" t="inlineStr">
        <is>
          <t>FERRETERIA GENERAL</t>
        </is>
      </c>
    </row>
    <row r="949">
      <c r="A949" s="564" t="n"/>
      <c r="B949" s="158" t="inlineStr">
        <is>
          <t>MAT08-0274</t>
        </is>
      </c>
      <c r="C949" s="558" t="inlineStr">
        <is>
          <t>0108-0274</t>
        </is>
      </c>
      <c r="D949" s="158" t="inlineStr">
        <is>
          <t>NIPLE HEXAGONAL</t>
        </is>
      </c>
      <c r="E949" s="158" t="inlineStr">
        <is>
          <t>UND</t>
        </is>
      </c>
      <c r="F949" s="158" t="inlineStr">
        <is>
          <t>MATERIALES</t>
        </is>
      </c>
      <c r="G949" s="158" t="inlineStr">
        <is>
          <t>FERRETERIA GENERAL</t>
        </is>
      </c>
    </row>
    <row r="950">
      <c r="A950" s="564" t="n"/>
      <c r="B950" s="158" t="inlineStr">
        <is>
          <t>MAT08-0276</t>
        </is>
      </c>
      <c r="C950" s="558" t="inlineStr">
        <is>
          <t>0108-0276</t>
        </is>
      </c>
      <c r="D950" s="158" t="inlineStr">
        <is>
          <t>CAJA REMACHE 3/16mmx1/2"</t>
        </is>
      </c>
      <c r="E950" s="158" t="inlineStr">
        <is>
          <t>UND</t>
        </is>
      </c>
      <c r="F950" s="158" t="inlineStr">
        <is>
          <t>MATERIALES</t>
        </is>
      </c>
      <c r="G950" s="158" t="inlineStr">
        <is>
          <t>FERRETERIA GENERAL</t>
        </is>
      </c>
    </row>
    <row r="951">
      <c r="A951" s="564" t="n"/>
      <c r="B951" s="158" t="inlineStr">
        <is>
          <t>MAT08-0278</t>
        </is>
      </c>
      <c r="C951" s="558" t="inlineStr">
        <is>
          <t>0108-0278</t>
        </is>
      </c>
      <c r="D951" s="158" t="inlineStr">
        <is>
          <t>DISCO SEGMENTADO CORTE ASFALTO 14"</t>
        </is>
      </c>
      <c r="E951" s="158" t="inlineStr">
        <is>
          <t>UND</t>
        </is>
      </c>
      <c r="F951" s="158" t="inlineStr">
        <is>
          <t>MATERIALES</t>
        </is>
      </c>
      <c r="G951" s="158" t="inlineStr">
        <is>
          <t>FERRETERIA GENERAL</t>
        </is>
      </c>
    </row>
    <row r="952">
      <c r="A952" s="564" t="n"/>
      <c r="B952" s="158" t="inlineStr">
        <is>
          <t>MAT08-0284</t>
        </is>
      </c>
      <c r="C952" s="558" t="inlineStr">
        <is>
          <t>0108-0284</t>
        </is>
      </c>
      <c r="D952" s="158" t="inlineStr">
        <is>
          <t>MALLA SEGURIDAD PLASTICA NARANJA</t>
        </is>
      </c>
      <c r="E952" s="158" t="inlineStr">
        <is>
          <t>ROLLO</t>
        </is>
      </c>
      <c r="F952" s="158" t="inlineStr">
        <is>
          <t>MATERIALES</t>
        </is>
      </c>
      <c r="G952" s="158" t="inlineStr">
        <is>
          <t>FERRETERIA GENERAL</t>
        </is>
      </c>
    </row>
    <row r="953">
      <c r="A953" s="564" t="n"/>
      <c r="B953" s="158" t="inlineStr">
        <is>
          <t>MAT08-0287</t>
        </is>
      </c>
      <c r="C953" s="558" t="inlineStr">
        <is>
          <t>0108-0287</t>
        </is>
      </c>
      <c r="D953" s="158" t="inlineStr">
        <is>
          <t>REGLA 1"x4"x4 VRS</t>
        </is>
      </c>
      <c r="E953" s="158" t="inlineStr">
        <is>
          <t>UND</t>
        </is>
      </c>
      <c r="F953" s="158" t="inlineStr">
        <is>
          <t>MATERIALES</t>
        </is>
      </c>
      <c r="G953" s="158" t="inlineStr">
        <is>
          <t>FERRETERIA GENERAL</t>
        </is>
      </c>
    </row>
    <row r="954">
      <c r="A954" s="564" t="n"/>
      <c r="B954" s="158" t="inlineStr">
        <is>
          <t>MAT08-0289</t>
        </is>
      </c>
      <c r="C954" s="558" t="inlineStr">
        <is>
          <t>0108-0289</t>
        </is>
      </c>
      <c r="D954" s="158" t="inlineStr">
        <is>
          <t>MANGUERA 18" ACOPLE</t>
        </is>
      </c>
      <c r="E954" s="158" t="inlineStr">
        <is>
          <t>UND</t>
        </is>
      </c>
      <c r="F954" s="158" t="inlineStr">
        <is>
          <t>MATERIALES</t>
        </is>
      </c>
      <c r="G954" s="158" t="inlineStr">
        <is>
          <t>FERRETERIA GENERAL</t>
        </is>
      </c>
    </row>
    <row r="955">
      <c r="A955" s="564" t="n"/>
      <c r="B955" s="158" t="inlineStr">
        <is>
          <t>MAT08-0292</t>
        </is>
      </c>
      <c r="C955" s="558" t="inlineStr">
        <is>
          <t>0108-0292</t>
        </is>
      </c>
      <c r="D955" s="158" t="inlineStr">
        <is>
          <t>BOQUILLA  DE CORTE PARA ACETILENO</t>
        </is>
      </c>
      <c r="E955" s="158" t="inlineStr">
        <is>
          <t>UND</t>
        </is>
      </c>
      <c r="F955" s="158" t="inlineStr">
        <is>
          <t>MATERIALES</t>
        </is>
      </c>
      <c r="G955" s="158" t="inlineStr">
        <is>
          <t>FERRETERIA GENERAL</t>
        </is>
      </c>
    </row>
    <row r="956">
      <c r="A956" s="564" t="n"/>
      <c r="B956" s="158" t="inlineStr">
        <is>
          <t>MAT08-0298</t>
        </is>
      </c>
      <c r="C956" s="558" t="inlineStr">
        <is>
          <t>0108-0298</t>
        </is>
      </c>
      <c r="D956" s="158" t="inlineStr">
        <is>
          <t>BROCA P/MADERA</t>
        </is>
      </c>
      <c r="E956" s="158" t="inlineStr">
        <is>
          <t>UND</t>
        </is>
      </c>
      <c r="F956" s="158" t="inlineStr">
        <is>
          <t>MATERIALES</t>
        </is>
      </c>
      <c r="G956" s="158" t="inlineStr">
        <is>
          <t>FERRETERIA GENERAL</t>
        </is>
      </c>
    </row>
    <row r="957">
      <c r="A957" s="564" t="n"/>
      <c r="B957" s="158" t="inlineStr">
        <is>
          <t>MAT08-0299</t>
        </is>
      </c>
      <c r="C957" s="558" t="inlineStr">
        <is>
          <t>0108-0299</t>
        </is>
      </c>
      <c r="D957" s="158" t="inlineStr">
        <is>
          <t>ROUTER MADERA 3/8</t>
        </is>
      </c>
      <c r="E957" s="158" t="inlineStr">
        <is>
          <t>UND</t>
        </is>
      </c>
      <c r="F957" s="158" t="inlineStr">
        <is>
          <t>MATERIALES</t>
        </is>
      </c>
      <c r="G957" s="158" t="inlineStr">
        <is>
          <t>FERRETERIA GENERAL</t>
        </is>
      </c>
    </row>
    <row r="958">
      <c r="A958" s="564" t="n"/>
      <c r="B958" s="158" t="inlineStr">
        <is>
          <t>MAT08-0300</t>
        </is>
      </c>
      <c r="C958" s="558" t="inlineStr">
        <is>
          <t>0108-0300</t>
        </is>
      </c>
      <c r="D958" s="158" t="inlineStr">
        <is>
          <t>ESTAÑON</t>
        </is>
      </c>
      <c r="E958" s="158" t="inlineStr">
        <is>
          <t>UND</t>
        </is>
      </c>
      <c r="F958" s="158" t="inlineStr">
        <is>
          <t>MATERIALES</t>
        </is>
      </c>
      <c r="G958" s="158" t="inlineStr">
        <is>
          <t>FERRETERIA GENERAL</t>
        </is>
      </c>
    </row>
    <row r="959">
      <c r="A959" s="564" t="n"/>
      <c r="B959" s="158" t="inlineStr">
        <is>
          <t>MAT08-0306</t>
        </is>
      </c>
      <c r="C959" s="558" t="inlineStr">
        <is>
          <t>0108-0306</t>
        </is>
      </c>
      <c r="D959" s="158" t="inlineStr">
        <is>
          <t>SOLDADURA BRONCE 1/8" REVESTIDO</t>
        </is>
      </c>
      <c r="E959" s="158" t="inlineStr">
        <is>
          <t>UND</t>
        </is>
      </c>
      <c r="F959" s="158" t="inlineStr">
        <is>
          <t>MATERIALES</t>
        </is>
      </c>
      <c r="G959" s="158" t="inlineStr">
        <is>
          <t>FERRETERIA GENERAL</t>
        </is>
      </c>
    </row>
    <row r="960">
      <c r="A960" s="564" t="n"/>
      <c r="B960" s="158" t="inlineStr">
        <is>
          <t>MAT08-0307</t>
        </is>
      </c>
      <c r="C960" s="558" t="inlineStr">
        <is>
          <t>0108-0307</t>
        </is>
      </c>
      <c r="D960" s="158" t="inlineStr">
        <is>
          <t>TORNILLO P/BISAGRA 6mmx5/8"</t>
        </is>
      </c>
      <c r="E960" s="158" t="inlineStr">
        <is>
          <t>UND</t>
        </is>
      </c>
      <c r="F960" s="158" t="inlineStr">
        <is>
          <t>MATERIALES</t>
        </is>
      </c>
      <c r="G960" s="158" t="inlineStr">
        <is>
          <t>FERRETERIA GENERAL</t>
        </is>
      </c>
    </row>
    <row r="961">
      <c r="A961" s="564" t="n"/>
      <c r="B961" s="158" t="inlineStr">
        <is>
          <t>MAT08-0308</t>
        </is>
      </c>
      <c r="C961" s="558" t="inlineStr">
        <is>
          <t>0108-0308</t>
        </is>
      </c>
      <c r="D961" s="158" t="inlineStr">
        <is>
          <t>TORNILLO 5/8"0.6mm GRADO 8</t>
        </is>
      </c>
      <c r="E961" s="158" t="inlineStr">
        <is>
          <t>UND</t>
        </is>
      </c>
      <c r="F961" s="158" t="inlineStr">
        <is>
          <t>MATERIALES</t>
        </is>
      </c>
      <c r="G961" s="158" t="inlineStr">
        <is>
          <t>FERRETERIA GENERAL</t>
        </is>
      </c>
    </row>
    <row r="962">
      <c r="A962" s="564" t="n"/>
      <c r="B962" s="158" t="inlineStr">
        <is>
          <t>MAT08-0309</t>
        </is>
      </c>
      <c r="C962" s="558" t="inlineStr">
        <is>
          <t>0108-0309</t>
        </is>
      </c>
      <c r="D962" s="158" t="inlineStr">
        <is>
          <t>DISCO DIAMANTADO CONCRETO 14"</t>
        </is>
      </c>
      <c r="E962" s="158" t="inlineStr">
        <is>
          <t>UND</t>
        </is>
      </c>
      <c r="F962" s="158" t="inlineStr">
        <is>
          <t>MATERIALES</t>
        </is>
      </c>
      <c r="G962" s="158" t="inlineStr">
        <is>
          <t>FERRETERIA GENERAL</t>
        </is>
      </c>
    </row>
    <row r="963">
      <c r="A963" s="564" t="n"/>
      <c r="B963" s="158" t="inlineStr">
        <is>
          <t>MAT08-0310</t>
        </is>
      </c>
      <c r="C963" s="558" t="inlineStr">
        <is>
          <t>0108-0310</t>
        </is>
      </c>
      <c r="D963" s="158" t="inlineStr">
        <is>
          <t>ACIDO</t>
        </is>
      </c>
      <c r="E963" s="158" t="inlineStr">
        <is>
          <t>GALON</t>
        </is>
      </c>
      <c r="F963" s="158" t="inlineStr">
        <is>
          <t>MATERIALES</t>
        </is>
      </c>
      <c r="G963" s="158" t="inlineStr">
        <is>
          <t>FERRETERIA GENERAL</t>
        </is>
      </c>
    </row>
    <row r="964">
      <c r="A964" s="564" t="n"/>
      <c r="B964" s="158" t="inlineStr">
        <is>
          <t>MAT08-0314</t>
        </is>
      </c>
      <c r="C964" s="558" t="inlineStr">
        <is>
          <t>0108-0314</t>
        </is>
      </c>
      <c r="D964" s="158" t="inlineStr">
        <is>
          <t>SOLDADURA  ALAMBRE MIG ECA 08 EN 5 KG</t>
        </is>
      </c>
      <c r="E964" s="158" t="inlineStr">
        <is>
          <t>UND</t>
        </is>
      </c>
      <c r="F964" s="158" t="inlineStr">
        <is>
          <t>MATERIALES</t>
        </is>
      </c>
      <c r="G964" s="158" t="inlineStr">
        <is>
          <t>FERRETERIA GENERAL</t>
        </is>
      </c>
    </row>
    <row r="965">
      <c r="A965" s="564" t="n"/>
      <c r="B965" s="158" t="inlineStr">
        <is>
          <t>MAT08-0316</t>
        </is>
      </c>
      <c r="C965" s="558" t="inlineStr">
        <is>
          <t>0108-0316</t>
        </is>
      </c>
      <c r="D965" s="158" t="inlineStr">
        <is>
          <t>DISCO CIERRA CALZADA</t>
        </is>
      </c>
      <c r="E965" s="158" t="inlineStr">
        <is>
          <t>UND</t>
        </is>
      </c>
      <c r="F965" s="158" t="inlineStr">
        <is>
          <t>MATERIALES</t>
        </is>
      </c>
      <c r="G965" s="158" t="inlineStr">
        <is>
          <t>FERRETERIA GENERAL</t>
        </is>
      </c>
    </row>
    <row r="966">
      <c r="A966" s="564" t="n"/>
      <c r="B966" s="158" t="inlineStr">
        <is>
          <t>MAT08-0318</t>
        </is>
      </c>
      <c r="C966" s="558" t="inlineStr">
        <is>
          <t>0108-0318</t>
        </is>
      </c>
      <c r="D966" s="158" t="inlineStr">
        <is>
          <t>CAJA PLASTICA</t>
        </is>
      </c>
      <c r="E966" s="158" t="inlineStr">
        <is>
          <t>UND</t>
        </is>
      </c>
      <c r="F966" s="158" t="inlineStr">
        <is>
          <t>MATERIALES</t>
        </is>
      </c>
      <c r="G966" s="158" t="inlineStr">
        <is>
          <t>FERRETERIA GENERAL</t>
        </is>
      </c>
    </row>
    <row r="967">
      <c r="A967" s="564" t="n"/>
      <c r="B967" s="158" t="inlineStr">
        <is>
          <t>MAT08-0319</t>
        </is>
      </c>
      <c r="C967" s="558" t="inlineStr">
        <is>
          <t>0108-0319</t>
        </is>
      </c>
      <c r="D967" s="158" t="inlineStr">
        <is>
          <t>DISCO CORTE CONCRETO 12"</t>
        </is>
      </c>
      <c r="E967" s="158" t="inlineStr">
        <is>
          <t>UND</t>
        </is>
      </c>
      <c r="F967" s="158" t="inlineStr">
        <is>
          <t>MATERIALES</t>
        </is>
      </c>
      <c r="G967" s="158" t="inlineStr">
        <is>
          <t>FERRETERIA GENERAL</t>
        </is>
      </c>
    </row>
    <row r="968">
      <c r="A968" s="564" t="n"/>
      <c r="B968" s="158" t="inlineStr">
        <is>
          <t>MAT08-0320</t>
        </is>
      </c>
      <c r="C968" s="558" t="inlineStr">
        <is>
          <t>0108-0320</t>
        </is>
      </c>
      <c r="D968" s="158" t="inlineStr">
        <is>
          <t>CABLE ACERO FORRADO 3/8"</t>
        </is>
      </c>
      <c r="E968" s="158" t="inlineStr">
        <is>
          <t>UND</t>
        </is>
      </c>
      <c r="F968" s="158" t="inlineStr">
        <is>
          <t>MATERIALES</t>
        </is>
      </c>
      <c r="G968" s="158" t="inlineStr">
        <is>
          <t>FERRETERIA GENERAL</t>
        </is>
      </c>
    </row>
    <row r="969">
      <c r="A969" s="564" t="n"/>
      <c r="B969" s="158" t="inlineStr">
        <is>
          <t>MAT08-0322</t>
        </is>
      </c>
      <c r="C969" s="558" t="inlineStr">
        <is>
          <t>0108-0322</t>
        </is>
      </c>
      <c r="D969" s="158" t="inlineStr">
        <is>
          <t>AISLANTE TERMICO CLIMATEC</t>
        </is>
      </c>
      <c r="E969" s="158" t="inlineStr">
        <is>
          <t>UND</t>
        </is>
      </c>
      <c r="F969" s="158" t="inlineStr">
        <is>
          <t>MATERIALES</t>
        </is>
      </c>
      <c r="G969" s="158" t="inlineStr">
        <is>
          <t>FERRETERIA GENERAL</t>
        </is>
      </c>
    </row>
    <row r="970">
      <c r="A970" s="564" t="n"/>
      <c r="B970" s="158" t="inlineStr">
        <is>
          <t>MAT08-0324</t>
        </is>
      </c>
      <c r="C970" s="558" t="inlineStr">
        <is>
          <t>0108-0324</t>
        </is>
      </c>
      <c r="D970" s="158" t="inlineStr">
        <is>
          <t>TORNILLOS P/FORMALETA</t>
        </is>
      </c>
      <c r="E970" s="158" t="inlineStr">
        <is>
          <t>UND</t>
        </is>
      </c>
      <c r="F970" s="158" t="inlineStr">
        <is>
          <t>MATERIALES</t>
        </is>
      </c>
      <c r="G970" s="158" t="inlineStr">
        <is>
          <t>FERRETERIA GENERAL</t>
        </is>
      </c>
    </row>
    <row r="971">
      <c r="A971" s="564" t="n"/>
      <c r="B971" s="158" t="inlineStr">
        <is>
          <t>MAT08-0325</t>
        </is>
      </c>
      <c r="C971" s="558" t="inlineStr">
        <is>
          <t>0108-0325</t>
        </is>
      </c>
      <c r="D971" s="158" t="inlineStr">
        <is>
          <t>CINTA REFLECTIVA</t>
        </is>
      </c>
      <c r="E971" s="158" t="inlineStr">
        <is>
          <t>UND</t>
        </is>
      </c>
      <c r="F971" s="158" t="inlineStr">
        <is>
          <t>MATERIALES</t>
        </is>
      </c>
      <c r="G971" s="158" t="inlineStr">
        <is>
          <t>FERRETERIA GENERAL</t>
        </is>
      </c>
    </row>
    <row r="972">
      <c r="A972" s="564" t="n"/>
      <c r="B972" s="158" t="inlineStr">
        <is>
          <t>MAT08-0326</t>
        </is>
      </c>
      <c r="C972" s="558" t="inlineStr">
        <is>
          <t>0108-0326</t>
        </is>
      </c>
      <c r="D972" s="158" t="inlineStr">
        <is>
          <t>TORNILLO GYPSUM ROSCA GRUESA 8mmx2" PTA/CTE</t>
        </is>
      </c>
      <c r="E972" s="158" t="inlineStr">
        <is>
          <t>UND</t>
        </is>
      </c>
      <c r="F972" s="158" t="inlineStr">
        <is>
          <t>MATERIALES</t>
        </is>
      </c>
      <c r="G972" s="158" t="inlineStr">
        <is>
          <t>FERRETERIA GENERAL</t>
        </is>
      </c>
    </row>
    <row r="973">
      <c r="A973" s="564" t="n"/>
      <c r="B973" s="158" t="inlineStr">
        <is>
          <t>MAT08-0327</t>
        </is>
      </c>
      <c r="C973" s="558" t="inlineStr">
        <is>
          <t>0108-0327</t>
        </is>
      </c>
      <c r="D973" s="158" t="inlineStr">
        <is>
          <t>DISCO CORTE CONCRETO DIAMANTADO CONTINUO 4 1/2"</t>
        </is>
      </c>
      <c r="E973" s="158" t="inlineStr">
        <is>
          <t>UND</t>
        </is>
      </c>
      <c r="F973" s="158" t="inlineStr">
        <is>
          <t>MATERIALES</t>
        </is>
      </c>
      <c r="G973" s="158" t="inlineStr">
        <is>
          <t>FERRETERIA GENERAL</t>
        </is>
      </c>
    </row>
    <row r="974">
      <c r="A974" s="564" t="n"/>
      <c r="B974" s="158" t="inlineStr">
        <is>
          <t>MAT08-0328</t>
        </is>
      </c>
      <c r="C974" s="558" t="inlineStr">
        <is>
          <t>0108-0328</t>
        </is>
      </c>
      <c r="D974" s="158" t="inlineStr">
        <is>
          <t>PICAPORTE SEGURIDAD 2" CROMADO</t>
        </is>
      </c>
      <c r="E974" s="158" t="inlineStr">
        <is>
          <t>UND</t>
        </is>
      </c>
      <c r="F974" s="158" t="inlineStr">
        <is>
          <t>MATERIALES</t>
        </is>
      </c>
      <c r="G974" s="158" t="inlineStr">
        <is>
          <t>FERRETERIA GENERAL</t>
        </is>
      </c>
    </row>
    <row r="975">
      <c r="A975" s="564" t="n"/>
      <c r="B975" s="158" t="inlineStr">
        <is>
          <t>MAT08-0329</t>
        </is>
      </c>
      <c r="C975" s="558" t="inlineStr">
        <is>
          <t>0108-0329</t>
        </is>
      </c>
      <c r="D975" s="158" t="inlineStr">
        <is>
          <t>MECATE</t>
        </is>
      </c>
      <c r="E975" s="158" t="inlineStr">
        <is>
          <t>M</t>
        </is>
      </c>
      <c r="F975" s="158" t="inlineStr">
        <is>
          <t>MATERIALES</t>
        </is>
      </c>
      <c r="G975" s="158" t="inlineStr">
        <is>
          <t>FERRETERIA GENERAL</t>
        </is>
      </c>
    </row>
    <row r="976">
      <c r="A976" s="564" t="n"/>
      <c r="B976" s="158" t="inlineStr">
        <is>
          <t>MAT08-0331</t>
        </is>
      </c>
      <c r="C976" s="558" t="inlineStr">
        <is>
          <t>0108-0331</t>
        </is>
      </c>
      <c r="D976" s="158" t="inlineStr">
        <is>
          <t>PUNTA PHILLIPS PH#2</t>
        </is>
      </c>
      <c r="E976" s="158" t="inlineStr">
        <is>
          <t>UND</t>
        </is>
      </c>
      <c r="F976" s="158" t="inlineStr">
        <is>
          <t>MATERIALES</t>
        </is>
      </c>
      <c r="G976" s="158" t="inlineStr">
        <is>
          <t>FERRETERIA GENERAL</t>
        </is>
      </c>
    </row>
    <row r="977">
      <c r="A977" s="564" t="n"/>
      <c r="B977" s="158" t="inlineStr">
        <is>
          <t>MAT08-0333</t>
        </is>
      </c>
      <c r="C977" s="558" t="inlineStr">
        <is>
          <t>0108-0333</t>
        </is>
      </c>
      <c r="D977" s="158" t="inlineStr">
        <is>
          <t>CINTA DOBLE CARA</t>
        </is>
      </c>
      <c r="E977" s="158" t="inlineStr">
        <is>
          <t>M</t>
        </is>
      </c>
      <c r="F977" s="158" t="inlineStr">
        <is>
          <t>MATERIALES</t>
        </is>
      </c>
      <c r="G977" s="158" t="inlineStr">
        <is>
          <t>FERRETERIA GENERAL</t>
        </is>
      </c>
    </row>
    <row r="978">
      <c r="A978" s="564" t="n"/>
      <c r="B978" s="158" t="inlineStr">
        <is>
          <t>MAT08-0335</t>
        </is>
      </c>
      <c r="C978" s="558" t="inlineStr">
        <is>
          <t>0108-0335</t>
        </is>
      </c>
      <c r="D978" s="158" t="inlineStr">
        <is>
          <t>TORNILLO DE 3" C/EMPAQUE,TUERCA ARANDELA  Y TAPON (PARA UPVC)</t>
        </is>
      </c>
      <c r="E978" s="158" t="inlineStr">
        <is>
          <t>UND</t>
        </is>
      </c>
      <c r="F978" s="158" t="inlineStr">
        <is>
          <t>MATERIALES</t>
        </is>
      </c>
      <c r="G978" s="158" t="inlineStr">
        <is>
          <t>FERRETERIA GENERAL</t>
        </is>
      </c>
    </row>
    <row r="979">
      <c r="A979" s="564" t="n"/>
      <c r="B979" s="158" t="inlineStr">
        <is>
          <t>MAT08-0336</t>
        </is>
      </c>
      <c r="C979" s="558" t="inlineStr">
        <is>
          <t>0108-0336</t>
        </is>
      </c>
      <c r="D979" s="158" t="inlineStr">
        <is>
          <t>JUEGO BROCA CIERRA</t>
        </is>
      </c>
      <c r="E979" s="158" t="inlineStr">
        <is>
          <t>UND</t>
        </is>
      </c>
      <c r="F979" s="158" t="inlineStr">
        <is>
          <t>MATERIALES</t>
        </is>
      </c>
      <c r="G979" s="158" t="inlineStr">
        <is>
          <t>FERRETERIA GENERAL</t>
        </is>
      </c>
    </row>
    <row r="980">
      <c r="A980" s="564" t="n"/>
      <c r="B980" s="158" t="inlineStr">
        <is>
          <t>MAT08-0337</t>
        </is>
      </c>
      <c r="C980" s="558" t="inlineStr">
        <is>
          <t>0108-0337</t>
        </is>
      </c>
      <c r="D980" s="158" t="inlineStr">
        <is>
          <t>BROCA TIPO DE PALETA DE 1"</t>
        </is>
      </c>
      <c r="E980" s="158" t="inlineStr">
        <is>
          <t>UND</t>
        </is>
      </c>
      <c r="F980" s="158" t="inlineStr">
        <is>
          <t>MATERIALES</t>
        </is>
      </c>
      <c r="G980" s="158" t="inlineStr">
        <is>
          <t>FERRETERIA GENERAL</t>
        </is>
      </c>
    </row>
    <row r="981">
      <c r="A981" s="564" t="n"/>
      <c r="B981" s="158" t="inlineStr">
        <is>
          <t>MAT08-0338</t>
        </is>
      </c>
      <c r="C981" s="558" t="inlineStr">
        <is>
          <t>0108-0338</t>
        </is>
      </c>
      <c r="D981" s="158" t="inlineStr">
        <is>
          <t>BROCA TIPO DE PALETA DE 7/8"</t>
        </is>
      </c>
      <c r="E981" s="158" t="inlineStr">
        <is>
          <t>UND</t>
        </is>
      </c>
      <c r="F981" s="158" t="inlineStr">
        <is>
          <t>MATERIALES</t>
        </is>
      </c>
      <c r="G981" s="158" t="inlineStr">
        <is>
          <t>FERRETERIA GENERAL</t>
        </is>
      </c>
    </row>
    <row r="982">
      <c r="A982" s="564" t="n"/>
      <c r="B982" s="158" t="inlineStr">
        <is>
          <t>MAT08-0441</t>
        </is>
      </c>
      <c r="C982" s="558" t="inlineStr">
        <is>
          <t>0108-0441</t>
        </is>
      </c>
      <c r="D982" s="158" t="inlineStr">
        <is>
          <t>VALVULA METÁLICA DE 2" (TIPO LLAVE DE PASO)</t>
        </is>
      </c>
      <c r="E982" s="158" t="inlineStr">
        <is>
          <t>UND</t>
        </is>
      </c>
      <c r="F982" s="158" t="inlineStr">
        <is>
          <t>MATERIALES</t>
        </is>
      </c>
      <c r="G982" s="158" t="inlineStr">
        <is>
          <t>FERRETERIA GENERAL</t>
        </is>
      </c>
    </row>
    <row r="983">
      <c r="A983" s="564" t="n"/>
      <c r="B983" s="158" t="inlineStr">
        <is>
          <t>MAT08-0443</t>
        </is>
      </c>
      <c r="C983" s="558" t="inlineStr">
        <is>
          <t>0108-0443</t>
        </is>
      </c>
      <c r="D983" s="158" t="inlineStr">
        <is>
          <t>DISCO ESPONJA 350 PARA MAQUINA DE REPELLO</t>
        </is>
      </c>
      <c r="E983" s="158" t="inlineStr">
        <is>
          <t>UND</t>
        </is>
      </c>
      <c r="F983" s="158" t="inlineStr">
        <is>
          <t>MATERIALES</t>
        </is>
      </c>
      <c r="G983" s="158" t="inlineStr">
        <is>
          <t>FERRETERIA GENERAL</t>
        </is>
      </c>
    </row>
    <row r="984">
      <c r="A984" s="564" t="n"/>
      <c r="B984" s="158" t="inlineStr">
        <is>
          <t>MAT08-0444</t>
        </is>
      </c>
      <c r="C984" s="558" t="inlineStr">
        <is>
          <t>0108-0444</t>
        </is>
      </c>
      <c r="D984" s="158" t="inlineStr">
        <is>
          <t>CAJA EMPOTRABLE PARA ICE MAKER CON  VALVULA</t>
        </is>
      </c>
      <c r="E984" s="158" t="inlineStr">
        <is>
          <t>M3</t>
        </is>
      </c>
      <c r="F984" s="158" t="inlineStr">
        <is>
          <t>MATERIALES</t>
        </is>
      </c>
      <c r="G984" s="158" t="inlineStr">
        <is>
          <t>FERRETERIA GENERAL</t>
        </is>
      </c>
    </row>
    <row r="985">
      <c r="A985" s="564" t="n"/>
      <c r="B985" s="158" t="inlineStr">
        <is>
          <t>MAT08-0445</t>
        </is>
      </c>
      <c r="C985" s="558" t="inlineStr">
        <is>
          <t>0108-0445</t>
        </is>
      </c>
      <c r="D985" s="158" t="inlineStr">
        <is>
          <t>CLAVO ACERO 2"</t>
        </is>
      </c>
      <c r="E985" s="158" t="inlineStr">
        <is>
          <t>CAJA</t>
        </is>
      </c>
      <c r="F985" s="158" t="inlineStr">
        <is>
          <t>MATERIALES</t>
        </is>
      </c>
      <c r="G985" s="158" t="inlineStr">
        <is>
          <t>FERRETERIA GENERAL</t>
        </is>
      </c>
    </row>
    <row r="986">
      <c r="A986" s="564" t="n"/>
      <c r="B986" s="158" t="inlineStr">
        <is>
          <t>MAT08-0446</t>
        </is>
      </c>
      <c r="C986" s="558" t="inlineStr">
        <is>
          <t>0108-0446</t>
        </is>
      </c>
      <c r="D986" s="158" t="inlineStr">
        <is>
          <t>DISCO CORTE METAL 4 1/2"</t>
        </is>
      </c>
      <c r="E986" s="158" t="inlineStr">
        <is>
          <t>UND</t>
        </is>
      </c>
      <c r="F986" s="158" t="inlineStr">
        <is>
          <t>MATERIALES</t>
        </is>
      </c>
      <c r="G986" s="158" t="inlineStr">
        <is>
          <t>FERRETERIA GENERAL</t>
        </is>
      </c>
    </row>
    <row r="987">
      <c r="A987" s="564" t="n"/>
      <c r="B987" s="158" t="inlineStr">
        <is>
          <t>MAT08-0448</t>
        </is>
      </c>
      <c r="C987" s="558" t="inlineStr">
        <is>
          <t>0108-0448</t>
        </is>
      </c>
      <c r="D987" s="158" t="inlineStr">
        <is>
          <t>NIPLE CROMADO 1/2"X1"</t>
        </is>
      </c>
      <c r="E987" s="158" t="inlineStr">
        <is>
          <t>UND</t>
        </is>
      </c>
      <c r="F987" s="158" t="inlineStr">
        <is>
          <t>MATERIALES</t>
        </is>
      </c>
      <c r="G987" s="158" t="inlineStr">
        <is>
          <t>FERRETERIA GENERAL</t>
        </is>
      </c>
    </row>
    <row r="988">
      <c r="A988" s="564" t="n"/>
      <c r="B988" s="158" t="inlineStr">
        <is>
          <t>MAT08-0449</t>
        </is>
      </c>
      <c r="C988" s="558" t="inlineStr">
        <is>
          <t>0108-0449</t>
        </is>
      </c>
      <c r="D988" s="158" t="inlineStr">
        <is>
          <t>REGLA SEMIDURO 1"x3"x4" SIN CEPILLAR</t>
        </is>
      </c>
      <c r="E988" s="158" t="inlineStr">
        <is>
          <t>UND</t>
        </is>
      </c>
      <c r="F988" s="158" t="inlineStr">
        <is>
          <t>MATERIALES</t>
        </is>
      </c>
      <c r="G988" s="158" t="inlineStr">
        <is>
          <t>FERRETERIA GENERAL</t>
        </is>
      </c>
    </row>
    <row r="989">
      <c r="A989" s="564" t="n"/>
      <c r="B989" s="158" t="inlineStr">
        <is>
          <t>MAT08-0450</t>
        </is>
      </c>
      <c r="C989" s="558" t="inlineStr">
        <is>
          <t>0108-0450</t>
        </is>
      </c>
      <c r="D989" s="158" t="inlineStr">
        <is>
          <t>DISCO PARA PULIDO SPX G200</t>
        </is>
      </c>
      <c r="E989" s="158" t="inlineStr">
        <is>
          <t>UND</t>
        </is>
      </c>
      <c r="F989" s="158" t="inlineStr">
        <is>
          <t>MATERIALES</t>
        </is>
      </c>
      <c r="G989" s="158" t="inlineStr">
        <is>
          <t>FERRETERIA GENERAL</t>
        </is>
      </c>
    </row>
    <row r="990">
      <c r="A990" s="564" t="n"/>
      <c r="B990" s="158" t="inlineStr">
        <is>
          <t>MAT08-0451</t>
        </is>
      </c>
      <c r="C990" s="558" t="inlineStr">
        <is>
          <t>0108-0451</t>
        </is>
      </c>
      <c r="D990" s="158" t="inlineStr">
        <is>
          <t>DISCO PARA PULIDO SPX G100</t>
        </is>
      </c>
      <c r="E990" s="158" t="inlineStr">
        <is>
          <t>UND</t>
        </is>
      </c>
      <c r="F990" s="158" t="inlineStr">
        <is>
          <t>MATERIALES</t>
        </is>
      </c>
      <c r="G990" s="158" t="inlineStr">
        <is>
          <t>FERRETERIA GENERAL</t>
        </is>
      </c>
    </row>
    <row r="991">
      <c r="A991" s="564" t="n"/>
      <c r="B991" s="158" t="inlineStr">
        <is>
          <t>MAT08-0452</t>
        </is>
      </c>
      <c r="C991" s="558" t="inlineStr">
        <is>
          <t>0108-0452</t>
        </is>
      </c>
      <c r="D991" s="158" t="inlineStr">
        <is>
          <t>DISCO PARA  PULIDO SPX G50</t>
        </is>
      </c>
      <c r="E991" s="158" t="inlineStr">
        <is>
          <t>UND</t>
        </is>
      </c>
      <c r="F991" s="158" t="inlineStr">
        <is>
          <t>MATERIALES</t>
        </is>
      </c>
      <c r="G991" s="158" t="inlineStr">
        <is>
          <t>FERRETERIA GENERAL</t>
        </is>
      </c>
    </row>
    <row r="992">
      <c r="A992" s="564" t="n"/>
      <c r="B992" s="158" t="inlineStr">
        <is>
          <t>MAT08-0453</t>
        </is>
      </c>
      <c r="C992" s="558" t="inlineStr">
        <is>
          <t>0108-0453</t>
        </is>
      </c>
      <c r="D992" s="158" t="inlineStr">
        <is>
          <t>REGLA SEMIDURO 1"x3"X4VRS CEPILLADA</t>
        </is>
      </c>
      <c r="E992" s="158" t="inlineStr">
        <is>
          <t>UND</t>
        </is>
      </c>
      <c r="F992" s="158" t="inlineStr">
        <is>
          <t>MATERIALES</t>
        </is>
      </c>
      <c r="G992" s="158" t="inlineStr">
        <is>
          <t>FERRETERIA GENERAL</t>
        </is>
      </c>
    </row>
    <row r="993">
      <c r="A993" s="564" t="n"/>
      <c r="B993" s="158" t="inlineStr">
        <is>
          <t>MAT08-0455</t>
        </is>
      </c>
      <c r="C993" s="558" t="inlineStr">
        <is>
          <t>0108-0455</t>
        </is>
      </c>
      <c r="D993" s="158" t="inlineStr">
        <is>
          <t>OCRE ROJO</t>
        </is>
      </c>
      <c r="E993" s="158" t="inlineStr">
        <is>
          <t>UND</t>
        </is>
      </c>
      <c r="F993" s="158" t="inlineStr">
        <is>
          <t>MATERIALES</t>
        </is>
      </c>
      <c r="G993" s="158" t="inlineStr">
        <is>
          <t>FERRETERIA GENERAL</t>
        </is>
      </c>
    </row>
    <row r="994">
      <c r="A994" s="564" t="n"/>
      <c r="B994" s="158" t="inlineStr">
        <is>
          <t>MAT08-0457</t>
        </is>
      </c>
      <c r="C994" s="558" t="inlineStr">
        <is>
          <t>0108-0457</t>
        </is>
      </c>
      <c r="D994" s="158" t="inlineStr">
        <is>
          <t>TORNILLO P/MADERA 2"x6mmx0.8mm NEGRO ROSCA ORDINARIA</t>
        </is>
      </c>
      <c r="E994" s="158" t="inlineStr">
        <is>
          <t>UND</t>
        </is>
      </c>
      <c r="F994" s="158" t="inlineStr">
        <is>
          <t>MATERIALES</t>
        </is>
      </c>
      <c r="G994" s="158" t="inlineStr">
        <is>
          <t>FERRETERIA GENERAL</t>
        </is>
      </c>
    </row>
    <row r="995">
      <c r="A995" s="564" t="n"/>
      <c r="B995" s="158" t="inlineStr">
        <is>
          <t>MAT08-0458</t>
        </is>
      </c>
      <c r="C995" s="558" t="inlineStr">
        <is>
          <t>0108-0458</t>
        </is>
      </c>
      <c r="D995" s="158" t="inlineStr">
        <is>
          <t>TORNILLO P/MADERA 1 1/4"x0.6mm NEGRO ROSCA ORDINARIA</t>
        </is>
      </c>
      <c r="E995" s="158" t="inlineStr">
        <is>
          <t>UND</t>
        </is>
      </c>
      <c r="F995" s="158" t="inlineStr">
        <is>
          <t>MATERIALES</t>
        </is>
      </c>
      <c r="G995" s="158" t="inlineStr">
        <is>
          <t>FERRETERIA GENERAL</t>
        </is>
      </c>
    </row>
    <row r="996">
      <c r="A996" s="564" t="n"/>
      <c r="B996" s="158" t="inlineStr">
        <is>
          <t>MAT08-0459</t>
        </is>
      </c>
      <c r="C996" s="558" t="inlineStr">
        <is>
          <t>0108-0459</t>
        </is>
      </c>
      <c r="D996" s="158" t="inlineStr">
        <is>
          <t>TORNILLO P/MADERA 3/4"x0.6mm NEGRO ROSCA ORDINARIA</t>
        </is>
      </c>
      <c r="E996" s="158" t="inlineStr">
        <is>
          <t>UND</t>
        </is>
      </c>
      <c r="F996" s="158" t="inlineStr">
        <is>
          <t>MATERIALES</t>
        </is>
      </c>
      <c r="G996" s="158" t="inlineStr">
        <is>
          <t>FERRETERIA GENERAL</t>
        </is>
      </c>
    </row>
    <row r="997">
      <c r="A997" s="564" t="n"/>
      <c r="B997" s="158" t="inlineStr">
        <is>
          <t>MAT08-0460</t>
        </is>
      </c>
      <c r="C997" s="558" t="inlineStr">
        <is>
          <t>0108-0460</t>
        </is>
      </c>
      <c r="D997" s="158" t="inlineStr">
        <is>
          <t>TORNILLO P/MADERA 2 1/2"X0.8mm AMARILLO ROSCA ORDINARIA</t>
        </is>
      </c>
      <c r="E997" s="158" t="inlineStr">
        <is>
          <t>UND</t>
        </is>
      </c>
      <c r="F997" s="158" t="inlineStr">
        <is>
          <t>MATERIALES</t>
        </is>
      </c>
      <c r="G997" s="158" t="inlineStr">
        <is>
          <t>FERRETERIA GENERAL</t>
        </is>
      </c>
    </row>
    <row r="998">
      <c r="A998" s="564" t="n"/>
      <c r="B998" s="158" t="inlineStr">
        <is>
          <t>MAT08-0462</t>
        </is>
      </c>
      <c r="C998" s="558" t="inlineStr">
        <is>
          <t>0108-0462</t>
        </is>
      </c>
      <c r="D998" s="158" t="inlineStr">
        <is>
          <t>AVELLANADOR 3/8" CALZADOS</t>
        </is>
      </c>
      <c r="E998" s="158" t="inlineStr">
        <is>
          <t>UND</t>
        </is>
      </c>
      <c r="F998" s="158" t="inlineStr">
        <is>
          <t>MATERIALES</t>
        </is>
      </c>
      <c r="G998" s="158" t="inlineStr">
        <is>
          <t>FERRETERIA GENERAL</t>
        </is>
      </c>
    </row>
    <row r="999">
      <c r="A999" s="564" t="n"/>
      <c r="B999" s="158" t="inlineStr">
        <is>
          <t>MAT08-0464</t>
        </is>
      </c>
      <c r="C999" s="558" t="inlineStr">
        <is>
          <t>0108-0464</t>
        </is>
      </c>
      <c r="D999" s="158" t="inlineStr">
        <is>
          <t>FLANGER 3"</t>
        </is>
      </c>
      <c r="E999" s="158" t="inlineStr">
        <is>
          <t>UND</t>
        </is>
      </c>
      <c r="F999" s="158" t="inlineStr">
        <is>
          <t>MATERIALES</t>
        </is>
      </c>
      <c r="G999" s="158" t="inlineStr">
        <is>
          <t>FERRETERIA GENERAL</t>
        </is>
      </c>
    </row>
    <row r="1000">
      <c r="A1000" s="564" t="n"/>
      <c r="B1000" s="158" t="inlineStr">
        <is>
          <t>MAT08-0465</t>
        </is>
      </c>
      <c r="C1000" s="558" t="inlineStr">
        <is>
          <t>0108-0465</t>
        </is>
      </c>
      <c r="D1000" s="158" t="inlineStr">
        <is>
          <t>MANGUERA PARA TANQUE DE AGUA CALIENTE DE 1/2"x60cm HEMBRA</t>
        </is>
      </c>
      <c r="E1000" s="158" t="inlineStr">
        <is>
          <t>UND</t>
        </is>
      </c>
      <c r="F1000" s="158" t="inlineStr">
        <is>
          <t>MATERIALES</t>
        </is>
      </c>
      <c r="G1000" s="158" t="inlineStr">
        <is>
          <t>FERRETERIA GENERAL</t>
        </is>
      </c>
    </row>
    <row r="1001">
      <c r="A1001" s="564" t="n"/>
      <c r="B1001" s="158" t="inlineStr">
        <is>
          <t>MAT08-0466</t>
        </is>
      </c>
      <c r="C1001" s="558" t="inlineStr">
        <is>
          <t>0108-0466</t>
        </is>
      </c>
      <c r="D1001" s="158" t="inlineStr">
        <is>
          <t>SEPARADOR P/CERAMICA DE 1mm</t>
        </is>
      </c>
      <c r="E1001" s="158" t="inlineStr">
        <is>
          <t>BOLSA</t>
        </is>
      </c>
      <c r="F1001" s="158" t="inlineStr">
        <is>
          <t>MATERIALES</t>
        </is>
      </c>
      <c r="G1001" s="158" t="inlineStr">
        <is>
          <t>FERRETERIA GENERAL</t>
        </is>
      </c>
    </row>
    <row r="1002">
      <c r="A1002" s="564" t="n"/>
      <c r="B1002" s="158" t="inlineStr">
        <is>
          <t>MAT08-0471</t>
        </is>
      </c>
      <c r="C1002" s="558" t="inlineStr">
        <is>
          <t>0108-0471</t>
        </is>
      </c>
      <c r="D1002" s="158" t="inlineStr">
        <is>
          <t>REGLA DE 1"x3"x4 VRS EN PINO CEPILLADA</t>
        </is>
      </c>
      <c r="E1002" s="158" t="inlineStr">
        <is>
          <t>UND</t>
        </is>
      </c>
      <c r="F1002" s="158" t="inlineStr">
        <is>
          <t>MATERIALES</t>
        </is>
      </c>
      <c r="G1002" s="158" t="inlineStr">
        <is>
          <t>FERRETERIA GENERAL</t>
        </is>
      </c>
    </row>
    <row r="1003">
      <c r="A1003" s="564" t="n"/>
      <c r="B1003" s="158" t="inlineStr">
        <is>
          <t>MAT08-0473</t>
        </is>
      </c>
      <c r="C1003" s="558" t="inlineStr">
        <is>
          <t>0108-0473</t>
        </is>
      </c>
      <c r="D1003" s="158" t="inlineStr">
        <is>
          <t>CHECK DE COMPUERTA 2 PULG</t>
        </is>
      </c>
      <c r="E1003" s="158" t="inlineStr">
        <is>
          <t>UND</t>
        </is>
      </c>
      <c r="F1003" s="158" t="inlineStr">
        <is>
          <t>MATERIALES</t>
        </is>
      </c>
      <c r="G1003" s="158" t="inlineStr">
        <is>
          <t>FERRETERIA GENERAL</t>
        </is>
      </c>
    </row>
    <row r="1004">
      <c r="A1004" s="564" t="n"/>
      <c r="B1004" s="158" t="inlineStr">
        <is>
          <t>MAT08-0474</t>
        </is>
      </c>
      <c r="C1004" s="558" t="inlineStr">
        <is>
          <t>0108-0474</t>
        </is>
      </c>
      <c r="D1004" s="158" t="inlineStr">
        <is>
          <t>LUBRICANTE PARA TUBERIA PVC</t>
        </is>
      </c>
      <c r="E1004" s="158" t="inlineStr">
        <is>
          <t>UND</t>
        </is>
      </c>
      <c r="F1004" s="158" t="inlineStr">
        <is>
          <t>MATERIALES</t>
        </is>
      </c>
      <c r="G1004" s="158" t="inlineStr">
        <is>
          <t>FERRETERIA GENERAL</t>
        </is>
      </c>
    </row>
    <row r="1005">
      <c r="A1005" s="564" t="n"/>
      <c r="B1005" s="158" t="inlineStr">
        <is>
          <t>MAT08-0475</t>
        </is>
      </c>
      <c r="C1005" s="558" t="inlineStr">
        <is>
          <t>0108-0475</t>
        </is>
      </c>
      <c r="D1005" s="158" t="inlineStr">
        <is>
          <t>NIPLE CROMADO 1/2"X3.5"</t>
        </is>
      </c>
      <c r="E1005" s="158" t="inlineStr">
        <is>
          <t>%MO</t>
        </is>
      </c>
      <c r="F1005" s="158" t="inlineStr">
        <is>
          <t>MATERIALES</t>
        </is>
      </c>
      <c r="G1005" s="158" t="inlineStr">
        <is>
          <t>FERRETERIA GENERAL</t>
        </is>
      </c>
    </row>
    <row r="1006">
      <c r="A1006" s="564" t="n"/>
      <c r="B1006" s="158" t="inlineStr">
        <is>
          <t>MAT08-0476</t>
        </is>
      </c>
      <c r="C1006" s="558" t="inlineStr">
        <is>
          <t>0108-0476</t>
        </is>
      </c>
      <c r="D1006" s="158" t="inlineStr">
        <is>
          <t>RODIN PARA PERLING</t>
        </is>
      </c>
      <c r="E1006" s="158" t="inlineStr">
        <is>
          <t>UND</t>
        </is>
      </c>
      <c r="F1006" s="158" t="inlineStr">
        <is>
          <t>MATERIALES</t>
        </is>
      </c>
      <c r="G1006" s="158" t="inlineStr">
        <is>
          <t>FERRETERIA GENERAL</t>
        </is>
      </c>
    </row>
    <row r="1007">
      <c r="A1007" s="564" t="n"/>
      <c r="B1007" s="158" t="inlineStr">
        <is>
          <t>MAT08-0477</t>
        </is>
      </c>
      <c r="C1007" s="558" t="inlineStr">
        <is>
          <t>0108-0477</t>
        </is>
      </c>
      <c r="D1007" s="158" t="inlineStr">
        <is>
          <t>ROLDANA GALVANIZADA</t>
        </is>
      </c>
      <c r="E1007" s="158" t="inlineStr">
        <is>
          <t>UND</t>
        </is>
      </c>
      <c r="F1007" s="158" t="inlineStr">
        <is>
          <t>MATERIALES</t>
        </is>
      </c>
      <c r="G1007" s="158" t="inlineStr">
        <is>
          <t>FERRETERIA GENERAL</t>
        </is>
      </c>
    </row>
    <row r="1008" ht="14.25" customHeight="1">
      <c r="A1008" s="564" t="n"/>
      <c r="B1008" s="158" t="inlineStr">
        <is>
          <t>MAT08-0481</t>
        </is>
      </c>
      <c r="C1008" s="558" t="inlineStr">
        <is>
          <t>0108-0481</t>
        </is>
      </c>
      <c r="D1008" s="158" t="inlineStr">
        <is>
          <t>ACOPLE MACHO DE POLIETILENO 1/2" (12mm)</t>
        </is>
      </c>
      <c r="E1008" s="158" t="inlineStr">
        <is>
          <t>UND</t>
        </is>
      </c>
      <c r="F1008" s="158" t="inlineStr">
        <is>
          <t>MATERIALES</t>
        </is>
      </c>
      <c r="G1008" s="158" t="inlineStr">
        <is>
          <t>FERRETERIA GENERAL</t>
        </is>
      </c>
    </row>
    <row r="1009">
      <c r="A1009" s="564" t="n"/>
      <c r="B1009" s="158" t="inlineStr">
        <is>
          <t>MAT08-0483</t>
        </is>
      </c>
      <c r="C1009" s="558" t="inlineStr">
        <is>
          <t>0108-0483</t>
        </is>
      </c>
      <c r="D1009" s="158" t="inlineStr">
        <is>
          <t>NIPLE DE HIERRO CROMADO 1/2"x10"</t>
        </is>
      </c>
      <c r="E1009" s="158" t="inlineStr">
        <is>
          <t>UND</t>
        </is>
      </c>
      <c r="F1009" s="158" t="inlineStr">
        <is>
          <t>MATERIALES</t>
        </is>
      </c>
      <c r="G1009" s="158" t="inlineStr">
        <is>
          <t>FERRETERIA GENERAL</t>
        </is>
      </c>
    </row>
    <row r="1010">
      <c r="A1010" s="564" t="n"/>
      <c r="B1010" s="158" t="inlineStr">
        <is>
          <t>MAT08-0484</t>
        </is>
      </c>
      <c r="C1010" s="558" t="inlineStr">
        <is>
          <t>0108-0484</t>
        </is>
      </c>
      <c r="D1010" s="158" t="inlineStr">
        <is>
          <t>NIPLE DE HIERRO CROMADO 1/2"x2"</t>
        </is>
      </c>
      <c r="E1010" s="158" t="inlineStr">
        <is>
          <t>UND</t>
        </is>
      </c>
      <c r="F1010" s="158" t="inlineStr">
        <is>
          <t>MATERIALES</t>
        </is>
      </c>
      <c r="G1010" s="158" t="inlineStr">
        <is>
          <t>FERRETERIA GENERAL</t>
        </is>
      </c>
    </row>
    <row r="1011">
      <c r="A1011" s="564" t="n"/>
      <c r="B1011" s="158" t="inlineStr">
        <is>
          <t>MAT08-0485</t>
        </is>
      </c>
      <c r="C1011" s="558" t="inlineStr">
        <is>
          <t>0108-0485</t>
        </is>
      </c>
      <c r="D1011" s="158" t="inlineStr">
        <is>
          <t>CODO 1/2"x90 HIERRO CROMADO</t>
        </is>
      </c>
      <c r="E1011" s="158" t="inlineStr">
        <is>
          <t>UND</t>
        </is>
      </c>
      <c r="F1011" s="158" t="inlineStr">
        <is>
          <t>MATERIALES</t>
        </is>
      </c>
      <c r="G1011" s="158" t="inlineStr">
        <is>
          <t>FERRETERIA GENERAL</t>
        </is>
      </c>
    </row>
    <row r="1012">
      <c r="A1012" s="564" t="n"/>
      <c r="B1012" s="158" t="inlineStr">
        <is>
          <t>MAT08-0486</t>
        </is>
      </c>
      <c r="C1012" s="558" t="inlineStr">
        <is>
          <t>0108-0486</t>
        </is>
      </c>
      <c r="D1012" s="158" t="inlineStr">
        <is>
          <t>DISCO DIAMANTADO PARA CONCRETO 5"</t>
        </is>
      </c>
      <c r="E1012" s="158" t="inlineStr">
        <is>
          <t>UND</t>
        </is>
      </c>
      <c r="F1012" s="158" t="inlineStr">
        <is>
          <t>MATERIALES</t>
        </is>
      </c>
      <c r="G1012" s="158" t="inlineStr">
        <is>
          <t>FERRETERIA GENERAL</t>
        </is>
      </c>
    </row>
    <row r="1013">
      <c r="A1013" s="564" t="n"/>
      <c r="B1013" s="158" t="inlineStr">
        <is>
          <t>MAT08-0487</t>
        </is>
      </c>
      <c r="C1013" s="558" t="inlineStr">
        <is>
          <t>0108-0487</t>
        </is>
      </c>
      <c r="D1013" s="158" t="inlineStr">
        <is>
          <t>LLAVE COMPUERTA METALICA 2"</t>
        </is>
      </c>
      <c r="E1013" s="158" t="inlineStr">
        <is>
          <t>UND</t>
        </is>
      </c>
      <c r="F1013" s="158" t="inlineStr">
        <is>
          <t>MATERIALES</t>
        </is>
      </c>
      <c r="G1013" s="158" t="inlineStr">
        <is>
          <t>FERRETERIA GENERAL</t>
        </is>
      </c>
    </row>
    <row r="1014">
      <c r="A1014" s="564" t="n"/>
      <c r="B1014" s="158" t="inlineStr">
        <is>
          <t>MAT08-0488</t>
        </is>
      </c>
      <c r="C1014" s="558" t="inlineStr">
        <is>
          <t>0108-0488</t>
        </is>
      </c>
      <c r="D1014" s="158" t="inlineStr">
        <is>
          <t>RODÍN PARA PORTÓN DE 4"</t>
        </is>
      </c>
      <c r="E1014" s="158" t="inlineStr">
        <is>
          <t>UND</t>
        </is>
      </c>
      <c r="F1014" s="158" t="inlineStr">
        <is>
          <t>MATERIALES</t>
        </is>
      </c>
      <c r="G1014" s="158" t="inlineStr">
        <is>
          <t>FERRETERIA GENERAL</t>
        </is>
      </c>
    </row>
    <row r="1015">
      <c r="A1015" s="564" t="n"/>
      <c r="B1015" s="158" t="inlineStr">
        <is>
          <t>MAT08-0490</t>
        </is>
      </c>
      <c r="C1015" s="558" t="inlineStr">
        <is>
          <t>0108-0490</t>
        </is>
      </c>
      <c r="D1015" s="158" t="inlineStr">
        <is>
          <t>UNION HG 2"</t>
        </is>
      </c>
      <c r="E1015" s="158" t="inlineStr">
        <is>
          <t>UND</t>
        </is>
      </c>
      <c r="F1015" s="158" t="inlineStr">
        <is>
          <t>MATERIALES</t>
        </is>
      </c>
      <c r="G1015" s="158" t="inlineStr">
        <is>
          <t>FERRETERIA GENERAL</t>
        </is>
      </c>
    </row>
    <row r="1016">
      <c r="A1016" s="564" t="n"/>
      <c r="B1016" s="158" t="inlineStr">
        <is>
          <t>MAT08-0491</t>
        </is>
      </c>
      <c r="C1016" s="558" t="inlineStr">
        <is>
          <t>0108-0491</t>
        </is>
      </c>
      <c r="D1016" s="158" t="inlineStr">
        <is>
          <t>NIPLE HG 1/2"x2"</t>
        </is>
      </c>
      <c r="E1016" s="158" t="inlineStr">
        <is>
          <t>UND</t>
        </is>
      </c>
      <c r="F1016" s="158" t="inlineStr">
        <is>
          <t>MATERIALES</t>
        </is>
      </c>
      <c r="G1016" s="158" t="inlineStr">
        <is>
          <t>FERRETERIA GENERAL</t>
        </is>
      </c>
    </row>
    <row r="1017">
      <c r="A1017" s="564" t="n"/>
      <c r="B1017" s="158" t="inlineStr">
        <is>
          <t>MAT08-0492</t>
        </is>
      </c>
      <c r="C1017" s="558" t="inlineStr">
        <is>
          <t>0108-0492</t>
        </is>
      </c>
      <c r="D1017" s="158" t="inlineStr">
        <is>
          <t>TAPON HG 2"</t>
        </is>
      </c>
      <c r="E1017" s="158" t="inlineStr">
        <is>
          <t>UND</t>
        </is>
      </c>
      <c r="F1017" s="158" t="inlineStr">
        <is>
          <t>MATERIALES</t>
        </is>
      </c>
      <c r="G1017" s="158" t="inlineStr">
        <is>
          <t>FERRETERIA GENERAL</t>
        </is>
      </c>
    </row>
    <row r="1018">
      <c r="A1018" s="564" t="n"/>
      <c r="B1018" s="158" t="inlineStr">
        <is>
          <t>MAT08-0493</t>
        </is>
      </c>
      <c r="C1018" s="558" t="inlineStr">
        <is>
          <t>0108-0493</t>
        </is>
      </c>
      <c r="D1018" s="158" t="inlineStr">
        <is>
          <t>REGLA 1"x2"x4VRS PINO CEPILLADA</t>
        </is>
      </c>
      <c r="E1018" s="158" t="inlineStr">
        <is>
          <t>UND</t>
        </is>
      </c>
      <c r="F1018" s="158" t="inlineStr">
        <is>
          <t>MATERIALES</t>
        </is>
      </c>
      <c r="G1018" s="158" t="inlineStr">
        <is>
          <t>FERRETERIA GENERAL</t>
        </is>
      </c>
    </row>
    <row r="1019">
      <c r="A1019" s="564" t="n"/>
      <c r="B1019" s="158" t="inlineStr">
        <is>
          <t>MAT08-0494</t>
        </is>
      </c>
      <c r="C1019" s="558" t="inlineStr">
        <is>
          <t>0108-0494</t>
        </is>
      </c>
      <c r="D1019" s="158" t="inlineStr">
        <is>
          <t>TORNILLO P/ CARROCERIA DE 1/2" CON ARANDELA</t>
        </is>
      </c>
      <c r="E1019" s="158" t="inlineStr">
        <is>
          <t>UND</t>
        </is>
      </c>
      <c r="F1019" s="158" t="inlineStr">
        <is>
          <t>MATERIALES</t>
        </is>
      </c>
      <c r="G1019" s="158" t="inlineStr">
        <is>
          <t>FERRETERIA GENERAL</t>
        </is>
      </c>
    </row>
    <row r="1020">
      <c r="A1020" s="564" t="n"/>
      <c r="B1020" s="158" t="n"/>
      <c r="C1020" s="558" t="n"/>
      <c r="D1020" s="158" t="inlineStr">
        <is>
          <t>TORNILLO P/ CARROCERIA DE 3/8" CON ARANDELA</t>
        </is>
      </c>
      <c r="E1020" s="158" t="n"/>
      <c r="F1020" s="158" t="n"/>
      <c r="G1020" s="158" t="n"/>
    </row>
    <row r="1021">
      <c r="A1021" s="564" t="n"/>
      <c r="B1021" s="158" t="inlineStr">
        <is>
          <t>MAT08-0497</t>
        </is>
      </c>
      <c r="C1021" s="558" t="inlineStr">
        <is>
          <t>0108-0497</t>
        </is>
      </c>
      <c r="D1021" s="158" t="inlineStr">
        <is>
          <t>BANDEJA PARA PINTAR DE 9"</t>
        </is>
      </c>
      <c r="E1021" s="158" t="inlineStr">
        <is>
          <t>UND</t>
        </is>
      </c>
      <c r="F1021" s="158" t="inlineStr">
        <is>
          <t>MATERIALES</t>
        </is>
      </c>
      <c r="G1021" s="158" t="inlineStr">
        <is>
          <t>FERRETERIA GENERAL</t>
        </is>
      </c>
    </row>
    <row r="1022">
      <c r="A1022" s="564" t="n"/>
      <c r="B1022" s="158" t="inlineStr">
        <is>
          <t>MAT08-0498</t>
        </is>
      </c>
      <c r="C1022" s="558" t="inlineStr">
        <is>
          <t>0108-0498</t>
        </is>
      </c>
      <c r="D1022" s="158" t="inlineStr">
        <is>
          <t>KIT DUCTO DE SECADOR 4"</t>
        </is>
      </c>
      <c r="E1022" s="158" t="inlineStr">
        <is>
          <t>UND</t>
        </is>
      </c>
      <c r="F1022" s="158" t="inlineStr">
        <is>
          <t>MATERIALES</t>
        </is>
      </c>
      <c r="G1022" s="158" t="inlineStr">
        <is>
          <t>FERRETERIA GENERAL</t>
        </is>
      </c>
    </row>
    <row r="1023">
      <c r="A1023" s="564" t="n"/>
      <c r="B1023" s="158" t="inlineStr">
        <is>
          <t>MAT08-0501</t>
        </is>
      </c>
      <c r="C1023" s="558" t="inlineStr">
        <is>
          <t>0108-0501</t>
        </is>
      </c>
      <c r="D1023" s="158" t="inlineStr">
        <is>
          <t>ESCALERA PARA ATICO MADERA DE 2,66 A 3.05 M</t>
        </is>
      </c>
      <c r="E1023" s="158" t="inlineStr">
        <is>
          <t>UND</t>
        </is>
      </c>
      <c r="F1023" s="158" t="inlineStr">
        <is>
          <t>MATERIALES</t>
        </is>
      </c>
      <c r="G1023" s="158" t="inlineStr">
        <is>
          <t>FERRETERIA GENERAL</t>
        </is>
      </c>
    </row>
    <row r="1024">
      <c r="A1024" s="564" t="n"/>
      <c r="B1024" s="158" t="inlineStr">
        <is>
          <t>MAT08-0502</t>
        </is>
      </c>
      <c r="C1024" s="558" t="inlineStr">
        <is>
          <t>0108-0502</t>
        </is>
      </c>
      <c r="D1024" s="158" t="inlineStr">
        <is>
          <t>LAMINA FIBROLIT 3/4"</t>
        </is>
      </c>
      <c r="E1024" s="158" t="inlineStr">
        <is>
          <t>UND</t>
        </is>
      </c>
      <c r="F1024" s="158" t="inlineStr">
        <is>
          <t>MATERIALES</t>
        </is>
      </c>
      <c r="G1024" s="158" t="inlineStr">
        <is>
          <t>FERRETERIA GENERAL</t>
        </is>
      </c>
    </row>
    <row r="1025">
      <c r="A1025" s="564" t="n"/>
      <c r="B1025" s="158" t="inlineStr">
        <is>
          <t>MAT08-0504</t>
        </is>
      </c>
      <c r="C1025" s="558" t="inlineStr">
        <is>
          <t>0108-0504</t>
        </is>
      </c>
      <c r="D1025" s="158" t="inlineStr">
        <is>
          <t>FILTRO DE AGUA DE 2"</t>
        </is>
      </c>
      <c r="E1025" s="158" t="inlineStr">
        <is>
          <t>UND</t>
        </is>
      </c>
      <c r="F1025" s="158" t="inlineStr">
        <is>
          <t>MATERIALES</t>
        </is>
      </c>
      <c r="G1025" s="158" t="inlineStr">
        <is>
          <t>FERRETERIA GENERAL</t>
        </is>
      </c>
    </row>
    <row r="1026">
      <c r="A1026" s="564" t="n"/>
      <c r="B1026" s="158" t="inlineStr">
        <is>
          <t>MAT08-0505</t>
        </is>
      </c>
      <c r="C1026" s="558" t="inlineStr">
        <is>
          <t>0108-0505</t>
        </is>
      </c>
      <c r="D1026" s="158" t="inlineStr">
        <is>
          <t>GAZA SIN FIN  DE 2"</t>
        </is>
      </c>
      <c r="E1026" s="158" t="inlineStr">
        <is>
          <t>UND</t>
        </is>
      </c>
      <c r="F1026" s="158" t="inlineStr">
        <is>
          <t>MATERIALES</t>
        </is>
      </c>
      <c r="G1026" s="158" t="inlineStr">
        <is>
          <t>FERRETERIA GENERAL</t>
        </is>
      </c>
    </row>
    <row r="1027">
      <c r="A1027" s="564" t="n"/>
      <c r="B1027" s="158" t="inlineStr">
        <is>
          <t>MAT08-0507</t>
        </is>
      </c>
      <c r="C1027" s="558" t="inlineStr">
        <is>
          <t>0108-0507</t>
        </is>
      </c>
      <c r="D1027" s="158" t="inlineStr">
        <is>
          <t>ALDABA 3"</t>
        </is>
      </c>
      <c r="E1027" s="158" t="inlineStr">
        <is>
          <t>UND</t>
        </is>
      </c>
      <c r="F1027" s="158" t="inlineStr">
        <is>
          <t>MATERIALES</t>
        </is>
      </c>
      <c r="G1027" s="158" t="inlineStr">
        <is>
          <t>FERRETERIA GENERAL</t>
        </is>
      </c>
    </row>
    <row r="1028">
      <c r="A1028" s="564" t="n"/>
      <c r="B1028" s="158" t="inlineStr">
        <is>
          <t>MAT08-0511</t>
        </is>
      </c>
      <c r="C1028" s="558" t="inlineStr">
        <is>
          <t>0108-0511</t>
        </is>
      </c>
      <c r="D1028" s="158" t="inlineStr">
        <is>
          <t>BROCA P/METAL 3/16"</t>
        </is>
      </c>
      <c r="E1028" s="158" t="inlineStr">
        <is>
          <t>UND</t>
        </is>
      </c>
      <c r="F1028" s="158" t="inlineStr">
        <is>
          <t>MATERIALES</t>
        </is>
      </c>
      <c r="G1028" s="158" t="inlineStr">
        <is>
          <t>FERRETERIA GENERAL</t>
        </is>
      </c>
    </row>
    <row r="1029">
      <c r="A1029" s="564" t="n"/>
      <c r="B1029" s="158" t="inlineStr">
        <is>
          <t>MAT08-0512</t>
        </is>
      </c>
      <c r="C1029" s="558" t="inlineStr">
        <is>
          <t>0108-0512</t>
        </is>
      </c>
      <c r="D1029" s="158" t="inlineStr">
        <is>
          <t>BROCA P/ METAL 1/8"</t>
        </is>
      </c>
      <c r="E1029" s="158" t="inlineStr">
        <is>
          <t>UND</t>
        </is>
      </c>
      <c r="F1029" s="158" t="inlineStr">
        <is>
          <t>MATERIALES</t>
        </is>
      </c>
      <c r="G1029" s="158" t="inlineStr">
        <is>
          <t>FERRETERIA GENERAL</t>
        </is>
      </c>
    </row>
    <row r="1030">
      <c r="A1030" s="564" t="n"/>
      <c r="B1030" s="158" t="inlineStr">
        <is>
          <t>MAT08-0513</t>
        </is>
      </c>
      <c r="C1030" s="558" t="inlineStr">
        <is>
          <t>0108-0513</t>
        </is>
      </c>
      <c r="D1030" s="158" t="inlineStr">
        <is>
          <t>CAJA DE REMACHE 1/8"x3/4" P/PISTOLA</t>
        </is>
      </c>
      <c r="E1030" s="158" t="inlineStr">
        <is>
          <t>CAJA</t>
        </is>
      </c>
      <c r="F1030" s="158" t="inlineStr">
        <is>
          <t>MATERIALES</t>
        </is>
      </c>
      <c r="G1030" s="158" t="inlineStr">
        <is>
          <t>FERRETERIA GENERAL</t>
        </is>
      </c>
    </row>
    <row r="1031">
      <c r="A1031" s="564" t="n"/>
      <c r="B1031" s="158" t="inlineStr">
        <is>
          <t>MAT08-0514</t>
        </is>
      </c>
      <c r="C1031" s="558" t="inlineStr">
        <is>
          <t>0108-0514</t>
        </is>
      </c>
      <c r="D1031" s="158" t="inlineStr">
        <is>
          <t>FORMALETA 1"x8"x12VRS SIN CEPILLAR</t>
        </is>
      </c>
      <c r="E1031" s="158" t="inlineStr">
        <is>
          <t>UND</t>
        </is>
      </c>
      <c r="F1031" s="158" t="inlineStr">
        <is>
          <t>MATERIALES</t>
        </is>
      </c>
      <c r="G1031" s="158" t="inlineStr">
        <is>
          <t>FERRETERIA GENERAL</t>
        </is>
      </c>
    </row>
    <row r="1032">
      <c r="A1032" s="564" t="n"/>
      <c r="B1032" s="158" t="inlineStr">
        <is>
          <t>MAT08-0515</t>
        </is>
      </c>
      <c r="C1032" s="558" t="inlineStr">
        <is>
          <t>0108-0515</t>
        </is>
      </c>
      <c r="D1032" s="158" t="inlineStr">
        <is>
          <t>TANQUE DE AGUA 10MIL LITROS</t>
        </is>
      </c>
      <c r="E1032" s="158" t="inlineStr">
        <is>
          <t>UND</t>
        </is>
      </c>
      <c r="F1032" s="158" t="inlineStr">
        <is>
          <t>MATERIALES</t>
        </is>
      </c>
      <c r="G1032" s="158" t="inlineStr">
        <is>
          <t>FERRETERIA GENERAL</t>
        </is>
      </c>
    </row>
    <row r="1033">
      <c r="A1033" s="564" t="n"/>
      <c r="B1033" s="158" t="inlineStr">
        <is>
          <t>MAT08-0517</t>
        </is>
      </c>
      <c r="C1033" s="558" t="inlineStr">
        <is>
          <t>0108-0517</t>
        </is>
      </c>
      <c r="D1033" s="158" t="inlineStr">
        <is>
          <t>FLANGER DE 2" P/TANQUE DE AGUA DE ALMACENAJE</t>
        </is>
      </c>
      <c r="E1033" s="158" t="inlineStr">
        <is>
          <t>UND</t>
        </is>
      </c>
      <c r="F1033" s="158" t="inlineStr">
        <is>
          <t>MATERIALES</t>
        </is>
      </c>
      <c r="G1033" s="158" t="inlineStr">
        <is>
          <t>FERRETERIA GENERAL</t>
        </is>
      </c>
    </row>
    <row r="1034">
      <c r="A1034" s="564" t="n"/>
      <c r="B1034" s="158" t="inlineStr">
        <is>
          <t>MAT08-0518</t>
        </is>
      </c>
      <c r="C1034" s="558" t="inlineStr">
        <is>
          <t>0108-0518</t>
        </is>
      </c>
      <c r="D1034" s="158" t="inlineStr">
        <is>
          <t>BROCHA DE 1"</t>
        </is>
      </c>
      <c r="E1034" s="158" t="inlineStr">
        <is>
          <t>UND</t>
        </is>
      </c>
      <c r="F1034" s="158" t="inlineStr">
        <is>
          <t>MATERIALES</t>
        </is>
      </c>
      <c r="G1034" s="158" t="inlineStr">
        <is>
          <t>FERRETERIA GENERAL</t>
        </is>
      </c>
    </row>
    <row r="1035">
      <c r="A1035" s="564" t="n"/>
      <c r="B1035" s="158" t="inlineStr">
        <is>
          <t>MAT08-0520</t>
        </is>
      </c>
      <c r="C1035" s="558" t="inlineStr">
        <is>
          <t>0108-0520</t>
        </is>
      </c>
      <c r="D1035" s="158" t="inlineStr">
        <is>
          <t>COLADOR PARA PINTURA</t>
        </is>
      </c>
      <c r="E1035" s="158" t="inlineStr">
        <is>
          <t>UND</t>
        </is>
      </c>
      <c r="F1035" s="158" t="inlineStr">
        <is>
          <t>MATERIALES</t>
        </is>
      </c>
      <c r="G1035" s="158" t="inlineStr">
        <is>
          <t>FERRETERIA GENERAL</t>
        </is>
      </c>
    </row>
    <row r="1036">
      <c r="A1036" s="564" t="n"/>
      <c r="B1036" s="158" t="inlineStr">
        <is>
          <t>MAT08-0521</t>
        </is>
      </c>
      <c r="C1036" s="558" t="inlineStr">
        <is>
          <t>0108-0521</t>
        </is>
      </c>
      <c r="D1036" s="158" t="inlineStr">
        <is>
          <t>REJILLA PARA REBALSE RECTANGULAR 2"</t>
        </is>
      </c>
      <c r="E1036" s="158" t="inlineStr">
        <is>
          <t>UND</t>
        </is>
      </c>
      <c r="F1036" s="158" t="inlineStr">
        <is>
          <t>MATERIALES</t>
        </is>
      </c>
      <c r="G1036" s="158" t="inlineStr">
        <is>
          <t>FERRETERIA GENERAL</t>
        </is>
      </c>
    </row>
    <row r="1037">
      <c r="A1037" s="564" t="n"/>
      <c r="B1037" s="158" t="inlineStr">
        <is>
          <t>MAT08-0523</t>
        </is>
      </c>
      <c r="C1037" s="558" t="inlineStr">
        <is>
          <t>0108-0523</t>
        </is>
      </c>
      <c r="D1037" s="158" t="inlineStr">
        <is>
          <t>BROCA P/CONCRETO TIPO HILTI EN 1/4 CON ESPIGA 3/8</t>
        </is>
      </c>
      <c r="E1037" s="158" t="inlineStr">
        <is>
          <t>UND</t>
        </is>
      </c>
      <c r="F1037" s="158" t="inlineStr">
        <is>
          <t>MATERIALES</t>
        </is>
      </c>
      <c r="G1037" s="158" t="inlineStr">
        <is>
          <t>FERRETERIA GENERAL</t>
        </is>
      </c>
    </row>
    <row r="1038">
      <c r="A1038" s="564" t="n"/>
      <c r="B1038" s="158" t="inlineStr">
        <is>
          <t>MAT08-0524</t>
        </is>
      </c>
      <c r="C1038" s="558" t="inlineStr">
        <is>
          <t>0108-0524</t>
        </is>
      </c>
      <c r="D1038" s="158" t="inlineStr">
        <is>
          <t>RUEDA GIRATORIA DE 4 PULG</t>
        </is>
      </c>
      <c r="E1038" s="158" t="inlineStr">
        <is>
          <t>UND</t>
        </is>
      </c>
      <c r="F1038" s="158" t="inlineStr">
        <is>
          <t>MATERIALES</t>
        </is>
      </c>
      <c r="G1038" s="158" t="inlineStr">
        <is>
          <t>FERRETERIA GENERAL</t>
        </is>
      </c>
    </row>
    <row r="1039">
      <c r="A1039" s="564" t="n"/>
      <c r="B1039" s="158" t="inlineStr">
        <is>
          <t>MAT08-0525</t>
        </is>
      </c>
      <c r="C1039" s="558" t="inlineStr">
        <is>
          <t>0108-0525</t>
        </is>
      </c>
      <c r="D1039" s="158" t="inlineStr">
        <is>
          <t>BISAGRA DORADA 3"X3"</t>
        </is>
      </c>
      <c r="E1039" s="158" t="inlineStr">
        <is>
          <t>UND</t>
        </is>
      </c>
      <c r="F1039" s="158" t="inlineStr">
        <is>
          <t>MATERIALES</t>
        </is>
      </c>
      <c r="G1039" s="158" t="inlineStr">
        <is>
          <t>FERRETERIA GENERAL</t>
        </is>
      </c>
    </row>
    <row r="1040">
      <c r="A1040" s="564" t="n"/>
      <c r="B1040" s="158" t="inlineStr">
        <is>
          <t>MAT08-0526</t>
        </is>
      </c>
      <c r="C1040" s="558" t="inlineStr">
        <is>
          <t>0108-0526</t>
        </is>
      </c>
      <c r="D1040" s="158" t="inlineStr">
        <is>
          <t>SIKADUR 32 GRL (MORTERO EPOXICO)</t>
        </is>
      </c>
      <c r="E1040" s="158" t="inlineStr">
        <is>
          <t>UND</t>
        </is>
      </c>
      <c r="F1040" s="158" t="inlineStr">
        <is>
          <t>MATERIALES</t>
        </is>
      </c>
      <c r="G1040" s="158" t="inlineStr">
        <is>
          <t>FERRETERIA GENERAL</t>
        </is>
      </c>
    </row>
    <row r="1041">
      <c r="A1041" s="564" t="n"/>
      <c r="B1041" s="158" t="inlineStr">
        <is>
          <t>MAT08-0527</t>
        </is>
      </c>
      <c r="C1041" s="558" t="inlineStr">
        <is>
          <t>0108-0527</t>
        </is>
      </c>
      <c r="D1041" s="158" t="inlineStr">
        <is>
          <t>SIKADUR 35 HI MOD LV (EPOXICO ESTRUCTURAL BAJA DENSIDAD)</t>
        </is>
      </c>
      <c r="E1041" s="158" t="inlineStr">
        <is>
          <t>UND</t>
        </is>
      </c>
      <c r="F1041" s="158" t="inlineStr">
        <is>
          <t>MATERIALES</t>
        </is>
      </c>
      <c r="G1041" s="158" t="inlineStr">
        <is>
          <t>FERRETERIA GENERAL</t>
        </is>
      </c>
    </row>
    <row r="1042">
      <c r="A1042" s="564" t="n"/>
      <c r="B1042" s="158" t="inlineStr">
        <is>
          <t>MAT08-0528</t>
        </is>
      </c>
      <c r="C1042" s="558" t="inlineStr">
        <is>
          <t>0108-0528</t>
        </is>
      </c>
      <c r="D1042" s="158" t="inlineStr">
        <is>
          <t>BROCA P/METAL 5/16"</t>
        </is>
      </c>
      <c r="E1042" s="158" t="inlineStr">
        <is>
          <t>UND</t>
        </is>
      </c>
      <c r="F1042" s="158" t="inlineStr">
        <is>
          <t>MATERIALES</t>
        </is>
      </c>
      <c r="G1042" s="158" t="inlineStr">
        <is>
          <t>FERRETERIA GENERAL</t>
        </is>
      </c>
    </row>
    <row r="1043">
      <c r="A1043" s="564" t="n"/>
      <c r="B1043" s="158" t="inlineStr">
        <is>
          <t>MAT08-0529</t>
        </is>
      </c>
      <c r="C1043" s="558" t="inlineStr">
        <is>
          <t>0108-0529</t>
        </is>
      </c>
      <c r="D1043" s="158" t="inlineStr">
        <is>
          <t>CINTA TAPAGOTERAS 5CMXMETRO 3M</t>
        </is>
      </c>
      <c r="E1043" s="158" t="inlineStr">
        <is>
          <t>UND</t>
        </is>
      </c>
      <c r="F1043" s="158" t="inlineStr">
        <is>
          <t>MATERIALES</t>
        </is>
      </c>
      <c r="G1043" s="158" t="inlineStr">
        <is>
          <t>FERRETERIA GENERAL</t>
        </is>
      </c>
    </row>
    <row r="1044" customFormat="1" s="265">
      <c r="A1044" s="567" t="n"/>
      <c r="B1044" s="568" t="inlineStr">
        <is>
          <t>MAT08-0530</t>
        </is>
      </c>
      <c r="C1044" s="567" t="inlineStr">
        <is>
          <t>0108-0530</t>
        </is>
      </c>
      <c r="D1044" s="568" t="inlineStr">
        <is>
          <t>RODIN GIRATORIO DE 4 PULGADAS</t>
        </is>
      </c>
      <c r="E1044" s="568" t="inlineStr">
        <is>
          <t>UND</t>
        </is>
      </c>
      <c r="F1044" s="568" t="inlineStr">
        <is>
          <t>MATERIALES</t>
        </is>
      </c>
      <c r="G1044" s="568" t="inlineStr">
        <is>
          <t>FERRETERIA GENERAL</t>
        </is>
      </c>
    </row>
    <row r="1045">
      <c r="A1045" s="564" t="n"/>
      <c r="B1045" s="158" t="inlineStr">
        <is>
          <t>MAT08-0531</t>
        </is>
      </c>
      <c r="C1045" s="558" t="inlineStr">
        <is>
          <t>0108-0531</t>
        </is>
      </c>
      <c r="D1045" s="158" t="inlineStr">
        <is>
          <t>BISAGRA DORADA 4"X4"</t>
        </is>
      </c>
      <c r="E1045" s="158" t="inlineStr">
        <is>
          <t>PAR</t>
        </is>
      </c>
      <c r="F1045" s="158" t="inlineStr">
        <is>
          <t>MATERIALES</t>
        </is>
      </c>
      <c r="G1045" s="158" t="inlineStr">
        <is>
          <t>FERRETERIA GENERAL</t>
        </is>
      </c>
    </row>
    <row r="1046">
      <c r="A1046" s="564" t="n"/>
      <c r="B1046" s="158" t="inlineStr">
        <is>
          <t>MAT08-0532</t>
        </is>
      </c>
      <c r="C1046" s="558" t="inlineStr">
        <is>
          <t>0108-0532</t>
        </is>
      </c>
      <c r="D1046" s="158" t="inlineStr">
        <is>
          <t>ALDABA 4X4"</t>
        </is>
      </c>
      <c r="E1046" s="158" t="inlineStr">
        <is>
          <t>PAR</t>
        </is>
      </c>
      <c r="F1046" s="158" t="inlineStr">
        <is>
          <t>MATERIALES</t>
        </is>
      </c>
      <c r="G1046" s="158" t="inlineStr">
        <is>
          <t>FERRETERIA GENERAL</t>
        </is>
      </c>
    </row>
    <row r="1047">
      <c r="A1047" s="564" t="n"/>
      <c r="B1047" s="158" t="inlineStr">
        <is>
          <t>MAT08-0533</t>
        </is>
      </c>
      <c r="C1047" s="558" t="inlineStr">
        <is>
          <t>0108-0533</t>
        </is>
      </c>
      <c r="D1047" s="158" t="inlineStr">
        <is>
          <t>TEFLON CINTA 3/4 (10M)</t>
        </is>
      </c>
      <c r="E1047" s="158" t="inlineStr">
        <is>
          <t>UND</t>
        </is>
      </c>
      <c r="F1047" s="158" t="inlineStr">
        <is>
          <t>MATERIALES</t>
        </is>
      </c>
      <c r="G1047" s="158" t="inlineStr">
        <is>
          <t>FERRETERIA GENERAL</t>
        </is>
      </c>
    </row>
    <row r="1048">
      <c r="A1048" s="564" t="n"/>
      <c r="B1048" s="158" t="inlineStr">
        <is>
          <t>MAT08-0534</t>
        </is>
      </c>
      <c r="C1048" s="558" t="inlineStr">
        <is>
          <t>0108-0534</t>
        </is>
      </c>
      <c r="D1048" s="158" t="inlineStr">
        <is>
          <t>AISLANTE TERMICO LANA</t>
        </is>
      </c>
      <c r="E1048" s="158" t="inlineStr">
        <is>
          <t>M2</t>
        </is>
      </c>
      <c r="F1048" s="158" t="inlineStr">
        <is>
          <t>MATERIALES</t>
        </is>
      </c>
      <c r="G1048" s="158" t="inlineStr">
        <is>
          <t>FERRETERIA GENERAL</t>
        </is>
      </c>
    </row>
    <row r="1049">
      <c r="A1049" s="564" t="n"/>
      <c r="B1049" s="158" t="inlineStr">
        <is>
          <t>MAT08-0535</t>
        </is>
      </c>
      <c r="C1049" s="558" t="inlineStr">
        <is>
          <t>0108-0535</t>
        </is>
      </c>
      <c r="D1049" s="158" t="inlineStr">
        <is>
          <t>AISLANTE TERMICO AP3 1 CARA 1.22X10M</t>
        </is>
      </c>
      <c r="E1049" s="158" t="inlineStr">
        <is>
          <t>ROLLO</t>
        </is>
      </c>
      <c r="F1049" s="158" t="inlineStr">
        <is>
          <t>MATERIALES</t>
        </is>
      </c>
      <c r="G1049" s="158" t="inlineStr">
        <is>
          <t>FERRETERIA GENERAL</t>
        </is>
      </c>
    </row>
    <row r="1050">
      <c r="A1050" s="569" t="n"/>
      <c r="B1050" s="158" t="inlineStr">
        <is>
          <t>MAT08-0537</t>
        </is>
      </c>
      <c r="C1050" s="558" t="inlineStr">
        <is>
          <t>0108-0536</t>
        </is>
      </c>
      <c r="D1050" s="158" t="inlineStr">
        <is>
          <t>TIMBRE</t>
        </is>
      </c>
      <c r="E1050" s="158" t="inlineStr">
        <is>
          <t>UND</t>
        </is>
      </c>
      <c r="F1050" s="158" t="inlineStr">
        <is>
          <t>MATERIALES</t>
        </is>
      </c>
      <c r="G1050" s="570" t="inlineStr">
        <is>
          <t>FERRETERIA GENERAL</t>
        </is>
      </c>
    </row>
    <row r="1051" customFormat="1" s="63">
      <c r="A1051" s="569" t="n"/>
      <c r="B1051" s="158" t="inlineStr">
        <is>
          <t>MAT08-0536</t>
        </is>
      </c>
      <c r="C1051" s="558" t="inlineStr">
        <is>
          <t>0108-0537</t>
        </is>
      </c>
      <c r="D1051" s="158" t="inlineStr">
        <is>
          <t>BROCA P/METAL DE 1/4"</t>
        </is>
      </c>
      <c r="E1051" s="158" t="inlineStr">
        <is>
          <t>UND</t>
        </is>
      </c>
      <c r="F1051" s="158" t="inlineStr">
        <is>
          <t>MATERIALES</t>
        </is>
      </c>
      <c r="G1051" s="571" t="inlineStr">
        <is>
          <t>FERRETERIA GENERAL</t>
        </is>
      </c>
    </row>
    <row r="1052" customFormat="1" s="63">
      <c r="A1052" s="569" t="n"/>
      <c r="B1052" s="158" t="inlineStr">
        <is>
          <t>MAT08-0538</t>
        </is>
      </c>
      <c r="C1052" s="558" t="inlineStr">
        <is>
          <t>0108-0538</t>
        </is>
      </c>
      <c r="D1052" s="158" t="inlineStr">
        <is>
          <t>GUIJO 2 PULG 50MM</t>
        </is>
      </c>
      <c r="E1052" s="158" t="inlineStr">
        <is>
          <t>PAR</t>
        </is>
      </c>
      <c r="F1052" s="158" t="inlineStr">
        <is>
          <t>MATERIALES</t>
        </is>
      </c>
      <c r="G1052" s="571" t="inlineStr">
        <is>
          <t>FERRETERIA GENERAL</t>
        </is>
      </c>
    </row>
    <row r="1053" customFormat="1" s="63">
      <c r="A1053" s="569" t="n"/>
      <c r="B1053" s="158" t="inlineStr">
        <is>
          <t>MAT19-0146</t>
        </is>
      </c>
      <c r="C1053" s="558" t="inlineStr">
        <is>
          <t>0108-0539</t>
        </is>
      </c>
      <c r="D1053" s="158" t="inlineStr">
        <is>
          <t>KIT ACCESORIOS PARA TANQUE DE AGUA</t>
        </is>
      </c>
      <c r="E1053" s="158" t="inlineStr">
        <is>
          <t>UND</t>
        </is>
      </c>
      <c r="F1053" s="158" t="inlineStr">
        <is>
          <t>MATERIALES</t>
        </is>
      </c>
      <c r="G1053" s="158" t="inlineStr">
        <is>
          <t>FERRETERIA GENERAL</t>
        </is>
      </c>
    </row>
    <row r="1054">
      <c r="A1054" s="569" t="n"/>
      <c r="B1054" s="158" t="n"/>
      <c r="C1054" s="572" t="inlineStr">
        <is>
          <t>(ID) Insumo</t>
        </is>
      </c>
      <c r="D1054" s="572" t="inlineStr">
        <is>
          <t>Descripción</t>
        </is>
      </c>
      <c r="E1054" s="572" t="inlineStr">
        <is>
          <t>Unidad</t>
        </is>
      </c>
      <c r="F1054" s="572" t="inlineStr">
        <is>
          <t>Grupo de Insumo</t>
        </is>
      </c>
      <c r="G1054" s="572" t="inlineStr">
        <is>
          <t>Familia de Insumos</t>
        </is>
      </c>
    </row>
    <row r="1055">
      <c r="A1055" s="564" t="n"/>
      <c r="B1055" s="158" t="inlineStr">
        <is>
          <t>MAT14-0001</t>
        </is>
      </c>
      <c r="C1055" s="558" t="inlineStr">
        <is>
          <t>0114-0001</t>
        </is>
      </c>
      <c r="D1055" s="158" t="inlineStr">
        <is>
          <t>MELAMINA</t>
        </is>
      </c>
      <c r="E1055" s="158" t="inlineStr">
        <is>
          <t>UND</t>
        </is>
      </c>
      <c r="F1055" s="158" t="inlineStr">
        <is>
          <t>MATERIALES</t>
        </is>
      </c>
      <c r="G1055" s="158" t="inlineStr">
        <is>
          <t>MUEBLES</t>
        </is>
      </c>
    </row>
    <row r="1056">
      <c r="A1056" s="564" t="n"/>
      <c r="B1056" s="158" t="inlineStr">
        <is>
          <t>MAT14-0004</t>
        </is>
      </c>
      <c r="C1056" s="558" t="inlineStr">
        <is>
          <t>0114-0004</t>
        </is>
      </c>
      <c r="D1056" s="158" t="inlineStr">
        <is>
          <t>BISAGRA RECTA SLOW MOTION CLIP ON</t>
        </is>
      </c>
      <c r="E1056" s="158" t="inlineStr">
        <is>
          <t>UND</t>
        </is>
      </c>
      <c r="F1056" s="158" t="inlineStr">
        <is>
          <t>MATERIALES</t>
        </is>
      </c>
      <c r="G1056" s="158" t="inlineStr">
        <is>
          <t>MUEBLES</t>
        </is>
      </c>
    </row>
    <row r="1057">
      <c r="A1057" s="564" t="n"/>
      <c r="B1057" s="158" t="inlineStr">
        <is>
          <t>MAT14-0005</t>
        </is>
      </c>
      <c r="C1057" s="558" t="inlineStr">
        <is>
          <t>0114-0005</t>
        </is>
      </c>
      <c r="D1057" s="158" t="inlineStr">
        <is>
          <t>DEDALES PARA PUERTA CORREDIZA</t>
        </is>
      </c>
      <c r="E1057" s="158" t="inlineStr">
        <is>
          <t>UND</t>
        </is>
      </c>
      <c r="F1057" s="158" t="inlineStr">
        <is>
          <t>MATERIALES</t>
        </is>
      </c>
      <c r="G1057" s="158" t="inlineStr">
        <is>
          <t>MUEBLES</t>
        </is>
      </c>
    </row>
    <row r="1058">
      <c r="A1058" s="564" t="n"/>
      <c r="B1058" s="158" t="inlineStr">
        <is>
          <t>MAT14-0006</t>
        </is>
      </c>
      <c r="C1058" s="558" t="inlineStr">
        <is>
          <t>0114-0006</t>
        </is>
      </c>
      <c r="D1058" s="158" t="inlineStr">
        <is>
          <t>ESQUINERO P/RODAPIE ALUMINIO **CODO** 15CM</t>
        </is>
      </c>
      <c r="E1058" s="158" t="inlineStr">
        <is>
          <t>UND</t>
        </is>
      </c>
      <c r="F1058" s="158" t="inlineStr">
        <is>
          <t>MATERIALES</t>
        </is>
      </c>
      <c r="G1058" s="158" t="inlineStr">
        <is>
          <t>MUEBLES</t>
        </is>
      </c>
    </row>
    <row r="1059">
      <c r="A1059" s="564" t="n"/>
      <c r="B1059" s="158" t="inlineStr">
        <is>
          <t>MAT14-0007</t>
        </is>
      </c>
      <c r="C1059" s="558" t="inlineStr">
        <is>
          <t>0114-0007</t>
        </is>
      </c>
      <c r="D1059" s="158" t="inlineStr">
        <is>
          <t>FREGADERO 1 TANQUE 58X45X20</t>
        </is>
      </c>
      <c r="E1059" s="158" t="inlineStr">
        <is>
          <t>UND</t>
        </is>
      </c>
      <c r="F1059" s="158" t="inlineStr">
        <is>
          <t>MATERIALES</t>
        </is>
      </c>
      <c r="G1059" s="158" t="inlineStr">
        <is>
          <t>MUEBLES</t>
        </is>
      </c>
    </row>
    <row r="1060">
      <c r="A1060" s="564" t="n"/>
      <c r="B1060" s="158" t="inlineStr">
        <is>
          <t>MAT14-0008</t>
        </is>
      </c>
      <c r="C1060" s="558" t="inlineStr">
        <is>
          <t>0114-0008</t>
        </is>
      </c>
      <c r="D1060" s="158" t="inlineStr">
        <is>
          <t>LAMINA GRANITO BLANCO CARIOCA</t>
        </is>
      </c>
      <c r="E1060" s="158" t="inlineStr">
        <is>
          <t>UND</t>
        </is>
      </c>
      <c r="F1060" s="158" t="inlineStr">
        <is>
          <t>MATERIALES</t>
        </is>
      </c>
      <c r="G1060" s="158" t="inlineStr">
        <is>
          <t>MUEBLES</t>
        </is>
      </c>
    </row>
    <row r="1061">
      <c r="A1061" s="564" t="n"/>
      <c r="B1061" s="158" t="inlineStr">
        <is>
          <t>MAT14-0009</t>
        </is>
      </c>
      <c r="C1061" s="558" t="inlineStr">
        <is>
          <t>0114-0009</t>
        </is>
      </c>
      <c r="D1061" s="158" t="inlineStr">
        <is>
          <t>LAMINA GRANITO CREMA JULIA</t>
        </is>
      </c>
      <c r="E1061" s="158" t="inlineStr">
        <is>
          <t>UND</t>
        </is>
      </c>
      <c r="F1061" s="158" t="inlineStr">
        <is>
          <t>MATERIALES</t>
        </is>
      </c>
      <c r="G1061" s="158" t="inlineStr">
        <is>
          <t>MUEBLES</t>
        </is>
      </c>
    </row>
    <row r="1062">
      <c r="A1062" s="564" t="n"/>
      <c r="B1062" s="158" t="inlineStr">
        <is>
          <t>MAT14-0010</t>
        </is>
      </c>
      <c r="C1062" s="558" t="inlineStr">
        <is>
          <t>0114-0010</t>
        </is>
      </c>
      <c r="D1062" s="158" t="inlineStr">
        <is>
          <t>MELAMINA BL SOFT AMTK 18X1830X2500MM</t>
        </is>
      </c>
      <c r="E1062" s="158" t="inlineStr">
        <is>
          <t>UND</t>
        </is>
      </c>
      <c r="F1062" s="158" t="inlineStr">
        <is>
          <t>MATERIALES</t>
        </is>
      </c>
      <c r="G1062" s="158" t="inlineStr">
        <is>
          <t>MUEBLES</t>
        </is>
      </c>
    </row>
    <row r="1063">
      <c r="A1063" s="564" t="n"/>
      <c r="B1063" s="158" t="inlineStr">
        <is>
          <t>MAT14-0011</t>
        </is>
      </c>
      <c r="C1063" s="558" t="inlineStr">
        <is>
          <t>0114-0011</t>
        </is>
      </c>
      <c r="D1063" s="158" t="inlineStr">
        <is>
          <t>MELAMINA COIG CHOCOLATE SW AMTK 18X1830X2500</t>
        </is>
      </c>
      <c r="E1063" s="158" t="inlineStr">
        <is>
          <t>UND</t>
        </is>
      </c>
      <c r="F1063" s="158" t="inlineStr">
        <is>
          <t>MATERIALES</t>
        </is>
      </c>
      <c r="G1063" s="158" t="inlineStr">
        <is>
          <t>MUEBLES</t>
        </is>
      </c>
    </row>
    <row r="1064">
      <c r="A1064" s="564" t="n"/>
      <c r="B1064" s="158" t="inlineStr">
        <is>
          <t>MAT14-0012</t>
        </is>
      </c>
      <c r="C1064" s="558" t="inlineStr">
        <is>
          <t>0114-0012</t>
        </is>
      </c>
      <c r="D1064" s="158" t="inlineStr">
        <is>
          <t>MELAMINA TECA ITALIA SW AMTK 18X1830X250</t>
        </is>
      </c>
      <c r="E1064" s="158" t="inlineStr">
        <is>
          <t>UND</t>
        </is>
      </c>
      <c r="F1064" s="158" t="inlineStr">
        <is>
          <t>MATERIALES</t>
        </is>
      </c>
      <c r="G1064" s="158" t="inlineStr">
        <is>
          <t>MUEBLES</t>
        </is>
      </c>
    </row>
    <row r="1065">
      <c r="A1065" s="564" t="n"/>
      <c r="B1065" s="158" t="inlineStr">
        <is>
          <t>MAT14-0013</t>
        </is>
      </c>
      <c r="C1065" s="558" t="inlineStr">
        <is>
          <t>0114-0013</t>
        </is>
      </c>
      <c r="D1065" s="158" t="inlineStr">
        <is>
          <t>PATA NIVELA PLASTICO AL135A</t>
        </is>
      </c>
      <c r="E1065" s="158" t="inlineStr">
        <is>
          <t>UND</t>
        </is>
      </c>
      <c r="F1065" s="158" t="inlineStr">
        <is>
          <t>MATERIALES</t>
        </is>
      </c>
      <c r="G1065" s="158" t="inlineStr">
        <is>
          <t>MUEBLES</t>
        </is>
      </c>
    </row>
    <row r="1066">
      <c r="A1066" s="564" t="n"/>
      <c r="B1066" s="158" t="inlineStr">
        <is>
          <t>MAT14-0014</t>
        </is>
      </c>
      <c r="C1066" s="558" t="inlineStr">
        <is>
          <t>0114-0014</t>
        </is>
      </c>
      <c r="D1066" s="158" t="inlineStr">
        <is>
          <t>PISTON / GAS BASE METALICA 80 NW</t>
        </is>
      </c>
      <c r="E1066" s="158" t="inlineStr">
        <is>
          <t>UND</t>
        </is>
      </c>
      <c r="F1066" s="158" t="inlineStr">
        <is>
          <t>MATERIALES</t>
        </is>
      </c>
      <c r="G1066" s="158" t="inlineStr">
        <is>
          <t>MUEBLES</t>
        </is>
      </c>
    </row>
    <row r="1067">
      <c r="A1067" s="564" t="n"/>
      <c r="B1067" s="158" t="inlineStr">
        <is>
          <t>MAT14-0016</t>
        </is>
      </c>
      <c r="C1067" s="558" t="inlineStr">
        <is>
          <t>0114-0016</t>
        </is>
      </c>
      <c r="D1067" s="158" t="inlineStr">
        <is>
          <t>RIEL SUPERI ACL-RSU09 3MTRS DOBLE J</t>
        </is>
      </c>
      <c r="E1067" s="158" t="inlineStr">
        <is>
          <t>UND</t>
        </is>
      </c>
      <c r="F1067" s="158" t="inlineStr">
        <is>
          <t>MATERIALES</t>
        </is>
      </c>
      <c r="G1067" s="158" t="inlineStr">
        <is>
          <t>MUEBLES</t>
        </is>
      </c>
    </row>
    <row r="1068">
      <c r="A1068" s="564" t="n"/>
      <c r="B1068" s="158" t="inlineStr">
        <is>
          <t>MAT14-0018</t>
        </is>
      </c>
      <c r="C1068" s="558" t="inlineStr">
        <is>
          <t>0114-0018</t>
        </is>
      </c>
      <c r="D1068" s="158" t="inlineStr">
        <is>
          <t>RIEL TELESC SLOW MOTION LA 350M RS-C45GA-350 14"</t>
        </is>
      </c>
      <c r="E1068" s="158" t="inlineStr">
        <is>
          <t>UND</t>
        </is>
      </c>
      <c r="F1068" s="158" t="inlineStr">
        <is>
          <t>MATERIALES</t>
        </is>
      </c>
      <c r="G1068" s="158" t="inlineStr">
        <is>
          <t>MUEBLES</t>
        </is>
      </c>
    </row>
    <row r="1069">
      <c r="A1069" s="564" t="n"/>
      <c r="B1069" s="158" t="inlineStr">
        <is>
          <t>MAT14-0020</t>
        </is>
      </c>
      <c r="C1069" s="558" t="inlineStr">
        <is>
          <t>0114-0020</t>
        </is>
      </c>
      <c r="D1069" s="158" t="inlineStr">
        <is>
          <t>RIEL TELESCOPICO SLOW MOTION LA 450M RS-A45DT 18"</t>
        </is>
      </c>
      <c r="E1069" s="158" t="inlineStr">
        <is>
          <t>UND</t>
        </is>
      </c>
      <c r="F1069" s="158" t="inlineStr">
        <is>
          <t>MATERIALES</t>
        </is>
      </c>
      <c r="G1069" s="158" t="inlineStr">
        <is>
          <t>MUEBLES</t>
        </is>
      </c>
    </row>
    <row r="1070">
      <c r="A1070" s="564" t="n"/>
      <c r="B1070" s="158" t="inlineStr">
        <is>
          <t>MAT14-0021</t>
        </is>
      </c>
      <c r="C1070" s="558" t="inlineStr">
        <is>
          <t>0114-0021</t>
        </is>
      </c>
      <c r="D1070" s="158" t="inlineStr">
        <is>
          <t>RODAPIE ALUMI INOX 150-300-ROD2 AL</t>
        </is>
      </c>
      <c r="E1070" s="158" t="inlineStr">
        <is>
          <t>UND</t>
        </is>
      </c>
      <c r="F1070" s="158" t="inlineStr">
        <is>
          <t>MATERIALES</t>
        </is>
      </c>
      <c r="G1070" s="158" t="inlineStr">
        <is>
          <t>MUEBLES</t>
        </is>
      </c>
    </row>
    <row r="1071">
      <c r="A1071" s="564" t="n"/>
      <c r="B1071" s="158" t="inlineStr">
        <is>
          <t>MAT14-0022</t>
        </is>
      </c>
      <c r="C1071" s="558" t="inlineStr">
        <is>
          <t>0114-0022</t>
        </is>
      </c>
      <c r="D1071" s="158" t="inlineStr">
        <is>
          <t>SET D/ROLER P/PUERTA CORREDIZA</t>
        </is>
      </c>
      <c r="E1071" s="158" t="inlineStr">
        <is>
          <t>UND</t>
        </is>
      </c>
      <c r="F1071" s="158" t="inlineStr">
        <is>
          <t>MATERIALES</t>
        </is>
      </c>
      <c r="G1071" s="158" t="inlineStr">
        <is>
          <t>MUEBLES</t>
        </is>
      </c>
    </row>
    <row r="1072">
      <c r="A1072" s="564" t="n"/>
      <c r="B1072" s="158" t="inlineStr">
        <is>
          <t>MAT14-0023</t>
        </is>
      </c>
      <c r="C1072" s="558" t="inlineStr">
        <is>
          <t>0114-0023</t>
        </is>
      </c>
      <c r="D1072" s="158" t="inlineStr">
        <is>
          <t>SOPORTE LATERAL NIQUEL 3H+3TR</t>
        </is>
      </c>
      <c r="E1072" s="158" t="inlineStr">
        <is>
          <t>UND</t>
        </is>
      </c>
      <c r="F1072" s="158" t="inlineStr">
        <is>
          <t>MATERIALES</t>
        </is>
      </c>
      <c r="G1072" s="158" t="inlineStr">
        <is>
          <t>MUEBLES</t>
        </is>
      </c>
    </row>
    <row r="1073">
      <c r="A1073" s="564" t="n"/>
      <c r="B1073" s="158" t="inlineStr">
        <is>
          <t>MAT14-0024</t>
        </is>
      </c>
      <c r="C1073" s="558" t="inlineStr">
        <is>
          <t>0114-0024</t>
        </is>
      </c>
      <c r="D1073" s="158" t="inlineStr">
        <is>
          <t>SOPORTE P/ESTANTE TRANS 5MM SP-1-PL-HU</t>
        </is>
      </c>
      <c r="E1073" s="158" t="inlineStr">
        <is>
          <t>UND</t>
        </is>
      </c>
      <c r="F1073" s="158" t="inlineStr">
        <is>
          <t>MATERIALES</t>
        </is>
      </c>
      <c r="G1073" s="158" t="inlineStr">
        <is>
          <t>MUEBLES</t>
        </is>
      </c>
    </row>
    <row r="1074">
      <c r="A1074" s="564" t="n"/>
      <c r="B1074" s="158" t="inlineStr">
        <is>
          <t>MAT14-0025</t>
        </is>
      </c>
      <c r="C1074" s="558" t="inlineStr">
        <is>
          <t>0114-0025</t>
        </is>
      </c>
      <c r="D1074" s="158" t="inlineStr">
        <is>
          <t>MELAMINA WENGUE AMTK 16X2440</t>
        </is>
      </c>
      <c r="E1074" s="158" t="inlineStr">
        <is>
          <t>UND</t>
        </is>
      </c>
      <c r="F1074" s="158" t="inlineStr">
        <is>
          <t>MATERIALES</t>
        </is>
      </c>
      <c r="G1074" s="158" t="inlineStr">
        <is>
          <t>MUEBLES</t>
        </is>
      </c>
    </row>
    <row r="1075">
      <c r="A1075" s="564" t="n"/>
      <c r="B1075" s="158" t="inlineStr">
        <is>
          <t>MAT14-0026</t>
        </is>
      </c>
      <c r="C1075" s="558" t="inlineStr">
        <is>
          <t>0114-0026</t>
        </is>
      </c>
      <c r="D1075" s="158" t="inlineStr">
        <is>
          <t>TAPETA P/CANTO BLANCO 22X0.43MM 200ML</t>
        </is>
      </c>
      <c r="E1075" s="158" t="inlineStr">
        <is>
          <t>ROLLO</t>
        </is>
      </c>
      <c r="F1075" s="158" t="inlineStr">
        <is>
          <t>MATERIALES</t>
        </is>
      </c>
      <c r="G1075" s="158" t="inlineStr">
        <is>
          <t>MUEBLES</t>
        </is>
      </c>
    </row>
    <row r="1076">
      <c r="A1076" s="564" t="n"/>
      <c r="B1076" s="158" t="inlineStr">
        <is>
          <t>MAT14-0027</t>
        </is>
      </c>
      <c r="C1076" s="558" t="inlineStr">
        <is>
          <t>0114-0027</t>
        </is>
      </c>
      <c r="D1076" s="158" t="inlineStr">
        <is>
          <t>TAPETA P/CANTO CHOCOLATE 200 ML</t>
        </is>
      </c>
      <c r="E1076" s="158" t="inlineStr">
        <is>
          <t>UND</t>
        </is>
      </c>
      <c r="F1076" s="158" t="inlineStr">
        <is>
          <t>MATERIALES</t>
        </is>
      </c>
      <c r="G1076" s="158" t="inlineStr">
        <is>
          <t>MUEBLES</t>
        </is>
      </c>
    </row>
    <row r="1077">
      <c r="A1077" s="564" t="n"/>
      <c r="B1077" s="158" t="inlineStr">
        <is>
          <t>MAT14-0028</t>
        </is>
      </c>
      <c r="C1077" s="558" t="inlineStr">
        <is>
          <t>0114-0028</t>
        </is>
      </c>
      <c r="D1077" s="158" t="inlineStr">
        <is>
          <t>TAPETA P/CANTO PVC TECA IT SW 22X0.45MM 200 ML</t>
        </is>
      </c>
      <c r="E1077" s="158" t="inlineStr">
        <is>
          <t>ROLLO</t>
        </is>
      </c>
      <c r="F1077" s="158" t="inlineStr">
        <is>
          <t>MATERIALES</t>
        </is>
      </c>
      <c r="G1077" s="158" t="inlineStr">
        <is>
          <t>MUEBLES</t>
        </is>
      </c>
    </row>
    <row r="1078">
      <c r="A1078" s="564" t="n"/>
      <c r="B1078" s="158" t="inlineStr">
        <is>
          <t>MAT14-0029</t>
        </is>
      </c>
      <c r="C1078" s="558" t="inlineStr">
        <is>
          <t>0114-0029</t>
        </is>
      </c>
      <c r="D1078" s="158" t="inlineStr">
        <is>
          <t>TAPETA P/CANTO PVC WENGUE 22X0.43MM 200ML</t>
        </is>
      </c>
      <c r="E1078" s="158" t="inlineStr">
        <is>
          <t>UND</t>
        </is>
      </c>
      <c r="F1078" s="158" t="inlineStr">
        <is>
          <t>MATERIALES</t>
        </is>
      </c>
      <c r="G1078" s="158" t="inlineStr">
        <is>
          <t>MUEBLES</t>
        </is>
      </c>
    </row>
    <row r="1079">
      <c r="A1079" s="564" t="n"/>
      <c r="B1079" s="158" t="inlineStr">
        <is>
          <t>MAT14-0030</t>
        </is>
      </c>
      <c r="C1079" s="558" t="inlineStr">
        <is>
          <t>0114-0030</t>
        </is>
      </c>
      <c r="D1079" s="158" t="inlineStr">
        <is>
          <t xml:space="preserve">TAPA TORNILLO PVC CHOCOLATE ADHESIVO 100 UND </t>
        </is>
      </c>
      <c r="E1079" s="158" t="inlineStr">
        <is>
          <t>PAQ</t>
        </is>
      </c>
      <c r="F1079" s="158" t="inlineStr">
        <is>
          <t>MATERIALES</t>
        </is>
      </c>
      <c r="G1079" s="158" t="inlineStr">
        <is>
          <t>MUEBLES</t>
        </is>
      </c>
    </row>
    <row r="1080">
      <c r="A1080" s="564" t="n"/>
      <c r="B1080" s="158" t="inlineStr">
        <is>
          <t>MAT14-0031</t>
        </is>
      </c>
      <c r="C1080" s="558" t="inlineStr">
        <is>
          <t>0114-0031</t>
        </is>
      </c>
      <c r="D1080" s="158" t="inlineStr">
        <is>
          <t>TAPA TORNILLO PVC WENGUE TEX 0.45MM 100 UND</t>
        </is>
      </c>
      <c r="E1080" s="158" t="inlineStr">
        <is>
          <t xml:space="preserve">PAQ </t>
        </is>
      </c>
      <c r="F1080" s="158" t="inlineStr">
        <is>
          <t>MATERIALES</t>
        </is>
      </c>
      <c r="G1080" s="158" t="inlineStr">
        <is>
          <t>MUEBLES</t>
        </is>
      </c>
    </row>
    <row r="1081">
      <c r="A1081" s="564" t="n"/>
      <c r="B1081" s="158" t="inlineStr">
        <is>
          <t>MAT14-0032</t>
        </is>
      </c>
      <c r="C1081" s="558" t="inlineStr">
        <is>
          <t>0114-0032</t>
        </is>
      </c>
      <c r="D1081" s="158" t="inlineStr">
        <is>
          <t>TAPA TORNILLO PVC TECA ITALIANA 100 UND</t>
        </is>
      </c>
      <c r="E1081" s="158" t="inlineStr">
        <is>
          <t xml:space="preserve">PAQ </t>
        </is>
      </c>
      <c r="F1081" s="158" t="inlineStr">
        <is>
          <t>MATERIALES</t>
        </is>
      </c>
      <c r="G1081" s="158" t="inlineStr">
        <is>
          <t>MUEBLES</t>
        </is>
      </c>
    </row>
    <row r="1082">
      <c r="A1082" s="564" t="n"/>
      <c r="B1082" s="158" t="inlineStr">
        <is>
          <t>MAT14-0033</t>
        </is>
      </c>
      <c r="C1082" s="558" t="inlineStr">
        <is>
          <t>0114-0033</t>
        </is>
      </c>
      <c r="D1082" s="158" t="inlineStr">
        <is>
          <t>TAPA TORNILLO ADHESIVO 100 UND</t>
        </is>
      </c>
      <c r="E1082" s="158" t="inlineStr">
        <is>
          <t xml:space="preserve">PAQ </t>
        </is>
      </c>
      <c r="F1082" s="158" t="inlineStr">
        <is>
          <t>MATERIALES</t>
        </is>
      </c>
      <c r="G1082" s="158" t="inlineStr">
        <is>
          <t>MUEBLES</t>
        </is>
      </c>
    </row>
    <row r="1083">
      <c r="A1083" s="564" t="n"/>
      <c r="B1083" s="158" t="inlineStr">
        <is>
          <t>MAT14-0034</t>
        </is>
      </c>
      <c r="C1083" s="558" t="inlineStr">
        <is>
          <t>0114-0034</t>
        </is>
      </c>
      <c r="D1083" s="158" t="inlineStr">
        <is>
          <t>TIRADERA CILINDRICA CC:12.8CM</t>
        </is>
      </c>
      <c r="E1083" s="158" t="inlineStr">
        <is>
          <t>UND</t>
        </is>
      </c>
      <c r="F1083" s="158" t="inlineStr">
        <is>
          <t>MATERIALES</t>
        </is>
      </c>
      <c r="G1083" s="158" t="inlineStr">
        <is>
          <t>MUEBLES</t>
        </is>
      </c>
    </row>
    <row r="1084">
      <c r="A1084" s="564" t="n"/>
      <c r="B1084" s="158" t="inlineStr">
        <is>
          <t>MAT14-0035</t>
        </is>
      </c>
      <c r="C1084" s="558" t="inlineStr">
        <is>
          <t>0114-0035</t>
        </is>
      </c>
      <c r="D1084" s="158" t="inlineStr">
        <is>
          <t>TUBO OVAL P/CLOSET 3 MT</t>
        </is>
      </c>
      <c r="E1084" s="158" t="inlineStr">
        <is>
          <t>UND</t>
        </is>
      </c>
      <c r="F1084" s="158" t="inlineStr">
        <is>
          <t>MATERIALES</t>
        </is>
      </c>
      <c r="G1084" s="158" t="inlineStr">
        <is>
          <t>MUEBLES</t>
        </is>
      </c>
    </row>
    <row r="1085">
      <c r="A1085" s="564" t="n"/>
      <c r="B1085" s="158" t="inlineStr">
        <is>
          <t>MAT14-0036</t>
        </is>
      </c>
      <c r="C1085" s="558" t="inlineStr">
        <is>
          <t>0114-0036</t>
        </is>
      </c>
      <c r="D1085" s="158" t="inlineStr">
        <is>
          <t>UNION P/RODAPIE ALUM</t>
        </is>
      </c>
      <c r="E1085" s="158" t="inlineStr">
        <is>
          <t>UND</t>
        </is>
      </c>
      <c r="F1085" s="158" t="inlineStr">
        <is>
          <t>MATERIALES</t>
        </is>
      </c>
      <c r="G1085" s="158" t="inlineStr">
        <is>
          <t>MUEBLES</t>
        </is>
      </c>
    </row>
    <row r="1086">
      <c r="A1086" s="564" t="n"/>
      <c r="B1086" s="158" t="inlineStr">
        <is>
          <t>MAT14-0038</t>
        </is>
      </c>
      <c r="C1086" s="558" t="inlineStr">
        <is>
          <t>0114-0038</t>
        </is>
      </c>
      <c r="D1086" s="158" t="inlineStr">
        <is>
          <t>MELAMINA NEGRA</t>
        </is>
      </c>
      <c r="E1086" s="158" t="inlineStr">
        <is>
          <t>UND</t>
        </is>
      </c>
      <c r="F1086" s="158" t="inlineStr">
        <is>
          <t>MATERIALES</t>
        </is>
      </c>
      <c r="G1086" s="158" t="inlineStr">
        <is>
          <t>MUEBLES</t>
        </is>
      </c>
    </row>
    <row r="1087">
      <c r="A1087" s="564" t="n"/>
      <c r="B1087" s="158" t="inlineStr">
        <is>
          <t>MAT14-0039</t>
        </is>
      </c>
      <c r="C1087" s="558" t="inlineStr">
        <is>
          <t>0114-0039</t>
        </is>
      </c>
      <c r="D1087" s="158" t="inlineStr">
        <is>
          <t>TAPETA NEGRA</t>
        </is>
      </c>
      <c r="E1087" s="158" t="inlineStr">
        <is>
          <t>UND</t>
        </is>
      </c>
      <c r="F1087" s="158" t="inlineStr">
        <is>
          <t>MATERIALES</t>
        </is>
      </c>
      <c r="G1087" s="158" t="inlineStr">
        <is>
          <t>MUEBLES</t>
        </is>
      </c>
    </row>
    <row r="1088">
      <c r="A1088" s="564" t="n"/>
      <c r="B1088" s="158" t="inlineStr">
        <is>
          <t>MAT14-0041</t>
        </is>
      </c>
      <c r="C1088" s="558" t="inlineStr">
        <is>
          <t>0114-0041</t>
        </is>
      </c>
      <c r="D1088" s="158" t="inlineStr">
        <is>
          <t>LAMINA DE SOBRE DE CUARZO BLANCO</t>
        </is>
      </c>
      <c r="E1088" s="158" t="inlineStr">
        <is>
          <t>UND</t>
        </is>
      </c>
      <c r="F1088" s="158" t="inlineStr">
        <is>
          <t>MATERIALES</t>
        </is>
      </c>
      <c r="G1088" s="158" t="inlineStr">
        <is>
          <t>MUEBLES</t>
        </is>
      </c>
    </row>
    <row r="1089">
      <c r="A1089" s="564" t="n"/>
      <c r="B1089" s="158" t="inlineStr">
        <is>
          <t>MAT14-0042</t>
        </is>
      </c>
      <c r="C1089" s="558" t="inlineStr">
        <is>
          <t>0114-0042</t>
        </is>
      </c>
      <c r="D1089" s="158" t="inlineStr">
        <is>
          <t>TABLA FIBRO PLUS COIGCHC AMTK  3X1830X250</t>
        </is>
      </c>
      <c r="E1089" s="158" t="inlineStr">
        <is>
          <t>UND</t>
        </is>
      </c>
      <c r="F1089" s="158" t="inlineStr">
        <is>
          <t>MATERIALES</t>
        </is>
      </c>
      <c r="G1089" s="158" t="inlineStr">
        <is>
          <t>MUEBLES</t>
        </is>
      </c>
    </row>
    <row r="1090">
      <c r="A1090" s="564" t="n"/>
      <c r="B1090" s="158" t="inlineStr">
        <is>
          <t>MAT14-0043</t>
        </is>
      </c>
      <c r="C1090" s="558" t="inlineStr">
        <is>
          <t>0114-0043</t>
        </is>
      </c>
      <c r="D1090" s="158" t="inlineStr">
        <is>
          <t>MELAMINA SAHARA SW AMTK 18X1830X2500</t>
        </is>
      </c>
      <c r="E1090" s="158" t="inlineStr">
        <is>
          <t>UND</t>
        </is>
      </c>
      <c r="F1090" s="158" t="inlineStr">
        <is>
          <t>MATERIALES</t>
        </is>
      </c>
      <c r="G1090" s="158" t="inlineStr">
        <is>
          <t>MUEBLES</t>
        </is>
      </c>
    </row>
    <row r="1091">
      <c r="A1091" s="564" t="n"/>
      <c r="B1091" s="158" t="inlineStr">
        <is>
          <t>MAT14-0044</t>
        </is>
      </c>
      <c r="C1091" s="558" t="inlineStr">
        <is>
          <t>0114-0044</t>
        </is>
      </c>
      <c r="D1091" s="158" t="inlineStr">
        <is>
          <t>TAPETA P/CANTO PVC SAHARA 22MM</t>
        </is>
      </c>
      <c r="E1091" s="158" t="inlineStr">
        <is>
          <t>UND</t>
        </is>
      </c>
      <c r="F1091" s="158" t="inlineStr">
        <is>
          <t>MATERIALES</t>
        </is>
      </c>
      <c r="G1091" s="158" t="inlineStr">
        <is>
          <t>MUEBLES</t>
        </is>
      </c>
    </row>
    <row r="1092">
      <c r="A1092" s="564" t="n"/>
      <c r="B1092" s="158" t="inlineStr">
        <is>
          <t>MAT14-0045</t>
        </is>
      </c>
      <c r="C1092" s="558" t="inlineStr">
        <is>
          <t>0114-0045</t>
        </is>
      </c>
      <c r="D1092" s="158" t="inlineStr">
        <is>
          <t>TAPA TORNILLO PVC SAHARA</t>
        </is>
      </c>
      <c r="E1092" s="158" t="inlineStr">
        <is>
          <t>UND</t>
        </is>
      </c>
      <c r="F1092" s="158" t="inlineStr">
        <is>
          <t>MATERIALES</t>
        </is>
      </c>
      <c r="G1092" s="158" t="inlineStr">
        <is>
          <t>MUEBLES</t>
        </is>
      </c>
    </row>
    <row r="1093">
      <c r="A1093" s="564" t="n"/>
      <c r="B1093" s="158" t="inlineStr">
        <is>
          <t>MAT14-0046</t>
        </is>
      </c>
      <c r="C1093" s="558" t="inlineStr">
        <is>
          <t>0114-0046</t>
        </is>
      </c>
      <c r="D1093" s="158" t="inlineStr">
        <is>
          <t>TABLA MELAMINA NEGRO SOFT  AMTK 18X1830X2500 M</t>
        </is>
      </c>
      <c r="E1093" s="158" t="inlineStr">
        <is>
          <t>UND</t>
        </is>
      </c>
      <c r="F1093" s="158" t="inlineStr">
        <is>
          <t>MATERIALES</t>
        </is>
      </c>
      <c r="G1093" s="158" t="inlineStr">
        <is>
          <t>MUEBLES</t>
        </is>
      </c>
    </row>
    <row r="1094">
      <c r="A1094" s="564" t="n"/>
      <c r="B1094" s="158" t="inlineStr">
        <is>
          <t>MAT14-0047</t>
        </is>
      </c>
      <c r="C1094" s="558" t="inlineStr">
        <is>
          <t>0114-0047</t>
        </is>
      </c>
      <c r="D1094" s="158" t="inlineStr">
        <is>
          <t>PATAS NIVELADORAS 1"</t>
        </is>
      </c>
      <c r="E1094" s="158" t="inlineStr">
        <is>
          <t>UND</t>
        </is>
      </c>
      <c r="F1094" s="158" t="inlineStr">
        <is>
          <t>MATERIALES</t>
        </is>
      </c>
      <c r="G1094" s="158" t="inlineStr">
        <is>
          <t>MUEBLES</t>
        </is>
      </c>
    </row>
    <row r="1095">
      <c r="A1095" s="564" t="n"/>
      <c r="B1095" s="158" t="inlineStr">
        <is>
          <t>MAT14-0048</t>
        </is>
      </c>
      <c r="C1095" s="558" t="inlineStr">
        <is>
          <t>0114-0048</t>
        </is>
      </c>
      <c r="D1095" s="158" t="inlineStr">
        <is>
          <t>TABLA MELAMINA CONCRETO METROP AMTK 18X1830X2500 MM</t>
        </is>
      </c>
      <c r="E1095" s="158" t="inlineStr">
        <is>
          <t>UND</t>
        </is>
      </c>
      <c r="F1095" s="158" t="inlineStr">
        <is>
          <t>MATERIALES</t>
        </is>
      </c>
      <c r="G1095" s="158" t="inlineStr">
        <is>
          <t>MUEBLES</t>
        </is>
      </c>
    </row>
    <row r="1096">
      <c r="A1096" s="564" t="n"/>
      <c r="B1096" s="158" t="inlineStr">
        <is>
          <t>MAT14-0049</t>
        </is>
      </c>
      <c r="C1096" s="558" t="inlineStr">
        <is>
          <t>0114-0049</t>
        </is>
      </c>
      <c r="D1096" s="158" t="inlineStr">
        <is>
          <t>TAPA P/CANTO PVC CONCRETO METROP. 22X0.43MM</t>
        </is>
      </c>
      <c r="E1096" s="158" t="inlineStr">
        <is>
          <t>M</t>
        </is>
      </c>
      <c r="F1096" s="158" t="inlineStr">
        <is>
          <t>MATERIALES</t>
        </is>
      </c>
      <c r="G1096" s="158" t="inlineStr">
        <is>
          <t>MUEBLES</t>
        </is>
      </c>
    </row>
    <row r="1097">
      <c r="A1097" s="564" t="n"/>
      <c r="B1097" s="158" t="inlineStr">
        <is>
          <t>MAT14-0052</t>
        </is>
      </c>
      <c r="C1097" s="558" t="inlineStr">
        <is>
          <t>0114-0052</t>
        </is>
      </c>
      <c r="D1097" s="158" t="inlineStr">
        <is>
          <t>RIEL TELESCOPICO SLOW MOTION LA 550MM 20 "</t>
        </is>
      </c>
      <c r="E1097" s="158" t="inlineStr">
        <is>
          <t>UND</t>
        </is>
      </c>
      <c r="F1097" s="158" t="inlineStr">
        <is>
          <t>MATERIALES</t>
        </is>
      </c>
      <c r="G1097" s="158" t="inlineStr">
        <is>
          <t>MUEBLES</t>
        </is>
      </c>
    </row>
    <row r="1098">
      <c r="A1098" s="564" t="n"/>
      <c r="B1098" s="158" t="inlineStr">
        <is>
          <t>MAT14-0053</t>
        </is>
      </c>
      <c r="C1098" s="558" t="inlineStr">
        <is>
          <t>0114-0053</t>
        </is>
      </c>
      <c r="D1098" s="158" t="inlineStr">
        <is>
          <t>PATA REDONDA 90CM</t>
        </is>
      </c>
      <c r="E1098" s="158" t="inlineStr">
        <is>
          <t>UND</t>
        </is>
      </c>
      <c r="F1098" s="158" t="inlineStr">
        <is>
          <t>MATERIALES</t>
        </is>
      </c>
      <c r="G1098" s="158" t="inlineStr">
        <is>
          <t>MUEBLES</t>
        </is>
      </c>
    </row>
    <row r="1099">
      <c r="A1099" s="564" t="n"/>
      <c r="B1099" s="158" t="inlineStr">
        <is>
          <t>MAT14-0054</t>
        </is>
      </c>
      <c r="C1099" s="558" t="inlineStr">
        <is>
          <t>0114-0054</t>
        </is>
      </c>
      <c r="D1099" s="158" t="inlineStr">
        <is>
          <t>TAPETA P/CANTO 22X0.45MM COIGUE CHOCOLATE</t>
        </is>
      </c>
      <c r="E1099" s="158" t="inlineStr">
        <is>
          <t>M</t>
        </is>
      </c>
      <c r="F1099" s="158" t="inlineStr">
        <is>
          <t>MATERIALES</t>
        </is>
      </c>
      <c r="G1099" s="158" t="inlineStr">
        <is>
          <t>MUEBLES</t>
        </is>
      </c>
    </row>
    <row r="1100">
      <c r="A1100" s="564" t="n"/>
      <c r="B1100" s="158" t="inlineStr">
        <is>
          <t>MAT14-0055</t>
        </is>
      </c>
      <c r="C1100" s="558" t="inlineStr">
        <is>
          <t>0114-0055</t>
        </is>
      </c>
      <c r="D1100" s="158" t="inlineStr">
        <is>
          <t>TAPETA P/CANTO 22X0.45MM HUMO/FREZNO</t>
        </is>
      </c>
      <c r="E1100" s="158" t="inlineStr">
        <is>
          <t>M</t>
        </is>
      </c>
      <c r="F1100" s="158" t="inlineStr">
        <is>
          <t>MATERIALES</t>
        </is>
      </c>
      <c r="G1100" s="158" t="inlineStr">
        <is>
          <t>MUEBLES</t>
        </is>
      </c>
    </row>
    <row r="1101">
      <c r="A1101" s="564" t="n"/>
      <c r="B1101" s="158" t="inlineStr">
        <is>
          <t>MAT14-0056</t>
        </is>
      </c>
      <c r="C1101" s="558" t="inlineStr">
        <is>
          <t>0114-0056</t>
        </is>
      </c>
      <c r="D1101" s="158" t="inlineStr">
        <is>
          <t>MELAMINA FRESNO HUMO SW AMTK 18X1830X2500</t>
        </is>
      </c>
      <c r="E1101" s="158" t="inlineStr">
        <is>
          <t>UND</t>
        </is>
      </c>
      <c r="F1101" s="158" t="inlineStr">
        <is>
          <t>MATERIALES</t>
        </is>
      </c>
      <c r="G1101" s="158" t="inlineStr">
        <is>
          <t>MUEBLES</t>
        </is>
      </c>
    </row>
    <row r="1102">
      <c r="A1102" s="564" t="n"/>
      <c r="B1102" s="158" t="inlineStr">
        <is>
          <t>MAT14-0057</t>
        </is>
      </c>
      <c r="C1102" s="558" t="inlineStr">
        <is>
          <t>0114-0057</t>
        </is>
      </c>
      <c r="D1102" s="158" t="inlineStr">
        <is>
          <t>TAPETA PVC ROBLE DAKAR 22MMX0,45MM</t>
        </is>
      </c>
      <c r="E1102" s="158" t="inlineStr">
        <is>
          <t>M</t>
        </is>
      </c>
      <c r="F1102" s="158" t="inlineStr">
        <is>
          <t>MATERIALES</t>
        </is>
      </c>
      <c r="G1102" s="158" t="inlineStr">
        <is>
          <t>MUEBLES</t>
        </is>
      </c>
    </row>
    <row r="1103">
      <c r="A1103" s="564" t="n"/>
      <c r="B1103" s="158" t="inlineStr">
        <is>
          <t>MAT14-0058</t>
        </is>
      </c>
      <c r="C1103" s="558" t="inlineStr">
        <is>
          <t>0114-0058</t>
        </is>
      </c>
      <c r="D1103" s="158" t="inlineStr">
        <is>
          <t>BISAGRA DE MENOS 45 CLIP-ON BE-1DTC-45</t>
        </is>
      </c>
      <c r="E1103" s="158" t="inlineStr">
        <is>
          <t>UND</t>
        </is>
      </c>
      <c r="F1103" s="158" t="inlineStr">
        <is>
          <t>MATERIALES</t>
        </is>
      </c>
      <c r="G1103" s="158" t="inlineStr">
        <is>
          <t>MUEBLES</t>
        </is>
      </c>
    </row>
    <row r="1104">
      <c r="A1104" s="564" t="n"/>
      <c r="B1104" s="158" t="inlineStr">
        <is>
          <t>MAT14-0060</t>
        </is>
      </c>
      <c r="C1104" s="558" t="inlineStr">
        <is>
          <t>0114-0060</t>
        </is>
      </c>
      <c r="D1104" s="158" t="inlineStr">
        <is>
          <t>TAPA TORNILLO PVC FRESNO 0.45MM 200M</t>
        </is>
      </c>
      <c r="E1104" s="158" t="inlineStr">
        <is>
          <t>UND</t>
        </is>
      </c>
      <c r="F1104" s="158" t="inlineStr">
        <is>
          <t>MATERIALES</t>
        </is>
      </c>
      <c r="G1104" s="158" t="inlineStr">
        <is>
          <t>MUEBLES</t>
        </is>
      </c>
    </row>
    <row r="1105">
      <c r="A1105" s="564" t="n"/>
      <c r="B1105" s="158" t="inlineStr">
        <is>
          <t>MAT14-0061</t>
        </is>
      </c>
      <c r="C1105" s="558" t="inlineStr">
        <is>
          <t>0114-0061</t>
        </is>
      </c>
      <c r="D1105" s="158" t="inlineStr">
        <is>
          <t>TAPETA P/CANTO PVC FRESNO SW 22X0.45MM 200ML</t>
        </is>
      </c>
      <c r="E1105" s="158" t="inlineStr">
        <is>
          <t>ROLLO</t>
        </is>
      </c>
      <c r="F1105" s="158" t="inlineStr">
        <is>
          <t>MATERIALES</t>
        </is>
      </c>
      <c r="G1105" s="158" t="inlineStr">
        <is>
          <t>MUEBLES</t>
        </is>
      </c>
    </row>
    <row r="1106">
      <c r="A1106" s="564" t="n"/>
      <c r="B1106" s="158" t="inlineStr">
        <is>
          <t>MAT14-0062</t>
        </is>
      </c>
      <c r="C1106" s="558" t="inlineStr">
        <is>
          <t>0114-0062</t>
        </is>
      </c>
      <c r="D1106" s="158" t="inlineStr">
        <is>
          <t>MELAMINA BLANCA</t>
        </is>
      </c>
      <c r="E1106" s="158" t="inlineStr">
        <is>
          <t>UND</t>
        </is>
      </c>
      <c r="F1106" s="158" t="inlineStr">
        <is>
          <t>MATERIALES</t>
        </is>
      </c>
      <c r="G1106" s="158" t="inlineStr">
        <is>
          <t>MUEBLES</t>
        </is>
      </c>
    </row>
    <row r="1107">
      <c r="A1107" s="564" t="n"/>
      <c r="B1107" s="158" t="inlineStr">
        <is>
          <t>MAT14-0063</t>
        </is>
      </c>
      <c r="C1107" s="558" t="inlineStr">
        <is>
          <t>0114-0063</t>
        </is>
      </c>
      <c r="D1107" s="158" t="inlineStr">
        <is>
          <t>TAPETA P/CANTO BLANCO</t>
        </is>
      </c>
      <c r="E1107" s="158" t="inlineStr">
        <is>
          <t>M</t>
        </is>
      </c>
      <c r="F1107" s="158" t="inlineStr">
        <is>
          <t>MATERIALES</t>
        </is>
      </c>
      <c r="G1107" s="158" t="inlineStr">
        <is>
          <t>MUEBLES</t>
        </is>
      </c>
    </row>
    <row r="1108">
      <c r="A1108" s="564" t="n"/>
      <c r="B1108" s="158" t="inlineStr">
        <is>
          <t>MAT14-0065</t>
        </is>
      </c>
      <c r="C1108" s="558" t="inlineStr">
        <is>
          <t>0114-0065</t>
        </is>
      </c>
      <c r="D1108" s="158" t="inlineStr">
        <is>
          <t>FONDO DAKAR 183X244X3MM</t>
        </is>
      </c>
      <c r="E1108" s="158" t="inlineStr">
        <is>
          <t>UND</t>
        </is>
      </c>
      <c r="F1108" s="158" t="inlineStr">
        <is>
          <t>MATERIALES</t>
        </is>
      </c>
      <c r="G1108" s="158" t="inlineStr">
        <is>
          <t>MUEBLES</t>
        </is>
      </c>
    </row>
    <row r="1109">
      <c r="A1109" s="564" t="n"/>
      <c r="B1109" s="158" t="inlineStr">
        <is>
          <t>MAT14-0066</t>
        </is>
      </c>
      <c r="C1109" s="558" t="inlineStr">
        <is>
          <t>0114-0066</t>
        </is>
      </c>
      <c r="D1109" s="158" t="inlineStr">
        <is>
          <t>PISTON 100</t>
        </is>
      </c>
      <c r="E1109" s="158" t="inlineStr">
        <is>
          <t>UND</t>
        </is>
      </c>
      <c r="F1109" s="158" t="inlineStr">
        <is>
          <t>MATERIALES</t>
        </is>
      </c>
      <c r="G1109" s="158" t="inlineStr">
        <is>
          <t>MUEBLES</t>
        </is>
      </c>
    </row>
    <row r="1110">
      <c r="A1110" s="564" t="n"/>
      <c r="B1110" s="158" t="inlineStr">
        <is>
          <t>MAT14-0067</t>
        </is>
      </c>
      <c r="C1110" s="558" t="inlineStr">
        <is>
          <t>0114-0067</t>
        </is>
      </c>
      <c r="D1110" s="158" t="inlineStr">
        <is>
          <t>FREGADERO 2 TANQUES 84X48X20</t>
        </is>
      </c>
      <c r="E1110" s="158" t="inlineStr">
        <is>
          <t>UND</t>
        </is>
      </c>
      <c r="F1110" s="158" t="inlineStr">
        <is>
          <t>MATERIALES</t>
        </is>
      </c>
      <c r="G1110" s="158" t="inlineStr">
        <is>
          <t>MUEBLES</t>
        </is>
      </c>
    </row>
    <row r="1111">
      <c r="A1111" s="564" t="n"/>
      <c r="B1111" s="158" t="inlineStr">
        <is>
          <t>MAT14-0068</t>
        </is>
      </c>
      <c r="C1111" s="558" t="inlineStr">
        <is>
          <t>0114-0068</t>
        </is>
      </c>
      <c r="D1111" s="158" t="inlineStr">
        <is>
          <t>TAPETA</t>
        </is>
      </c>
      <c r="E1111" s="158" t="inlineStr">
        <is>
          <t>M</t>
        </is>
      </c>
      <c r="F1111" s="158" t="inlineStr">
        <is>
          <t>MATERIALES</t>
        </is>
      </c>
      <c r="G1111" s="158" t="inlineStr">
        <is>
          <t>MUEBLES</t>
        </is>
      </c>
    </row>
    <row r="1112">
      <c r="A1112" s="564" t="n"/>
      <c r="B1112" s="158" t="inlineStr">
        <is>
          <t>MAT14-0070</t>
        </is>
      </c>
      <c r="C1112" s="558" t="inlineStr">
        <is>
          <t>0114-0070</t>
        </is>
      </c>
      <c r="D1112" s="158" t="inlineStr">
        <is>
          <t>MELAMINA BLANCA 18X4X8 RH</t>
        </is>
      </c>
      <c r="E1112" s="158" t="inlineStr">
        <is>
          <t>UND</t>
        </is>
      </c>
      <c r="F1112" s="158" t="inlineStr">
        <is>
          <t>MATERIALES</t>
        </is>
      </c>
      <c r="G1112" s="158" t="inlineStr">
        <is>
          <t>MUEBLES</t>
        </is>
      </c>
    </row>
    <row r="1113">
      <c r="A1113" s="564" t="n"/>
      <c r="B1113" s="158" t="inlineStr">
        <is>
          <t>MAT14-0071</t>
        </is>
      </c>
      <c r="C1113" s="558" t="inlineStr">
        <is>
          <t>0114-0071</t>
        </is>
      </c>
      <c r="D1113" s="158" t="inlineStr">
        <is>
          <t>CLOSET 1.50M</t>
        </is>
      </c>
      <c r="E1113" s="158" t="inlineStr">
        <is>
          <t>UND</t>
        </is>
      </c>
      <c r="F1113" s="158" t="inlineStr">
        <is>
          <t>MATERIALES</t>
        </is>
      </c>
      <c r="G1113" s="158" t="inlineStr">
        <is>
          <t>MUEBLES</t>
        </is>
      </c>
    </row>
    <row r="1114">
      <c r="A1114" s="564" t="n"/>
      <c r="B1114" s="158" t="inlineStr">
        <is>
          <t>MAT14-0072</t>
        </is>
      </c>
      <c r="C1114" s="558" t="inlineStr">
        <is>
          <t>0114-0072</t>
        </is>
      </c>
      <c r="D1114" s="158" t="inlineStr">
        <is>
          <t>WALKING CLOSET</t>
        </is>
      </c>
      <c r="E1114" s="158" t="inlineStr">
        <is>
          <t>UND</t>
        </is>
      </c>
      <c r="F1114" s="158" t="inlineStr">
        <is>
          <t>MATERIALES</t>
        </is>
      </c>
      <c r="G1114" s="158" t="inlineStr">
        <is>
          <t>MUEBLES</t>
        </is>
      </c>
    </row>
    <row r="1115">
      <c r="A1115" s="564" t="n"/>
      <c r="B1115" s="158" t="inlineStr">
        <is>
          <t>MAT14-0073</t>
        </is>
      </c>
      <c r="C1115" s="558" t="inlineStr">
        <is>
          <t>0114-0073</t>
        </is>
      </c>
      <c r="D1115" s="158" t="inlineStr">
        <is>
          <t>MODULO 1/COCINA</t>
        </is>
      </c>
      <c r="E1115" s="158" t="inlineStr">
        <is>
          <t>UND</t>
        </is>
      </c>
      <c r="F1115" s="158" t="inlineStr">
        <is>
          <t>MATERIALES</t>
        </is>
      </c>
      <c r="G1115" s="158" t="inlineStr">
        <is>
          <t>MUEBLES</t>
        </is>
      </c>
    </row>
    <row r="1116">
      <c r="A1116" s="564" t="n"/>
      <c r="B1116" s="158" t="inlineStr">
        <is>
          <t>MAT14-0074</t>
        </is>
      </c>
      <c r="C1116" s="558" t="inlineStr">
        <is>
          <t>0114-0074</t>
        </is>
      </c>
      <c r="D1116" s="158" t="inlineStr">
        <is>
          <t>MODULO 2/COCINA</t>
        </is>
      </c>
      <c r="E1116" s="158" t="inlineStr">
        <is>
          <t>UND</t>
        </is>
      </c>
      <c r="F1116" s="158" t="inlineStr">
        <is>
          <t>MATERIALES</t>
        </is>
      </c>
      <c r="G1116" s="158" t="inlineStr">
        <is>
          <t>MUEBLES</t>
        </is>
      </c>
    </row>
    <row r="1117">
      <c r="A1117" s="564" t="n"/>
      <c r="B1117" s="158" t="inlineStr">
        <is>
          <t>MAT14-0075</t>
        </is>
      </c>
      <c r="C1117" s="558" t="inlineStr">
        <is>
          <t>0114-0075</t>
        </is>
      </c>
      <c r="D1117" s="158" t="inlineStr">
        <is>
          <t>LIBRERO</t>
        </is>
      </c>
      <c r="E1117" s="158" t="inlineStr">
        <is>
          <t>UND</t>
        </is>
      </c>
      <c r="F1117" s="158" t="inlineStr">
        <is>
          <t>MATERIALES</t>
        </is>
      </c>
      <c r="G1117" s="158" t="inlineStr">
        <is>
          <t>MUEBLES</t>
        </is>
      </c>
    </row>
    <row r="1118">
      <c r="A1118" s="564" t="n"/>
      <c r="B1118" s="158" t="inlineStr">
        <is>
          <t>MAT14-0076</t>
        </is>
      </c>
      <c r="C1118" s="558" t="inlineStr">
        <is>
          <t>0114-0076</t>
        </is>
      </c>
      <c r="D1118" s="158" t="inlineStr">
        <is>
          <t>MUEBLE DE BAÑO</t>
        </is>
      </c>
      <c r="E1118" s="158" t="inlineStr">
        <is>
          <t>UND</t>
        </is>
      </c>
      <c r="F1118" s="158" t="inlineStr">
        <is>
          <t>MATERIALES</t>
        </is>
      </c>
      <c r="G1118" s="158" t="inlineStr">
        <is>
          <t>MUEBLES</t>
        </is>
      </c>
    </row>
    <row r="1119">
      <c r="A1119" s="564" t="n"/>
      <c r="B1119" s="158" t="inlineStr">
        <is>
          <t>MAT14-0077</t>
        </is>
      </c>
      <c r="C1119" s="558" t="inlineStr">
        <is>
          <t>0114-0077</t>
        </is>
      </c>
      <c r="D1119" s="158" t="inlineStr">
        <is>
          <t>ALACENA</t>
        </is>
      </c>
      <c r="E1119" s="158" t="inlineStr">
        <is>
          <t>UND</t>
        </is>
      </c>
      <c r="F1119" s="158" t="inlineStr">
        <is>
          <t>MATERIALES</t>
        </is>
      </c>
      <c r="G1119" s="158" t="inlineStr">
        <is>
          <t>MUEBLES</t>
        </is>
      </c>
    </row>
    <row r="1120">
      <c r="A1120" s="564" t="n"/>
      <c r="B1120" s="158" t="inlineStr">
        <is>
          <t>MAT14-0082</t>
        </is>
      </c>
      <c r="C1120" s="558" t="inlineStr">
        <is>
          <t>0114-0082</t>
        </is>
      </c>
      <c r="D1120" s="158" t="inlineStr">
        <is>
          <t>LAMINA CARTON PRENSADO BLANCA 1.22X2.44 EN 3MM</t>
        </is>
      </c>
      <c r="E1120" s="158" t="inlineStr">
        <is>
          <t>UND</t>
        </is>
      </c>
      <c r="F1120" s="158" t="inlineStr">
        <is>
          <t>MATERIALES</t>
        </is>
      </c>
      <c r="G1120" s="158" t="inlineStr">
        <is>
          <t>MUEBLES</t>
        </is>
      </c>
    </row>
    <row r="1121">
      <c r="A1121" s="564" t="n"/>
      <c r="B1121" s="158" t="inlineStr">
        <is>
          <t>MAT14-0083</t>
        </is>
      </c>
      <c r="C1121" s="558" t="inlineStr">
        <is>
          <t>0114-0083</t>
        </is>
      </c>
      <c r="D1121" s="158" t="inlineStr">
        <is>
          <t>FREGADERO DE SUBMONTAR 1 BATEA 76X53X25 CM</t>
        </is>
      </c>
      <c r="E1121" s="158" t="inlineStr">
        <is>
          <t>UND</t>
        </is>
      </c>
      <c r="F1121" s="158" t="inlineStr">
        <is>
          <t>MATERIALES</t>
        </is>
      </c>
      <c r="G1121" s="158" t="inlineStr">
        <is>
          <t>MUEBLES</t>
        </is>
      </c>
    </row>
    <row r="1122">
      <c r="A1122" s="564" t="n"/>
      <c r="B1122" s="158" t="inlineStr">
        <is>
          <t>MAT14-0084</t>
        </is>
      </c>
      <c r="C1122" s="558" t="inlineStr">
        <is>
          <t>0114-0084</t>
        </is>
      </c>
      <c r="D1122" s="158" t="inlineStr">
        <is>
          <t>MELAMINA BEIGE</t>
        </is>
      </c>
      <c r="E1122" s="158" t="inlineStr">
        <is>
          <t>UND</t>
        </is>
      </c>
      <c r="F1122" s="158" t="inlineStr">
        <is>
          <t>MATERIALES</t>
        </is>
      </c>
      <c r="G1122" s="158" t="inlineStr">
        <is>
          <t>MUEBLES</t>
        </is>
      </c>
    </row>
    <row r="1123">
      <c r="A1123" s="564" t="n"/>
      <c r="B1123" s="158" t="inlineStr">
        <is>
          <t>MAT14-0085</t>
        </is>
      </c>
      <c r="C1123" s="558" t="inlineStr">
        <is>
          <t>0114-0085</t>
        </is>
      </c>
      <c r="D1123" s="158" t="inlineStr">
        <is>
          <t>TAPETA BEIGE</t>
        </is>
      </c>
      <c r="E1123" s="158" t="inlineStr">
        <is>
          <t>M</t>
        </is>
      </c>
      <c r="F1123" s="158" t="inlineStr">
        <is>
          <t>MATERIALES</t>
        </is>
      </c>
      <c r="G1123" s="158" t="inlineStr">
        <is>
          <t>MUEBLES</t>
        </is>
      </c>
    </row>
    <row r="1124">
      <c r="A1124" s="564" t="n"/>
      <c r="B1124" s="158" t="inlineStr">
        <is>
          <t>MAT14-0086</t>
        </is>
      </c>
      <c r="C1124" s="558" t="inlineStr">
        <is>
          <t>0114-0086</t>
        </is>
      </c>
      <c r="D1124" s="158" t="inlineStr">
        <is>
          <t>TAPA TORNILLO BEIGE</t>
        </is>
      </c>
      <c r="E1124" s="158" t="inlineStr">
        <is>
          <t>BOLSA</t>
        </is>
      </c>
      <c r="F1124" s="158" t="inlineStr">
        <is>
          <t>MATERIALES</t>
        </is>
      </c>
      <c r="G1124" s="158" t="inlineStr">
        <is>
          <t>MUEBLES</t>
        </is>
      </c>
    </row>
    <row r="1125">
      <c r="A1125" s="564" t="n"/>
      <c r="B1125" s="158" t="inlineStr">
        <is>
          <t>MAT14-0087</t>
        </is>
      </c>
      <c r="C1125" s="558" t="inlineStr">
        <is>
          <t>0114-0087</t>
        </is>
      </c>
      <c r="D1125" s="158" t="inlineStr">
        <is>
          <t>MELAMINA GRIS GRAFITO</t>
        </is>
      </c>
      <c r="E1125" s="158" t="inlineStr">
        <is>
          <t>UND</t>
        </is>
      </c>
      <c r="F1125" s="158" t="inlineStr">
        <is>
          <t>MATERIALES</t>
        </is>
      </c>
      <c r="G1125" s="158" t="inlineStr">
        <is>
          <t>MUEBLES</t>
        </is>
      </c>
    </row>
    <row r="1126">
      <c r="A1126" s="564" t="n"/>
      <c r="B1126" s="158" t="inlineStr">
        <is>
          <t>MAT14-0088</t>
        </is>
      </c>
      <c r="C1126" s="558" t="inlineStr">
        <is>
          <t>0114-0088</t>
        </is>
      </c>
      <c r="D1126" s="158" t="inlineStr">
        <is>
          <t>ESQUINERO P/RODAPIE ALUMINIO **CODO** 10 CM</t>
        </is>
      </c>
      <c r="E1126" s="158" t="inlineStr">
        <is>
          <t>UND</t>
        </is>
      </c>
      <c r="F1126" s="158" t="inlineStr">
        <is>
          <t>MATERIALES</t>
        </is>
      </c>
      <c r="G1126" s="158" t="inlineStr">
        <is>
          <t>MUEBLES</t>
        </is>
      </c>
    </row>
    <row r="1127">
      <c r="A1127" s="564" t="n"/>
      <c r="B1127" s="158" t="inlineStr">
        <is>
          <t>MAT14-0089</t>
        </is>
      </c>
      <c r="C1127" s="558" t="inlineStr">
        <is>
          <t>0114-0089</t>
        </is>
      </c>
      <c r="D1127" s="158" t="inlineStr">
        <is>
          <t>RIEL DE 12" CIERRE LENTO</t>
        </is>
      </c>
      <c r="E1127" s="158" t="inlineStr">
        <is>
          <t>UND</t>
        </is>
      </c>
      <c r="F1127" s="158" t="inlineStr">
        <is>
          <t>MATERIALES</t>
        </is>
      </c>
      <c r="G1127" s="158" t="inlineStr">
        <is>
          <t>MUEBLES</t>
        </is>
      </c>
    </row>
    <row r="1128" ht="13.5" customFormat="1" customHeight="1" s="560">
      <c r="A1128" s="557" t="n"/>
      <c r="B1128" s="557" t="inlineStr">
        <is>
          <t>(ID) Insumo</t>
        </is>
      </c>
      <c r="C1128" s="558" t="n"/>
      <c r="D1128" s="557" t="inlineStr">
        <is>
          <t>Descripción</t>
        </is>
      </c>
      <c r="E1128" s="557" t="inlineStr">
        <is>
          <t>Unidad</t>
        </is>
      </c>
      <c r="F1128" s="557" t="inlineStr">
        <is>
          <t>Grupo de Insumo</t>
        </is>
      </c>
      <c r="G1128" s="557" t="inlineStr">
        <is>
          <t>Familia de Insumos</t>
        </is>
      </c>
    </row>
    <row r="1129">
      <c r="A1129" s="159" t="n"/>
      <c r="B1129" s="158" t="inlineStr">
        <is>
          <t>MAT16-0001</t>
        </is>
      </c>
      <c r="C1129" s="558" t="inlineStr">
        <is>
          <t>0116-0001</t>
        </is>
      </c>
      <c r="D1129" s="158" t="inlineStr">
        <is>
          <t>ANTICORROSIVO MINIO AZUL</t>
        </is>
      </c>
      <c r="E1129" s="158" t="inlineStr">
        <is>
          <t>GALON</t>
        </is>
      </c>
      <c r="F1129" s="158" t="inlineStr">
        <is>
          <t>MATERIALES</t>
        </is>
      </c>
      <c r="G1129" s="158" t="inlineStr">
        <is>
          <t>PINTURAS Y REVESTIMIENTOS</t>
        </is>
      </c>
    </row>
    <row r="1130">
      <c r="A1130" s="159" t="n"/>
      <c r="B1130" s="158" t="inlineStr">
        <is>
          <t>MAT16-0002</t>
        </is>
      </c>
      <c r="C1130" s="558" t="inlineStr">
        <is>
          <t>0116-0002</t>
        </is>
      </c>
      <c r="D1130" s="158" t="inlineStr">
        <is>
          <t>ANTICORROSIVO MINIO ROJO</t>
        </is>
      </c>
      <c r="E1130" s="158" t="inlineStr">
        <is>
          <t>GALON</t>
        </is>
      </c>
      <c r="F1130" s="158" t="inlineStr">
        <is>
          <t>MATERIALES</t>
        </is>
      </c>
      <c r="G1130" s="158" t="inlineStr">
        <is>
          <t>PINTURAS Y REVESTIMIENTOS</t>
        </is>
      </c>
    </row>
    <row r="1131">
      <c r="A1131" s="159" t="n"/>
      <c r="B1131" s="158" t="inlineStr">
        <is>
          <t>MAT16-0003</t>
        </is>
      </c>
      <c r="C1131" s="558" t="inlineStr">
        <is>
          <t>0116-0003</t>
        </is>
      </c>
      <c r="D1131" s="158" t="inlineStr">
        <is>
          <t>STUCCO BROWN</t>
        </is>
      </c>
      <c r="E1131" s="158" t="inlineStr">
        <is>
          <t>UND</t>
        </is>
      </c>
      <c r="F1131" s="158" t="inlineStr">
        <is>
          <t>MATERIALES</t>
        </is>
      </c>
      <c r="G1131" s="158" t="inlineStr">
        <is>
          <t>PINTURAS Y REVESTIMIENTOS</t>
        </is>
      </c>
    </row>
    <row r="1132">
      <c r="A1132" s="159" t="n"/>
      <c r="B1132" s="158" t="inlineStr">
        <is>
          <t>MAT16-0004</t>
        </is>
      </c>
      <c r="C1132" s="558" t="inlineStr">
        <is>
          <t>0116-0004</t>
        </is>
      </c>
      <c r="D1132" s="158" t="inlineStr">
        <is>
          <t>PINTURA DRY COAT MATE DEEP GRIS CLARO</t>
        </is>
      </c>
      <c r="E1132" s="158" t="inlineStr">
        <is>
          <t>GALON</t>
        </is>
      </c>
      <c r="F1132" s="158" t="inlineStr">
        <is>
          <t>MATERIALES</t>
        </is>
      </c>
      <c r="G1132" s="158" t="inlineStr">
        <is>
          <t>PINTURAS Y REVESTIMIENTOS</t>
        </is>
      </c>
    </row>
    <row r="1133">
      <c r="A1133" s="159" t="n"/>
      <c r="B1133" s="158" t="inlineStr">
        <is>
          <t>MAT16-0005</t>
        </is>
      </c>
      <c r="C1133" s="558" t="inlineStr">
        <is>
          <t>0116-0005</t>
        </is>
      </c>
      <c r="D1133" s="158" t="inlineStr">
        <is>
          <t>PINTURA EN SPRAY ANARANJADO FLURECENTE</t>
        </is>
      </c>
      <c r="E1133" s="158" t="inlineStr">
        <is>
          <t>UND</t>
        </is>
      </c>
      <c r="F1133" s="158" t="inlineStr">
        <is>
          <t>MATERIALES</t>
        </is>
      </c>
      <c r="G1133" s="158" t="inlineStr">
        <is>
          <t>PINTURAS Y REVESTIMIENTOS</t>
        </is>
      </c>
    </row>
    <row r="1134">
      <c r="A1134" s="159" t="n"/>
      <c r="B1134" s="158" t="inlineStr">
        <is>
          <t>MAT16-0006</t>
        </is>
      </c>
      <c r="C1134" s="558" t="inlineStr">
        <is>
          <t>0116-0006</t>
        </is>
      </c>
      <c r="D1134" s="158" t="inlineStr">
        <is>
          <t>PINTURA SEAL BLOCK ELASTOMERICA</t>
        </is>
      </c>
      <c r="E1134" s="158" t="inlineStr">
        <is>
          <t>CUBETA</t>
        </is>
      </c>
      <c r="F1134" s="158" t="inlineStr">
        <is>
          <t>MATERIALES</t>
        </is>
      </c>
      <c r="G1134" s="158" t="inlineStr">
        <is>
          <t>PINTURAS Y REVESTIMIENTOS</t>
        </is>
      </c>
    </row>
    <row r="1135">
      <c r="A1135" s="159" t="n"/>
      <c r="B1135" s="158" t="inlineStr">
        <is>
          <t>MAT16-0007</t>
        </is>
      </c>
      <c r="C1135" s="558" t="inlineStr">
        <is>
          <t>0116-0007</t>
        </is>
      </c>
      <c r="D1135" s="158" t="inlineStr">
        <is>
          <t>PINTURA SUPER DRY DEEP GRIS CLARO</t>
        </is>
      </c>
      <c r="E1135" s="158" t="inlineStr">
        <is>
          <t>GALON</t>
        </is>
      </c>
      <c r="F1135" s="158" t="inlineStr">
        <is>
          <t>MATERIALES</t>
        </is>
      </c>
      <c r="G1135" s="158" t="inlineStr">
        <is>
          <t>PINTURAS Y REVESTIMIENTOS</t>
        </is>
      </c>
    </row>
    <row r="1136">
      <c r="A1136" s="159" t="n"/>
      <c r="B1136" s="158" t="inlineStr">
        <is>
          <t>MAT16-0008</t>
        </is>
      </c>
      <c r="C1136" s="558" t="inlineStr">
        <is>
          <t>0116-0008</t>
        </is>
      </c>
      <c r="D1136" s="158" t="inlineStr">
        <is>
          <t>PINTURA ACRILATEX ELASTOMERICO MATE (7500) SUR</t>
        </is>
      </c>
      <c r="E1136" s="158" t="inlineStr">
        <is>
          <t>CUBETA</t>
        </is>
      </c>
      <c r="F1136" s="158" t="inlineStr">
        <is>
          <t>MATERIALES</t>
        </is>
      </c>
      <c r="G1136" s="158" t="inlineStr">
        <is>
          <t>PINTURAS Y REVESTIMIENTOS</t>
        </is>
      </c>
    </row>
    <row r="1137">
      <c r="A1137" s="159" t="n"/>
      <c r="B1137" s="158" t="inlineStr">
        <is>
          <t>MAT16-0009</t>
        </is>
      </c>
      <c r="C1137" s="558" t="inlineStr">
        <is>
          <t>0116-0009</t>
        </is>
      </c>
      <c r="D1137" s="158" t="inlineStr">
        <is>
          <t>SELLADOR PARA CONCRETO BLANCO SUR</t>
        </is>
      </c>
      <c r="E1137" s="158" t="inlineStr">
        <is>
          <t>CUBETA</t>
        </is>
      </c>
      <c r="F1137" s="158" t="inlineStr">
        <is>
          <t>MATERIALES</t>
        </is>
      </c>
      <c r="G1137" s="158" t="inlineStr">
        <is>
          <t>PINTURAS Y REVESTIMIENTOS</t>
        </is>
      </c>
    </row>
    <row r="1138">
      <c r="A1138" s="159" t="n"/>
      <c r="B1138" s="158" t="inlineStr">
        <is>
          <t>MAT16-0010</t>
        </is>
      </c>
      <c r="C1138" s="558" t="inlineStr">
        <is>
          <t>0116-0010</t>
        </is>
      </c>
      <c r="D1138" s="158" t="inlineStr">
        <is>
          <t>STUCCO SUR</t>
        </is>
      </c>
      <c r="E1138" s="158" t="inlineStr">
        <is>
          <t>CUBETA</t>
        </is>
      </c>
      <c r="F1138" s="158" t="inlineStr">
        <is>
          <t>MATERIALES</t>
        </is>
      </c>
      <c r="G1138" s="158" t="inlineStr">
        <is>
          <t>PINTURAS Y REVESTIMIENTOS</t>
        </is>
      </c>
    </row>
    <row r="1139">
      <c r="A1139" s="159" t="n"/>
      <c r="B1139" s="158" t="inlineStr">
        <is>
          <t>MAT16-0011</t>
        </is>
      </c>
      <c r="C1139" s="558" t="inlineStr">
        <is>
          <t>0116-0011</t>
        </is>
      </c>
      <c r="D1139" s="158" t="inlineStr">
        <is>
          <t>STUCCO BLANCO COD 010 SUR</t>
        </is>
      </c>
      <c r="E1139" s="158" t="inlineStr">
        <is>
          <t>CUBETA</t>
        </is>
      </c>
      <c r="F1139" s="158" t="inlineStr">
        <is>
          <t>MATERIALES</t>
        </is>
      </c>
      <c r="G1139" s="158" t="inlineStr">
        <is>
          <t>PINTURAS Y REVESTIMIENTOS</t>
        </is>
      </c>
    </row>
    <row r="1140">
      <c r="A1140" s="159" t="n"/>
      <c r="B1140" s="158" t="inlineStr">
        <is>
          <t>MAT16-0012</t>
        </is>
      </c>
      <c r="C1140" s="558" t="inlineStr">
        <is>
          <t>0116-0012</t>
        </is>
      </c>
      <c r="D1140" s="158" t="inlineStr">
        <is>
          <t>STUCCO CAFE COD 468 SUR</t>
        </is>
      </c>
      <c r="E1140" s="158" t="inlineStr">
        <is>
          <t>CUBETA</t>
        </is>
      </c>
      <c r="F1140" s="158" t="inlineStr">
        <is>
          <t>MATERIALES</t>
        </is>
      </c>
      <c r="G1140" s="158" t="inlineStr">
        <is>
          <t>PINTURAS Y REVESTIMIENTOS</t>
        </is>
      </c>
    </row>
    <row r="1141">
      <c r="A1141" s="159" t="n"/>
      <c r="B1141" s="158" t="inlineStr">
        <is>
          <t>MAT16-0013</t>
        </is>
      </c>
      <c r="C1141" s="558" t="inlineStr">
        <is>
          <t>0116-0013</t>
        </is>
      </c>
      <c r="D1141" s="158" t="inlineStr">
        <is>
          <t>STUCCO ESPIGA COD 022 SUR</t>
        </is>
      </c>
      <c r="E1141" s="158" t="inlineStr">
        <is>
          <t>CUBETA</t>
        </is>
      </c>
      <c r="F1141" s="158" t="inlineStr">
        <is>
          <t>MATERIALES</t>
        </is>
      </c>
      <c r="G1141" s="158" t="inlineStr">
        <is>
          <t>PINTURAS Y REVESTIMIENTOS</t>
        </is>
      </c>
    </row>
    <row r="1142">
      <c r="A1142" s="159" t="n"/>
      <c r="B1142" s="158" t="inlineStr">
        <is>
          <t>MAT16-0014</t>
        </is>
      </c>
      <c r="C1142" s="558" t="inlineStr">
        <is>
          <t>0116-0014</t>
        </is>
      </c>
      <c r="D1142" s="158" t="inlineStr">
        <is>
          <t>STUCCO EXPRESSO COD 467 SUR</t>
        </is>
      </c>
      <c r="E1142" s="158" t="inlineStr">
        <is>
          <t>CUBETA</t>
        </is>
      </c>
      <c r="F1142" s="158" t="inlineStr">
        <is>
          <t>MATERIALES</t>
        </is>
      </c>
      <c r="G1142" s="158" t="inlineStr">
        <is>
          <t>PINTURAS Y REVESTIMIENTOS</t>
        </is>
      </c>
    </row>
    <row r="1143">
      <c r="A1143" s="159" t="n"/>
      <c r="B1143" s="158" t="inlineStr">
        <is>
          <t>MAT16-0015</t>
        </is>
      </c>
      <c r="C1143" s="558" t="inlineStr">
        <is>
          <t>0116-0015</t>
        </is>
      </c>
      <c r="D1143" s="158" t="inlineStr">
        <is>
          <t>STUCCO GRIS COD 717 SUR</t>
        </is>
      </c>
      <c r="E1143" s="158" t="inlineStr">
        <is>
          <t>CUBETA</t>
        </is>
      </c>
      <c r="F1143" s="158" t="inlineStr">
        <is>
          <t>MATERIALES</t>
        </is>
      </c>
      <c r="G1143" s="158" t="inlineStr">
        <is>
          <t>PINTURAS Y REVESTIMIENTOS</t>
        </is>
      </c>
    </row>
    <row r="1144">
      <c r="A1144" s="159" t="n"/>
      <c r="B1144" s="158" t="inlineStr">
        <is>
          <t>MAT16-0016</t>
        </is>
      </c>
      <c r="C1144" s="558" t="inlineStr">
        <is>
          <t>0116-0016</t>
        </is>
      </c>
      <c r="D1144" s="158" t="inlineStr">
        <is>
          <t>STUCCO ROSADO COD REV-02-2542 SUR</t>
        </is>
      </c>
      <c r="E1144" s="158" t="inlineStr">
        <is>
          <t>CUBETA</t>
        </is>
      </c>
      <c r="F1144" s="158" t="inlineStr">
        <is>
          <t>MATERIALES</t>
        </is>
      </c>
      <c r="G1144" s="158" t="inlineStr">
        <is>
          <t>PINTURAS Y REVESTIMIENTOS</t>
        </is>
      </c>
    </row>
    <row r="1145">
      <c r="A1145" s="159" t="n"/>
      <c r="B1145" s="158" t="inlineStr">
        <is>
          <t>MAT16-0017</t>
        </is>
      </c>
      <c r="C1145" s="558" t="inlineStr">
        <is>
          <t>0116-0017</t>
        </is>
      </c>
      <c r="D1145" s="158" t="inlineStr">
        <is>
          <t>STUCCO TABACO SUR</t>
        </is>
      </c>
      <c r="E1145" s="158" t="inlineStr">
        <is>
          <t>CUBETA</t>
        </is>
      </c>
      <c r="F1145" s="158" t="inlineStr">
        <is>
          <t>MATERIALES</t>
        </is>
      </c>
      <c r="G1145" s="158" t="inlineStr">
        <is>
          <t>PINTURAS Y REVESTIMIENTOS</t>
        </is>
      </c>
    </row>
    <row r="1146">
      <c r="A1146" s="159" t="n"/>
      <c r="B1146" s="158" t="inlineStr">
        <is>
          <t>MAT16-0018</t>
        </is>
      </c>
      <c r="C1146" s="558" t="inlineStr">
        <is>
          <t>0116-0018</t>
        </is>
      </c>
      <c r="D1146" s="158" t="inlineStr">
        <is>
          <t>THINNER</t>
        </is>
      </c>
      <c r="E1146" s="158" t="inlineStr">
        <is>
          <t>GALON</t>
        </is>
      </c>
      <c r="F1146" s="158" t="inlineStr">
        <is>
          <t>MATERIALES</t>
        </is>
      </c>
      <c r="G1146" s="158" t="inlineStr">
        <is>
          <t>PINTURAS Y REVESTIMIENTOS</t>
        </is>
      </c>
    </row>
    <row r="1147">
      <c r="A1147" s="159" t="n"/>
      <c r="B1147" s="158" t="inlineStr">
        <is>
          <t>MAT16-0019</t>
        </is>
      </c>
      <c r="C1147" s="558" t="inlineStr">
        <is>
          <t>0116-0019</t>
        </is>
      </c>
      <c r="D1147" s="158" t="inlineStr">
        <is>
          <t>PINTURA CROMATO DE ZINC POLIURETANO LANCO</t>
        </is>
      </c>
      <c r="E1147" s="158" t="inlineStr">
        <is>
          <t>GALON</t>
        </is>
      </c>
      <c r="F1147" s="158" t="inlineStr">
        <is>
          <t>MATERIALES</t>
        </is>
      </c>
      <c r="G1147" s="158" t="inlineStr">
        <is>
          <t>PINTURAS Y REVESTIMIENTOS</t>
        </is>
      </c>
    </row>
    <row r="1148">
      <c r="A1148" s="159" t="n"/>
      <c r="B1148" s="158" t="inlineStr">
        <is>
          <t>MAT16-0020</t>
        </is>
      </c>
      <c r="C1148" s="558" t="inlineStr">
        <is>
          <t>0116-0020</t>
        </is>
      </c>
      <c r="D1148" s="158" t="inlineStr">
        <is>
          <t>PINTURA INTERIOR FIBROCENTRO</t>
        </is>
      </c>
      <c r="E1148" s="158" t="inlineStr">
        <is>
          <t>CUBETA</t>
        </is>
      </c>
      <c r="F1148" s="158" t="inlineStr">
        <is>
          <t>MATERIALES</t>
        </is>
      </c>
      <c r="G1148" s="158" t="inlineStr">
        <is>
          <t>PINTURAS Y REVESTIMIENTOS</t>
        </is>
      </c>
    </row>
    <row r="1149">
      <c r="A1149" s="159" t="n"/>
      <c r="B1149" s="158" t="inlineStr">
        <is>
          <t>MAT16-0021</t>
        </is>
      </c>
      <c r="C1149" s="558" t="inlineStr">
        <is>
          <t>0116-0021</t>
        </is>
      </c>
      <c r="D1149" s="158" t="inlineStr">
        <is>
          <t>ANTICORROSIVO MINIO AMARILLO</t>
        </is>
      </c>
      <c r="E1149" s="158" t="inlineStr">
        <is>
          <t>GALON</t>
        </is>
      </c>
      <c r="F1149" s="158" t="inlineStr">
        <is>
          <t>MATERIALES</t>
        </is>
      </c>
      <c r="G1149" s="158" t="inlineStr">
        <is>
          <t>PINTURAS Y REVESTIMIENTOS</t>
        </is>
      </c>
    </row>
    <row r="1150">
      <c r="A1150" s="159" t="n"/>
      <c r="B1150" s="158" t="inlineStr">
        <is>
          <t>MAT16-0022</t>
        </is>
      </c>
      <c r="C1150" s="558" t="inlineStr">
        <is>
          <t>0116-0022</t>
        </is>
      </c>
      <c r="D1150" s="158" t="inlineStr">
        <is>
          <t>STUCCO TABACO 7880 PROTECTO</t>
        </is>
      </c>
      <c r="E1150" s="158" t="inlineStr">
        <is>
          <t>CUBETA</t>
        </is>
      </c>
      <c r="F1150" s="158" t="inlineStr">
        <is>
          <t>MATERIALES</t>
        </is>
      </c>
      <c r="G1150" s="158" t="inlineStr">
        <is>
          <t>PINTURAS Y REVESTIMIENTOS</t>
        </is>
      </c>
    </row>
    <row r="1151">
      <c r="A1151" s="159" t="n"/>
      <c r="B1151" s="158" t="inlineStr">
        <is>
          <t>MAT16-0023</t>
        </is>
      </c>
      <c r="C1151" s="558" t="inlineStr">
        <is>
          <t>0116-0023</t>
        </is>
      </c>
      <c r="D1151" s="158" t="inlineStr">
        <is>
          <t>STUCCO EXPRESO PROTECTO</t>
        </is>
      </c>
      <c r="E1151" s="158" t="inlineStr">
        <is>
          <t>CUBETA</t>
        </is>
      </c>
      <c r="F1151" s="158" t="inlineStr">
        <is>
          <t>MATERIALES</t>
        </is>
      </c>
      <c r="G1151" s="158" t="inlineStr">
        <is>
          <t>PINTURAS Y REVESTIMIENTOS</t>
        </is>
      </c>
    </row>
    <row r="1152">
      <c r="A1152" s="159" t="n"/>
      <c r="B1152" s="158" t="inlineStr">
        <is>
          <t>MAT16-0024</t>
        </is>
      </c>
      <c r="C1152" s="558" t="inlineStr">
        <is>
          <t>0116-0024</t>
        </is>
      </c>
      <c r="D1152" s="158" t="inlineStr">
        <is>
          <t>STUCCO CAFÉ CLARO PROTECTO</t>
        </is>
      </c>
      <c r="E1152" s="158" t="inlineStr">
        <is>
          <t>CUBETA</t>
        </is>
      </c>
      <c r="F1152" s="158" t="inlineStr">
        <is>
          <t>MATERIALES</t>
        </is>
      </c>
      <c r="G1152" s="158" t="inlineStr">
        <is>
          <t>PINTURAS Y REVESTIMIENTOS</t>
        </is>
      </c>
    </row>
    <row r="1153">
      <c r="A1153" s="159" t="n"/>
      <c r="B1153" s="158" t="inlineStr">
        <is>
          <t>MAT16-0025</t>
        </is>
      </c>
      <c r="C1153" s="558" t="inlineStr">
        <is>
          <t>0116-0025</t>
        </is>
      </c>
      <c r="D1153" s="158" t="inlineStr">
        <is>
          <t>STUCCO GRIS PROTECTO</t>
        </is>
      </c>
      <c r="E1153" s="158" t="inlineStr">
        <is>
          <t>CUBETA</t>
        </is>
      </c>
      <c r="F1153" s="158" t="inlineStr">
        <is>
          <t>MATERIALES</t>
        </is>
      </c>
      <c r="G1153" s="158" t="inlineStr">
        <is>
          <t>PINTURAS Y REVESTIMIENTOS</t>
        </is>
      </c>
    </row>
    <row r="1154">
      <c r="A1154" s="159" t="n"/>
      <c r="B1154" s="158" t="inlineStr">
        <is>
          <t>MAT16-0026</t>
        </is>
      </c>
      <c r="C1154" s="558" t="inlineStr">
        <is>
          <t>0116-0026</t>
        </is>
      </c>
      <c r="D1154" s="158" t="inlineStr">
        <is>
          <t>STUCCO BLANCO 6870 PROTECTO</t>
        </is>
      </c>
      <c r="E1154" s="158" t="inlineStr">
        <is>
          <t>CUBETA</t>
        </is>
      </c>
      <c r="F1154" s="158" t="inlineStr">
        <is>
          <t>MATERIALES</t>
        </is>
      </c>
      <c r="G1154" s="158" t="inlineStr">
        <is>
          <t>PINTURAS Y REVESTIMIENTOS</t>
        </is>
      </c>
    </row>
    <row r="1155">
      <c r="A1155" s="159" t="n"/>
      <c r="B1155" s="158" t="inlineStr">
        <is>
          <t>MAT16-0027</t>
        </is>
      </c>
      <c r="C1155" s="558" t="inlineStr">
        <is>
          <t>0116-0027</t>
        </is>
      </c>
      <c r="D1155" s="158" t="inlineStr">
        <is>
          <t>PINTURA DRY COAT MATE DEEP GRIS CLARO</t>
        </is>
      </c>
      <c r="E1155" s="158" t="inlineStr">
        <is>
          <t>CUBETA</t>
        </is>
      </c>
      <c r="F1155" s="158" t="n">
        <v>0</v>
      </c>
      <c r="G1155" s="158" t="inlineStr">
        <is>
          <t>PINTURAS Y REVESTIMIENTOS</t>
        </is>
      </c>
    </row>
    <row r="1156">
      <c r="A1156" s="159" t="n"/>
      <c r="B1156" s="158" t="inlineStr">
        <is>
          <t>MAT16-0028</t>
        </is>
      </c>
      <c r="C1156" s="558" t="inlineStr">
        <is>
          <t>0116-0028</t>
        </is>
      </c>
      <c r="D1156" s="158" t="inlineStr">
        <is>
          <t>PINTURA FAST DRY ROJO</t>
        </is>
      </c>
      <c r="E1156" s="158" t="inlineStr">
        <is>
          <t>1/4 DE GALON</t>
        </is>
      </c>
      <c r="F1156" s="158" t="inlineStr">
        <is>
          <t>MATERIALES</t>
        </is>
      </c>
      <c r="G1156" s="158" t="inlineStr">
        <is>
          <t>PINTURAS Y REVESTIMIENTOS</t>
        </is>
      </c>
    </row>
    <row r="1157">
      <c r="A1157" s="159" t="n"/>
      <c r="B1157" s="158" t="inlineStr">
        <is>
          <t>MAT16-0029</t>
        </is>
      </c>
      <c r="C1157" s="558" t="inlineStr">
        <is>
          <t>0116-0029</t>
        </is>
      </c>
      <c r="D1157" s="158" t="inlineStr">
        <is>
          <t>PINTURA PREPARADOS FAST DRY UNIPAR</t>
        </is>
      </c>
      <c r="E1157" s="158" t="inlineStr">
        <is>
          <t>1/4 DE GALON</t>
        </is>
      </c>
      <c r="F1157" s="158" t="inlineStr">
        <is>
          <t>MATERIALES</t>
        </is>
      </c>
      <c r="G1157" s="158" t="inlineStr">
        <is>
          <t>PINTURAS Y REVESTIMIENTOS</t>
        </is>
      </c>
    </row>
    <row r="1158">
      <c r="A1158" s="159" t="n"/>
      <c r="B1158" s="158" t="inlineStr">
        <is>
          <t>MAT16-0030</t>
        </is>
      </c>
      <c r="C1158" s="558" t="inlineStr">
        <is>
          <t>0116-0030</t>
        </is>
      </c>
      <c r="D1158" s="158" t="inlineStr">
        <is>
          <t>MAXILASTIC INTACO</t>
        </is>
      </c>
      <c r="E1158" s="158" t="inlineStr">
        <is>
          <t>UND</t>
        </is>
      </c>
      <c r="F1158" s="158" t="inlineStr">
        <is>
          <t>MATERIALES</t>
        </is>
      </c>
      <c r="G1158" s="158" t="inlineStr">
        <is>
          <t>PINTURAS Y REVESTIMIENTOS</t>
        </is>
      </c>
    </row>
    <row r="1159">
      <c r="A1159" s="159" t="n"/>
      <c r="B1159" s="158" t="inlineStr">
        <is>
          <t>MAT16-0031</t>
        </is>
      </c>
      <c r="C1159" s="558" t="inlineStr">
        <is>
          <t>0116-0031</t>
        </is>
      </c>
      <c r="D1159" s="158" t="inlineStr">
        <is>
          <t>PINTURA GOLTEX SUR</t>
        </is>
      </c>
      <c r="E1159" s="158" t="inlineStr">
        <is>
          <t>CUBETA</t>
        </is>
      </c>
      <c r="F1159" s="158" t="inlineStr">
        <is>
          <t>MATERIALES</t>
        </is>
      </c>
      <c r="G1159" s="158" t="inlineStr">
        <is>
          <t>PINTURAS Y REVESTIMIENTOS</t>
        </is>
      </c>
    </row>
    <row r="1160">
      <c r="A1160" s="159" t="n"/>
      <c r="B1160" s="158" t="inlineStr">
        <is>
          <t>MAT16-0032</t>
        </is>
      </c>
      <c r="C1160" s="558" t="inlineStr">
        <is>
          <t>0116-0032</t>
        </is>
      </c>
      <c r="D1160" s="158" t="inlineStr">
        <is>
          <t>PINTURA ARMOR MAXIMA MATE</t>
        </is>
      </c>
      <c r="E1160" s="158" t="inlineStr">
        <is>
          <t>CUBETA</t>
        </is>
      </c>
      <c r="F1160" s="158" t="inlineStr">
        <is>
          <t>MATERIALES</t>
        </is>
      </c>
      <c r="G1160" s="158" t="inlineStr">
        <is>
          <t>PINTURAS Y REVESTIMIENTOS</t>
        </is>
      </c>
    </row>
    <row r="1161">
      <c r="A1161" s="159" t="n"/>
      <c r="B1161" s="158" t="inlineStr">
        <is>
          <t>MAT16-0033</t>
        </is>
      </c>
      <c r="C1161" s="558" t="inlineStr">
        <is>
          <t>0116-0033</t>
        </is>
      </c>
      <c r="D1161" s="158" t="inlineStr">
        <is>
          <t>PINTURA FAST DRY PASTEL</t>
        </is>
      </c>
      <c r="E1161" s="158" t="inlineStr">
        <is>
          <t>GALON</t>
        </is>
      </c>
      <c r="F1161" s="158" t="inlineStr">
        <is>
          <t>MATERIALES</t>
        </is>
      </c>
      <c r="G1161" s="158" t="inlineStr">
        <is>
          <t>PINTURAS Y REVESTIMIENTOS</t>
        </is>
      </c>
    </row>
    <row r="1162">
      <c r="A1162" s="159" t="n"/>
      <c r="B1162" s="158" t="inlineStr">
        <is>
          <t>MAT16-0034</t>
        </is>
      </c>
      <c r="C1162" s="558" t="inlineStr">
        <is>
          <t>0116-0034</t>
        </is>
      </c>
      <c r="D1162" s="158" t="inlineStr">
        <is>
          <t>PINTURA FAST DRY BLANCO</t>
        </is>
      </c>
      <c r="E1162" s="158" t="inlineStr">
        <is>
          <t>GALON</t>
        </is>
      </c>
      <c r="F1162" s="158" t="inlineStr">
        <is>
          <t>MATERIALES</t>
        </is>
      </c>
      <c r="G1162" s="158" t="inlineStr">
        <is>
          <t>PINTURAS Y REVESTIMIENTOS</t>
        </is>
      </c>
    </row>
    <row r="1163">
      <c r="A1163" s="159" t="n"/>
      <c r="B1163" s="158" t="inlineStr">
        <is>
          <t>MAT16-0035</t>
        </is>
      </c>
      <c r="C1163" s="558" t="inlineStr">
        <is>
          <t>0116-0035</t>
        </is>
      </c>
      <c r="D1163" s="158" t="inlineStr">
        <is>
          <t>PINTURA FAST DRY NEGRO</t>
        </is>
      </c>
      <c r="E1163" s="158" t="inlineStr">
        <is>
          <t>GALON</t>
        </is>
      </c>
      <c r="F1163" s="158" t="inlineStr">
        <is>
          <t>MATERIALES</t>
        </is>
      </c>
      <c r="G1163" s="158" t="inlineStr">
        <is>
          <t>PINTURAS Y REVESTIMIENTOS</t>
        </is>
      </c>
    </row>
    <row r="1164">
      <c r="A1164" s="159" t="n"/>
      <c r="B1164" s="158" t="inlineStr">
        <is>
          <t>MAT16-0036</t>
        </is>
      </c>
      <c r="C1164" s="558" t="inlineStr">
        <is>
          <t>0116-0036</t>
        </is>
      </c>
      <c r="D1164" s="158" t="inlineStr">
        <is>
          <t>PINTURA ULTRADRY BASE 942 COLOR 2908D RAWHIDE</t>
        </is>
      </c>
      <c r="E1164" s="158" t="inlineStr">
        <is>
          <t>GALON</t>
        </is>
      </c>
      <c r="F1164" s="158" t="inlineStr">
        <is>
          <t>MATERIALES</t>
        </is>
      </c>
      <c r="G1164" s="158" t="inlineStr">
        <is>
          <t>PINTURAS Y REVESTIMIENTOS</t>
        </is>
      </c>
    </row>
    <row r="1165">
      <c r="A1165" s="159" t="n"/>
      <c r="B1165" s="158" t="inlineStr">
        <is>
          <t>MAT16-0037</t>
        </is>
      </c>
      <c r="C1165" s="558" t="inlineStr">
        <is>
          <t>0116-0037</t>
        </is>
      </c>
      <c r="D1165" s="158" t="inlineStr">
        <is>
          <t>PINTURA ULTRADRY BASE 941 COLOR 2753T CARAMEL KISS</t>
        </is>
      </c>
      <c r="E1165" s="158" t="inlineStr">
        <is>
          <t>GALON</t>
        </is>
      </c>
      <c r="F1165" s="158" t="inlineStr">
        <is>
          <t>MATERIALES</t>
        </is>
      </c>
      <c r="G1165" s="158" t="inlineStr">
        <is>
          <t>PINTURAS Y REVESTIMIENTOS</t>
        </is>
      </c>
    </row>
    <row r="1166">
      <c r="A1166" s="159" t="n"/>
      <c r="B1166" s="158" t="inlineStr">
        <is>
          <t>MAT16-0038</t>
        </is>
      </c>
      <c r="C1166" s="558" t="inlineStr">
        <is>
          <t>0116-0038</t>
        </is>
      </c>
      <c r="D1166" s="158" t="inlineStr">
        <is>
          <t>PINTURA ESMALTE 6000 MATE COLOR 2753T CARAMEL KISS</t>
        </is>
      </c>
      <c r="E1166" s="158" t="inlineStr">
        <is>
          <t>GALON</t>
        </is>
      </c>
      <c r="F1166" s="158" t="inlineStr">
        <is>
          <t>MATERIALES</t>
        </is>
      </c>
      <c r="G1166" s="158" t="inlineStr">
        <is>
          <t>PINTURAS Y REVESTIMIENTOS</t>
        </is>
      </c>
    </row>
    <row r="1167">
      <c r="A1167" s="159" t="n"/>
      <c r="B1167" s="158" t="inlineStr">
        <is>
          <t>MAT16-0039</t>
        </is>
      </c>
      <c r="C1167" s="558" t="inlineStr">
        <is>
          <t>0116-0039</t>
        </is>
      </c>
      <c r="D1167" s="158" t="inlineStr">
        <is>
          <t>DILUYENTE/ ODORLESS</t>
        </is>
      </c>
      <c r="E1167" s="158" t="inlineStr">
        <is>
          <t>1/4 DE GALON</t>
        </is>
      </c>
      <c r="F1167" s="158" t="inlineStr">
        <is>
          <t>MATERIALES</t>
        </is>
      </c>
      <c r="G1167" s="158" t="inlineStr">
        <is>
          <t>PINTURAS Y REVESTIMIENTOS</t>
        </is>
      </c>
    </row>
    <row r="1168">
      <c r="A1168" s="159" t="n"/>
      <c r="B1168" s="158" t="inlineStr">
        <is>
          <t>MAT16-0040</t>
        </is>
      </c>
      <c r="C1168" s="558" t="inlineStr">
        <is>
          <t>0116-0040</t>
        </is>
      </c>
      <c r="D1168" s="158" t="inlineStr">
        <is>
          <t>PINTURA ULTRADRY CAFE CLARO COD 468 SUR</t>
        </is>
      </c>
      <c r="E1168" s="158" t="inlineStr">
        <is>
          <t>GALON</t>
        </is>
      </c>
      <c r="F1168" s="158" t="inlineStr">
        <is>
          <t>MATERIALES</t>
        </is>
      </c>
      <c r="G1168" s="158" t="inlineStr">
        <is>
          <t>PINTURAS Y REVESTIMIENTOS</t>
        </is>
      </c>
    </row>
    <row r="1169">
      <c r="A1169" s="159" t="n"/>
      <c r="B1169" s="158" t="inlineStr">
        <is>
          <t>MAT16-0041</t>
        </is>
      </c>
      <c r="C1169" s="558" t="inlineStr">
        <is>
          <t>0116-0041</t>
        </is>
      </c>
      <c r="D1169" s="158" t="inlineStr">
        <is>
          <t>PINTURA ULTRADRY EXPRESSO COD 467 SUR</t>
        </is>
      </c>
      <c r="E1169" s="158" t="inlineStr">
        <is>
          <t>GALON</t>
        </is>
      </c>
      <c r="F1169" s="158" t="inlineStr">
        <is>
          <t>MATERIALES</t>
        </is>
      </c>
      <c r="G1169" s="158" t="inlineStr">
        <is>
          <t>PINTURAS Y REVESTIMIENTOS</t>
        </is>
      </c>
    </row>
    <row r="1170">
      <c r="A1170" s="159" t="n"/>
      <c r="B1170" s="158" t="inlineStr">
        <is>
          <t>MAT16-0042</t>
        </is>
      </c>
      <c r="C1170" s="558" t="inlineStr">
        <is>
          <t>0116-0042</t>
        </is>
      </c>
      <c r="D1170" s="158" t="inlineStr">
        <is>
          <t>PINTURA ULTRADRY TABACO COD 496 SUR</t>
        </is>
      </c>
      <c r="E1170" s="158" t="inlineStr">
        <is>
          <t>CUBETA</t>
        </is>
      </c>
      <c r="F1170" s="158" t="inlineStr">
        <is>
          <t>MATERIALES</t>
        </is>
      </c>
      <c r="G1170" s="158" t="inlineStr">
        <is>
          <t>PINTURAS Y REVESTIMIENTOS</t>
        </is>
      </c>
    </row>
    <row r="1171">
      <c r="A1171" s="159" t="n"/>
      <c r="B1171" s="158" t="inlineStr">
        <is>
          <t>MAT16-0043</t>
        </is>
      </c>
      <c r="C1171" s="558" t="inlineStr">
        <is>
          <t>0116-0043</t>
        </is>
      </c>
      <c r="D1171" s="158" t="inlineStr">
        <is>
          <t>PINTURA ULTRADRY GRIS COD 717 SUR</t>
        </is>
      </c>
      <c r="E1171" s="158" t="inlineStr">
        <is>
          <t>GALON</t>
        </is>
      </c>
      <c r="F1171" s="158" t="inlineStr">
        <is>
          <t>MATERIALES</t>
        </is>
      </c>
      <c r="G1171" s="158" t="inlineStr">
        <is>
          <t>PINTURAS Y REVESTIMIENTOS</t>
        </is>
      </c>
    </row>
    <row r="1172">
      <c r="A1172" s="159" t="n"/>
      <c r="B1172" s="158" t="inlineStr">
        <is>
          <t>MAT16-0044</t>
        </is>
      </c>
      <c r="C1172" s="558" t="inlineStr">
        <is>
          <t>0116-0044</t>
        </is>
      </c>
      <c r="D1172" s="158" t="inlineStr">
        <is>
          <t>PINTURA PREMIUM MAXIMA MATE</t>
        </is>
      </c>
      <c r="E1172" s="158" t="inlineStr">
        <is>
          <t>CUBETA</t>
        </is>
      </c>
      <c r="F1172" s="158" t="inlineStr">
        <is>
          <t>MATERIALES</t>
        </is>
      </c>
      <c r="G1172" s="158" t="inlineStr">
        <is>
          <t>PINTURAS Y REVESTIMIENTOS</t>
        </is>
      </c>
    </row>
    <row r="1173">
      <c r="A1173" s="159" t="n"/>
      <c r="B1173" s="158" t="inlineStr">
        <is>
          <t>MAT16-0045</t>
        </is>
      </c>
      <c r="C1173" s="558" t="inlineStr">
        <is>
          <t>0116-0045</t>
        </is>
      </c>
      <c r="D1173" s="158" t="inlineStr">
        <is>
          <t>PINTURA MAXIMA ZERO SATIN</t>
        </is>
      </c>
      <c r="E1173" s="158" t="inlineStr">
        <is>
          <t>CUBETA</t>
        </is>
      </c>
      <c r="F1173" s="158" t="inlineStr">
        <is>
          <t>MATERIALES</t>
        </is>
      </c>
      <c r="G1173" s="158" t="inlineStr">
        <is>
          <t>PINTURAS Y REVESTIMIENTOS</t>
        </is>
      </c>
    </row>
    <row r="1174">
      <c r="A1174" s="159" t="n"/>
      <c r="B1174" s="158" t="inlineStr">
        <is>
          <t>MAT16-0046</t>
        </is>
      </c>
      <c r="C1174" s="558" t="inlineStr">
        <is>
          <t>0116-0046</t>
        </is>
      </c>
      <c r="D1174" s="158" t="inlineStr">
        <is>
          <t>PINTURA MAXIMA ZERO SATIN</t>
        </is>
      </c>
      <c r="E1174" s="158" t="inlineStr">
        <is>
          <t>GALON</t>
        </is>
      </c>
      <c r="F1174" s="158" t="inlineStr">
        <is>
          <t>MATERIALES</t>
        </is>
      </c>
      <c r="G1174" s="158" t="inlineStr">
        <is>
          <t>PINTURAS Y REVESTIMIENTOS</t>
        </is>
      </c>
    </row>
    <row r="1175">
      <c r="A1175" s="159" t="n"/>
      <c r="B1175" s="158" t="inlineStr">
        <is>
          <t>MAT16-0047</t>
        </is>
      </c>
      <c r="C1175" s="558" t="inlineStr">
        <is>
          <t>0116-0047</t>
        </is>
      </c>
      <c r="D1175" s="158" t="inlineStr">
        <is>
          <t>PINTURA ULTRADRY CAFE CLARO COD 468 SUR</t>
        </is>
      </c>
      <c r="E1175" s="158" t="inlineStr">
        <is>
          <t>CUBETA</t>
        </is>
      </c>
      <c r="F1175" s="158" t="inlineStr">
        <is>
          <t>MATERIALES</t>
        </is>
      </c>
      <c r="G1175" s="158" t="inlineStr">
        <is>
          <t>PINTURAS Y REVESTIMIENTOS</t>
        </is>
      </c>
    </row>
    <row r="1176">
      <c r="A1176" s="159" t="n"/>
      <c r="B1176" s="158" t="inlineStr">
        <is>
          <t>MAT16-0048</t>
        </is>
      </c>
      <c r="C1176" s="558" t="inlineStr">
        <is>
          <t>0116-0048</t>
        </is>
      </c>
      <c r="D1176" s="158" t="inlineStr">
        <is>
          <t>PINTURA ULTRADRY EXPRESSO COD 467 SUR</t>
        </is>
      </c>
      <c r="E1176" s="158" t="inlineStr">
        <is>
          <t>CUBETA</t>
        </is>
      </c>
      <c r="F1176" s="158" t="inlineStr">
        <is>
          <t>MATERIALES</t>
        </is>
      </c>
      <c r="G1176" s="158" t="inlineStr">
        <is>
          <t>PINTURAS Y REVESTIMIENTOS</t>
        </is>
      </c>
    </row>
    <row r="1177">
      <c r="A1177" s="159" t="n"/>
      <c r="B1177" s="158" t="inlineStr">
        <is>
          <t>MAT16-0049</t>
        </is>
      </c>
      <c r="C1177" s="558" t="inlineStr">
        <is>
          <t>0116-0049</t>
        </is>
      </c>
      <c r="D1177" s="158" t="inlineStr">
        <is>
          <t>PINTURA ULTRADRY GRIS COD 717 SUR</t>
        </is>
      </c>
      <c r="E1177" s="158" t="inlineStr">
        <is>
          <t>CUBETA</t>
        </is>
      </c>
      <c r="F1177" s="158" t="inlineStr">
        <is>
          <t>MATERIALES</t>
        </is>
      </c>
      <c r="G1177" s="158" t="inlineStr">
        <is>
          <t>PINTURAS Y REVESTIMIENTOS</t>
        </is>
      </c>
    </row>
    <row r="1178">
      <c r="A1178" s="159" t="n"/>
      <c r="B1178" s="158" t="inlineStr">
        <is>
          <t>MAT16-0050</t>
        </is>
      </c>
      <c r="C1178" s="558" t="inlineStr">
        <is>
          <t>0116-0050</t>
        </is>
      </c>
      <c r="D1178" s="158" t="inlineStr">
        <is>
          <t>PINTURA BECCACRYL ENAMEL HIBUILD COLOR IGUAL AL GRIS 43000717 104</t>
        </is>
      </c>
      <c r="E1178" s="158" t="inlineStr">
        <is>
          <t>CUBETA</t>
        </is>
      </c>
      <c r="F1178" s="158" t="inlineStr">
        <is>
          <t>MATERIALES</t>
        </is>
      </c>
      <c r="G1178" s="158" t="inlineStr">
        <is>
          <t>PINTURAS Y REVESTIMIENTOS</t>
        </is>
      </c>
    </row>
    <row r="1179">
      <c r="A1179" s="159" t="n"/>
      <c r="B1179" s="158" t="inlineStr">
        <is>
          <t>MAT16-0051</t>
        </is>
      </c>
      <c r="C1179" s="558" t="inlineStr">
        <is>
          <t>0116-0051</t>
        </is>
      </c>
      <c r="D1179" s="158" t="inlineStr">
        <is>
          <t>DILUYENTE ESPECIAL</t>
        </is>
      </c>
      <c r="E1179" s="158" t="inlineStr">
        <is>
          <t>GALON</t>
        </is>
      </c>
      <c r="F1179" s="158" t="inlineStr">
        <is>
          <t>MATERIALES</t>
        </is>
      </c>
      <c r="G1179" s="158" t="inlineStr">
        <is>
          <t>PINTURAS Y REVESTIMIENTOS</t>
        </is>
      </c>
    </row>
    <row r="1180">
      <c r="A1180" s="159" t="n"/>
      <c r="B1180" s="158" t="inlineStr">
        <is>
          <t>MAT16-0052</t>
        </is>
      </c>
      <c r="C1180" s="558" t="inlineStr">
        <is>
          <t>0116-0052</t>
        </is>
      </c>
      <c r="D1180" s="158" t="inlineStr">
        <is>
          <t>PINTURA SUPER DRY DEEP BLANCO</t>
        </is>
      </c>
      <c r="E1180" s="158" t="inlineStr">
        <is>
          <t>GALON</t>
        </is>
      </c>
      <c r="F1180" s="158" t="inlineStr">
        <is>
          <t>MATERIALES</t>
        </is>
      </c>
      <c r="G1180" s="158" t="inlineStr">
        <is>
          <t>PINTURAS Y REVESTIMIENTOS</t>
        </is>
      </c>
    </row>
    <row r="1181">
      <c r="A1181" s="159" t="n"/>
      <c r="B1181" s="158" t="inlineStr">
        <is>
          <t>MAT16-0053</t>
        </is>
      </c>
      <c r="C1181" s="558" t="inlineStr">
        <is>
          <t>0116-0053</t>
        </is>
      </c>
      <c r="D1181" s="158" t="inlineStr">
        <is>
          <t>STUCCO BLANCO ANTIGUO SUR</t>
        </is>
      </c>
      <c r="E1181" s="158" t="inlineStr">
        <is>
          <t>CUBETA</t>
        </is>
      </c>
      <c r="F1181" s="158" t="inlineStr">
        <is>
          <t>MATERIALES</t>
        </is>
      </c>
      <c r="G1181" s="158" t="inlineStr">
        <is>
          <t>PINTURAS Y REVESTIMIENTOS</t>
        </is>
      </c>
    </row>
    <row r="1182">
      <c r="A1182" s="159" t="n"/>
      <c r="B1182" s="158" t="inlineStr">
        <is>
          <t>MAT16-0054</t>
        </is>
      </c>
      <c r="C1182" s="558" t="inlineStr">
        <is>
          <t>0116-0054</t>
        </is>
      </c>
      <c r="D1182" s="158" t="inlineStr">
        <is>
          <t>PINTURA ULTRADRY BLANCO COD SUR</t>
        </is>
      </c>
      <c r="E1182" s="158" t="inlineStr">
        <is>
          <t>CUBETA</t>
        </is>
      </c>
      <c r="F1182" s="158" t="inlineStr">
        <is>
          <t>MATERIALES</t>
        </is>
      </c>
      <c r="G1182" s="158" t="inlineStr">
        <is>
          <t>PINTURAS Y REVESTIMIENTOS</t>
        </is>
      </c>
    </row>
    <row r="1183">
      <c r="A1183" s="159" t="n"/>
      <c r="B1183" s="158" t="inlineStr">
        <is>
          <t>MAT16-0055</t>
        </is>
      </c>
      <c r="C1183" s="558" t="inlineStr">
        <is>
          <t>0116-0055</t>
        </is>
      </c>
      <c r="D1183" s="158" t="inlineStr">
        <is>
          <t>PINTURA GOLTEX SUR</t>
        </is>
      </c>
      <c r="E1183" s="158" t="inlineStr">
        <is>
          <t>GALON</t>
        </is>
      </c>
      <c r="F1183" s="158" t="inlineStr">
        <is>
          <t>MATERIALES</t>
        </is>
      </c>
      <c r="G1183" s="158" t="inlineStr">
        <is>
          <t>PINTURAS Y REVESTIMIENTOS</t>
        </is>
      </c>
    </row>
    <row r="1184">
      <c r="A1184" s="159" t="n"/>
      <c r="B1184" s="158" t="inlineStr">
        <is>
          <t>MAT16-0056</t>
        </is>
      </c>
      <c r="C1184" s="558" t="inlineStr">
        <is>
          <t>0116-0056</t>
        </is>
      </c>
      <c r="D1184" s="158" t="inlineStr">
        <is>
          <t>PINTURA SUPER DRY DEEP CAFE</t>
        </is>
      </c>
      <c r="E1184" s="158" t="inlineStr">
        <is>
          <t>GALON</t>
        </is>
      </c>
      <c r="F1184" s="158" t="inlineStr">
        <is>
          <t>MATERIALES</t>
        </is>
      </c>
      <c r="G1184" s="158" t="inlineStr">
        <is>
          <t>PINTURAS Y REVESTIMIENTOS</t>
        </is>
      </c>
    </row>
    <row r="1185">
      <c r="A1185" s="159" t="n"/>
      <c r="B1185" s="158" t="inlineStr">
        <is>
          <t>MAT16-0057</t>
        </is>
      </c>
      <c r="C1185" s="558" t="inlineStr">
        <is>
          <t>0116-0057</t>
        </is>
      </c>
      <c r="D1185" s="158" t="inlineStr">
        <is>
          <t>PINTURA ULTRADRY BLANCO COD SUR</t>
        </is>
      </c>
      <c r="E1185" s="158" t="inlineStr">
        <is>
          <t>GALON</t>
        </is>
      </c>
      <c r="F1185" s="158" t="inlineStr">
        <is>
          <t>MATERIALES</t>
        </is>
      </c>
      <c r="G1185" s="158" t="inlineStr">
        <is>
          <t>PINTURAS Y REVESTIMIENTOS</t>
        </is>
      </c>
    </row>
    <row r="1186">
      <c r="A1186" s="159" t="n"/>
      <c r="B1186" s="158" t="inlineStr">
        <is>
          <t>MAT16-0058</t>
        </is>
      </c>
      <c r="C1186" s="558" t="inlineStr">
        <is>
          <t>0116-0058</t>
        </is>
      </c>
      <c r="D1186" s="158" t="inlineStr">
        <is>
          <t>PIINTURA SUPER COAT GRIS LANCO</t>
        </is>
      </c>
      <c r="E1186" s="158" t="inlineStr">
        <is>
          <t>CUBETA</t>
        </is>
      </c>
      <c r="F1186" s="158" t="inlineStr">
        <is>
          <t>MATERIALES</t>
        </is>
      </c>
      <c r="G1186" s="158" t="inlineStr">
        <is>
          <t>PINTURAS Y REVESTIMIENTOS</t>
        </is>
      </c>
    </row>
    <row r="1187">
      <c r="A1187" s="159" t="n"/>
      <c r="B1187" s="158" t="inlineStr">
        <is>
          <t>MAT16-0059</t>
        </is>
      </c>
      <c r="C1187" s="558" t="inlineStr">
        <is>
          <t>0116-0059</t>
        </is>
      </c>
      <c r="D1187" s="158" t="inlineStr">
        <is>
          <t>PINTURA SEAL COAT LANCO BLANCO</t>
        </is>
      </c>
      <c r="E1187" s="158" t="inlineStr">
        <is>
          <t>CUBETA</t>
        </is>
      </c>
      <c r="F1187" s="158" t="inlineStr">
        <is>
          <t>MATERIALES</t>
        </is>
      </c>
      <c r="G1187" s="158" t="inlineStr">
        <is>
          <t>PINTURAS Y REVESTIMIENTOS</t>
        </is>
      </c>
    </row>
    <row r="1188">
      <c r="A1188" s="159" t="n"/>
      <c r="B1188" s="158" t="inlineStr">
        <is>
          <t>MAT16-0060</t>
        </is>
      </c>
      <c r="C1188" s="558" t="inlineStr">
        <is>
          <t>0116-0060</t>
        </is>
      </c>
      <c r="D1188" s="158" t="inlineStr">
        <is>
          <t>PINTURA SEAL COAT LANCO CAFE CLARO</t>
        </is>
      </c>
      <c r="E1188" s="158" t="inlineStr">
        <is>
          <t>CUBETA</t>
        </is>
      </c>
      <c r="F1188" s="158" t="inlineStr">
        <is>
          <t>MATERIALES</t>
        </is>
      </c>
      <c r="G1188" s="158" t="inlineStr">
        <is>
          <t>PINTURAS Y REVESTIMIENTOS</t>
        </is>
      </c>
    </row>
    <row r="1189">
      <c r="A1189" s="159" t="n"/>
      <c r="B1189" s="158" t="inlineStr">
        <is>
          <t>MAT16-0061</t>
        </is>
      </c>
      <c r="C1189" s="558" t="inlineStr">
        <is>
          <t>0116-0061</t>
        </is>
      </c>
      <c r="D1189" s="158" t="inlineStr">
        <is>
          <t>PINTURA SEAL COAT LANCO EXPRESO</t>
        </is>
      </c>
      <c r="E1189" s="158" t="inlineStr">
        <is>
          <t>CUBETA</t>
        </is>
      </c>
      <c r="F1189" s="158" t="inlineStr">
        <is>
          <t>MATERIALES</t>
        </is>
      </c>
      <c r="G1189" s="158" t="inlineStr">
        <is>
          <t>PINTURAS Y REVESTIMIENTOS</t>
        </is>
      </c>
    </row>
    <row r="1190">
      <c r="A1190" s="159" t="n"/>
      <c r="B1190" s="158" t="inlineStr">
        <is>
          <t>MAT16-0062</t>
        </is>
      </c>
      <c r="C1190" s="558" t="inlineStr">
        <is>
          <t>0116-0062</t>
        </is>
      </c>
      <c r="D1190" s="158" t="inlineStr">
        <is>
          <t>PINTURA SEAL COAT LANCO TABACO</t>
        </is>
      </c>
      <c r="E1190" s="158" t="inlineStr">
        <is>
          <t>CUBETA</t>
        </is>
      </c>
      <c r="F1190" s="158" t="inlineStr">
        <is>
          <t>MATERIALES</t>
        </is>
      </c>
      <c r="G1190" s="158" t="inlineStr">
        <is>
          <t>PINTURAS Y REVESTIMIENTOS</t>
        </is>
      </c>
    </row>
    <row r="1191">
      <c r="A1191" s="159" t="n"/>
      <c r="B1191" s="158" t="inlineStr">
        <is>
          <t>MAT16-0063</t>
        </is>
      </c>
      <c r="C1191" s="558" t="inlineStr">
        <is>
          <t>0116-0063</t>
        </is>
      </c>
      <c r="D1191" s="158" t="inlineStr">
        <is>
          <t>PINTURA EXTERIORES</t>
        </is>
      </c>
      <c r="E1191" s="158" t="inlineStr">
        <is>
          <t>CUBETA</t>
        </is>
      </c>
      <c r="F1191" s="158" t="inlineStr">
        <is>
          <t>MATERIALES</t>
        </is>
      </c>
      <c r="G1191" s="158" t="inlineStr">
        <is>
          <t>PINTURAS Y REVESTIMIENTOS</t>
        </is>
      </c>
    </row>
    <row r="1192">
      <c r="A1192" s="159" t="n"/>
      <c r="B1192" s="158" t="inlineStr">
        <is>
          <t>MAT16-0064</t>
        </is>
      </c>
      <c r="C1192" s="558" t="inlineStr">
        <is>
          <t>0116-0064</t>
        </is>
      </c>
      <c r="D1192" s="158" t="inlineStr">
        <is>
          <t>SILICONIZER GRIS</t>
        </is>
      </c>
      <c r="E1192" s="158" t="inlineStr">
        <is>
          <t>CUBETA</t>
        </is>
      </c>
      <c r="F1192" s="158" t="inlineStr">
        <is>
          <t>MATERIALES</t>
        </is>
      </c>
      <c r="G1192" s="158" t="inlineStr">
        <is>
          <t>PINTURAS Y REVESTIMIENTOS</t>
        </is>
      </c>
    </row>
    <row r="1193">
      <c r="A1193" s="159" t="n"/>
      <c r="B1193" s="158" t="inlineStr">
        <is>
          <t>MAT16-0065</t>
        </is>
      </c>
      <c r="C1193" s="558" t="inlineStr">
        <is>
          <t>0116-0065</t>
        </is>
      </c>
      <c r="D1193" s="158" t="inlineStr">
        <is>
          <t>SILICONIZER GRIS</t>
        </is>
      </c>
      <c r="E1193" s="158" t="inlineStr">
        <is>
          <t>GALON</t>
        </is>
      </c>
      <c r="F1193" s="158" t="inlineStr">
        <is>
          <t>MATERIALES</t>
        </is>
      </c>
      <c r="G1193" s="158" t="inlineStr">
        <is>
          <t>PINTURAS Y REVESTIMIENTOS</t>
        </is>
      </c>
    </row>
    <row r="1194">
      <c r="A1194" s="159" t="n"/>
      <c r="B1194" s="158" t="inlineStr">
        <is>
          <t>MAT16-0066</t>
        </is>
      </c>
      <c r="C1194" s="558" t="inlineStr">
        <is>
          <t>0116-0066</t>
        </is>
      </c>
      <c r="D1194" s="158" t="inlineStr">
        <is>
          <t>PNTURA KLASS PREPARADO</t>
        </is>
      </c>
      <c r="E1194" s="158" t="inlineStr">
        <is>
          <t>GALON</t>
        </is>
      </c>
      <c r="F1194" s="158" t="inlineStr">
        <is>
          <t>MATERIALES</t>
        </is>
      </c>
      <c r="G1194" s="158" t="inlineStr">
        <is>
          <t>PINTURAS Y REVESTIMIENTOS</t>
        </is>
      </c>
    </row>
    <row r="1195">
      <c r="A1195" s="159" t="n"/>
      <c r="B1195" s="158" t="inlineStr">
        <is>
          <t>MAT16-0067</t>
        </is>
      </c>
      <c r="C1195" s="558" t="inlineStr">
        <is>
          <t>0116-0067</t>
        </is>
      </c>
      <c r="D1195" s="158" t="inlineStr">
        <is>
          <t>PINTURA KLASS UNIVERSAL</t>
        </is>
      </c>
      <c r="E1195" s="158" t="inlineStr">
        <is>
          <t>1/4 DE GALON</t>
        </is>
      </c>
      <c r="F1195" s="158" t="inlineStr">
        <is>
          <t>MATERIALES</t>
        </is>
      </c>
      <c r="G1195" s="158" t="inlineStr">
        <is>
          <t>PINTURAS Y REVESTIMIENTOS</t>
        </is>
      </c>
    </row>
    <row r="1196">
      <c r="A1196" s="159" t="n"/>
      <c r="B1196" s="158" t="inlineStr">
        <is>
          <t>MAT16-0068</t>
        </is>
      </c>
      <c r="C1196" s="558" t="inlineStr">
        <is>
          <t>0116-0068</t>
        </is>
      </c>
      <c r="D1196" s="158" t="inlineStr">
        <is>
          <t>PINTURA KLASS NORMAL REDUCER</t>
        </is>
      </c>
      <c r="E1196" s="158" t="inlineStr">
        <is>
          <t>1/4 DE GALON</t>
        </is>
      </c>
      <c r="F1196" s="158" t="inlineStr">
        <is>
          <t>MATERIALES</t>
        </is>
      </c>
      <c r="G1196" s="158" t="inlineStr">
        <is>
          <t>PINTURAS Y REVESTIMIENTOS</t>
        </is>
      </c>
    </row>
    <row r="1197">
      <c r="A1197" s="159" t="n"/>
      <c r="B1197" s="158" t="inlineStr">
        <is>
          <t>MAT16-0069</t>
        </is>
      </c>
      <c r="C1197" s="558" t="inlineStr">
        <is>
          <t>0116-0069</t>
        </is>
      </c>
      <c r="D1197" s="158" t="inlineStr">
        <is>
          <t>PINTURA  PREMIUM MAXIMA MATE PASTEL 1/4</t>
        </is>
      </c>
      <c r="E1197" s="158" t="inlineStr">
        <is>
          <t>GAL</t>
        </is>
      </c>
      <c r="F1197" s="158" t="inlineStr">
        <is>
          <t>MATERIALES</t>
        </is>
      </c>
      <c r="G1197" s="158" t="inlineStr">
        <is>
          <t>PINTURAS Y REVESTIMIENTOS</t>
        </is>
      </c>
    </row>
    <row r="1198">
      <c r="A1198" s="159" t="n"/>
      <c r="B1198" s="158" t="inlineStr">
        <is>
          <t>MAT16-0070</t>
        </is>
      </c>
      <c r="C1198" s="558" t="inlineStr">
        <is>
          <t>0116-0070</t>
        </is>
      </c>
      <c r="D1198" s="158" t="inlineStr">
        <is>
          <t>PINTURA LANCO PREMIUM MAXIMA MATE TINT 1/4</t>
        </is>
      </c>
      <c r="E1198" s="158" t="inlineStr">
        <is>
          <t>GAL</t>
        </is>
      </c>
      <c r="F1198" s="158" t="inlineStr">
        <is>
          <t>MATERIALES</t>
        </is>
      </c>
      <c r="G1198" s="158" t="inlineStr">
        <is>
          <t>PINTURAS Y REVESTIMIENTOS</t>
        </is>
      </c>
    </row>
    <row r="1199">
      <c r="A1199" s="159" t="n"/>
      <c r="B1199" s="158" t="inlineStr">
        <is>
          <t>MAT16-0071</t>
        </is>
      </c>
      <c r="C1199" s="558" t="inlineStr">
        <is>
          <t>0116-0071</t>
        </is>
      </c>
      <c r="D1199" s="158" t="inlineStr">
        <is>
          <t>PINTURA SUPER DRY DEEP 1/4</t>
        </is>
      </c>
      <c r="E1199" s="158" t="inlineStr">
        <is>
          <t>UND</t>
        </is>
      </c>
      <c r="F1199" s="158" t="inlineStr">
        <is>
          <t>MATERIALES</t>
        </is>
      </c>
      <c r="G1199" s="158" t="inlineStr">
        <is>
          <t>PINTURAS Y REVESTIMIENTOS</t>
        </is>
      </c>
    </row>
    <row r="1200">
      <c r="A1200" s="159" t="n"/>
      <c r="B1200" s="158" t="inlineStr">
        <is>
          <t>MAT16-0072</t>
        </is>
      </c>
      <c r="C1200" s="558" t="inlineStr">
        <is>
          <t>0116-0072</t>
        </is>
      </c>
      <c r="D1200" s="158" t="inlineStr">
        <is>
          <t>PINTURA DURA LIFE DE LANCO</t>
        </is>
      </c>
      <c r="E1200" s="158" t="inlineStr">
        <is>
          <t>GAL</t>
        </is>
      </c>
      <c r="F1200" s="158" t="inlineStr">
        <is>
          <t>MATERIALES</t>
        </is>
      </c>
      <c r="G1200" s="158" t="inlineStr">
        <is>
          <t>PINTURAS Y REVESTIMIENTOS</t>
        </is>
      </c>
    </row>
    <row r="1201">
      <c r="A1201" s="159" t="n"/>
      <c r="B1201" s="158" t="inlineStr">
        <is>
          <t>MAT16-0073</t>
        </is>
      </c>
      <c r="C1201" s="558" t="inlineStr">
        <is>
          <t>0116-0073</t>
        </is>
      </c>
      <c r="D1201" s="158" t="inlineStr">
        <is>
          <t>RESANANDOR PREMEZCLADO ONE TIME (1/4 GALON)</t>
        </is>
      </c>
      <c r="E1201" s="158" t="inlineStr">
        <is>
          <t>UND</t>
        </is>
      </c>
      <c r="F1201" s="158" t="inlineStr">
        <is>
          <t>MATERIALES</t>
        </is>
      </c>
      <c r="G1201" s="158" t="inlineStr">
        <is>
          <t>PINTURAS Y REVESTIMIENTOS</t>
        </is>
      </c>
    </row>
    <row r="1202">
      <c r="A1202" s="159" t="n"/>
      <c r="B1202" s="158" t="inlineStr">
        <is>
          <t>MAT16-0074</t>
        </is>
      </c>
      <c r="C1202" s="558" t="inlineStr">
        <is>
          <t>0116-0074</t>
        </is>
      </c>
      <c r="D1202" s="158" t="inlineStr">
        <is>
          <t>PINTURA CORROSTOP POLIURETANO NEGRO</t>
        </is>
      </c>
      <c r="E1202" s="158" t="inlineStr">
        <is>
          <t>GAL</t>
        </is>
      </c>
      <c r="F1202" s="158" t="inlineStr">
        <is>
          <t>MATERIALES</t>
        </is>
      </c>
      <c r="G1202" s="158" t="inlineStr">
        <is>
          <t>PINTURAS Y REVESTIMIENTOS</t>
        </is>
      </c>
    </row>
    <row r="1203">
      <c r="A1203" s="159" t="n"/>
      <c r="B1203" s="158" t="inlineStr">
        <is>
          <t>MAT16-0075</t>
        </is>
      </c>
      <c r="C1203" s="558" t="inlineStr">
        <is>
          <t>0116-0075</t>
        </is>
      </c>
      <c r="D1203" s="158" t="inlineStr">
        <is>
          <t>DILUYENTE ODORLESS ESMALTES</t>
        </is>
      </c>
      <c r="E1203" s="158" t="inlineStr">
        <is>
          <t>GAL</t>
        </is>
      </c>
      <c r="F1203" s="158" t="inlineStr">
        <is>
          <t>MATERIALES</t>
        </is>
      </c>
      <c r="G1203" s="158" t="inlineStr">
        <is>
          <t>PINTURAS Y REVESTIMIENTOS</t>
        </is>
      </c>
    </row>
    <row r="1204">
      <c r="A1204" s="159" t="n"/>
      <c r="B1204" s="158" t="inlineStr">
        <is>
          <t>MAT16-0076</t>
        </is>
      </c>
      <c r="C1204" s="558" t="inlineStr">
        <is>
          <t>0116-0076</t>
        </is>
      </c>
      <c r="D1204" s="158" t="inlineStr">
        <is>
          <t>PINTURA LATEX TRADICIONAL BLANCO SUR</t>
        </is>
      </c>
      <c r="E1204" s="158" t="inlineStr">
        <is>
          <t>CUBETA</t>
        </is>
      </c>
      <c r="F1204" s="158" t="inlineStr">
        <is>
          <t>MATERIALES</t>
        </is>
      </c>
      <c r="G1204" s="158" t="inlineStr">
        <is>
          <t>PINTURAS Y REVESTIMIENTOS</t>
        </is>
      </c>
    </row>
    <row r="1205">
      <c r="A1205" s="159" t="n"/>
      <c r="B1205" s="158" t="inlineStr">
        <is>
          <t>MAT16-0077</t>
        </is>
      </c>
      <c r="C1205" s="558" t="inlineStr">
        <is>
          <t>0116-0077</t>
        </is>
      </c>
      <c r="D1205" s="158" t="inlineStr">
        <is>
          <t>PINTURA ULTRA DUREX SATIN COLOR BLANCO  MARCA LANCO</t>
        </is>
      </c>
      <c r="E1205" s="158" t="inlineStr">
        <is>
          <t>GAL</t>
        </is>
      </c>
      <c r="F1205" s="158" t="inlineStr">
        <is>
          <t>MATERIALES</t>
        </is>
      </c>
      <c r="G1205" s="158" t="inlineStr">
        <is>
          <t>PINTURAS Y REVESTIMIENTOS</t>
        </is>
      </c>
    </row>
    <row r="1206">
      <c r="A1206" s="159" t="n"/>
      <c r="B1206" s="158" t="inlineStr">
        <is>
          <t>MAT16-0078</t>
        </is>
      </c>
      <c r="C1206" s="558" t="inlineStr">
        <is>
          <t>0116-0078</t>
        </is>
      </c>
      <c r="D1206" s="158" t="inlineStr">
        <is>
          <t>STAIN KILLER</t>
        </is>
      </c>
      <c r="E1206" s="158" t="inlineStr">
        <is>
          <t>GAL</t>
        </is>
      </c>
      <c r="F1206" s="158" t="inlineStr">
        <is>
          <t>MATERIALES</t>
        </is>
      </c>
      <c r="G1206" s="158" t="inlineStr">
        <is>
          <t>PINTURAS Y REVESTIMIENTOS</t>
        </is>
      </c>
    </row>
    <row r="1207">
      <c r="A1207" s="159" t="n"/>
      <c r="B1207" s="158" t="inlineStr">
        <is>
          <t>MAT16-0079</t>
        </is>
      </c>
      <c r="C1207" s="558" t="inlineStr">
        <is>
          <t>0116-0079</t>
        </is>
      </c>
      <c r="D1207" s="158" t="inlineStr">
        <is>
          <t>REVESTIMIENTO PARA INTERIORES LANCO</t>
        </is>
      </c>
      <c r="E1207" s="158" t="inlineStr">
        <is>
          <t>CAJA</t>
        </is>
      </c>
      <c r="F1207" s="158" t="inlineStr">
        <is>
          <t>MATERIALES</t>
        </is>
      </c>
      <c r="G1207" s="158" t="inlineStr">
        <is>
          <t>PINTURAS Y REVESTIMIENTOS</t>
        </is>
      </c>
    </row>
    <row r="1208">
      <c r="A1208" s="159" t="n"/>
      <c r="B1208" s="158" t="inlineStr">
        <is>
          <t>MAT16-0080</t>
        </is>
      </c>
      <c r="C1208" s="558" t="inlineStr">
        <is>
          <t>0116-0080</t>
        </is>
      </c>
      <c r="D1208" s="158" t="inlineStr">
        <is>
          <t>REVESTIMIENTO PARA EXTERIORES LANCO</t>
        </is>
      </c>
      <c r="E1208" s="158" t="inlineStr">
        <is>
          <t>CAJA</t>
        </is>
      </c>
      <c r="F1208" s="158" t="inlineStr">
        <is>
          <t>MATERIALES</t>
        </is>
      </c>
      <c r="G1208" s="158" t="inlineStr">
        <is>
          <t>PINTURAS Y REVESTIMIENTOS</t>
        </is>
      </c>
    </row>
    <row r="1209">
      <c r="A1209" s="159" t="n"/>
      <c r="B1209" s="158" t="inlineStr">
        <is>
          <t>MAT16-0081</t>
        </is>
      </c>
      <c r="C1209" s="558" t="inlineStr">
        <is>
          <t>0116-0081</t>
        </is>
      </c>
      <c r="D1209" s="158" t="inlineStr">
        <is>
          <t>ANTICORROSIVO SUR CORROSTYL BASE AGUA COLOR CAFE</t>
        </is>
      </c>
      <c r="E1209" s="158" t="inlineStr">
        <is>
          <t>GALON</t>
        </is>
      </c>
      <c r="F1209" s="158" t="inlineStr">
        <is>
          <t>MATERIALES</t>
        </is>
      </c>
      <c r="G1209" s="158" t="inlineStr">
        <is>
          <t>PINTURAS Y REVESTIMIENTOS</t>
        </is>
      </c>
    </row>
    <row r="1210">
      <c r="A1210" s="159" t="n"/>
      <c r="B1210" s="158" t="inlineStr">
        <is>
          <t>MAT16-0082</t>
        </is>
      </c>
      <c r="C1210" s="558" t="inlineStr">
        <is>
          <t>0116-0082</t>
        </is>
      </c>
      <c r="D1210" s="158" t="inlineStr">
        <is>
          <t>PREMIER</t>
        </is>
      </c>
      <c r="E1210" s="158" t="inlineStr">
        <is>
          <t>1/4 DE GALON</t>
        </is>
      </c>
      <c r="F1210" s="158" t="inlineStr">
        <is>
          <t>MATERIALES</t>
        </is>
      </c>
      <c r="G1210" s="158" t="inlineStr">
        <is>
          <t>PINTURAS Y REVESTIMIENTOS</t>
        </is>
      </c>
    </row>
    <row r="1211">
      <c r="A1211" s="159" t="n"/>
      <c r="B1211" s="158" t="inlineStr">
        <is>
          <t>MAT16-0083</t>
        </is>
      </c>
      <c r="C1211" s="558" t="inlineStr">
        <is>
          <t>0116-0083</t>
        </is>
      </c>
      <c r="D1211" s="158" t="inlineStr">
        <is>
          <t>ANTICORROSIVO MINIO BLANCO</t>
        </is>
      </c>
      <c r="E1211" s="158" t="inlineStr">
        <is>
          <t>GAL</t>
        </is>
      </c>
      <c r="F1211" s="158" t="inlineStr">
        <is>
          <t>MATERIALES</t>
        </is>
      </c>
      <c r="G1211" s="158" t="inlineStr">
        <is>
          <t>PINTURAS Y REVESTIMIENTOS</t>
        </is>
      </c>
    </row>
    <row r="1212">
      <c r="A1212" s="159" t="n"/>
      <c r="B1212" s="158" t="inlineStr">
        <is>
          <t>MAT16-0084</t>
        </is>
      </c>
      <c r="C1212" s="558" t="inlineStr">
        <is>
          <t>0116-0084</t>
        </is>
      </c>
      <c r="D1212" s="158" t="inlineStr">
        <is>
          <t>SPRAY ANTISALPICADURAS</t>
        </is>
      </c>
      <c r="E1212" s="158" t="inlineStr">
        <is>
          <t>UND</t>
        </is>
      </c>
      <c r="F1212" s="158" t="inlineStr">
        <is>
          <t>MATERIALES</t>
        </is>
      </c>
      <c r="G1212" s="158" t="inlineStr">
        <is>
          <t>PINTURAS Y REVESTIMIENTOS</t>
        </is>
      </c>
    </row>
    <row r="1213">
      <c r="A1213" s="159" t="n"/>
      <c r="B1213" s="158" t="inlineStr">
        <is>
          <t>MAT16-0085</t>
        </is>
      </c>
      <c r="C1213" s="558" t="inlineStr">
        <is>
          <t>0116-0085</t>
        </is>
      </c>
      <c r="D1213" s="158" t="inlineStr">
        <is>
          <t>PINTURA  AMARILLA DE ALTO TRANSITO</t>
        </is>
      </c>
      <c r="E1213" s="158" t="inlineStr">
        <is>
          <t>GAL</t>
        </is>
      </c>
      <c r="F1213" s="158" t="inlineStr">
        <is>
          <t>MATERIALES</t>
        </is>
      </c>
      <c r="G1213" s="158" t="inlineStr">
        <is>
          <t>PINTURAS Y REVESTIMIENTOS</t>
        </is>
      </c>
    </row>
    <row r="1214">
      <c r="A1214" s="159" t="n"/>
      <c r="B1214" s="158" t="inlineStr">
        <is>
          <t>MAT16-0086</t>
        </is>
      </c>
      <c r="C1214" s="558" t="inlineStr">
        <is>
          <t>0116-0086</t>
        </is>
      </c>
      <c r="D1214" s="158" t="inlineStr">
        <is>
          <t>PINTURA FAST DRY NEGRO</t>
        </is>
      </c>
      <c r="E1214" s="158" t="inlineStr">
        <is>
          <t>1/4 DE GALON</t>
        </is>
      </c>
      <c r="F1214" s="158" t="inlineStr">
        <is>
          <t>MATERIALES</t>
        </is>
      </c>
      <c r="G1214" s="158" t="inlineStr">
        <is>
          <t>PINTURAS Y REVESTIMIENTOS</t>
        </is>
      </c>
    </row>
    <row r="1215">
      <c r="A1215" s="159" t="n"/>
      <c r="B1215" s="158" t="inlineStr">
        <is>
          <t>MAT16-0087</t>
        </is>
      </c>
      <c r="C1215" s="558" t="inlineStr">
        <is>
          <t>0116-0087</t>
        </is>
      </c>
      <c r="D1215" s="158" t="inlineStr">
        <is>
          <t>PINTURA EN SPRAY AZUL</t>
        </is>
      </c>
      <c r="E1215" s="158" t="inlineStr">
        <is>
          <t>UND</t>
        </is>
      </c>
      <c r="F1215" s="158" t="inlineStr">
        <is>
          <t>MATERIALES</t>
        </is>
      </c>
      <c r="G1215" s="158" t="inlineStr">
        <is>
          <t>PINTURAS Y REVESTIMIENTOS</t>
        </is>
      </c>
    </row>
    <row r="1216">
      <c r="A1216" s="159" t="n"/>
      <c r="B1216" s="158" t="inlineStr">
        <is>
          <t>MAT16-0088</t>
        </is>
      </c>
      <c r="C1216" s="558" t="inlineStr">
        <is>
          <t>0116-0088</t>
        </is>
      </c>
      <c r="D1216" s="158" t="inlineStr">
        <is>
          <t>CORROSTYL MATE NEGRO</t>
        </is>
      </c>
      <c r="E1216" s="158" t="inlineStr">
        <is>
          <t>1/4 DE GALON</t>
        </is>
      </c>
      <c r="F1216" s="158" t="inlineStr">
        <is>
          <t>MATERIALES</t>
        </is>
      </c>
      <c r="G1216" s="158" t="inlineStr">
        <is>
          <t>PINTURAS Y REVESTIMIENTOS</t>
        </is>
      </c>
    </row>
    <row r="1217">
      <c r="A1217" s="159" t="n"/>
      <c r="B1217" s="158" t="inlineStr">
        <is>
          <t>MAT16-0089</t>
        </is>
      </c>
      <c r="C1217" s="558" t="inlineStr">
        <is>
          <t>0116-0089</t>
        </is>
      </c>
      <c r="D1217" s="158" t="inlineStr">
        <is>
          <t>PINTURA LANCO POLIURETANO ANTICORROSIVO BLANCO MATE</t>
        </is>
      </c>
      <c r="E1217" s="158" t="inlineStr">
        <is>
          <t>GALON</t>
        </is>
      </c>
      <c r="F1217" s="158" t="inlineStr">
        <is>
          <t>MATERIALES</t>
        </is>
      </c>
      <c r="G1217" s="158" t="inlineStr">
        <is>
          <t>PINTURAS Y REVESTIMIENTOS</t>
        </is>
      </c>
    </row>
    <row r="1218">
      <c r="A1218" s="159" t="n"/>
      <c r="B1218" s="158" t="inlineStr">
        <is>
          <t>MAT16-0090</t>
        </is>
      </c>
      <c r="C1218" s="558" t="inlineStr">
        <is>
          <t>0116-0090</t>
        </is>
      </c>
      <c r="D1218" s="158" t="inlineStr">
        <is>
          <t>PINTURA SUPRA MATE BLANCO</t>
        </is>
      </c>
      <c r="E1218" s="158" t="inlineStr">
        <is>
          <t>CUB</t>
        </is>
      </c>
      <c r="F1218" s="158" t="inlineStr">
        <is>
          <t>MATERIALES</t>
        </is>
      </c>
      <c r="G1218" s="158" t="inlineStr">
        <is>
          <t>PINTURAS Y REVESTIMIENTOS</t>
        </is>
      </c>
    </row>
    <row r="1219">
      <c r="A1219" s="159" t="n"/>
      <c r="B1219" s="158" t="inlineStr">
        <is>
          <t>MAT16-0091</t>
        </is>
      </c>
      <c r="C1219" s="558" t="inlineStr">
        <is>
          <t>0116-0091</t>
        </is>
      </c>
      <c r="D1219" s="158" t="inlineStr">
        <is>
          <t>SUR PRIMERA BASE TRANSPARENTE</t>
        </is>
      </c>
      <c r="E1219" s="158" t="inlineStr">
        <is>
          <t>CUBETA</t>
        </is>
      </c>
      <c r="F1219" s="158" t="inlineStr">
        <is>
          <t>MATERIALES</t>
        </is>
      </c>
      <c r="G1219" s="158" t="inlineStr">
        <is>
          <t>PINTURAS Y REVESTIMIENTOS</t>
        </is>
      </c>
    </row>
    <row r="1220">
      <c r="A1220" s="159" t="n"/>
      <c r="B1220" s="158" t="inlineStr">
        <is>
          <t>MAT16-0092</t>
        </is>
      </c>
      <c r="C1220" s="558" t="inlineStr">
        <is>
          <t>0116-0092</t>
        </is>
      </c>
      <c r="D1220" s="158" t="inlineStr">
        <is>
          <t>PORCELANATO NEBRASKA GRIS</t>
        </is>
      </c>
      <c r="E1220" s="158" t="inlineStr">
        <is>
          <t>M2</t>
        </is>
      </c>
      <c r="F1220" s="158" t="inlineStr">
        <is>
          <t>MATERIALES</t>
        </is>
      </c>
      <c r="G1220" s="158" t="inlineStr">
        <is>
          <t>PINTURAS Y REVESTIMIENTOS</t>
        </is>
      </c>
    </row>
    <row r="1221">
      <c r="A1221" s="159" t="n"/>
      <c r="B1221" s="158" t="inlineStr">
        <is>
          <t>MAT16-0093</t>
        </is>
      </c>
      <c r="C1221" s="558" t="inlineStr">
        <is>
          <t>0116-0093</t>
        </is>
      </c>
      <c r="D1221" s="158" t="inlineStr">
        <is>
          <t>ANTI-SPATTER BEST WELD 16OZ</t>
        </is>
      </c>
      <c r="E1221" s="158" t="inlineStr">
        <is>
          <t>UND</t>
        </is>
      </c>
      <c r="F1221" s="158" t="inlineStr">
        <is>
          <t>MATERIALES</t>
        </is>
      </c>
      <c r="G1221" s="158" t="inlineStr">
        <is>
          <t>PINTURAS Y REVESTIMIENTOS</t>
        </is>
      </c>
    </row>
    <row r="1222">
      <c r="A1222" s="159" t="n"/>
      <c r="B1222" s="158" t="inlineStr">
        <is>
          <t>MAT16-0094</t>
        </is>
      </c>
      <c r="C1222" s="558" t="inlineStr">
        <is>
          <t>0116-0094</t>
        </is>
      </c>
      <c r="D1222" s="158" t="inlineStr">
        <is>
          <t>SUPER COAT MATE PASTEL</t>
        </is>
      </c>
      <c r="E1222" s="158" t="inlineStr">
        <is>
          <t>1/4 DE GALON</t>
        </is>
      </c>
      <c r="F1222" s="158" t="inlineStr">
        <is>
          <t>MATERIALES</t>
        </is>
      </c>
      <c r="G1222" s="158" t="inlineStr">
        <is>
          <t>PINTURAS Y REVESTIMIENTOS</t>
        </is>
      </c>
    </row>
    <row r="1223">
      <c r="A1223" s="159" t="n"/>
      <c r="B1223" s="158" t="inlineStr">
        <is>
          <t>MAT16-0095</t>
        </is>
      </c>
      <c r="C1223" s="558" t="inlineStr">
        <is>
          <t>0116-0095</t>
        </is>
      </c>
      <c r="D1223" s="158" t="inlineStr">
        <is>
          <t>PINTURA DRY PASTEL</t>
        </is>
      </c>
      <c r="E1223" s="158" t="inlineStr">
        <is>
          <t>1/4 DE GALON</t>
        </is>
      </c>
      <c r="F1223" s="158" t="inlineStr">
        <is>
          <t>MATERIALES</t>
        </is>
      </c>
      <c r="G1223" s="158" t="inlineStr">
        <is>
          <t>PINTURAS Y REVESTIMIENTOS</t>
        </is>
      </c>
    </row>
    <row r="1224">
      <c r="A1224" s="159" t="n"/>
      <c r="B1224" s="158" t="inlineStr">
        <is>
          <t>MAT16-0096</t>
        </is>
      </c>
      <c r="C1224" s="558" t="inlineStr">
        <is>
          <t>0116-0096</t>
        </is>
      </c>
      <c r="D1224" s="158" t="inlineStr">
        <is>
          <t>SILICONIZER BLANCO</t>
        </is>
      </c>
      <c r="E1224" s="158" t="inlineStr">
        <is>
          <t>CUBETA</t>
        </is>
      </c>
      <c r="F1224" s="158" t="inlineStr">
        <is>
          <t>MATERIALES</t>
        </is>
      </c>
      <c r="G1224" s="158" t="inlineStr">
        <is>
          <t>PINTURAS Y REVESTIMIENTOS</t>
        </is>
      </c>
    </row>
    <row r="1225">
      <c r="A1225" s="159" t="n"/>
      <c r="B1225" s="158" t="inlineStr">
        <is>
          <t>MAT16-0097</t>
        </is>
      </c>
      <c r="C1225" s="558" t="inlineStr">
        <is>
          <t>0116-0097</t>
        </is>
      </c>
      <c r="D1225" s="158" t="inlineStr">
        <is>
          <t>REVESTIMIENTO TEXT. SÍLICA BAS 4300</t>
        </is>
      </c>
      <c r="E1225" s="158" t="inlineStr">
        <is>
          <t>CUBETA</t>
        </is>
      </c>
      <c r="F1225" s="158" t="inlineStr">
        <is>
          <t>MATERIALES</t>
        </is>
      </c>
      <c r="G1225" s="158" t="inlineStr">
        <is>
          <t>PINTURAS Y REVESTIMIENTOS</t>
        </is>
      </c>
    </row>
    <row r="1226">
      <c r="A1226" s="159" t="n"/>
      <c r="B1226" s="158" t="inlineStr">
        <is>
          <t>MAT16-0098</t>
        </is>
      </c>
      <c r="C1226" s="558" t="inlineStr">
        <is>
          <t>0116-0098</t>
        </is>
      </c>
      <c r="D1226" s="158" t="inlineStr">
        <is>
          <t>PINTURA SUPER DRY GRIS CLARO TECHOS</t>
        </is>
      </c>
      <c r="E1226" s="158" t="inlineStr">
        <is>
          <t>GAL</t>
        </is>
      </c>
      <c r="F1226" s="158" t="inlineStr">
        <is>
          <t>MATERIALES</t>
        </is>
      </c>
      <c r="G1226" s="158" t="inlineStr">
        <is>
          <t>PINTURAS Y REVESTIMIENTOS</t>
        </is>
      </c>
    </row>
    <row r="1227">
      <c r="A1227" s="159" t="n"/>
      <c r="B1227" s="158" t="inlineStr">
        <is>
          <t>MAT16-0099</t>
        </is>
      </c>
      <c r="C1227" s="558" t="inlineStr">
        <is>
          <t>0116-0099</t>
        </is>
      </c>
      <c r="D1227" s="158" t="inlineStr">
        <is>
          <t>PINTURA SUPER DRY BEIGE TECHOS</t>
        </is>
      </c>
      <c r="E1227" s="158" t="inlineStr">
        <is>
          <t>GALON</t>
        </is>
      </c>
      <c r="F1227" s="158" t="inlineStr">
        <is>
          <t>MATERIALES</t>
        </is>
      </c>
      <c r="G1227" s="158" t="inlineStr">
        <is>
          <t>PINTURAS Y REVESTIMIENTOS</t>
        </is>
      </c>
    </row>
    <row r="1228">
      <c r="A1228" s="159" t="n"/>
      <c r="B1228" s="158" t="inlineStr">
        <is>
          <t>MAT16-0100</t>
        </is>
      </c>
      <c r="C1228" s="558" t="inlineStr">
        <is>
          <t>0116-0100</t>
        </is>
      </c>
      <c r="D1228" s="158" t="inlineStr">
        <is>
          <t>ANTICORROSIVO MINIO ROJO</t>
        </is>
      </c>
      <c r="E1228" s="158" t="inlineStr">
        <is>
          <t>CUBETA</t>
        </is>
      </c>
      <c r="F1228" s="158" t="inlineStr">
        <is>
          <t>MATERIALES</t>
        </is>
      </c>
      <c r="G1228" s="158" t="inlineStr">
        <is>
          <t>PINTURAS Y REVESTIMIENTOS</t>
        </is>
      </c>
    </row>
    <row r="1229">
      <c r="A1229" s="159" t="n"/>
      <c r="B1229" s="158" t="inlineStr">
        <is>
          <t>MAT16-0101</t>
        </is>
      </c>
      <c r="C1229" s="558" t="inlineStr">
        <is>
          <t>0116-0101</t>
        </is>
      </c>
      <c r="D1229" s="158" t="inlineStr">
        <is>
          <t>ANTICORROSIVO GRIS</t>
        </is>
      </c>
      <c r="E1229" s="158" t="inlineStr">
        <is>
          <t>CUBETA</t>
        </is>
      </c>
      <c r="F1229" s="158" t="inlineStr">
        <is>
          <t>MATERIALES</t>
        </is>
      </c>
      <c r="G1229" s="158" t="inlineStr">
        <is>
          <t>PINTURAS Y REVESTIMIENTOS</t>
        </is>
      </c>
    </row>
    <row r="1230" customFormat="1" s="560">
      <c r="A1230" s="557" t="n"/>
      <c r="B1230" s="557" t="inlineStr">
        <is>
          <t>(ID) Insumo</t>
        </is>
      </c>
      <c r="C1230" s="558" t="inlineStr">
        <is>
          <t>01) Insumo</t>
        </is>
      </c>
      <c r="D1230" s="557" t="inlineStr">
        <is>
          <t>Descripción</t>
        </is>
      </c>
      <c r="E1230" s="557" t="inlineStr">
        <is>
          <t>Unidad</t>
        </is>
      </c>
      <c r="F1230" s="557" t="inlineStr">
        <is>
          <t>Grupo de Insumo</t>
        </is>
      </c>
      <c r="G1230" s="557" t="inlineStr">
        <is>
          <t>Familia de Insumos</t>
        </is>
      </c>
    </row>
    <row r="1231">
      <c r="A1231" s="564" t="n"/>
      <c r="B1231" s="158" t="inlineStr">
        <is>
          <t>MAT17-0001</t>
        </is>
      </c>
      <c r="C1231" s="558" t="inlineStr">
        <is>
          <t>0117-0001</t>
        </is>
      </c>
      <c r="D1231" s="158" t="inlineStr">
        <is>
          <t>CERAMICA ESPAÑOLA</t>
        </is>
      </c>
      <c r="E1231" s="158" t="inlineStr">
        <is>
          <t>M2</t>
        </is>
      </c>
      <c r="F1231" s="158" t="inlineStr">
        <is>
          <t>MATERIALES</t>
        </is>
      </c>
      <c r="G1231" s="158" t="inlineStr">
        <is>
          <t>PISOS Y ENCHAPES</t>
        </is>
      </c>
    </row>
    <row r="1232">
      <c r="A1232" s="564" t="n"/>
      <c r="B1232" s="158" t="inlineStr">
        <is>
          <t>MAT17-0002</t>
        </is>
      </c>
      <c r="C1232" s="558" t="inlineStr">
        <is>
          <t>0117-0002</t>
        </is>
      </c>
      <c r="D1232" s="158" t="inlineStr">
        <is>
          <t>CERAMICA DOVER ANTRACITA RG MATE</t>
        </is>
      </c>
      <c r="E1232" s="158" t="inlineStr">
        <is>
          <t>M2</t>
        </is>
      </c>
      <c r="F1232" s="158" t="inlineStr">
        <is>
          <t>MATERIALES</t>
        </is>
      </c>
      <c r="G1232" s="158" t="inlineStr">
        <is>
          <t>PISOS Y ENCHAPES</t>
        </is>
      </c>
    </row>
    <row r="1233">
      <c r="A1233" s="564" t="n"/>
      <c r="B1233" s="158" t="inlineStr">
        <is>
          <t>MAT17-0003</t>
        </is>
      </c>
      <c r="C1233" s="558" t="inlineStr">
        <is>
          <t>0117-0003</t>
        </is>
      </c>
      <c r="D1233" s="158" t="inlineStr">
        <is>
          <t>CERAMICA DOVER ARENA RG MATE</t>
        </is>
      </c>
      <c r="E1233" s="158" t="inlineStr">
        <is>
          <t>M2</t>
        </is>
      </c>
      <c r="F1233" s="158" t="inlineStr">
        <is>
          <t>MATERIALES</t>
        </is>
      </c>
      <c r="G1233" s="158" t="inlineStr">
        <is>
          <t>PISOS Y ENCHAPES</t>
        </is>
      </c>
    </row>
    <row r="1234">
      <c r="A1234" s="564" t="n"/>
      <c r="B1234" s="158" t="inlineStr">
        <is>
          <t>MAT17-0004</t>
        </is>
      </c>
      <c r="C1234" s="558" t="inlineStr">
        <is>
          <t>0117-0004</t>
        </is>
      </c>
      <c r="D1234" s="158" t="inlineStr">
        <is>
          <t>CERAMICA MONTANA NOGAL RG MATE</t>
        </is>
      </c>
      <c r="E1234" s="158" t="inlineStr">
        <is>
          <t>M2</t>
        </is>
      </c>
      <c r="F1234" s="158" t="inlineStr">
        <is>
          <t>MATERIALES</t>
        </is>
      </c>
      <c r="G1234" s="158" t="inlineStr">
        <is>
          <t>PISOS Y ENCHAPES</t>
        </is>
      </c>
    </row>
    <row r="1235">
      <c r="A1235" s="564" t="n"/>
      <c r="B1235" s="158" t="inlineStr">
        <is>
          <t>MAT17-0005</t>
        </is>
      </c>
      <c r="C1235" s="558" t="inlineStr">
        <is>
          <t>0117-0005</t>
        </is>
      </c>
      <c r="D1235" s="158" t="inlineStr">
        <is>
          <t>CERAMICA MONTANA PERLA RG MATE</t>
        </is>
      </c>
      <c r="E1235" s="158" t="inlineStr">
        <is>
          <t>M2</t>
        </is>
      </c>
      <c r="F1235" s="158" t="inlineStr">
        <is>
          <t>MATERIALES</t>
        </is>
      </c>
      <c r="G1235" s="158" t="inlineStr">
        <is>
          <t>PISOS Y ENCHAPES</t>
        </is>
      </c>
    </row>
    <row r="1236">
      <c r="A1236" s="564" t="n"/>
      <c r="B1236" s="158" t="inlineStr">
        <is>
          <t>MAT17-0006</t>
        </is>
      </c>
      <c r="C1236" s="558" t="inlineStr">
        <is>
          <t>0117-0006</t>
        </is>
      </c>
      <c r="D1236" s="158" t="inlineStr">
        <is>
          <t>CERAMICA MONTANA ROBLE RG MATE</t>
        </is>
      </c>
      <c r="E1236" s="158" t="inlineStr">
        <is>
          <t>M2</t>
        </is>
      </c>
      <c r="F1236" s="158" t="inlineStr">
        <is>
          <t>MATERIALES</t>
        </is>
      </c>
      <c r="G1236" s="158" t="inlineStr">
        <is>
          <t>PISOS Y ENCHAPES</t>
        </is>
      </c>
    </row>
    <row r="1237">
      <c r="A1237" s="564" t="n"/>
      <c r="B1237" s="158" t="inlineStr">
        <is>
          <t>MAT17-0007</t>
        </is>
      </c>
      <c r="C1237" s="558" t="inlineStr">
        <is>
          <t>0117-0007</t>
        </is>
      </c>
      <c r="D1237" s="158" t="inlineStr">
        <is>
          <t>CERAMICA NEUTRA CREAM RG MATE</t>
        </is>
      </c>
      <c r="E1237" s="158" t="inlineStr">
        <is>
          <t>M2</t>
        </is>
      </c>
      <c r="F1237" s="158" t="inlineStr">
        <is>
          <t>MATERIALES</t>
        </is>
      </c>
      <c r="G1237" s="158" t="inlineStr">
        <is>
          <t>PISOS Y ENCHAPES</t>
        </is>
      </c>
    </row>
    <row r="1238">
      <c r="A1238" s="564" t="n"/>
      <c r="B1238" s="158" t="inlineStr">
        <is>
          <t>MAT17-0008</t>
        </is>
      </c>
      <c r="C1238" s="558" t="inlineStr">
        <is>
          <t>0117-0008</t>
        </is>
      </c>
      <c r="D1238" s="158" t="inlineStr">
        <is>
          <t>CERAMICA NEUTRA PEARL RG MATE</t>
        </is>
      </c>
      <c r="E1238" s="158" t="inlineStr">
        <is>
          <t>M2</t>
        </is>
      </c>
      <c r="F1238" s="158" t="inlineStr">
        <is>
          <t>MATERIALES</t>
        </is>
      </c>
      <c r="G1238" s="158" t="inlineStr">
        <is>
          <t>PISOS Y ENCHAPES</t>
        </is>
      </c>
    </row>
    <row r="1239">
      <c r="A1239" s="564" t="n"/>
      <c r="B1239" s="158" t="inlineStr">
        <is>
          <t>MAT17-0009</t>
        </is>
      </c>
      <c r="C1239" s="558" t="inlineStr">
        <is>
          <t>0117-0009</t>
        </is>
      </c>
      <c r="D1239" s="158" t="inlineStr">
        <is>
          <t>CERAMICA NOVARA MARFIL RG BRILLO</t>
        </is>
      </c>
      <c r="E1239" s="158" t="inlineStr">
        <is>
          <t>M2</t>
        </is>
      </c>
      <c r="F1239" s="158" t="inlineStr">
        <is>
          <t>MATERIALES</t>
        </is>
      </c>
      <c r="G1239" s="158" t="inlineStr">
        <is>
          <t>PISOS Y ENCHAPES</t>
        </is>
      </c>
    </row>
    <row r="1240">
      <c r="A1240" s="564" t="n"/>
      <c r="B1240" s="158" t="inlineStr">
        <is>
          <t>MAT17-0010</t>
        </is>
      </c>
      <c r="C1240" s="558" t="inlineStr">
        <is>
          <t>0117-0010</t>
        </is>
      </c>
      <c r="D1240" s="158" t="inlineStr">
        <is>
          <t>CERAMICA TITICACA RG BRILLO</t>
        </is>
      </c>
      <c r="E1240" s="158" t="inlineStr">
        <is>
          <t>M2</t>
        </is>
      </c>
      <c r="F1240" s="158" t="inlineStr">
        <is>
          <t>MATERIALES</t>
        </is>
      </c>
      <c r="G1240" s="158" t="inlineStr">
        <is>
          <t>PISOS Y ENCHAPES</t>
        </is>
      </c>
    </row>
    <row r="1241">
      <c r="A1241" s="564" t="n"/>
      <c r="B1241" s="158" t="inlineStr">
        <is>
          <t>MAT17-0011</t>
        </is>
      </c>
      <c r="C1241" s="558" t="inlineStr">
        <is>
          <t>0117-0011</t>
        </is>
      </c>
      <c r="D1241" s="158" t="inlineStr">
        <is>
          <t>PORCELANATO CRYSTAL IVORY 60X60</t>
        </is>
      </c>
      <c r="E1241" s="158" t="inlineStr">
        <is>
          <t>M2</t>
        </is>
      </c>
      <c r="F1241" s="158" t="inlineStr">
        <is>
          <t>MATERIALES</t>
        </is>
      </c>
      <c r="G1241" s="158" t="inlineStr">
        <is>
          <t>PISOS Y ENCHAPES</t>
        </is>
      </c>
    </row>
    <row r="1242">
      <c r="A1242" s="564" t="n"/>
      <c r="B1242" s="158" t="inlineStr">
        <is>
          <t>MAT17-0012</t>
        </is>
      </c>
      <c r="C1242" s="558" t="inlineStr">
        <is>
          <t>0117-0012</t>
        </is>
      </c>
      <c r="D1242" s="158" t="inlineStr">
        <is>
          <t>CERAMICA CECAFI CONCRETE 62X62</t>
        </is>
      </c>
      <c r="E1242" s="158" t="inlineStr">
        <is>
          <t>M2</t>
        </is>
      </c>
      <c r="F1242" s="158" t="inlineStr">
        <is>
          <t>MATERIALES</t>
        </is>
      </c>
      <c r="G1242" s="158" t="inlineStr">
        <is>
          <t>PISOS Y ENCHAPES</t>
        </is>
      </c>
    </row>
    <row r="1243">
      <c r="A1243" s="564" t="n"/>
      <c r="B1243" s="158" t="inlineStr">
        <is>
          <t>MAT17-0013</t>
        </is>
      </c>
      <c r="C1243" s="558" t="inlineStr">
        <is>
          <t>0117-0013</t>
        </is>
      </c>
      <c r="D1243" s="158" t="inlineStr">
        <is>
          <t>CERAMICA 45 X45 TANGE BEIGE</t>
        </is>
      </c>
      <c r="E1243" s="158" t="inlineStr">
        <is>
          <t>M2</t>
        </is>
      </c>
      <c r="F1243" s="158" t="inlineStr">
        <is>
          <t>MATERIALES</t>
        </is>
      </c>
      <c r="G1243" s="158" t="inlineStr">
        <is>
          <t>PISOS Y ENCHAPES</t>
        </is>
      </c>
    </row>
    <row r="1244">
      <c r="A1244" s="564" t="n"/>
      <c r="B1244" s="158" t="inlineStr">
        <is>
          <t>MAT17-0014</t>
        </is>
      </c>
      <c r="C1244" s="558" t="inlineStr">
        <is>
          <t>0117-0014</t>
        </is>
      </c>
      <c r="D1244" s="158" t="inlineStr">
        <is>
          <t>CERAMICA 45X45CM DAINO NATURAL BRILLANTE</t>
        </is>
      </c>
      <c r="E1244" s="158" t="inlineStr">
        <is>
          <t>M2</t>
        </is>
      </c>
      <c r="F1244" s="158" t="inlineStr">
        <is>
          <t>MATERIALES</t>
        </is>
      </c>
      <c r="G1244" s="158" t="inlineStr">
        <is>
          <t>PISOS Y ENCHAPES</t>
        </is>
      </c>
    </row>
    <row r="1245">
      <c r="A1245" s="564" t="n"/>
      <c r="B1245" s="158" t="inlineStr">
        <is>
          <t>MAT17-0015</t>
        </is>
      </c>
      <c r="C1245" s="558" t="inlineStr">
        <is>
          <t>0117-0015</t>
        </is>
      </c>
      <c r="D1245" s="158" t="inlineStr">
        <is>
          <t>CERAMICA 45X45CM FOSTER WHITE MATE</t>
        </is>
      </c>
      <c r="E1245" s="158" t="inlineStr">
        <is>
          <t>M2</t>
        </is>
      </c>
      <c r="F1245" s="158" t="inlineStr">
        <is>
          <t>MATERIALES</t>
        </is>
      </c>
      <c r="G1245" s="158" t="inlineStr">
        <is>
          <t>PISOS Y ENCHAPES</t>
        </is>
      </c>
    </row>
    <row r="1246">
      <c r="A1246" s="564" t="n"/>
      <c r="B1246" s="158" t="inlineStr">
        <is>
          <t>MAT17-0016</t>
        </is>
      </c>
      <c r="C1246" s="558" t="inlineStr">
        <is>
          <t>0117-0016</t>
        </is>
      </c>
      <c r="D1246" s="158" t="inlineStr">
        <is>
          <t>CERAMICA 45X45CM FOSTER LIGHT MATE</t>
        </is>
      </c>
      <c r="E1246" s="158" t="inlineStr">
        <is>
          <t>M2</t>
        </is>
      </c>
      <c r="F1246" s="158" t="inlineStr">
        <is>
          <t>MATERIALES</t>
        </is>
      </c>
      <c r="G1246" s="158" t="inlineStr">
        <is>
          <t>PISOS Y ENCHAPES</t>
        </is>
      </c>
    </row>
    <row r="1247">
      <c r="A1247" s="564" t="n"/>
      <c r="B1247" s="158" t="inlineStr">
        <is>
          <t>MAT17-0017</t>
        </is>
      </c>
      <c r="C1247" s="558" t="inlineStr">
        <is>
          <t>0117-0017</t>
        </is>
      </c>
      <c r="D1247" s="158" t="inlineStr">
        <is>
          <t>CERAMICA 20X50CM DAINO NATURAL</t>
        </is>
      </c>
      <c r="E1247" s="158" t="inlineStr">
        <is>
          <t>M2</t>
        </is>
      </c>
      <c r="F1247" s="158" t="inlineStr">
        <is>
          <t>MATERIALES</t>
        </is>
      </c>
      <c r="G1247" s="158" t="inlineStr">
        <is>
          <t>PISOS Y ENCHAPES</t>
        </is>
      </c>
    </row>
    <row r="1248">
      <c r="A1248" s="564" t="n"/>
      <c r="B1248" s="158" t="inlineStr">
        <is>
          <t>MAT17-0018</t>
        </is>
      </c>
      <c r="C1248" s="558" t="inlineStr">
        <is>
          <t>0117-0018</t>
        </is>
      </c>
      <c r="D1248" s="158" t="inlineStr">
        <is>
          <t>CERAMICA 25X40 FOSTER WHITE</t>
        </is>
      </c>
      <c r="E1248" s="158" t="inlineStr">
        <is>
          <t>M2</t>
        </is>
      </c>
      <c r="F1248" s="158" t="inlineStr">
        <is>
          <t>MATERIALES</t>
        </is>
      </c>
      <c r="G1248" s="158" t="inlineStr">
        <is>
          <t>PISOS Y ENCHAPES</t>
        </is>
      </c>
    </row>
    <row r="1249">
      <c r="A1249" s="564" t="n"/>
      <c r="B1249" s="158" t="inlineStr">
        <is>
          <t>MAT17-0019</t>
        </is>
      </c>
      <c r="C1249" s="558" t="inlineStr">
        <is>
          <t>0117-0019</t>
        </is>
      </c>
      <c r="D1249" s="158" t="inlineStr">
        <is>
          <t>CERAMICA 25X40 FOSTER GREY</t>
        </is>
      </c>
      <c r="E1249" s="158" t="inlineStr">
        <is>
          <t>M2</t>
        </is>
      </c>
      <c r="F1249" s="158" t="inlineStr">
        <is>
          <t>MATERIALES</t>
        </is>
      </c>
      <c r="G1249" s="158" t="inlineStr">
        <is>
          <t>PISOS Y ENCHAPES</t>
        </is>
      </c>
    </row>
    <row r="1250">
      <c r="A1250" s="564" t="n"/>
      <c r="B1250" s="158" t="inlineStr">
        <is>
          <t>MAT17-0020</t>
        </is>
      </c>
      <c r="C1250" s="558" t="inlineStr">
        <is>
          <t>0117-0020</t>
        </is>
      </c>
      <c r="D1250" s="158" t="inlineStr">
        <is>
          <t>CERAMICA LAPONIA 22.5 X 60 WHITE</t>
        </is>
      </c>
      <c r="E1250" s="158" t="inlineStr">
        <is>
          <t>M2</t>
        </is>
      </c>
      <c r="F1250" s="158" t="inlineStr">
        <is>
          <t>MATERIALES</t>
        </is>
      </c>
      <c r="G1250" s="158" t="inlineStr">
        <is>
          <t>PISOS Y ENCHAPES</t>
        </is>
      </c>
    </row>
    <row r="1251">
      <c r="A1251" s="564" t="n"/>
      <c r="B1251" s="158" t="inlineStr">
        <is>
          <t>MAT17-0021</t>
        </is>
      </c>
      <c r="C1251" s="558" t="inlineStr">
        <is>
          <t>0117-0021</t>
        </is>
      </c>
      <c r="D1251" s="158" t="inlineStr">
        <is>
          <t>CERAMICA LAPONIA 22.5 X 60 NATURAL</t>
        </is>
      </c>
      <c r="E1251" s="158" t="inlineStr">
        <is>
          <t>M2</t>
        </is>
      </c>
      <c r="F1251" s="158" t="inlineStr">
        <is>
          <t>MATERIALES</t>
        </is>
      </c>
      <c r="G1251" s="158" t="inlineStr">
        <is>
          <t>PISOS Y ENCHAPES</t>
        </is>
      </c>
    </row>
    <row r="1252">
      <c r="A1252" s="564" t="n"/>
      <c r="B1252" s="158" t="inlineStr">
        <is>
          <t>MAT17-0022</t>
        </is>
      </c>
      <c r="C1252" s="558" t="inlineStr">
        <is>
          <t>0117-0022</t>
        </is>
      </c>
      <c r="D1252" s="158" t="inlineStr">
        <is>
          <t>CERAMICA CECI ILLUMINATO</t>
        </is>
      </c>
      <c r="E1252" s="158" t="inlineStr">
        <is>
          <t>M2</t>
        </is>
      </c>
      <c r="F1252" s="158" t="inlineStr">
        <is>
          <t>MATERIALES</t>
        </is>
      </c>
      <c r="G1252" s="158" t="inlineStr">
        <is>
          <t>PISOS Y ENCHAPES</t>
        </is>
      </c>
    </row>
    <row r="1253">
      <c r="A1253" s="564" t="n"/>
      <c r="B1253" s="158" t="inlineStr">
        <is>
          <t>MAT17-0023</t>
        </is>
      </c>
      <c r="C1253" s="558" t="inlineStr">
        <is>
          <t>0117-0023</t>
        </is>
      </c>
      <c r="D1253" s="158" t="inlineStr">
        <is>
          <t>CERAMICA VCEAZBR025043A222BLAN</t>
        </is>
      </c>
      <c r="E1253" s="158" t="inlineStr">
        <is>
          <t>M2</t>
        </is>
      </c>
      <c r="F1253" s="158" t="inlineStr">
        <is>
          <t>MATERIALES</t>
        </is>
      </c>
      <c r="G1253" s="158" t="inlineStr">
        <is>
          <t>PISOS Y ENCHAPES</t>
        </is>
      </c>
    </row>
    <row r="1254">
      <c r="A1254" s="564" t="n"/>
      <c r="B1254" s="158" t="inlineStr">
        <is>
          <t>MAT17-0024</t>
        </is>
      </c>
      <c r="C1254" s="558" t="inlineStr">
        <is>
          <t>0117-0024</t>
        </is>
      </c>
      <c r="D1254" s="158" t="inlineStr">
        <is>
          <t>CERAMICA GRAFITO SAMBORO</t>
        </is>
      </c>
      <c r="E1254" s="158" t="inlineStr">
        <is>
          <t>M2</t>
        </is>
      </c>
      <c r="F1254" s="158" t="inlineStr">
        <is>
          <t>MATERIALES</t>
        </is>
      </c>
      <c r="G1254" s="158" t="inlineStr">
        <is>
          <t>PISOS Y ENCHAPES</t>
        </is>
      </c>
    </row>
    <row r="1255">
      <c r="A1255" s="564" t="n"/>
      <c r="B1255" s="158" t="inlineStr">
        <is>
          <t>MAT17-0025</t>
        </is>
      </c>
      <c r="C1255" s="558" t="inlineStr">
        <is>
          <t>0117-0025</t>
        </is>
      </c>
      <c r="D1255" s="158" t="inlineStr">
        <is>
          <t>PORCELANATO CRYSTAL PEARL</t>
        </is>
      </c>
      <c r="E1255" s="158" t="inlineStr">
        <is>
          <t>UND</t>
        </is>
      </c>
      <c r="F1255" s="158" t="inlineStr">
        <is>
          <t>MATERIALES</t>
        </is>
      </c>
      <c r="G1255" s="158" t="inlineStr">
        <is>
          <t>PISOS Y ENCHAPES</t>
        </is>
      </c>
    </row>
    <row r="1256">
      <c r="A1256" s="564" t="n"/>
      <c r="B1256" s="158" t="inlineStr">
        <is>
          <t>MAT17-0026</t>
        </is>
      </c>
      <c r="C1256" s="558" t="inlineStr">
        <is>
          <t>0117-0026</t>
        </is>
      </c>
      <c r="D1256" s="158" t="inlineStr">
        <is>
          <t>CERAMICA SENOIA GRIS 55X55</t>
        </is>
      </c>
      <c r="E1256" s="158" t="inlineStr">
        <is>
          <t>M2</t>
        </is>
      </c>
      <c r="F1256" s="158" t="inlineStr">
        <is>
          <t>MATERIALES</t>
        </is>
      </c>
      <c r="G1256" s="158" t="inlineStr">
        <is>
          <t>PISOS Y ENCHAPES</t>
        </is>
      </c>
    </row>
    <row r="1257">
      <c r="A1257" s="564" t="n"/>
      <c r="B1257" s="158" t="inlineStr">
        <is>
          <t>MAT17-0027</t>
        </is>
      </c>
      <c r="C1257" s="558" t="inlineStr">
        <is>
          <t>0117-0027</t>
        </is>
      </c>
      <c r="D1257" s="158" t="inlineStr">
        <is>
          <t>CERAMICA SENOIA BEIGE 55X55</t>
        </is>
      </c>
      <c r="E1257" s="158" t="inlineStr">
        <is>
          <t>M2</t>
        </is>
      </c>
      <c r="F1257" s="158" t="inlineStr">
        <is>
          <t>MATERIALES</t>
        </is>
      </c>
      <c r="G1257" s="158" t="inlineStr">
        <is>
          <t>PISOS Y ENCHAPES</t>
        </is>
      </c>
    </row>
    <row r="1258">
      <c r="A1258" s="564" t="n"/>
      <c r="B1258" s="158" t="inlineStr">
        <is>
          <t>MAT17-0028</t>
        </is>
      </c>
      <c r="C1258" s="558" t="inlineStr">
        <is>
          <t>0117-0028</t>
        </is>
      </c>
      <c r="D1258" s="158" t="inlineStr">
        <is>
          <t>CERAMICA ANTARA SAND 55X55</t>
        </is>
      </c>
      <c r="E1258" s="158" t="inlineStr">
        <is>
          <t>M2</t>
        </is>
      </c>
      <c r="F1258" s="158" t="inlineStr">
        <is>
          <t>MATERIALES</t>
        </is>
      </c>
      <c r="G1258" s="158" t="inlineStr">
        <is>
          <t>PISOS Y ENCHAPES</t>
        </is>
      </c>
    </row>
    <row r="1259">
      <c r="A1259" s="564" t="n"/>
      <c r="B1259" s="158" t="inlineStr">
        <is>
          <t>MAT17-0029</t>
        </is>
      </c>
      <c r="C1259" s="558" t="inlineStr">
        <is>
          <t>0117-0029</t>
        </is>
      </c>
      <c r="D1259" s="158" t="inlineStr">
        <is>
          <t>CERAMICA BRUNI GRIS OSCURO  55X55</t>
        </is>
      </c>
      <c r="E1259" s="158" t="inlineStr">
        <is>
          <t>M2</t>
        </is>
      </c>
      <c r="F1259" s="158" t="inlineStr">
        <is>
          <t>MATERIALES</t>
        </is>
      </c>
      <c r="G1259" s="158" t="inlineStr">
        <is>
          <t>PISOS Y ENCHAPES</t>
        </is>
      </c>
    </row>
    <row r="1260">
      <c r="A1260" s="564" t="n"/>
      <c r="B1260" s="158" t="inlineStr">
        <is>
          <t>MAT17-0030</t>
        </is>
      </c>
      <c r="C1260" s="558" t="inlineStr">
        <is>
          <t>0117-0030</t>
        </is>
      </c>
      <c r="D1260" s="158" t="inlineStr">
        <is>
          <t>CERAMICA SENOIA BEIGE 30X45</t>
        </is>
      </c>
      <c r="E1260" s="158" t="inlineStr">
        <is>
          <t>M2</t>
        </is>
      </c>
      <c r="F1260" s="158" t="inlineStr">
        <is>
          <t>MATERIALES</t>
        </is>
      </c>
      <c r="G1260" s="158" t="inlineStr">
        <is>
          <t>PISOS Y ENCHAPES</t>
        </is>
      </c>
    </row>
    <row r="1261">
      <c r="A1261" s="564" t="n"/>
      <c r="B1261" s="158" t="inlineStr">
        <is>
          <t>MAT17-0031</t>
        </is>
      </c>
      <c r="C1261" s="558" t="inlineStr">
        <is>
          <t>0117-0031</t>
        </is>
      </c>
      <c r="D1261" s="158" t="inlineStr">
        <is>
          <t>CERAMICA BREKA BEIGE 30X60</t>
        </is>
      </c>
      <c r="E1261" s="158" t="inlineStr">
        <is>
          <t>M2</t>
        </is>
      </c>
      <c r="F1261" s="158" t="inlineStr">
        <is>
          <t>MATERIALES</t>
        </is>
      </c>
      <c r="G1261" s="158" t="inlineStr">
        <is>
          <t>PISOS Y ENCHAPES</t>
        </is>
      </c>
    </row>
    <row r="1262">
      <c r="A1262" s="564" t="n"/>
      <c r="B1262" s="158" t="inlineStr">
        <is>
          <t>MAT17-0032</t>
        </is>
      </c>
      <c r="C1262" s="558" t="inlineStr">
        <is>
          <t>0117-0032</t>
        </is>
      </c>
      <c r="D1262" s="158" t="inlineStr">
        <is>
          <t>PORCELANATO ESMALTADO BOSTON AVORIO</t>
        </is>
      </c>
      <c r="E1262" s="158" t="inlineStr">
        <is>
          <t>M2</t>
        </is>
      </c>
      <c r="F1262" s="158" t="inlineStr">
        <is>
          <t>MATERIALES</t>
        </is>
      </c>
      <c r="G1262" s="158" t="inlineStr">
        <is>
          <t>PISOS Y ENCHAPES</t>
        </is>
      </c>
    </row>
    <row r="1263">
      <c r="A1263" s="564" t="n"/>
      <c r="B1263" s="158" t="inlineStr">
        <is>
          <t>MAT17-0033</t>
        </is>
      </c>
      <c r="C1263" s="558" t="inlineStr">
        <is>
          <t>0117-0033</t>
        </is>
      </c>
      <c r="D1263" s="158" t="inlineStr">
        <is>
          <t>PISO VINILICO</t>
        </is>
      </c>
      <c r="E1263" s="158" t="inlineStr">
        <is>
          <t>UND</t>
        </is>
      </c>
      <c r="F1263" s="158" t="inlineStr">
        <is>
          <t>MATERIALES</t>
        </is>
      </c>
      <c r="G1263" s="158" t="inlineStr">
        <is>
          <t>PISOS Y ENCHAPES</t>
        </is>
      </c>
    </row>
    <row r="1264">
      <c r="A1264" s="564" t="n"/>
      <c r="B1264" s="158" t="inlineStr">
        <is>
          <t>MAT17-0034</t>
        </is>
      </c>
      <c r="C1264" s="558" t="inlineStr">
        <is>
          <t>0117-0034</t>
        </is>
      </c>
      <c r="D1264" s="158" t="inlineStr">
        <is>
          <t>PORDELANATO DECK WENGUE ANTIDES</t>
        </is>
      </c>
      <c r="E1264" s="158" t="inlineStr">
        <is>
          <t>M2</t>
        </is>
      </c>
      <c r="F1264" s="158" t="inlineStr">
        <is>
          <t>MATERIALES</t>
        </is>
      </c>
      <c r="G1264" s="158" t="inlineStr">
        <is>
          <t>PISOS Y ENCHAPES</t>
        </is>
      </c>
    </row>
    <row r="1265">
      <c r="A1265" s="564" t="n"/>
      <c r="B1265" s="158" t="inlineStr">
        <is>
          <t>MAT17-0035</t>
        </is>
      </c>
      <c r="C1265" s="558" t="inlineStr">
        <is>
          <t>0117-0035</t>
        </is>
      </c>
      <c r="D1265" s="158" t="inlineStr">
        <is>
          <t>CERAMICA EMOTION T.MADERA HARDY HAYA 20X60</t>
        </is>
      </c>
      <c r="E1265" s="158" t="inlineStr">
        <is>
          <t>M2</t>
        </is>
      </c>
      <c r="F1265" s="158" t="inlineStr">
        <is>
          <t>MATERIALES</t>
        </is>
      </c>
      <c r="G1265" s="158" t="inlineStr">
        <is>
          <t>PISOS Y ENCHAPES</t>
        </is>
      </c>
    </row>
    <row r="1266">
      <c r="A1266" s="564" t="n"/>
      <c r="B1266" s="158" t="inlineStr">
        <is>
          <t>MAT17-0036</t>
        </is>
      </c>
      <c r="C1266" s="558" t="inlineStr">
        <is>
          <t>0117-0036</t>
        </is>
      </c>
      <c r="D1266" s="158" t="inlineStr">
        <is>
          <t>CERAMICA EMOTION T.MADERA HARDY CAOBA 20X60</t>
        </is>
      </c>
      <c r="E1266" s="158" t="inlineStr">
        <is>
          <t>M2</t>
        </is>
      </c>
      <c r="F1266" s="158" t="inlineStr">
        <is>
          <t>MATERIALES</t>
        </is>
      </c>
      <c r="G1266" s="158" t="inlineStr">
        <is>
          <t>PISOS Y ENCHAPES</t>
        </is>
      </c>
    </row>
    <row r="1267">
      <c r="A1267" s="564" t="n"/>
      <c r="B1267" s="158" t="inlineStr">
        <is>
          <t>MAT17-0037</t>
        </is>
      </c>
      <c r="C1267" s="558" t="inlineStr">
        <is>
          <t>0117-0037</t>
        </is>
      </c>
      <c r="D1267" s="158" t="inlineStr">
        <is>
          <t>CERAMICA EMOTION T.MADERA HARDY GRIS 20X60</t>
        </is>
      </c>
      <c r="E1267" s="158" t="inlineStr">
        <is>
          <t>M2</t>
        </is>
      </c>
      <c r="F1267" s="158" t="inlineStr">
        <is>
          <t>MATERIALES</t>
        </is>
      </c>
      <c r="G1267" s="158" t="inlineStr">
        <is>
          <t>PISOS Y ENCHAPES</t>
        </is>
      </c>
    </row>
    <row r="1268">
      <c r="A1268" s="564" t="n"/>
      <c r="B1268" s="158" t="inlineStr">
        <is>
          <t>MAT17-0038</t>
        </is>
      </c>
      <c r="C1268" s="558" t="inlineStr">
        <is>
          <t>0117-0038</t>
        </is>
      </c>
      <c r="D1268" s="158" t="inlineStr">
        <is>
          <t>CERAMICA  ALPES MIEL MATE</t>
        </is>
      </c>
      <c r="E1268" s="158" t="inlineStr">
        <is>
          <t>M2</t>
        </is>
      </c>
      <c r="F1268" s="158" t="inlineStr">
        <is>
          <t>MATERIALES</t>
        </is>
      </c>
      <c r="G1268" s="158" t="inlineStr">
        <is>
          <t>PISOS Y ENCHAPES</t>
        </is>
      </c>
    </row>
    <row r="1269">
      <c r="A1269" s="564" t="n"/>
      <c r="B1269" s="158" t="inlineStr">
        <is>
          <t>MAT17-0039</t>
        </is>
      </c>
      <c r="C1269" s="558" t="inlineStr">
        <is>
          <t>0117-0039</t>
        </is>
      </c>
      <c r="D1269" s="158" t="inlineStr">
        <is>
          <t>CERAMICA DINGLE GRIS</t>
        </is>
      </c>
      <c r="E1269" s="158" t="inlineStr">
        <is>
          <t>M2</t>
        </is>
      </c>
      <c r="F1269" s="158" t="inlineStr">
        <is>
          <t>MATERIALES</t>
        </is>
      </c>
      <c r="G1269" s="158" t="inlineStr">
        <is>
          <t>PISOS Y ENCHAPES</t>
        </is>
      </c>
    </row>
    <row r="1270">
      <c r="A1270" s="564" t="n"/>
      <c r="B1270" s="158" t="inlineStr">
        <is>
          <t>MAT17-0040</t>
        </is>
      </c>
      <c r="C1270" s="558" t="inlineStr">
        <is>
          <t>0117-0040</t>
        </is>
      </c>
      <c r="D1270" s="158" t="inlineStr">
        <is>
          <t>CERAMICA  ALPES WENGUE</t>
        </is>
      </c>
      <c r="E1270" s="158" t="inlineStr">
        <is>
          <t>M2</t>
        </is>
      </c>
      <c r="F1270" s="158" t="inlineStr">
        <is>
          <t>MATERIALES</t>
        </is>
      </c>
      <c r="G1270" s="158" t="inlineStr">
        <is>
          <t>PISOS Y ENCHAPES</t>
        </is>
      </c>
    </row>
    <row r="1271">
      <c r="A1271" s="564" t="n"/>
      <c r="B1271" s="158" t="inlineStr">
        <is>
          <t>MAT17-0041</t>
        </is>
      </c>
      <c r="C1271" s="558" t="inlineStr">
        <is>
          <t>0117-0041</t>
        </is>
      </c>
      <c r="D1271" s="158" t="inlineStr">
        <is>
          <t>CERAMICA  AZ. BREKA HUESO</t>
        </is>
      </c>
      <c r="E1271" s="158" t="inlineStr">
        <is>
          <t>M2</t>
        </is>
      </c>
      <c r="F1271" s="158" t="inlineStr">
        <is>
          <t>MATERIALES</t>
        </is>
      </c>
      <c r="G1271" s="158" t="inlineStr">
        <is>
          <t>PISOS Y ENCHAPES</t>
        </is>
      </c>
    </row>
    <row r="1272">
      <c r="A1272" s="564" t="n"/>
      <c r="B1272" s="158" t="inlineStr">
        <is>
          <t>MAT17-0042</t>
        </is>
      </c>
      <c r="C1272" s="558" t="inlineStr">
        <is>
          <t>0117-0042</t>
        </is>
      </c>
      <c r="D1272" s="158" t="inlineStr">
        <is>
          <t>CERAMCA  AZ. TRAVERTINO BEIGE</t>
        </is>
      </c>
      <c r="E1272" s="158" t="inlineStr">
        <is>
          <t>M2</t>
        </is>
      </c>
      <c r="F1272" s="158" t="inlineStr">
        <is>
          <t>MATERIALES</t>
        </is>
      </c>
      <c r="G1272" s="158" t="inlineStr">
        <is>
          <t>PISOS Y ENCHAPES</t>
        </is>
      </c>
    </row>
    <row r="1273">
      <c r="A1273" s="564" t="n"/>
      <c r="B1273" s="158" t="inlineStr">
        <is>
          <t>MAT17-0043</t>
        </is>
      </c>
      <c r="C1273" s="558" t="inlineStr">
        <is>
          <t>0117-0043</t>
        </is>
      </c>
      <c r="D1273" s="158" t="inlineStr">
        <is>
          <t>CERAMICA CECAFI TOPANGA 45X45</t>
        </is>
      </c>
      <c r="E1273" s="158" t="inlineStr">
        <is>
          <t>M2</t>
        </is>
      </c>
      <c r="F1273" s="158" t="inlineStr">
        <is>
          <t>MATERIALES</t>
        </is>
      </c>
      <c r="G1273" s="158" t="inlineStr">
        <is>
          <t>PISOS Y ENCHAPES</t>
        </is>
      </c>
    </row>
    <row r="1274">
      <c r="A1274" s="564" t="n"/>
      <c r="B1274" s="158" t="inlineStr">
        <is>
          <t>MAT17-0044</t>
        </is>
      </c>
      <c r="C1274" s="558" t="inlineStr">
        <is>
          <t>0117-0044</t>
        </is>
      </c>
      <c r="D1274" s="158" t="inlineStr">
        <is>
          <t>CERAMICA BRUNI GRIS CLARO  55X55</t>
        </is>
      </c>
      <c r="E1274" s="158" t="inlineStr">
        <is>
          <t>M2</t>
        </is>
      </c>
      <c r="F1274" s="158" t="inlineStr">
        <is>
          <t>MATERIALES</t>
        </is>
      </c>
      <c r="G1274" s="158" t="inlineStr">
        <is>
          <t>PISOS Y ENCHAPES</t>
        </is>
      </c>
    </row>
    <row r="1275">
      <c r="A1275" s="564" t="n"/>
      <c r="B1275" s="158" t="inlineStr">
        <is>
          <t>MAT17-0045</t>
        </is>
      </c>
      <c r="C1275" s="558" t="inlineStr">
        <is>
          <t>0117-0045</t>
        </is>
      </c>
      <c r="D1275" s="158" t="inlineStr">
        <is>
          <t>CERAMICA AZ.BRUNI GRIS CLARO 30X60</t>
        </is>
      </c>
      <c r="E1275" s="158" t="inlineStr">
        <is>
          <t>M2</t>
        </is>
      </c>
      <c r="F1275" s="158" t="inlineStr">
        <is>
          <t>MATERIALES</t>
        </is>
      </c>
      <c r="G1275" s="158" t="inlineStr">
        <is>
          <t>PISOS Y ENCHAPES</t>
        </is>
      </c>
    </row>
    <row r="1276">
      <c r="A1276" s="564" t="n"/>
      <c r="B1276" s="158" t="inlineStr">
        <is>
          <t>MAT17-0046</t>
        </is>
      </c>
      <c r="C1276" s="558" t="inlineStr">
        <is>
          <t>0117-0046</t>
        </is>
      </c>
      <c r="D1276" s="158" t="inlineStr">
        <is>
          <t>CERAMICA DIAMANTE CELESTINI 60X60</t>
        </is>
      </c>
      <c r="E1276" s="158" t="inlineStr">
        <is>
          <t>M2</t>
        </is>
      </c>
      <c r="F1276" s="158" t="inlineStr">
        <is>
          <t>MATERIALES</t>
        </is>
      </c>
      <c r="G1276" s="158" t="inlineStr">
        <is>
          <t>PISOS Y ENCHAPES</t>
        </is>
      </c>
    </row>
    <row r="1277">
      <c r="A1277" s="564" t="n"/>
      <c r="B1277" s="158" t="inlineStr">
        <is>
          <t>MAT17-0047</t>
        </is>
      </c>
      <c r="C1277" s="558" t="inlineStr">
        <is>
          <t>0117-0047</t>
        </is>
      </c>
      <c r="D1277" s="158" t="inlineStr">
        <is>
          <t>CERAMICA RIALTO FD BEIGE</t>
        </is>
      </c>
      <c r="E1277" s="158" t="inlineStr">
        <is>
          <t>M2</t>
        </is>
      </c>
      <c r="F1277" s="158" t="inlineStr">
        <is>
          <t>MATERIALES</t>
        </is>
      </c>
      <c r="G1277" s="158" t="inlineStr">
        <is>
          <t>PISOS Y ENCHAPES</t>
        </is>
      </c>
    </row>
    <row r="1278">
      <c r="A1278" s="564" t="n"/>
      <c r="B1278" s="158" t="inlineStr">
        <is>
          <t>MAT17-0048</t>
        </is>
      </c>
      <c r="C1278" s="558" t="inlineStr">
        <is>
          <t>0117-0048</t>
        </is>
      </c>
      <c r="D1278" s="158" t="inlineStr">
        <is>
          <t>CERAMICA CONSTANZA BEIGE</t>
        </is>
      </c>
      <c r="E1278" s="158" t="inlineStr">
        <is>
          <t>M2</t>
        </is>
      </c>
      <c r="F1278" s="158" t="inlineStr">
        <is>
          <t>MATERIALES</t>
        </is>
      </c>
      <c r="G1278" s="158" t="inlineStr">
        <is>
          <t>PISOS Y ENCHAPES</t>
        </is>
      </c>
    </row>
    <row r="1279">
      <c r="A1279" s="564" t="n"/>
      <c r="B1279" s="158" t="inlineStr">
        <is>
          <t>MAT17-0049</t>
        </is>
      </c>
      <c r="C1279" s="558" t="inlineStr">
        <is>
          <t>0117-0049</t>
        </is>
      </c>
      <c r="D1279" s="158" t="inlineStr">
        <is>
          <t>CERAMICA CEJATEL CONCRET GRAY 60X60</t>
        </is>
      </c>
      <c r="E1279" s="158" t="inlineStr">
        <is>
          <t>M2</t>
        </is>
      </c>
      <c r="F1279" s="158" t="inlineStr">
        <is>
          <t>MATERIALES</t>
        </is>
      </c>
      <c r="G1279" s="158" t="inlineStr">
        <is>
          <t>PISOS Y ENCHAPES</t>
        </is>
      </c>
    </row>
    <row r="1280">
      <c r="A1280" s="564" t="n"/>
      <c r="B1280" s="158" t="inlineStr">
        <is>
          <t>MAT17-0050</t>
        </is>
      </c>
      <c r="C1280" s="558" t="inlineStr">
        <is>
          <t>0117-0050</t>
        </is>
      </c>
      <c r="D1280" s="158" t="inlineStr">
        <is>
          <t>CERAMICA LEF BALTIMORE 57X57</t>
        </is>
      </c>
      <c r="E1280" s="158" t="inlineStr">
        <is>
          <t>M2</t>
        </is>
      </c>
      <c r="F1280" s="158" t="inlineStr">
        <is>
          <t>MATERIALES</t>
        </is>
      </c>
      <c r="G1280" s="158" t="inlineStr">
        <is>
          <t>PISOS Y ENCHAPES</t>
        </is>
      </c>
    </row>
    <row r="1281">
      <c r="A1281" s="564" t="n"/>
      <c r="B1281" s="158" t="inlineStr">
        <is>
          <t>MAT17-0051</t>
        </is>
      </c>
      <c r="C1281" s="558" t="inlineStr">
        <is>
          <t>0117-0051</t>
        </is>
      </c>
      <c r="D1281" s="158" t="inlineStr">
        <is>
          <t>CERAMICA AZ E.C. HX6306 BLANCO MATE 30X60 RECT TA108</t>
        </is>
      </c>
      <c r="E1281" s="158" t="inlineStr">
        <is>
          <t>M2</t>
        </is>
      </c>
      <c r="F1281" s="158" t="inlineStr">
        <is>
          <t>MATERIALES</t>
        </is>
      </c>
      <c r="G1281" s="158" t="inlineStr">
        <is>
          <t>PISOS Y ENCHAPES</t>
        </is>
      </c>
    </row>
    <row r="1282">
      <c r="A1282" s="564" t="n"/>
      <c r="B1282" s="158" t="inlineStr">
        <is>
          <t>MAT17-0052</t>
        </is>
      </c>
      <c r="C1282" s="558" t="inlineStr">
        <is>
          <t>0117-0052</t>
        </is>
      </c>
      <c r="D1282" s="158" t="inlineStr">
        <is>
          <t>PORCELANATO ARGENTA CORE CONCRETE TODO MASA 60X60 RECT</t>
        </is>
      </c>
      <c r="E1282" s="158" t="inlineStr">
        <is>
          <t>M2</t>
        </is>
      </c>
      <c r="F1282" s="158" t="inlineStr">
        <is>
          <t>MATERIALES</t>
        </is>
      </c>
      <c r="G1282" s="158" t="inlineStr">
        <is>
          <t>PISOS Y ENCHAPES</t>
        </is>
      </c>
    </row>
    <row r="1283">
      <c r="A1283" s="564" t="n"/>
      <c r="B1283" s="158" t="inlineStr">
        <is>
          <t>MAT17-0053</t>
        </is>
      </c>
      <c r="C1283" s="558" t="inlineStr">
        <is>
          <t>0117-0053</t>
        </is>
      </c>
      <c r="D1283" s="158" t="inlineStr">
        <is>
          <t>CERAMICA AZ DUNE VOGA BLANCO MATE 7.5X30 T5 (D)</t>
        </is>
      </c>
      <c r="E1283" s="158" t="inlineStr">
        <is>
          <t>M2</t>
        </is>
      </c>
      <c r="F1283" s="158" t="inlineStr">
        <is>
          <t>MATERIALES</t>
        </is>
      </c>
      <c r="G1283" s="158" t="inlineStr">
        <is>
          <t>PISOS Y ENCHAPES</t>
        </is>
      </c>
    </row>
    <row r="1284">
      <c r="A1284" s="564" t="n"/>
      <c r="B1284" s="158" t="inlineStr">
        <is>
          <t>MAT17-0054</t>
        </is>
      </c>
      <c r="C1284" s="558" t="inlineStr">
        <is>
          <t>0117-0054</t>
        </is>
      </c>
      <c r="D1284" s="158" t="inlineStr">
        <is>
          <t>PORCELANATO BENADRESA LOUNGE ASH 60X120 RECT TPN</t>
        </is>
      </c>
      <c r="E1284" s="158" t="inlineStr">
        <is>
          <t>M2</t>
        </is>
      </c>
      <c r="F1284" s="158" t="inlineStr">
        <is>
          <t>MATERIALES</t>
        </is>
      </c>
      <c r="G1284" s="158" t="inlineStr">
        <is>
          <t>PISOS Y ENCHAPES</t>
        </is>
      </c>
    </row>
    <row r="1285">
      <c r="A1285" s="564" t="n"/>
      <c r="B1285" s="158" t="inlineStr">
        <is>
          <t>MAT17-0055</t>
        </is>
      </c>
      <c r="C1285" s="558" t="inlineStr">
        <is>
          <t>0117-0055</t>
        </is>
      </c>
      <c r="D1285" s="158" t="inlineStr">
        <is>
          <t>CERAMICA AZ GEOTILES ISOLA BLANCO 33.3X100 TYNJ3 C44</t>
        </is>
      </c>
      <c r="E1285" s="158" t="inlineStr">
        <is>
          <t>M2</t>
        </is>
      </c>
      <c r="F1285" s="158" t="inlineStr">
        <is>
          <t>MATERIALES</t>
        </is>
      </c>
      <c r="G1285" s="158" t="inlineStr">
        <is>
          <t>PISOS Y ENCHAPES</t>
        </is>
      </c>
    </row>
    <row r="1286">
      <c r="A1286" s="564" t="n"/>
      <c r="B1286" s="158" t="inlineStr">
        <is>
          <t>MAT17-0056</t>
        </is>
      </c>
      <c r="C1286" s="558" t="inlineStr">
        <is>
          <t>0117-0056</t>
        </is>
      </c>
      <c r="D1286" s="158" t="inlineStr">
        <is>
          <t>CERAMICA AZ STRADONE HUESO 30X60</t>
        </is>
      </c>
      <c r="E1286" s="158" t="inlineStr">
        <is>
          <t>M2</t>
        </is>
      </c>
      <c r="F1286" s="158" t="inlineStr">
        <is>
          <t>MATERIALES</t>
        </is>
      </c>
      <c r="G1286" s="158" t="inlineStr">
        <is>
          <t>PISOS Y ENCHAPES</t>
        </is>
      </c>
    </row>
    <row r="1287">
      <c r="A1287" s="564" t="n"/>
      <c r="B1287" s="158" t="inlineStr">
        <is>
          <t>MAT17-0057</t>
        </is>
      </c>
      <c r="C1287" s="558" t="inlineStr">
        <is>
          <t>0117-0057</t>
        </is>
      </c>
      <c r="D1287" s="158" t="inlineStr">
        <is>
          <t>CERAMICA AZ STRADONE GRIS 30X60</t>
        </is>
      </c>
      <c r="E1287" s="158" t="inlineStr">
        <is>
          <t>M2</t>
        </is>
      </c>
      <c r="F1287" s="158" t="inlineStr">
        <is>
          <t>MATERIALES</t>
        </is>
      </c>
      <c r="G1287" s="158" t="inlineStr">
        <is>
          <t>PISOS Y ENCHAPES</t>
        </is>
      </c>
    </row>
    <row r="1288">
      <c r="A1288" s="564" t="n"/>
      <c r="B1288" s="158" t="inlineStr">
        <is>
          <t>MAT17-0058</t>
        </is>
      </c>
      <c r="C1288" s="558" t="inlineStr">
        <is>
          <t>0117-0058</t>
        </is>
      </c>
      <c r="D1288" s="158" t="inlineStr">
        <is>
          <t>CERAMICA TORAZZO</t>
        </is>
      </c>
      <c r="E1288" s="158" t="inlineStr">
        <is>
          <t>M2</t>
        </is>
      </c>
      <c r="F1288" s="158" t="inlineStr">
        <is>
          <t>MATERIALES</t>
        </is>
      </c>
      <c r="G1288" s="158" t="inlineStr">
        <is>
          <t>PISOS Y ENCHAPES</t>
        </is>
      </c>
    </row>
    <row r="1289">
      <c r="A1289" s="564" t="n"/>
      <c r="B1289" s="158" t="inlineStr">
        <is>
          <t>MAT17-0059</t>
        </is>
      </c>
      <c r="C1289" s="558" t="inlineStr">
        <is>
          <t>0117-0059</t>
        </is>
      </c>
      <c r="D1289" s="158" t="inlineStr">
        <is>
          <t>CERAMICA MONASTERIO HUMO</t>
        </is>
      </c>
      <c r="E1289" s="158" t="inlineStr">
        <is>
          <t>M2</t>
        </is>
      </c>
      <c r="F1289" s="158" t="inlineStr">
        <is>
          <t>MATERIALES</t>
        </is>
      </c>
      <c r="G1289" s="158" t="inlineStr">
        <is>
          <t>PISOS Y ENCHAPES</t>
        </is>
      </c>
    </row>
    <row r="1290">
      <c r="A1290" s="564" t="n"/>
      <c r="B1290" s="158" t="inlineStr">
        <is>
          <t>MAT17-0060</t>
        </is>
      </c>
      <c r="C1290" s="558" t="inlineStr">
        <is>
          <t>0117-0060</t>
        </is>
      </c>
      <c r="D1290" s="158" t="inlineStr">
        <is>
          <t>CERAMICA DUBLIN GRIS 20X62</t>
        </is>
      </c>
      <c r="E1290" s="158" t="inlineStr">
        <is>
          <t>M2</t>
        </is>
      </c>
      <c r="F1290" s="158" t="inlineStr">
        <is>
          <t>MATERIALES</t>
        </is>
      </c>
      <c r="G1290" s="158" t="inlineStr">
        <is>
          <t>PISOS Y ENCHAPES</t>
        </is>
      </c>
    </row>
    <row r="1291">
      <c r="A1291" s="564" t="n"/>
      <c r="B1291" s="158" t="inlineStr">
        <is>
          <t>MAT17-0061</t>
        </is>
      </c>
      <c r="C1291" s="558" t="inlineStr">
        <is>
          <t>0117-0061</t>
        </is>
      </c>
      <c r="D1291" s="158" t="inlineStr">
        <is>
          <t>PORCELANATO VITACER PUBLIC GREY 59.5X59.5</t>
        </is>
      </c>
      <c r="E1291" s="158" t="inlineStr">
        <is>
          <t>M2</t>
        </is>
      </c>
      <c r="F1291" s="158" t="inlineStr">
        <is>
          <t>MATERIALES</t>
        </is>
      </c>
      <c r="G1291" s="158" t="inlineStr">
        <is>
          <t>PISOS Y ENCHAPES</t>
        </is>
      </c>
    </row>
    <row r="1292">
      <c r="A1292" s="564" t="n"/>
      <c r="B1292" s="158" t="inlineStr">
        <is>
          <t>MAT17-0062</t>
        </is>
      </c>
      <c r="C1292" s="558" t="inlineStr">
        <is>
          <t>0117-0062</t>
        </is>
      </c>
      <c r="D1292" s="158" t="inlineStr">
        <is>
          <t>PORCELANATO VITACER PUBLIC ANTRACITE 59.5X59.5</t>
        </is>
      </c>
      <c r="E1292" s="158" t="inlineStr">
        <is>
          <t>M2</t>
        </is>
      </c>
      <c r="F1292" s="158" t="inlineStr">
        <is>
          <t>MATERIALES</t>
        </is>
      </c>
      <c r="G1292" s="158" t="inlineStr">
        <is>
          <t>PISOS Y ENCHAPES</t>
        </is>
      </c>
    </row>
    <row r="1293">
      <c r="A1293" s="564" t="n"/>
      <c r="B1293" s="158" t="inlineStr">
        <is>
          <t>MAT17-0063</t>
        </is>
      </c>
      <c r="C1293" s="558" t="inlineStr">
        <is>
          <t>0117-0063</t>
        </is>
      </c>
      <c r="D1293" s="158" t="inlineStr">
        <is>
          <t>PORCELANATO BALDOCER T. MADERA BAL MARYLAND HAYA RECT 20X114</t>
        </is>
      </c>
      <c r="E1293" s="158" t="inlineStr">
        <is>
          <t>M2</t>
        </is>
      </c>
      <c r="F1293" s="158" t="inlineStr">
        <is>
          <t>MATERIALES</t>
        </is>
      </c>
      <c r="G1293" s="158" t="inlineStr">
        <is>
          <t>PISOS Y ENCHAPES</t>
        </is>
      </c>
    </row>
    <row r="1294">
      <c r="A1294" s="564" t="n"/>
      <c r="B1294" s="158" t="inlineStr">
        <is>
          <t>MAT17-0064</t>
        </is>
      </c>
      <c r="C1294" s="558" t="inlineStr">
        <is>
          <t>0117-0064</t>
        </is>
      </c>
      <c r="D1294" s="158" t="inlineStr">
        <is>
          <t>CERAMICA AZ ARGENTA LIGHTSTONE WHITE SCOORE 30X90</t>
        </is>
      </c>
      <c r="E1294" s="158" t="inlineStr">
        <is>
          <t>M2</t>
        </is>
      </c>
      <c r="F1294" s="158" t="inlineStr">
        <is>
          <t>MATERIALES</t>
        </is>
      </c>
      <c r="G1294" s="158" t="inlineStr">
        <is>
          <t>PISOS Y ENCHAPES</t>
        </is>
      </c>
    </row>
    <row r="1295">
      <c r="A1295" s="564" t="n"/>
      <c r="B1295" s="158" t="inlineStr">
        <is>
          <t>MAT17-0065</t>
        </is>
      </c>
      <c r="C1295" s="558" t="inlineStr">
        <is>
          <t>0117-0065</t>
        </is>
      </c>
      <c r="D1295" s="158" t="inlineStr">
        <is>
          <t>CERAMICA DALTILE ARDESIA LIGHT GRAY RECT 60X120</t>
        </is>
      </c>
      <c r="E1295" s="158" t="inlineStr">
        <is>
          <t>M2</t>
        </is>
      </c>
      <c r="F1295" s="158" t="inlineStr">
        <is>
          <t>MATERIALES</t>
        </is>
      </c>
      <c r="G1295" s="158" t="inlineStr">
        <is>
          <t>PISOS Y ENCHAPES</t>
        </is>
      </c>
    </row>
    <row r="1296">
      <c r="A1296" s="564" t="n"/>
      <c r="B1296" s="158" t="inlineStr">
        <is>
          <t>MAT17-0066</t>
        </is>
      </c>
      <c r="C1296" s="558" t="inlineStr">
        <is>
          <t>0117-0066</t>
        </is>
      </c>
      <c r="D1296" s="158" t="inlineStr">
        <is>
          <t>TABLA TEK TABLILLA</t>
        </is>
      </c>
      <c r="E1296" s="158" t="inlineStr">
        <is>
          <t>CAJA</t>
        </is>
      </c>
      <c r="F1296" s="158" t="inlineStr">
        <is>
          <t>MATERIALES</t>
        </is>
      </c>
      <c r="G1296" s="158" t="inlineStr">
        <is>
          <t>PISOS Y ENCHAPES</t>
        </is>
      </c>
    </row>
    <row r="1297">
      <c r="A1297" s="564" t="n"/>
      <c r="B1297" s="158" t="inlineStr">
        <is>
          <t>MAT17-0067</t>
        </is>
      </c>
      <c r="C1297" s="558" t="inlineStr">
        <is>
          <t>0117-0067</t>
        </is>
      </c>
      <c r="D1297" s="158" t="inlineStr">
        <is>
          <t>PORCELANATO SOFT CARRARA MATE 60X120</t>
        </is>
      </c>
      <c r="E1297" s="158" t="inlineStr">
        <is>
          <t>M2</t>
        </is>
      </c>
      <c r="F1297" s="158" t="inlineStr">
        <is>
          <t>MATERIALES</t>
        </is>
      </c>
      <c r="G1297" s="158" t="inlineStr">
        <is>
          <t>PISOS Y ENCHAPES</t>
        </is>
      </c>
    </row>
    <row r="1298">
      <c r="A1298" s="564" t="n"/>
      <c r="B1298" s="158" t="inlineStr">
        <is>
          <t>MAT17-0068</t>
        </is>
      </c>
      <c r="C1298" s="558" t="inlineStr">
        <is>
          <t>0117-0068</t>
        </is>
      </c>
      <c r="D1298" s="158" t="inlineStr">
        <is>
          <t>PORCELANATO VOLTE WHITE T.MADERA 30X150</t>
        </is>
      </c>
      <c r="E1298" s="158" t="inlineStr">
        <is>
          <t>M2</t>
        </is>
      </c>
      <c r="F1298" s="158" t="inlineStr">
        <is>
          <t>MATERIALES</t>
        </is>
      </c>
      <c r="G1298" s="158" t="inlineStr">
        <is>
          <t>PISOS Y ENCHAPES</t>
        </is>
      </c>
    </row>
    <row r="1299">
      <c r="A1299" s="564" t="n"/>
      <c r="B1299" s="158" t="inlineStr">
        <is>
          <t>MAT17-0069</t>
        </is>
      </c>
      <c r="C1299" s="558" t="inlineStr">
        <is>
          <t>0117-0069</t>
        </is>
      </c>
      <c r="D1299" s="158" t="inlineStr">
        <is>
          <t>CERAMICA SENOIA GRIS 30X45</t>
        </is>
      </c>
      <c r="E1299" s="158" t="inlineStr">
        <is>
          <t>M2</t>
        </is>
      </c>
      <c r="F1299" s="158" t="inlineStr">
        <is>
          <t>MATERIALES</t>
        </is>
      </c>
      <c r="G1299" s="158" t="inlineStr">
        <is>
          <t>PISOS Y ENCHAPES</t>
        </is>
      </c>
    </row>
    <row r="1300">
      <c r="A1300" s="564" t="n"/>
      <c r="B1300" s="158" t="inlineStr">
        <is>
          <t>MAT17-0070</t>
        </is>
      </c>
      <c r="C1300" s="558" t="inlineStr">
        <is>
          <t>0117-0070</t>
        </is>
      </c>
      <c r="D1300" s="158" t="inlineStr">
        <is>
          <t>CERAMICA 62HDA22 BEIGE</t>
        </is>
      </c>
      <c r="E1300" s="158" t="inlineStr">
        <is>
          <t>M2</t>
        </is>
      </c>
      <c r="F1300" s="158" t="inlineStr">
        <is>
          <t>MATERIALES</t>
        </is>
      </c>
      <c r="G1300" s="158" t="inlineStr">
        <is>
          <t>PISOS Y ENCHAPES</t>
        </is>
      </c>
    </row>
    <row r="1301">
      <c r="A1301" s="564" t="n"/>
      <c r="B1301" s="158" t="inlineStr">
        <is>
          <t>MAT17-0071</t>
        </is>
      </c>
      <c r="C1301" s="558" t="inlineStr">
        <is>
          <t>0117-0071</t>
        </is>
      </c>
      <c r="D1301" s="158" t="inlineStr">
        <is>
          <t>CERAMICA 170076 HD GRIS</t>
        </is>
      </c>
      <c r="E1301" s="158" t="inlineStr">
        <is>
          <t>M2</t>
        </is>
      </c>
      <c r="F1301" s="158" t="inlineStr">
        <is>
          <t>MATERIALES</t>
        </is>
      </c>
      <c r="G1301" s="158" t="inlineStr">
        <is>
          <t>PISOS Y ENCHAPES</t>
        </is>
      </c>
    </row>
    <row r="1302">
      <c r="A1302" s="564" t="n"/>
      <c r="B1302" s="158" t="inlineStr">
        <is>
          <t>MAT17-0072</t>
        </is>
      </c>
      <c r="C1302" s="558" t="inlineStr">
        <is>
          <t>0117-0072</t>
        </is>
      </c>
      <c r="D1302" s="158" t="inlineStr">
        <is>
          <t>CERAMICA GRES GROUND 60X60</t>
        </is>
      </c>
      <c r="E1302" s="158" t="inlineStr">
        <is>
          <t>M2</t>
        </is>
      </c>
      <c r="F1302" s="158" t="inlineStr">
        <is>
          <t>MATERIALES</t>
        </is>
      </c>
      <c r="G1302" s="158" t="inlineStr">
        <is>
          <t>PISOS Y ENCHAPES</t>
        </is>
      </c>
    </row>
    <row r="1303">
      <c r="A1303" s="564" t="n"/>
      <c r="B1303" s="158" t="inlineStr">
        <is>
          <t>MAT17-0073</t>
        </is>
      </c>
      <c r="C1303" s="558" t="inlineStr">
        <is>
          <t>0117-0073</t>
        </is>
      </c>
      <c r="D1303" s="158" t="inlineStr">
        <is>
          <t>CERAMICA 60021 60X60</t>
        </is>
      </c>
      <c r="E1303" s="158" t="inlineStr">
        <is>
          <t>M2</t>
        </is>
      </c>
      <c r="F1303" s="158" t="inlineStr">
        <is>
          <t>MATERIALES</t>
        </is>
      </c>
      <c r="G1303" s="158" t="inlineStr">
        <is>
          <t>PISOS Y ENCHAPES</t>
        </is>
      </c>
    </row>
    <row r="1304">
      <c r="A1304" s="564" t="n"/>
      <c r="B1304" s="158" t="inlineStr">
        <is>
          <t>MAT17-0074</t>
        </is>
      </c>
      <c r="C1304" s="558" t="inlineStr">
        <is>
          <t>0117-0074</t>
        </is>
      </c>
      <c r="D1304" s="158" t="inlineStr">
        <is>
          <t>CERAMICA ALTAR GRIS</t>
        </is>
      </c>
      <c r="E1304" s="158" t="inlineStr">
        <is>
          <t>M2</t>
        </is>
      </c>
      <c r="F1304" s="158" t="inlineStr">
        <is>
          <t>MATERIALES</t>
        </is>
      </c>
      <c r="G1304" s="158" t="inlineStr">
        <is>
          <t>PISOS Y ENCHAPES</t>
        </is>
      </c>
    </row>
    <row r="1305">
      <c r="A1305" s="564" t="n"/>
      <c r="B1305" s="158" t="inlineStr">
        <is>
          <t>MAT17-0075</t>
        </is>
      </c>
      <c r="C1305" s="558" t="inlineStr">
        <is>
          <t>0117-0075</t>
        </is>
      </c>
      <c r="D1305" s="158" t="inlineStr">
        <is>
          <t>CERAMICA AMBAR BRILLO 60X60</t>
        </is>
      </c>
      <c r="E1305" s="158" t="inlineStr">
        <is>
          <t>M2</t>
        </is>
      </c>
      <c r="F1305" s="158" t="inlineStr">
        <is>
          <t>MATERIALES</t>
        </is>
      </c>
      <c r="G1305" s="158" t="inlineStr">
        <is>
          <t>PISOS Y ENCHAPES</t>
        </is>
      </c>
    </row>
    <row r="1306">
      <c r="A1306" s="564" t="n"/>
      <c r="B1306" s="158" t="inlineStr">
        <is>
          <t>MAT17-0076</t>
        </is>
      </c>
      <c r="C1306" s="558" t="inlineStr">
        <is>
          <t>0117-0076</t>
        </is>
      </c>
      <c r="D1306" s="158" t="inlineStr">
        <is>
          <t>CERAMICA DIAMANTE PERLADO</t>
        </is>
      </c>
      <c r="E1306" s="158" t="inlineStr">
        <is>
          <t>M2</t>
        </is>
      </c>
      <c r="F1306" s="158" t="inlineStr">
        <is>
          <t>MATERIALES</t>
        </is>
      </c>
      <c r="G1306" s="158" t="inlineStr">
        <is>
          <t>PISOS Y ENCHAPES</t>
        </is>
      </c>
    </row>
    <row r="1307">
      <c r="A1307" s="564" t="n"/>
      <c r="B1307" s="158" t="inlineStr">
        <is>
          <t>MAT17-0077</t>
        </is>
      </c>
      <c r="C1307" s="558" t="inlineStr">
        <is>
          <t>0117-0077</t>
        </is>
      </c>
      <c r="D1307" s="158" t="inlineStr">
        <is>
          <t>CERAMICA OTRANTO TERRA</t>
        </is>
      </c>
      <c r="E1307" s="158" t="inlineStr">
        <is>
          <t>M2</t>
        </is>
      </c>
      <c r="F1307" s="158" t="inlineStr">
        <is>
          <t>MATERIALES</t>
        </is>
      </c>
      <c r="G1307" s="158" t="inlineStr">
        <is>
          <t>PISOS Y ENCHAPES</t>
        </is>
      </c>
    </row>
    <row r="1308">
      <c r="A1308" s="564" t="n"/>
      <c r="B1308" s="158" t="inlineStr">
        <is>
          <t>MAT17-0078</t>
        </is>
      </c>
      <c r="C1308" s="558" t="inlineStr">
        <is>
          <t>0117-0078</t>
        </is>
      </c>
      <c r="D1308" s="158" t="inlineStr">
        <is>
          <t>CERAMICA MACERATA WENGUE 30X60</t>
        </is>
      </c>
      <c r="E1308" s="158" t="inlineStr">
        <is>
          <t>M2</t>
        </is>
      </c>
      <c r="F1308" s="158" t="inlineStr">
        <is>
          <t>MATERIALES</t>
        </is>
      </c>
      <c r="G1308" s="158" t="inlineStr">
        <is>
          <t>PISOS Y ENCHAPES</t>
        </is>
      </c>
    </row>
    <row r="1309">
      <c r="A1309" s="564" t="n"/>
      <c r="B1309" s="158" t="inlineStr">
        <is>
          <t>MAT17-0079</t>
        </is>
      </c>
      <c r="C1309" s="558" t="inlineStr">
        <is>
          <t>0117-0079</t>
        </is>
      </c>
      <c r="D1309" s="158" t="inlineStr">
        <is>
          <t>CERAMICA MADERA ZEBRANO OSCURO 25X75</t>
        </is>
      </c>
      <c r="E1309" s="158" t="inlineStr">
        <is>
          <t>M2</t>
        </is>
      </c>
      <c r="F1309" s="158" t="inlineStr">
        <is>
          <t>MATERIALES</t>
        </is>
      </c>
      <c r="G1309" s="158" t="inlineStr">
        <is>
          <t>PISOS Y ENCHAPES</t>
        </is>
      </c>
    </row>
    <row r="1310">
      <c r="A1310" s="564" t="n"/>
      <c r="B1310" s="158" t="inlineStr">
        <is>
          <t>MAT17-0080</t>
        </is>
      </c>
      <c r="C1310" s="558" t="inlineStr">
        <is>
          <t>0117-0080</t>
        </is>
      </c>
      <c r="D1310" s="158" t="inlineStr">
        <is>
          <t>CERAMICA MADERA KATIA 25X75</t>
        </is>
      </c>
      <c r="E1310" s="158" t="inlineStr">
        <is>
          <t>M2</t>
        </is>
      </c>
      <c r="F1310" s="158" t="inlineStr">
        <is>
          <t>MATERIALES</t>
        </is>
      </c>
      <c r="G1310" s="158" t="inlineStr">
        <is>
          <t>PISOS Y ENCHAPES</t>
        </is>
      </c>
    </row>
    <row r="1311">
      <c r="A1311" s="564" t="n"/>
      <c r="B1311" s="158" t="inlineStr">
        <is>
          <t>MAT17-0081</t>
        </is>
      </c>
      <c r="C1311" s="558" t="inlineStr">
        <is>
          <t>0117-0081</t>
        </is>
      </c>
      <c r="D1311" s="158" t="inlineStr">
        <is>
          <t>CERAMICA MOSAICO PEBBLE LOMBOK</t>
        </is>
      </c>
      <c r="E1311" s="158" t="inlineStr">
        <is>
          <t>M2</t>
        </is>
      </c>
      <c r="F1311" s="158" t="inlineStr">
        <is>
          <t>MATERIALES</t>
        </is>
      </c>
      <c r="G1311" s="158" t="inlineStr">
        <is>
          <t>PISOS Y ENCHAPES</t>
        </is>
      </c>
    </row>
    <row r="1312">
      <c r="A1312" s="564" t="n"/>
      <c r="B1312" s="158" t="inlineStr">
        <is>
          <t>MAT17-0082</t>
        </is>
      </c>
      <c r="C1312" s="558" t="inlineStr">
        <is>
          <t>0117-0082</t>
        </is>
      </c>
      <c r="D1312" s="158" t="inlineStr">
        <is>
          <t>PORCELANATO AKABA WHITE 20X122</t>
        </is>
      </c>
      <c r="E1312" s="158" t="inlineStr">
        <is>
          <t>M2</t>
        </is>
      </c>
      <c r="F1312" s="158" t="inlineStr">
        <is>
          <t>MATERIALES</t>
        </is>
      </c>
      <c r="G1312" s="158" t="inlineStr">
        <is>
          <t>PISOS Y ENCHAPES</t>
        </is>
      </c>
    </row>
    <row r="1313">
      <c r="A1313" s="564" t="n"/>
      <c r="B1313" s="158" t="inlineStr">
        <is>
          <t>MAT17-0083</t>
        </is>
      </c>
      <c r="C1313" s="558" t="inlineStr">
        <is>
          <t>0117-0083</t>
        </is>
      </c>
      <c r="D1313" s="158" t="inlineStr">
        <is>
          <t>PISO DALTILE T MADERA CASTAÑO 18X50</t>
        </is>
      </c>
      <c r="E1313" s="158" t="inlineStr">
        <is>
          <t>M2</t>
        </is>
      </c>
      <c r="F1313" s="158" t="inlineStr">
        <is>
          <t>MATERIALES</t>
        </is>
      </c>
      <c r="G1313" s="158" t="inlineStr">
        <is>
          <t>PISOS Y ENCHAPES</t>
        </is>
      </c>
    </row>
    <row r="1314">
      <c r="A1314" s="564" t="n"/>
      <c r="B1314" s="158" t="inlineStr">
        <is>
          <t>MAT17-0084</t>
        </is>
      </c>
      <c r="C1314" s="558" t="inlineStr">
        <is>
          <t>0117-0084</t>
        </is>
      </c>
      <c r="D1314" s="158" t="inlineStr">
        <is>
          <t>PISO BRAZIL 52.5X52.5 1.93</t>
        </is>
      </c>
      <c r="E1314" s="158" t="inlineStr">
        <is>
          <t>M2</t>
        </is>
      </c>
      <c r="F1314" s="158" t="inlineStr">
        <is>
          <t>MATERIALES</t>
        </is>
      </c>
      <c r="G1314" s="158" t="inlineStr">
        <is>
          <t>PISOS Y ENCHAPES</t>
        </is>
      </c>
    </row>
    <row r="1315">
      <c r="A1315" s="564" t="n"/>
      <c r="B1315" s="158" t="inlineStr">
        <is>
          <t>MAT17-0085</t>
        </is>
      </c>
      <c r="C1315" s="558" t="inlineStr">
        <is>
          <t>0117-0085</t>
        </is>
      </c>
      <c r="D1315" s="158" t="inlineStr">
        <is>
          <t>PISO DALTILE ARDESIA LIGHT GRAY (GA10) RECT 60X120 T8550 C1 (A) CABYS-373000000100</t>
        </is>
      </c>
      <c r="E1315" s="158" t="inlineStr">
        <is>
          <t>M2</t>
        </is>
      </c>
      <c r="F1315" s="158" t="inlineStr">
        <is>
          <t>MATERIALES</t>
        </is>
      </c>
      <c r="G1315" s="158" t="inlineStr">
        <is>
          <t>PISOS Y ENCHAPES</t>
        </is>
      </c>
    </row>
    <row r="1316">
      <c r="A1316" s="564" t="n"/>
      <c r="B1316" s="158" t="inlineStr">
        <is>
          <t>MAT17-0086</t>
        </is>
      </c>
      <c r="C1316" s="558" t="inlineStr">
        <is>
          <t>0117-0086</t>
        </is>
      </c>
      <c r="D1316" s="158" t="inlineStr">
        <is>
          <t>PISO PORCELANATO BALDOCER T. MADERA BAL MARYLAND HAYA RECT 20X114 TNV CABYS-3737000000100</t>
        </is>
      </c>
      <c r="E1316" s="158" t="inlineStr">
        <is>
          <t>M2</t>
        </is>
      </c>
      <c r="F1316" s="158" t="inlineStr">
        <is>
          <t>MATERIALES</t>
        </is>
      </c>
      <c r="G1316" s="158" t="inlineStr">
        <is>
          <t>PISOS Y ENCHAPES</t>
        </is>
      </c>
    </row>
    <row r="1317">
      <c r="A1317" s="564" t="n"/>
      <c r="B1317" s="158" t="inlineStr">
        <is>
          <t>MAT17-0087</t>
        </is>
      </c>
      <c r="C1317" s="558" t="inlineStr">
        <is>
          <t>0117-0087</t>
        </is>
      </c>
      <c r="D1317" s="158" t="inlineStr">
        <is>
          <t>CERAMICA</t>
        </is>
      </c>
      <c r="E1317" s="158" t="inlineStr">
        <is>
          <t>M2</t>
        </is>
      </c>
      <c r="F1317" s="158" t="inlineStr">
        <is>
          <t>MATERIALES</t>
        </is>
      </c>
      <c r="G1317" s="158" t="inlineStr">
        <is>
          <t>PISOS Y ENCHAPES</t>
        </is>
      </c>
    </row>
    <row r="1318">
      <c r="A1318" s="564" t="n"/>
      <c r="B1318" s="158" t="inlineStr">
        <is>
          <t>MAT17-0088</t>
        </is>
      </c>
      <c r="C1318" s="558" t="inlineStr">
        <is>
          <t>0117-0088</t>
        </is>
      </c>
      <c r="D1318" s="158" t="inlineStr">
        <is>
          <t>PISO AVANA GRIS 60X60</t>
        </is>
      </c>
      <c r="E1318" s="158" t="inlineStr">
        <is>
          <t>M2</t>
        </is>
      </c>
      <c r="F1318" s="158" t="inlineStr">
        <is>
          <t>MATERIALES</t>
        </is>
      </c>
      <c r="G1318" s="158" t="inlineStr">
        <is>
          <t>PISOS Y ENCHAPES</t>
        </is>
      </c>
    </row>
    <row r="1319">
      <c r="A1319" s="564" t="n"/>
      <c r="B1319" s="158" t="inlineStr">
        <is>
          <t>MAT17-0089</t>
        </is>
      </c>
      <c r="C1319" s="558" t="inlineStr">
        <is>
          <t>0117-0089</t>
        </is>
      </c>
      <c r="D1319" s="158" t="inlineStr">
        <is>
          <t>PISO DIAMANTE MILAZO</t>
        </is>
      </c>
      <c r="E1319" s="158" t="inlineStr">
        <is>
          <t>M2</t>
        </is>
      </c>
      <c r="F1319" s="158" t="inlineStr">
        <is>
          <t>MATERIALES</t>
        </is>
      </c>
      <c r="G1319" s="158" t="inlineStr">
        <is>
          <t>PISOS Y ENCHAPES</t>
        </is>
      </c>
    </row>
    <row r="1320">
      <c r="A1320" s="564" t="n"/>
      <c r="B1320" s="158" t="inlineStr">
        <is>
          <t>MAT17-0090</t>
        </is>
      </c>
      <c r="C1320" s="558" t="inlineStr">
        <is>
          <t>0117-0090</t>
        </is>
      </c>
      <c r="D1320" s="158" t="inlineStr">
        <is>
          <t>PISO DIAMANTE VEZZIO</t>
        </is>
      </c>
      <c r="E1320" s="158" t="inlineStr">
        <is>
          <t>M2</t>
        </is>
      </c>
      <c r="F1320" s="158" t="inlineStr">
        <is>
          <t>MATERIALES</t>
        </is>
      </c>
      <c r="G1320" s="158" t="inlineStr">
        <is>
          <t>PISOS Y ENCHAPES</t>
        </is>
      </c>
    </row>
    <row r="1321">
      <c r="A1321" s="564" t="n"/>
      <c r="B1321" s="158" t="inlineStr">
        <is>
          <t>MAT17-0091</t>
        </is>
      </c>
      <c r="C1321" s="558" t="inlineStr">
        <is>
          <t>0117-0091</t>
        </is>
      </c>
      <c r="D1321" s="158" t="inlineStr">
        <is>
          <t>FACHALETA</t>
        </is>
      </c>
      <c r="E1321" s="158" t="inlineStr">
        <is>
          <t>M2</t>
        </is>
      </c>
      <c r="F1321" s="158" t="inlineStr">
        <is>
          <t>MATERIALES</t>
        </is>
      </c>
      <c r="G1321" s="158" t="inlineStr">
        <is>
          <t>PISOS Y ENCHAPES</t>
        </is>
      </c>
    </row>
    <row r="1322">
      <c r="A1322" s="564" t="n"/>
      <c r="B1322" s="158" t="inlineStr">
        <is>
          <t>MAT17-0092</t>
        </is>
      </c>
      <c r="C1322" s="558" t="inlineStr">
        <is>
          <t>0117-0092</t>
        </is>
      </c>
      <c r="D1322" s="158" t="inlineStr">
        <is>
          <t>PORCELANATO BROKLYN PERLA</t>
        </is>
      </c>
      <c r="E1322" s="158" t="inlineStr">
        <is>
          <t>M2</t>
        </is>
      </c>
      <c r="F1322" s="158" t="inlineStr">
        <is>
          <t>MATERIALES</t>
        </is>
      </c>
      <c r="G1322" s="158" t="inlineStr">
        <is>
          <t>PISOS Y ENCHAPES</t>
        </is>
      </c>
    </row>
    <row r="1323">
      <c r="A1323" s="564" t="n"/>
      <c r="B1323" s="158" t="inlineStr">
        <is>
          <t>MAT17-0093</t>
        </is>
      </c>
      <c r="C1323" s="558" t="inlineStr">
        <is>
          <t>0117-0093</t>
        </is>
      </c>
      <c r="D1323" s="158" t="inlineStr">
        <is>
          <t>PORCELANATO DIAMANTE DINAMO</t>
        </is>
      </c>
      <c r="E1323" s="158" t="inlineStr">
        <is>
          <t>M2</t>
        </is>
      </c>
      <c r="F1323" s="158" t="inlineStr">
        <is>
          <t>MATERIALES</t>
        </is>
      </c>
      <c r="G1323" s="158" t="inlineStr">
        <is>
          <t>PISOS Y ENCHAPES</t>
        </is>
      </c>
    </row>
    <row r="1324">
      <c r="A1324" s="564" t="n"/>
      <c r="B1324" s="158" t="inlineStr">
        <is>
          <t>MAT17-0094</t>
        </is>
      </c>
      <c r="C1324" s="558" t="inlineStr">
        <is>
          <t>0117-0094</t>
        </is>
      </c>
      <c r="D1324" s="158" t="inlineStr">
        <is>
          <t>PORCELANATO AVORIO</t>
        </is>
      </c>
      <c r="E1324" s="158" t="inlineStr">
        <is>
          <t>M2</t>
        </is>
      </c>
      <c r="F1324" s="158" t="inlineStr">
        <is>
          <t>MATERIALES</t>
        </is>
      </c>
      <c r="G1324" s="158" t="inlineStr">
        <is>
          <t>PISOS Y ENCHAPES</t>
        </is>
      </c>
    </row>
    <row r="1325">
      <c r="A1325" s="564" t="n"/>
      <c r="B1325" s="158" t="inlineStr">
        <is>
          <t>MAT17-0095</t>
        </is>
      </c>
      <c r="C1325" s="558" t="inlineStr">
        <is>
          <t>0117-0095</t>
        </is>
      </c>
      <c r="D1325" s="158" t="inlineStr">
        <is>
          <t>PORCELANATO ITALIA</t>
        </is>
      </c>
      <c r="E1325" s="158" t="inlineStr">
        <is>
          <t>M2</t>
        </is>
      </c>
      <c r="F1325" s="158" t="inlineStr">
        <is>
          <t>MATERIALES</t>
        </is>
      </c>
      <c r="G1325" s="158" t="inlineStr">
        <is>
          <t>PISOS Y ENCHAPES</t>
        </is>
      </c>
    </row>
    <row r="1326">
      <c r="A1326" s="564" t="n"/>
      <c r="B1326" s="158" t="inlineStr">
        <is>
          <t>MAT17-0096</t>
        </is>
      </c>
      <c r="C1326" s="558" t="inlineStr">
        <is>
          <t>0117-0096</t>
        </is>
      </c>
      <c r="D1326" s="158" t="inlineStr">
        <is>
          <t>PORCELANATO AURA</t>
        </is>
      </c>
      <c r="E1326" s="158" t="inlineStr">
        <is>
          <t>M3</t>
        </is>
      </c>
      <c r="F1326" s="158" t="inlineStr">
        <is>
          <t>MATERIALES</t>
        </is>
      </c>
      <c r="G1326" s="158" t="inlineStr">
        <is>
          <t>PISOS Y ENCHAPES</t>
        </is>
      </c>
    </row>
    <row r="1327">
      <c r="A1327" s="564" t="n"/>
      <c r="B1327" s="158" t="inlineStr">
        <is>
          <t>MAT17-0097</t>
        </is>
      </c>
      <c r="C1327" s="558" t="inlineStr">
        <is>
          <t>0117-0097</t>
        </is>
      </c>
      <c r="D1327" s="158" t="inlineStr">
        <is>
          <t>CERAMICA DIAMANTE BATTISTI</t>
        </is>
      </c>
      <c r="E1327" s="158" t="inlineStr">
        <is>
          <t>M2</t>
        </is>
      </c>
      <c r="F1327" s="158" t="inlineStr">
        <is>
          <t>MATERIALES</t>
        </is>
      </c>
      <c r="G1327" s="158" t="inlineStr">
        <is>
          <t>PISOS Y ENCHAPES</t>
        </is>
      </c>
    </row>
    <row r="1328">
      <c r="A1328" s="564" t="n"/>
      <c r="B1328" s="158" t="inlineStr">
        <is>
          <t>MAT17-0098</t>
        </is>
      </c>
      <c r="C1328" s="558" t="inlineStr">
        <is>
          <t>0117-0098</t>
        </is>
      </c>
      <c r="D1328" s="158" t="inlineStr">
        <is>
          <t>PORCELANATO SOHO</t>
        </is>
      </c>
      <c r="E1328" s="158" t="inlineStr">
        <is>
          <t>M2</t>
        </is>
      </c>
      <c r="F1328" s="158" t="inlineStr">
        <is>
          <t>MATERIALES</t>
        </is>
      </c>
      <c r="G1328" s="158" t="inlineStr">
        <is>
          <t>PISOS Y ENCHAPES</t>
        </is>
      </c>
    </row>
    <row r="1329">
      <c r="A1329" s="564" t="n"/>
      <c r="B1329" s="158" t="inlineStr">
        <is>
          <t>MAT17-0099</t>
        </is>
      </c>
      <c r="C1329" s="558" t="inlineStr">
        <is>
          <t>0117-0099</t>
        </is>
      </c>
      <c r="D1329" s="158" t="inlineStr">
        <is>
          <t>PORCELANATO NEBRASKA BLANCO</t>
        </is>
      </c>
      <c r="E1329" s="158" t="inlineStr">
        <is>
          <t>M2</t>
        </is>
      </c>
      <c r="F1329" s="158" t="inlineStr">
        <is>
          <t>MATERIALES</t>
        </is>
      </c>
      <c r="G1329" s="158" t="inlineStr">
        <is>
          <t>PISOS Y ENCHAPES</t>
        </is>
      </c>
    </row>
    <row r="1330">
      <c r="A1330" s="564" t="n"/>
      <c r="B1330" s="158" t="inlineStr">
        <is>
          <t>MAT17-0100</t>
        </is>
      </c>
      <c r="C1330" s="558" t="inlineStr">
        <is>
          <t>0117-0100</t>
        </is>
      </c>
      <c r="D1330" s="158" t="inlineStr">
        <is>
          <t>CERAMICA MARMOL ASTRA IVORY</t>
        </is>
      </c>
      <c r="E1330" s="158" t="inlineStr">
        <is>
          <t>M2</t>
        </is>
      </c>
      <c r="F1330" s="158" t="inlineStr">
        <is>
          <t>MATERIALES</t>
        </is>
      </c>
      <c r="G1330" s="158" t="inlineStr">
        <is>
          <t>PISOS Y ENCHAPES</t>
        </is>
      </c>
    </row>
    <row r="1331">
      <c r="A1331" s="564" t="n"/>
      <c r="B1331" s="158" t="inlineStr">
        <is>
          <t>MAT17-0101</t>
        </is>
      </c>
      <c r="C1331" s="558" t="inlineStr">
        <is>
          <t>0117-0101</t>
        </is>
      </c>
      <c r="D1331" s="158" t="inlineStr">
        <is>
          <t>PORCELANATO MIRAMAR</t>
        </is>
      </c>
      <c r="E1331" s="158" t="inlineStr">
        <is>
          <t>M2</t>
        </is>
      </c>
      <c r="F1331" s="158" t="inlineStr">
        <is>
          <t>MATERIALES</t>
        </is>
      </c>
      <c r="G1331" s="158" t="inlineStr">
        <is>
          <t>PISOS Y ENCHAPES</t>
        </is>
      </c>
    </row>
    <row r="1332">
      <c r="A1332" s="564" t="n"/>
      <c r="B1332" s="158" t="inlineStr">
        <is>
          <t>MAT17-0102</t>
        </is>
      </c>
      <c r="C1332" s="558" t="inlineStr">
        <is>
          <t>0117-0102</t>
        </is>
      </c>
      <c r="D1332" s="158" t="inlineStr">
        <is>
          <t>PISO CERÁMICO HARÁ BEIGE</t>
        </is>
      </c>
      <c r="E1332" s="158" t="inlineStr">
        <is>
          <t>M2</t>
        </is>
      </c>
      <c r="F1332" s="158" t="inlineStr">
        <is>
          <t>MATERIALES</t>
        </is>
      </c>
      <c r="G1332" s="158" t="inlineStr">
        <is>
          <t>PISOS Y ENCHAPES</t>
        </is>
      </c>
    </row>
    <row r="1333">
      <c r="A1333" s="564" t="n"/>
      <c r="B1333" s="158" t="inlineStr">
        <is>
          <t>MAT17-0103</t>
        </is>
      </c>
      <c r="C1333" s="558" t="inlineStr">
        <is>
          <t>0117-0103</t>
        </is>
      </c>
      <c r="D1333" s="158" t="inlineStr">
        <is>
          <t>VITROCERAMICA BRILLANTE 2.5X2.5CM GRIS 218 TOGAMA</t>
        </is>
      </c>
      <c r="E1333" s="158" t="inlineStr">
        <is>
          <t>M2</t>
        </is>
      </c>
      <c r="F1333" s="158" t="inlineStr">
        <is>
          <t>MATERIALES</t>
        </is>
      </c>
      <c r="G1333" s="158" t="inlineStr">
        <is>
          <t>PISOS Y ENCHAPES</t>
        </is>
      </c>
    </row>
    <row r="1334">
      <c r="A1334" s="564" t="n"/>
      <c r="B1334" s="158" t="inlineStr">
        <is>
          <t>MAT17-0104</t>
        </is>
      </c>
      <c r="C1334" s="558" t="inlineStr">
        <is>
          <t>0117-0104</t>
        </is>
      </c>
      <c r="D1334" s="158" t="inlineStr">
        <is>
          <t>PISO DECORADO P.E. D&amp;N01 MT 20X20 (10MM) T:604F</t>
        </is>
      </c>
      <c r="E1334" s="158" t="inlineStr">
        <is>
          <t>M2</t>
        </is>
      </c>
      <c r="F1334" s="158" t="inlineStr">
        <is>
          <t>MATERIALES</t>
        </is>
      </c>
      <c r="G1334" s="158" t="inlineStr">
        <is>
          <t>PISOS Y ENCHAPES</t>
        </is>
      </c>
    </row>
    <row r="1335">
      <c r="A1335" s="564" t="n"/>
      <c r="B1335" s="158" t="inlineStr">
        <is>
          <t>MAT17-0105</t>
        </is>
      </c>
      <c r="C1335" s="558" t="inlineStr">
        <is>
          <t>0117-0105</t>
        </is>
      </c>
      <c r="D1335" s="158" t="inlineStr">
        <is>
          <t>PISO SUBWAY TILE YORK BLANCO BRILLO 10X20</t>
        </is>
      </c>
      <c r="E1335" s="158" t="inlineStr">
        <is>
          <t>M2</t>
        </is>
      </c>
      <c r="F1335" s="158" t="inlineStr">
        <is>
          <t>MATERIALES</t>
        </is>
      </c>
      <c r="G1335" s="158" t="inlineStr">
        <is>
          <t>PISOS Y ENCHAPES</t>
        </is>
      </c>
    </row>
    <row r="1336">
      <c r="A1336" s="564" t="n"/>
      <c r="B1336" s="158" t="inlineStr">
        <is>
          <t>MAT17-0106</t>
        </is>
      </c>
      <c r="C1336" s="558" t="inlineStr">
        <is>
          <t>0117-0106</t>
        </is>
      </c>
      <c r="D1336" s="158" t="inlineStr">
        <is>
          <t>CERÁMICA DUNA COTTO GRIS</t>
        </is>
      </c>
      <c r="E1336" s="158" t="inlineStr">
        <is>
          <t>M2</t>
        </is>
      </c>
      <c r="F1336" s="158" t="inlineStr">
        <is>
          <t>MATERIALES</t>
        </is>
      </c>
      <c r="G1336" s="158" t="inlineStr">
        <is>
          <t>PISOS Y ENCHAPES</t>
        </is>
      </c>
    </row>
    <row r="1337">
      <c r="A1337" s="564" t="n"/>
      <c r="B1337" s="158" t="inlineStr">
        <is>
          <t>MAT17-0107</t>
        </is>
      </c>
      <c r="C1337" s="558" t="inlineStr">
        <is>
          <t>0117-0107</t>
        </is>
      </c>
      <c r="D1337" s="158" t="inlineStr">
        <is>
          <t>PISO DUNA COTTO BEIGE</t>
        </is>
      </c>
      <c r="E1337" s="158" t="inlineStr">
        <is>
          <t>M2</t>
        </is>
      </c>
      <c r="F1337" s="158" t="inlineStr">
        <is>
          <t>MATERIALES</t>
        </is>
      </c>
      <c r="G1337" s="158" t="inlineStr">
        <is>
          <t>PISOS Y ENCHAPES</t>
        </is>
      </c>
    </row>
    <row r="1338" customFormat="1" s="560">
      <c r="A1338" s="573" t="n"/>
      <c r="B1338" s="557" t="inlineStr">
        <is>
          <t>(ID) Insumo</t>
        </is>
      </c>
      <c r="C1338" s="558" t="inlineStr">
        <is>
          <t>01) Insumo</t>
        </is>
      </c>
      <c r="D1338" s="557" t="inlineStr">
        <is>
          <t>Descripción</t>
        </is>
      </c>
      <c r="E1338" s="557" t="inlineStr">
        <is>
          <t>Unidad</t>
        </is>
      </c>
      <c r="F1338" s="557" t="inlineStr">
        <is>
          <t>Grupo de Insumo</t>
        </is>
      </c>
      <c r="G1338" s="557" t="inlineStr">
        <is>
          <t>Familia de Insumos</t>
        </is>
      </c>
    </row>
    <row r="1339">
      <c r="A1339" s="564" t="n"/>
      <c r="B1339" s="158" t="inlineStr">
        <is>
          <t>MAT18-0001</t>
        </is>
      </c>
      <c r="C1339" s="558" t="inlineStr">
        <is>
          <t>0118-0001</t>
        </is>
      </c>
      <c r="D1339" s="158" t="inlineStr">
        <is>
          <t>BISAGRA MARIPOSA PLATEADA</t>
        </is>
      </c>
      <c r="E1339" s="158" t="inlineStr">
        <is>
          <t>PAR</t>
        </is>
      </c>
      <c r="F1339" s="158" t="inlineStr">
        <is>
          <t>MATERIALES</t>
        </is>
      </c>
      <c r="G1339" s="158" t="inlineStr">
        <is>
          <t>PUERTAS Y RODAPIE</t>
        </is>
      </c>
    </row>
    <row r="1340">
      <c r="A1340" s="564" t="n"/>
      <c r="B1340" s="158" t="inlineStr">
        <is>
          <t>MAT18-0006</t>
        </is>
      </c>
      <c r="C1340" s="558" t="inlineStr">
        <is>
          <t>0118-0006</t>
        </is>
      </c>
      <c r="D1340" s="158" t="inlineStr">
        <is>
          <t>CERRADURA PUERTA CORREDIZA SAT N350-363</t>
        </is>
      </c>
      <c r="E1340" s="158" t="inlineStr">
        <is>
          <t>UND</t>
        </is>
      </c>
      <c r="F1340" s="158" t="inlineStr">
        <is>
          <t>MATERIALES</t>
        </is>
      </c>
      <c r="G1340" s="158" t="inlineStr">
        <is>
          <t>PUERTAS Y RODAPIE</t>
        </is>
      </c>
    </row>
    <row r="1341">
      <c r="A1341" s="564" t="n"/>
      <c r="B1341" s="158" t="inlineStr">
        <is>
          <t>MAT18-0007</t>
        </is>
      </c>
      <c r="C1341" s="558" t="inlineStr">
        <is>
          <t>0118-0007</t>
        </is>
      </c>
      <c r="D1341" s="158" t="inlineStr">
        <is>
          <t>CERRADURA INTERNO MANIJA YALE LEEDS</t>
        </is>
      </c>
      <c r="E1341" s="158" t="inlineStr">
        <is>
          <t>UND</t>
        </is>
      </c>
      <c r="F1341" s="158" t="inlineStr">
        <is>
          <t>MATERIALES</t>
        </is>
      </c>
      <c r="G1341" s="158" t="inlineStr">
        <is>
          <t>PUERTAS Y RODAPIE</t>
        </is>
      </c>
    </row>
    <row r="1342">
      <c r="A1342" s="564" t="n"/>
      <c r="B1342" s="158" t="inlineStr">
        <is>
          <t>MAT18-0008</t>
        </is>
      </c>
      <c r="C1342" s="558" t="inlineStr">
        <is>
          <t>0118-0008</t>
        </is>
      </c>
      <c r="D1342" s="158" t="inlineStr">
        <is>
          <t>CERRADURA PRINCIPAL VERO NIQ 210 GEO</t>
        </is>
      </c>
      <c r="E1342" s="158" t="inlineStr">
        <is>
          <t>UND</t>
        </is>
      </c>
      <c r="F1342" s="158" t="inlineStr">
        <is>
          <t>MATERIALES</t>
        </is>
      </c>
      <c r="G1342" s="158" t="inlineStr">
        <is>
          <t>PUERTAS Y RODAPIE</t>
        </is>
      </c>
    </row>
    <row r="1343">
      <c r="A1343" s="564" t="n"/>
      <c r="B1343" s="158" t="inlineStr">
        <is>
          <t>MAT18-0009</t>
        </is>
      </c>
      <c r="C1343" s="558" t="inlineStr">
        <is>
          <t>0118-0009</t>
        </is>
      </c>
      <c r="D1343" s="158" t="inlineStr">
        <is>
          <t>CHAPETA 40MM (PARA PUERTA WENGUE)</t>
        </is>
      </c>
      <c r="E1343" s="158" t="inlineStr">
        <is>
          <t>M</t>
        </is>
      </c>
      <c r="F1343" s="158" t="inlineStr">
        <is>
          <t>MATERIALES</t>
        </is>
      </c>
      <c r="G1343" s="158" t="inlineStr">
        <is>
          <t>PUERTAS Y RODAPIE</t>
        </is>
      </c>
    </row>
    <row r="1344">
      <c r="A1344" s="564" t="n"/>
      <c r="B1344" s="158" t="inlineStr">
        <is>
          <t>MAT08-0221</t>
        </is>
      </c>
      <c r="C1344" s="558" t="inlineStr">
        <is>
          <t>0118-0010</t>
        </is>
      </c>
      <c r="D1344" s="158" t="inlineStr">
        <is>
          <t xml:space="preserve">BURLETE PARA PUERTAS </t>
        </is>
      </c>
      <c r="E1344" s="158" t="inlineStr">
        <is>
          <t>UND</t>
        </is>
      </c>
      <c r="F1344" s="158" t="inlineStr">
        <is>
          <t>MATERIALES</t>
        </is>
      </c>
      <c r="G1344" s="158" t="inlineStr">
        <is>
          <t>FERRETERIA GENERAL</t>
        </is>
      </c>
    </row>
    <row r="1345">
      <c r="A1345" s="564" t="n"/>
      <c r="B1345" s="158" t="inlineStr">
        <is>
          <t>MAT18-0011</t>
        </is>
      </c>
      <c r="C1345" s="558" t="inlineStr">
        <is>
          <t>0118-0011</t>
        </is>
      </c>
      <c r="D1345" s="158" t="inlineStr">
        <is>
          <t>GUIA DE PISO DOBLE</t>
        </is>
      </c>
      <c r="E1345" s="158" t="inlineStr">
        <is>
          <t>UND</t>
        </is>
      </c>
      <c r="F1345" s="158" t="inlineStr">
        <is>
          <t>MATERIALES</t>
        </is>
      </c>
      <c r="G1345" s="158" t="inlineStr">
        <is>
          <t>PUERTAS Y RODAPIE</t>
        </is>
      </c>
    </row>
    <row r="1346">
      <c r="A1346" s="564" t="n"/>
      <c r="B1346" s="158" t="inlineStr">
        <is>
          <t>MAT18-0012</t>
        </is>
      </c>
      <c r="C1346" s="558" t="inlineStr">
        <is>
          <t>0118-0012</t>
        </is>
      </c>
      <c r="D1346" s="158" t="inlineStr">
        <is>
          <t xml:space="preserve">GUIJOS 3/8" </t>
        </is>
      </c>
      <c r="E1346" s="158" t="inlineStr">
        <is>
          <t>UND</t>
        </is>
      </c>
      <c r="F1346" s="158" t="inlineStr">
        <is>
          <t>MATERIALES</t>
        </is>
      </c>
      <c r="G1346" s="158" t="inlineStr">
        <is>
          <t>PUERTAS Y RODAPIE</t>
        </is>
      </c>
    </row>
    <row r="1347">
      <c r="A1347" s="564" t="n"/>
      <c r="B1347" s="158" t="inlineStr">
        <is>
          <t>MAT18-0013</t>
        </is>
      </c>
      <c r="C1347" s="558" t="inlineStr">
        <is>
          <t>0118-0013</t>
        </is>
      </c>
      <c r="D1347" s="158" t="inlineStr">
        <is>
          <t>KIT DE PREGOLGADO</t>
        </is>
      </c>
      <c r="E1347" s="158" t="inlineStr">
        <is>
          <t>UND</t>
        </is>
      </c>
      <c r="F1347" s="158" t="inlineStr">
        <is>
          <t>MATERIALES</t>
        </is>
      </c>
      <c r="G1347" s="158" t="inlineStr">
        <is>
          <t>PUERTAS Y RODAPIE</t>
        </is>
      </c>
    </row>
    <row r="1348">
      <c r="A1348" s="564" t="n"/>
      <c r="B1348" s="158" t="inlineStr">
        <is>
          <t>MAT18-0014</t>
        </is>
      </c>
      <c r="C1348" s="558" t="inlineStr">
        <is>
          <t>0118-0014</t>
        </is>
      </c>
      <c r="D1348" s="158" t="inlineStr">
        <is>
          <t>PUERTA MELAMINA WENGUE</t>
        </is>
      </c>
      <c r="E1348" s="158" t="inlineStr">
        <is>
          <t>UND</t>
        </is>
      </c>
      <c r="F1348" s="158" t="inlineStr">
        <is>
          <t>MATERIALES</t>
        </is>
      </c>
      <c r="G1348" s="158" t="inlineStr">
        <is>
          <t>PUERTAS Y RODAPIE</t>
        </is>
      </c>
    </row>
    <row r="1349">
      <c r="A1349" s="564" t="n"/>
      <c r="B1349" s="158" t="inlineStr">
        <is>
          <t>MAT18-0027</t>
        </is>
      </c>
      <c r="C1349" s="558" t="inlineStr">
        <is>
          <t>0118-0027</t>
        </is>
      </c>
      <c r="D1349" s="158" t="inlineStr">
        <is>
          <t>RODAPIE PVC WENGUE DG 10CM</t>
        </is>
      </c>
      <c r="E1349" s="158" t="inlineStr">
        <is>
          <t>UND</t>
        </is>
      </c>
      <c r="F1349" s="158" t="inlineStr">
        <is>
          <t>MATERIALES</t>
        </is>
      </c>
      <c r="G1349" s="158" t="inlineStr">
        <is>
          <t>PUERTAS Y RODAPIE</t>
        </is>
      </c>
    </row>
    <row r="1350">
      <c r="A1350" s="564" t="n"/>
      <c r="B1350" s="158" t="inlineStr">
        <is>
          <t>MAT18-0028</t>
        </is>
      </c>
      <c r="C1350" s="558" t="inlineStr">
        <is>
          <t>0118-0028</t>
        </is>
      </c>
      <c r="D1350" s="158" t="inlineStr">
        <is>
          <t>RODAPIE ZOCALO DE 10X70X2440</t>
        </is>
      </c>
      <c r="E1350" s="158" t="inlineStr">
        <is>
          <t>UND</t>
        </is>
      </c>
      <c r="F1350" s="158" t="inlineStr">
        <is>
          <t>MATERIALES</t>
        </is>
      </c>
      <c r="G1350" s="158" t="inlineStr">
        <is>
          <t>PUERTAS Y RODAPIE</t>
        </is>
      </c>
    </row>
    <row r="1351">
      <c r="A1351" s="564" t="n"/>
      <c r="B1351" s="158" t="inlineStr">
        <is>
          <t>MAT18-0030</t>
        </is>
      </c>
      <c r="C1351" s="558" t="inlineStr">
        <is>
          <t>0118-0030</t>
        </is>
      </c>
      <c r="D1351" s="158" t="inlineStr">
        <is>
          <t xml:space="preserve">SET MARCO PINO WENGUE GUARNICION Y BATIENTE </t>
        </is>
      </c>
      <c r="E1351" s="158" t="inlineStr">
        <is>
          <t>UND</t>
        </is>
      </c>
      <c r="F1351" s="158" t="inlineStr">
        <is>
          <t>MATERIALES</t>
        </is>
      </c>
      <c r="G1351" s="158" t="inlineStr">
        <is>
          <t>PUERTAS Y RODAPIE</t>
        </is>
      </c>
    </row>
    <row r="1352">
      <c r="A1352" s="564" t="n"/>
      <c r="B1352" s="158" t="inlineStr">
        <is>
          <t>MAT18-0031</t>
        </is>
      </c>
      <c r="C1352" s="558" t="inlineStr">
        <is>
          <t>0118-0031</t>
        </is>
      </c>
      <c r="D1352" s="158" t="inlineStr">
        <is>
          <t>SISTEMA AEREO PARA PUERTAS DN80</t>
        </is>
      </c>
      <c r="E1352" s="158" t="inlineStr">
        <is>
          <t>UND</t>
        </is>
      </c>
      <c r="F1352" s="158" t="inlineStr">
        <is>
          <t>MATERIALES</t>
        </is>
      </c>
      <c r="G1352" s="158" t="inlineStr">
        <is>
          <t>PUERTAS Y RODAPIE</t>
        </is>
      </c>
    </row>
    <row r="1353">
      <c r="A1353" s="564" t="n"/>
      <c r="B1353" s="158" t="inlineStr">
        <is>
          <t>MAT18-0032</t>
        </is>
      </c>
      <c r="C1353" s="558" t="inlineStr">
        <is>
          <t>0118-0032</t>
        </is>
      </c>
      <c r="D1353" s="158" t="inlineStr">
        <is>
          <t>PUERTA+MARCO+MOLDURA+BISAGRA BUQUE 100CM</t>
        </is>
      </c>
      <c r="E1353" s="158" t="inlineStr">
        <is>
          <t>UND</t>
        </is>
      </c>
      <c r="F1353" s="158" t="inlineStr">
        <is>
          <t>MATERIALES</t>
        </is>
      </c>
      <c r="G1353" s="158" t="inlineStr">
        <is>
          <t>PUERTAS Y RODAPIE</t>
        </is>
      </c>
    </row>
    <row r="1354">
      <c r="A1354" s="564" t="n"/>
      <c r="B1354" s="158" t="inlineStr">
        <is>
          <t>MAT18-0033</t>
        </is>
      </c>
      <c r="C1354" s="558" t="inlineStr">
        <is>
          <t>0118-0033</t>
        </is>
      </c>
      <c r="D1354" s="158" t="inlineStr">
        <is>
          <t>RODAPIE 8CM MDF HIDROFUGO</t>
        </is>
      </c>
      <c r="E1354" s="158" t="inlineStr">
        <is>
          <t>UND</t>
        </is>
      </c>
      <c r="F1354" s="158" t="inlineStr">
        <is>
          <t>MATERIALES</t>
        </is>
      </c>
      <c r="G1354" s="158" t="inlineStr">
        <is>
          <t>PUERTAS Y RODAPIE</t>
        </is>
      </c>
    </row>
    <row r="1355">
      <c r="A1355" s="564" t="n"/>
      <c r="B1355" s="158" t="inlineStr">
        <is>
          <t>MAT18-0034</t>
        </is>
      </c>
      <c r="C1355" s="558" t="inlineStr">
        <is>
          <t>0118-0034</t>
        </is>
      </c>
      <c r="D1355" s="158" t="inlineStr">
        <is>
          <t>MAMPARA PUERTA PRINCIPAL</t>
        </is>
      </c>
      <c r="E1355" s="158" t="inlineStr">
        <is>
          <t>UND</t>
        </is>
      </c>
      <c r="F1355" s="158" t="inlineStr">
        <is>
          <t>MATERIALES</t>
        </is>
      </c>
      <c r="G1355" s="158" t="inlineStr">
        <is>
          <t>PUERTAS Y RODAPIE</t>
        </is>
      </c>
    </row>
    <row r="1356">
      <c r="A1356" s="564" t="n"/>
      <c r="B1356" s="158" t="inlineStr">
        <is>
          <t>MAT18-0035</t>
        </is>
      </c>
      <c r="C1356" s="558" t="inlineStr">
        <is>
          <t>0118-0035</t>
        </is>
      </c>
      <c r="D1356" s="158" t="inlineStr">
        <is>
          <t>PUERTA+MARCO+MOLDURA+BISAGRA BUQUE 90CM</t>
        </is>
      </c>
      <c r="E1356" s="158" t="inlineStr">
        <is>
          <t>UND</t>
        </is>
      </c>
      <c r="F1356" s="158" t="inlineStr">
        <is>
          <t>MATERIALES</t>
        </is>
      </c>
      <c r="G1356" s="158" t="inlineStr">
        <is>
          <t>PUERTAS Y RODAPIE</t>
        </is>
      </c>
    </row>
    <row r="1357">
      <c r="A1357" s="564" t="n"/>
      <c r="B1357" s="158" t="inlineStr">
        <is>
          <t>MAT18-0036</t>
        </is>
      </c>
      <c r="C1357" s="558" t="inlineStr">
        <is>
          <t>0118-0036</t>
        </is>
      </c>
      <c r="D1357" s="158" t="inlineStr">
        <is>
          <t>PUERTA+MARCO+MOLDURA+BISAGRA BUQUE 80CM</t>
        </is>
      </c>
      <c r="E1357" s="158" t="inlineStr">
        <is>
          <t>UND</t>
        </is>
      </c>
      <c r="F1357" s="158" t="inlineStr">
        <is>
          <t>MATERIALES</t>
        </is>
      </c>
      <c r="G1357" s="158" t="inlineStr">
        <is>
          <t>PUERTAS Y RODAPIE</t>
        </is>
      </c>
    </row>
    <row r="1358">
      <c r="A1358" s="564" t="n"/>
      <c r="B1358" s="158" t="inlineStr">
        <is>
          <t>MAT18-0037</t>
        </is>
      </c>
      <c r="C1358" s="558" t="inlineStr">
        <is>
          <t>0118-0037</t>
        </is>
      </c>
      <c r="D1358" s="158" t="inlineStr">
        <is>
          <t>PUERTA CORREDIZA+MARCO+MOLDURA BUQUE 80CM</t>
        </is>
      </c>
      <c r="E1358" s="158" t="inlineStr">
        <is>
          <t>UND</t>
        </is>
      </c>
      <c r="F1358" s="158" t="inlineStr">
        <is>
          <t>MATERIALES</t>
        </is>
      </c>
      <c r="G1358" s="158" t="inlineStr">
        <is>
          <t>PUERTAS Y RODAPIE</t>
        </is>
      </c>
    </row>
    <row r="1359">
      <c r="A1359" s="564" t="n"/>
      <c r="B1359" s="158" t="inlineStr">
        <is>
          <t>MAT18-0038</t>
        </is>
      </c>
      <c r="C1359" s="558" t="inlineStr">
        <is>
          <t>0118-0038</t>
        </is>
      </c>
      <c r="D1359" s="158" t="inlineStr">
        <is>
          <t>PUERTA INTERIOR DE MELAMINA DISENO LISO, HIDROFUGA COLOR WENGUE DE 75x210</t>
        </is>
      </c>
      <c r="E1359" s="158" t="inlineStr">
        <is>
          <t>UND</t>
        </is>
      </c>
      <c r="F1359" s="158" t="inlineStr">
        <is>
          <t>MATERIALES</t>
        </is>
      </c>
      <c r="G1359" s="158" t="inlineStr">
        <is>
          <t>PUERTAS Y RODAPIE</t>
        </is>
      </c>
    </row>
    <row r="1360">
      <c r="A1360" s="564" t="n"/>
      <c r="B1360" s="158" t="inlineStr">
        <is>
          <t>MAT18-0039</t>
        </is>
      </c>
      <c r="C1360" s="558" t="inlineStr">
        <is>
          <t>0118-0039</t>
        </is>
      </c>
      <c r="D1360" s="158" t="inlineStr">
        <is>
          <t>PUERTA INTERIOR DE MELAMINA DISENO LISO, HIDROFUGA COLOR WENGUE DE  85x210</t>
        </is>
      </c>
      <c r="E1360" s="158" t="inlineStr">
        <is>
          <t>UND</t>
        </is>
      </c>
      <c r="F1360" s="158" t="inlineStr">
        <is>
          <t>MATERIALES</t>
        </is>
      </c>
      <c r="G1360" s="158" t="inlineStr">
        <is>
          <t>PUERTAS Y RODAPIE</t>
        </is>
      </c>
    </row>
    <row r="1361">
      <c r="A1361" s="564" t="n"/>
      <c r="B1361" s="158" t="inlineStr">
        <is>
          <t>MAT18-0040</t>
        </is>
      </c>
      <c r="C1361" s="558" t="inlineStr">
        <is>
          <t>0118-0040</t>
        </is>
      </c>
      <c r="D1361" s="158" t="inlineStr">
        <is>
          <t>PUERTA INTERIOR DE MELAMINA DISENO LISO, HIDROFUGA COLOR WENGUE DE 95 x 210</t>
        </is>
      </c>
      <c r="E1361" s="158" t="inlineStr">
        <is>
          <t>UND</t>
        </is>
      </c>
      <c r="F1361" s="158" t="inlineStr">
        <is>
          <t>MATERIALES</t>
        </is>
      </c>
      <c r="G1361" s="158" t="inlineStr">
        <is>
          <t>PUERTAS Y RODAPIE</t>
        </is>
      </c>
    </row>
    <row r="1362">
      <c r="A1362" s="564" t="n"/>
      <c r="B1362" s="158" t="inlineStr">
        <is>
          <t>MAT18-0041</t>
        </is>
      </c>
      <c r="C1362" s="558" t="inlineStr">
        <is>
          <t>0118-0041</t>
        </is>
      </c>
      <c r="D1362" s="158" t="inlineStr">
        <is>
          <t>PUERTA INTERIOR DE MELAMINA DISENO LISO, HIDROFUGA COLOR WENGUE DE 85 X 215</t>
        </is>
      </c>
      <c r="E1362" s="158" t="inlineStr">
        <is>
          <t>UND</t>
        </is>
      </c>
      <c r="F1362" s="158" t="inlineStr">
        <is>
          <t>MATERIALES</t>
        </is>
      </c>
      <c r="G1362" s="158" t="inlineStr">
        <is>
          <t>PUERTAS Y RODAPIE</t>
        </is>
      </c>
    </row>
    <row r="1363">
      <c r="A1363" s="564" t="n"/>
      <c r="B1363" s="158" t="inlineStr">
        <is>
          <t>MAT18-0042</t>
        </is>
      </c>
      <c r="C1363" s="558" t="inlineStr">
        <is>
          <t>0118-0042</t>
        </is>
      </c>
      <c r="D1363" s="158" t="inlineStr">
        <is>
          <t>MARCO DE PLYWOOD FENOLICO 34MMX90MM, FORRADO EN PVC, PARA PUERTAS DE MELAMINA DE 40MM DE ESPESOR, INCLUYE EMPAQUE Y GUARNICION AMBOS LADOS</t>
        </is>
      </c>
      <c r="E1363" s="158" t="inlineStr">
        <is>
          <t>UND</t>
        </is>
      </c>
      <c r="F1363" s="158" t="inlineStr">
        <is>
          <t>MATERIALES</t>
        </is>
      </c>
      <c r="G1363" s="158" t="inlineStr">
        <is>
          <t>PUERTAS Y RODAPIE</t>
        </is>
      </c>
    </row>
    <row r="1364" ht="14.25" customHeight="1">
      <c r="A1364" s="564" t="n"/>
      <c r="B1364" s="158" t="inlineStr">
        <is>
          <t>MAT18-0043</t>
        </is>
      </c>
      <c r="C1364" s="558" t="inlineStr">
        <is>
          <t>0118-0043</t>
        </is>
      </c>
      <c r="D1364" s="158" t="inlineStr">
        <is>
          <t>RODAPIE</t>
        </is>
      </c>
      <c r="E1364" s="158" t="inlineStr">
        <is>
          <t>UND</t>
        </is>
      </c>
      <c r="F1364" s="158" t="inlineStr">
        <is>
          <t>MATERIALES</t>
        </is>
      </c>
      <c r="G1364" s="158" t="inlineStr">
        <is>
          <t>PUERTAS Y RODAPIE</t>
        </is>
      </c>
    </row>
    <row r="1365">
      <c r="A1365" s="564" t="n"/>
      <c r="B1365" s="158" t="inlineStr">
        <is>
          <t>MAT18-0046</t>
        </is>
      </c>
      <c r="C1365" s="558" t="inlineStr">
        <is>
          <t>0118-0046</t>
        </is>
      </c>
      <c r="D1365" s="158" t="inlineStr">
        <is>
          <t>PUERTA+MARCO+MOLDURA+BISAGRA BUQUE 95 CM</t>
        </is>
      </c>
      <c r="E1365" s="158" t="inlineStr">
        <is>
          <t>UND</t>
        </is>
      </c>
      <c r="F1365" s="158" t="inlineStr">
        <is>
          <t>MATERIALES</t>
        </is>
      </c>
      <c r="G1365" s="158" t="inlineStr">
        <is>
          <t>PUERTAS Y RODAPIE</t>
        </is>
      </c>
    </row>
    <row r="1366">
      <c r="A1366" s="564" t="n"/>
      <c r="B1366" s="158" t="inlineStr">
        <is>
          <t>MAT18-0047</t>
        </is>
      </c>
      <c r="C1366" s="558" t="inlineStr">
        <is>
          <t>0118-0047</t>
        </is>
      </c>
      <c r="D1366" s="158" t="inlineStr">
        <is>
          <t>PUERTA+MARCO+MOLDURA+BISAGRA BUQUE 70 CM</t>
        </is>
      </c>
      <c r="E1366" s="158" t="inlineStr">
        <is>
          <t>UND</t>
        </is>
      </c>
      <c r="F1366" s="158" t="inlineStr">
        <is>
          <t>MATERIALES</t>
        </is>
      </c>
      <c r="G1366" s="158" t="inlineStr">
        <is>
          <t>PUERTAS Y RODAPIE</t>
        </is>
      </c>
    </row>
    <row r="1367">
      <c r="A1367" s="564" t="n"/>
      <c r="B1367" s="158" t="inlineStr">
        <is>
          <t>MAT18-0049</t>
        </is>
      </c>
      <c r="C1367" s="558" t="inlineStr">
        <is>
          <t>0118-0049</t>
        </is>
      </c>
      <c r="D1367" s="158" t="inlineStr">
        <is>
          <t>PUERTA CORREDIZA+MARCO+MOLDURA BUQUE 90CM</t>
        </is>
      </c>
      <c r="E1367" s="158" t="inlineStr">
        <is>
          <t>UND</t>
        </is>
      </c>
      <c r="F1367" s="158" t="inlineStr">
        <is>
          <t>MATERIALES</t>
        </is>
      </c>
      <c r="G1367" s="158" t="inlineStr">
        <is>
          <t>PUERTAS Y RODAPIE</t>
        </is>
      </c>
    </row>
    <row r="1368">
      <c r="A1368" s="564" t="n"/>
      <c r="B1368" s="158" t="inlineStr">
        <is>
          <t>MAT18-0050</t>
        </is>
      </c>
      <c r="C1368" s="558" t="inlineStr">
        <is>
          <t>0118-0050</t>
        </is>
      </c>
      <c r="D1368" s="158" t="inlineStr">
        <is>
          <t>PUERTA+MARCO+MOLDURA+BISAGRA BUQUE 104CM ALTURA 212</t>
        </is>
      </c>
      <c r="E1368" s="158" t="inlineStr">
        <is>
          <t>UND</t>
        </is>
      </c>
      <c r="F1368" s="158" t="inlineStr">
        <is>
          <t>MATERIALES</t>
        </is>
      </c>
      <c r="G1368" s="158" t="inlineStr">
        <is>
          <t>PUERTAS Y RODAPIE</t>
        </is>
      </c>
    </row>
    <row r="1369">
      <c r="A1369" s="564" t="n"/>
      <c r="B1369" s="158" t="inlineStr">
        <is>
          <t>MAT18-0052</t>
        </is>
      </c>
      <c r="C1369" s="558" t="inlineStr">
        <is>
          <t>0118-0052</t>
        </is>
      </c>
      <c r="D1369" s="158" t="inlineStr">
        <is>
          <t>MARCO P/PUERTA</t>
        </is>
      </c>
      <c r="E1369" s="158" t="inlineStr">
        <is>
          <t>UND</t>
        </is>
      </c>
      <c r="F1369" s="158" t="inlineStr">
        <is>
          <t>MATERIALES</t>
        </is>
      </c>
      <c r="G1369" s="158" t="inlineStr">
        <is>
          <t>PUERTAS Y RODAPIE</t>
        </is>
      </c>
    </row>
    <row r="1370">
      <c r="A1370" s="564" t="n"/>
      <c r="B1370" s="158" t="inlineStr">
        <is>
          <t>MAT18-0053</t>
        </is>
      </c>
      <c r="C1370" s="558" t="inlineStr">
        <is>
          <t>0118-0053</t>
        </is>
      </c>
      <c r="D1370" s="158" t="inlineStr">
        <is>
          <t>PUERTA+MARCO+MOLDURA+BISAGRA BUQUE 75 CM</t>
        </is>
      </c>
      <c r="E1370" s="158" t="inlineStr">
        <is>
          <t>UND</t>
        </is>
      </c>
      <c r="F1370" s="158" t="inlineStr">
        <is>
          <t>MATERIALES</t>
        </is>
      </c>
      <c r="G1370" s="158" t="inlineStr">
        <is>
          <t>PUERTAS Y RODAPIE</t>
        </is>
      </c>
    </row>
    <row r="1371">
      <c r="A1371" s="564" t="n"/>
      <c r="B1371" s="158" t="inlineStr">
        <is>
          <t>MAT18-0055</t>
        </is>
      </c>
      <c r="C1371" s="558" t="inlineStr">
        <is>
          <t>0118-0055</t>
        </is>
      </c>
      <c r="D1371" s="158" t="inlineStr">
        <is>
          <t>PUERTA PRINCIPAL. BUQUE:140X215</t>
        </is>
      </c>
      <c r="E1371" s="158" t="inlineStr">
        <is>
          <t>UND</t>
        </is>
      </c>
      <c r="F1371" s="158" t="inlineStr">
        <is>
          <t>MATERIALES</t>
        </is>
      </c>
      <c r="G1371" s="158" t="inlineStr">
        <is>
          <t>PUERTAS Y RODAPIE</t>
        </is>
      </c>
    </row>
    <row r="1372">
      <c r="A1372" s="564" t="n"/>
      <c r="B1372" s="158" t="inlineStr">
        <is>
          <t>MAT18-0056</t>
        </is>
      </c>
      <c r="C1372" s="558" t="inlineStr">
        <is>
          <t>0118-0056</t>
        </is>
      </c>
      <c r="D1372" s="158" t="inlineStr">
        <is>
          <t>HERRAJE TIPO PIVOTE</t>
        </is>
      </c>
      <c r="E1372" s="158" t="inlineStr">
        <is>
          <t>UND</t>
        </is>
      </c>
      <c r="F1372" s="158" t="inlineStr">
        <is>
          <t>MATERIALES</t>
        </is>
      </c>
      <c r="G1372" s="158" t="inlineStr">
        <is>
          <t>PUERTAS Y RODAPIE</t>
        </is>
      </c>
    </row>
    <row r="1373">
      <c r="A1373" s="564" t="n"/>
      <c r="B1373" s="158" t="inlineStr">
        <is>
          <t>MAT18-0062</t>
        </is>
      </c>
      <c r="C1373" s="558" t="inlineStr">
        <is>
          <t>0118-0062</t>
        </is>
      </c>
      <c r="D1373" s="158" t="inlineStr">
        <is>
          <t>LLAVIN DOBLE PASO DE SOBREPONER DERECHO YALE 610-50 RH</t>
        </is>
      </c>
      <c r="E1373" s="158" t="inlineStr">
        <is>
          <t>UND</t>
        </is>
      </c>
      <c r="F1373" s="158" t="inlineStr">
        <is>
          <t>MATERIALES</t>
        </is>
      </c>
      <c r="G1373" s="158" t="inlineStr">
        <is>
          <t>PUERTAS Y RODAPIE</t>
        </is>
      </c>
    </row>
    <row r="1374">
      <c r="A1374" s="564" t="n"/>
      <c r="B1374" s="158" t="inlineStr">
        <is>
          <t>MAT18-0063</t>
        </is>
      </c>
      <c r="C1374" s="558" t="inlineStr">
        <is>
          <t>0118-0063</t>
        </is>
      </c>
      <c r="D1374" s="158" t="inlineStr">
        <is>
          <t>PINCEL DE 1"</t>
        </is>
      </c>
      <c r="E1374" s="158" t="inlineStr">
        <is>
          <t>UND</t>
        </is>
      </c>
      <c r="F1374" s="158" t="inlineStr">
        <is>
          <t>MATERIALES</t>
        </is>
      </c>
      <c r="G1374" s="158" t="inlineStr">
        <is>
          <t>PUERTAS Y RODAPIE</t>
        </is>
      </c>
    </row>
    <row r="1375">
      <c r="A1375" s="564" t="n"/>
      <c r="B1375" s="158" t="inlineStr">
        <is>
          <t>MAT18-0064</t>
        </is>
      </c>
      <c r="C1375" s="558" t="inlineStr">
        <is>
          <t>0118-0064</t>
        </is>
      </c>
      <c r="D1375" s="158" t="inlineStr">
        <is>
          <t>TINTE NOGAL OSCURO DURO TINT</t>
        </is>
      </c>
      <c r="E1375" s="158" t="inlineStr">
        <is>
          <t>GAL</t>
        </is>
      </c>
      <c r="F1375" s="158" t="inlineStr">
        <is>
          <t>MATERIALES</t>
        </is>
      </c>
      <c r="G1375" s="158" t="inlineStr">
        <is>
          <t>PUERTAS Y RODAPIE</t>
        </is>
      </c>
    </row>
    <row r="1376">
      <c r="A1376" s="564" t="n"/>
      <c r="B1376" s="158" t="inlineStr">
        <is>
          <t>MAT18-0065</t>
        </is>
      </c>
      <c r="C1376" s="558" t="inlineStr">
        <is>
          <t>0118-0065</t>
        </is>
      </c>
      <c r="D1376" s="158" t="inlineStr">
        <is>
          <t>COLA BLANCA EN PRESENTACIÓN DE 1/8"</t>
        </is>
      </c>
      <c r="E1376" s="158" t="inlineStr">
        <is>
          <t>UND</t>
        </is>
      </c>
      <c r="F1376" s="158" t="inlineStr">
        <is>
          <t>MATERIALES</t>
        </is>
      </c>
      <c r="G1376" s="158" t="inlineStr">
        <is>
          <t>PUERTAS Y RODAPIE</t>
        </is>
      </c>
    </row>
    <row r="1377">
      <c r="A1377" s="564" t="n"/>
      <c r="B1377" s="158" t="inlineStr">
        <is>
          <t>MAT18-0066</t>
        </is>
      </c>
      <c r="C1377" s="558" t="inlineStr">
        <is>
          <t>0118-0066</t>
        </is>
      </c>
      <c r="D1377" s="158" t="inlineStr">
        <is>
          <t>PASTA PARA MADERA EN PRESENTACIÓN DE 1/4 DE GALON</t>
        </is>
      </c>
      <c r="E1377" s="158" t="inlineStr">
        <is>
          <t>UND</t>
        </is>
      </c>
      <c r="F1377" s="158" t="inlineStr">
        <is>
          <t>MATERIALES</t>
        </is>
      </c>
      <c r="G1377" s="158" t="inlineStr">
        <is>
          <t>PUERTAS Y RODAPIE</t>
        </is>
      </c>
    </row>
    <row r="1378">
      <c r="A1378" s="564" t="n"/>
      <c r="B1378" s="158" t="inlineStr">
        <is>
          <t>MAT18-0067</t>
        </is>
      </c>
      <c r="C1378" s="558" t="inlineStr">
        <is>
          <t>0118-0067</t>
        </is>
      </c>
      <c r="D1378" s="158" t="inlineStr">
        <is>
          <t>PUERTA PRINCIPAL DE 0.93 PARA BUQUE DE 1 METRO SIN MARCO NI ACCESORIOS</t>
        </is>
      </c>
      <c r="E1378" s="158" t="inlineStr">
        <is>
          <t>UND</t>
        </is>
      </c>
      <c r="F1378" s="158" t="inlineStr">
        <is>
          <t>MATERIALES</t>
        </is>
      </c>
      <c r="G1378" s="158" t="inlineStr">
        <is>
          <t>PUERTAS Y RODAPIE</t>
        </is>
      </c>
    </row>
    <row r="1379">
      <c r="A1379" s="564" t="n"/>
      <c r="B1379" s="158" t="inlineStr">
        <is>
          <t>MAT18-0068</t>
        </is>
      </c>
      <c r="C1379" s="558" t="inlineStr">
        <is>
          <t>0118-0068</t>
        </is>
      </c>
      <c r="D1379" s="158" t="inlineStr">
        <is>
          <t>PUERTA INTERNA DE 0.83 M BUQUE DE 0.90 M SIN MARCO NI ACCESORIOS</t>
        </is>
      </c>
      <c r="E1379" s="158" t="inlineStr">
        <is>
          <t>UND</t>
        </is>
      </c>
      <c r="F1379" s="158" t="inlineStr">
        <is>
          <t>MATERIALES</t>
        </is>
      </c>
      <c r="G1379" s="158" t="inlineStr">
        <is>
          <t>PUERTAS Y RODAPIE</t>
        </is>
      </c>
    </row>
    <row r="1380">
      <c r="A1380" s="564" t="n"/>
      <c r="B1380" s="158" t="inlineStr">
        <is>
          <t>MAT18-0069</t>
        </is>
      </c>
      <c r="C1380" s="558" t="inlineStr">
        <is>
          <t>0118-0069</t>
        </is>
      </c>
      <c r="D1380" s="158" t="inlineStr">
        <is>
          <t>PUERTA INTERNA 0.73 M BUQUE 0.80 M SIN MARCO NI ACCESORIOS</t>
        </is>
      </c>
      <c r="E1380" s="158" t="inlineStr">
        <is>
          <t>UND</t>
        </is>
      </c>
      <c r="F1380" s="158" t="inlineStr">
        <is>
          <t>MATERIALES</t>
        </is>
      </c>
      <c r="G1380" s="158" t="inlineStr">
        <is>
          <t>PUERTAS Y RODAPIE</t>
        </is>
      </c>
    </row>
    <row r="1381">
      <c r="A1381" s="564" t="n"/>
      <c r="B1381" s="158" t="inlineStr">
        <is>
          <t>MAT18-0071</t>
        </is>
      </c>
      <c r="C1381" s="558" t="inlineStr">
        <is>
          <t>0118-0071</t>
        </is>
      </c>
      <c r="D1381" s="158" t="inlineStr">
        <is>
          <t>TINTE DURO TINT NOGAL CLARO</t>
        </is>
      </c>
      <c r="E1381" s="158" t="inlineStr">
        <is>
          <t>1/4 DE GALON</t>
        </is>
      </c>
      <c r="F1381" s="158" t="inlineStr">
        <is>
          <t>MATERIALES</t>
        </is>
      </c>
      <c r="G1381" s="158" t="inlineStr">
        <is>
          <t>PUERTAS Y RODAPIE</t>
        </is>
      </c>
    </row>
    <row r="1382">
      <c r="A1382" s="564" t="n"/>
      <c r="B1382" s="158" t="inlineStr">
        <is>
          <t>MAT18-0072</t>
        </is>
      </c>
      <c r="C1382" s="558" t="inlineStr">
        <is>
          <t>0118-0072</t>
        </is>
      </c>
      <c r="D1382" s="158" t="inlineStr">
        <is>
          <t>MARCO/GUARNICION/BATIENTE TIPO COLOMBIA</t>
        </is>
      </c>
      <c r="E1382" s="158" t="inlineStr">
        <is>
          <t>UND</t>
        </is>
      </c>
      <c r="F1382" s="158" t="inlineStr">
        <is>
          <t>MATERIALES</t>
        </is>
      </c>
      <c r="G1382" s="158" t="inlineStr">
        <is>
          <t>PUERTAS Y RODAPIE</t>
        </is>
      </c>
    </row>
    <row r="1383">
      <c r="A1383" s="564" t="n"/>
      <c r="B1383" s="158" t="inlineStr">
        <is>
          <t>MAT18-0073</t>
        </is>
      </c>
      <c r="C1383" s="558" t="inlineStr">
        <is>
          <t>0118-0073</t>
        </is>
      </c>
      <c r="D1383" s="158" t="inlineStr">
        <is>
          <t>MARCO/GUARNICION/BATIENTE TIPO PANAMA</t>
        </is>
      </c>
      <c r="E1383" s="158" t="inlineStr">
        <is>
          <t>UND</t>
        </is>
      </c>
      <c r="F1383" s="158" t="inlineStr">
        <is>
          <t>MATERIALES</t>
        </is>
      </c>
      <c r="G1383" s="158" t="inlineStr">
        <is>
          <t>PUERTAS Y RODAPIE</t>
        </is>
      </c>
    </row>
    <row r="1384">
      <c r="A1384" s="564" t="n"/>
      <c r="B1384" s="158" t="inlineStr">
        <is>
          <t>MAT18-0080</t>
        </is>
      </c>
      <c r="C1384" s="558" t="inlineStr">
        <is>
          <t>0118-0080</t>
        </is>
      </c>
      <c r="D1384" s="158" t="inlineStr">
        <is>
          <t>MARCO/GUARNICION</t>
        </is>
      </c>
      <c r="E1384" s="158" t="inlineStr">
        <is>
          <t>UND</t>
        </is>
      </c>
      <c r="F1384" s="158" t="inlineStr">
        <is>
          <t>MATERIALES</t>
        </is>
      </c>
      <c r="G1384" s="158" t="inlineStr">
        <is>
          <t>MUEBLES</t>
        </is>
      </c>
    </row>
    <row r="1385">
      <c r="A1385" s="564" t="n"/>
      <c r="B1385" s="158" t="inlineStr">
        <is>
          <t>MAT18-0081</t>
        </is>
      </c>
      <c r="C1385" s="558" t="inlineStr">
        <is>
          <t>0118-0081</t>
        </is>
      </c>
      <c r="D1385" s="158" t="inlineStr">
        <is>
          <t>PUERTA DE PINO CHILENO+ MARCO + MAMPARA</t>
        </is>
      </c>
      <c r="E1385" s="158" t="inlineStr">
        <is>
          <t>UND</t>
        </is>
      </c>
      <c r="F1385" s="158" t="inlineStr">
        <is>
          <t>MATERIALES</t>
        </is>
      </c>
      <c r="G1385" s="158" t="inlineStr">
        <is>
          <t>PUERTAS Y RODAPIE</t>
        </is>
      </c>
    </row>
    <row r="1386">
      <c r="A1386" s="564" t="n"/>
      <c r="B1386" s="158" t="inlineStr">
        <is>
          <t>MAT18-0082</t>
        </is>
      </c>
      <c r="C1386" s="558" t="inlineStr">
        <is>
          <t>0118-0082</t>
        </is>
      </c>
      <c r="D1386" s="158" t="inlineStr">
        <is>
          <t>GUARNICION TIPO PANAMA</t>
        </is>
      </c>
      <c r="E1386" s="158" t="inlineStr">
        <is>
          <t>UND</t>
        </is>
      </c>
      <c r="F1386" s="158" t="inlineStr">
        <is>
          <t>MATERIALES</t>
        </is>
      </c>
      <c r="G1386" s="158" t="inlineStr">
        <is>
          <t>PUERTAS Y RODAPIE</t>
        </is>
      </c>
    </row>
    <row r="1387">
      <c r="A1387" s="564" t="n"/>
      <c r="B1387" s="158" t="inlineStr">
        <is>
          <t>MAT18-0083</t>
        </is>
      </c>
      <c r="C1387" s="558" t="inlineStr">
        <is>
          <t>0118-0083</t>
        </is>
      </c>
      <c r="D1387" s="158" t="inlineStr">
        <is>
          <t>RODAPIE TIPO COLOMBIA</t>
        </is>
      </c>
      <c r="E1387" s="158" t="inlineStr">
        <is>
          <t>UND</t>
        </is>
      </c>
      <c r="F1387" s="158" t="inlineStr">
        <is>
          <t>MATERIALES</t>
        </is>
      </c>
      <c r="G1387" s="158" t="inlineStr">
        <is>
          <t>PUERTAS Y RODAPIE</t>
        </is>
      </c>
    </row>
    <row r="1388">
      <c r="A1388" s="564" t="n"/>
      <c r="B1388" s="158" t="inlineStr">
        <is>
          <t>MAT18-0084</t>
        </is>
      </c>
      <c r="C1388" s="558" t="inlineStr">
        <is>
          <t>0118-0084</t>
        </is>
      </c>
      <c r="D1388" s="158" t="inlineStr">
        <is>
          <t>RODAPIE TIPO PANAMA</t>
        </is>
      </c>
      <c r="E1388" s="158" t="inlineStr">
        <is>
          <t>UND</t>
        </is>
      </c>
      <c r="F1388" s="158" t="inlineStr">
        <is>
          <t>MATERIALES</t>
        </is>
      </c>
      <c r="G1388" s="158" t="inlineStr">
        <is>
          <t>PUERTAS Y RODAPIE</t>
        </is>
      </c>
    </row>
    <row r="1389">
      <c r="A1389" s="564" t="n"/>
      <c r="B1389" s="158" t="inlineStr">
        <is>
          <t>MAT18-0085</t>
        </is>
      </c>
      <c r="C1389" s="558" t="inlineStr">
        <is>
          <t>0118-0085</t>
        </is>
      </c>
      <c r="D1389" s="158" t="inlineStr">
        <is>
          <t>TAPALUZ GRAFITO</t>
        </is>
      </c>
      <c r="E1389" s="158" t="inlineStr">
        <is>
          <t>UND</t>
        </is>
      </c>
      <c r="F1389" s="158" t="inlineStr">
        <is>
          <t>MATERIALES</t>
        </is>
      </c>
      <c r="G1389" s="158" t="inlineStr">
        <is>
          <t>PUERTAS Y RODAPIE</t>
        </is>
      </c>
    </row>
    <row r="1390">
      <c r="A1390" s="564" t="n"/>
      <c r="B1390" s="158" t="inlineStr">
        <is>
          <t>MAT18-0087</t>
        </is>
      </c>
      <c r="C1390" s="558" t="inlineStr">
        <is>
          <t>0118-0087</t>
        </is>
      </c>
      <c r="D1390" s="158" t="inlineStr">
        <is>
          <t>PUERTA PARA BUQUE DE 80CM SIN ACCESORIOS</t>
        </is>
      </c>
      <c r="E1390" s="158" t="inlineStr">
        <is>
          <t>UND</t>
        </is>
      </c>
      <c r="F1390" s="158" t="inlineStr">
        <is>
          <t>MATERIALES</t>
        </is>
      </c>
      <c r="G1390" s="158" t="inlineStr">
        <is>
          <t>PUERTAS Y RODAPIE</t>
        </is>
      </c>
    </row>
    <row r="1391" ht="15.75" customHeight="1">
      <c r="A1391" s="564" t="n"/>
      <c r="B1391" s="158" t="inlineStr">
        <is>
          <t>MAT18-050</t>
        </is>
      </c>
      <c r="C1391" s="558" t="inlineStr">
        <is>
          <t>0118-050</t>
        </is>
      </c>
      <c r="D1391" s="158" t="inlineStr">
        <is>
          <t>PUERTA CORREDIZA+MARCO+MOLDURA BUQUE 90CM</t>
        </is>
      </c>
      <c r="E1391" s="158" t="inlineStr">
        <is>
          <t>UND</t>
        </is>
      </c>
      <c r="F1391" s="158" t="inlineStr">
        <is>
          <t>MATERIALES</t>
        </is>
      </c>
      <c r="G1391" s="158" t="n"/>
    </row>
    <row r="1392" customFormat="1" s="560">
      <c r="A1392" s="558" t="n"/>
      <c r="B1392" s="557" t="inlineStr">
        <is>
          <t>(ID) Insumo</t>
        </is>
      </c>
      <c r="C1392" s="558" t="inlineStr">
        <is>
          <t>01) Insumo</t>
        </is>
      </c>
      <c r="D1392" s="557" t="inlineStr">
        <is>
          <t>Descripción</t>
        </is>
      </c>
      <c r="E1392" s="557" t="inlineStr">
        <is>
          <t>Unidad</t>
        </is>
      </c>
      <c r="F1392" s="557" t="inlineStr">
        <is>
          <t>Grupo de Insumo</t>
        </is>
      </c>
      <c r="G1392" s="557" t="inlineStr">
        <is>
          <t>Familia de Insumos</t>
        </is>
      </c>
    </row>
    <row r="1393">
      <c r="B1393" s="158" t="inlineStr">
        <is>
          <t>MAT19-0001</t>
        </is>
      </c>
      <c r="C1393" s="558" t="inlineStr">
        <is>
          <t>0119-0001</t>
        </is>
      </c>
      <c r="D1393" s="158" t="inlineStr">
        <is>
          <t>ADAPTADOR PVC MACHO 3" (75mm)</t>
        </is>
      </c>
      <c r="E1393" s="158" t="inlineStr">
        <is>
          <t>UND</t>
        </is>
      </c>
      <c r="F1393" s="158" t="inlineStr">
        <is>
          <t>MATERIALES</t>
        </is>
      </c>
      <c r="G1393" s="158" t="inlineStr">
        <is>
          <t>PVC</t>
        </is>
      </c>
    </row>
    <row r="1394">
      <c r="B1394" s="158" t="inlineStr">
        <is>
          <t>MAT19-0003</t>
        </is>
      </c>
      <c r="C1394" s="558" t="inlineStr">
        <is>
          <t>0119-0003</t>
        </is>
      </c>
      <c r="D1394" s="158" t="inlineStr">
        <is>
          <t>ADAPTADOR CPVC HEMBRA  1/2" (12mm)</t>
        </is>
      </c>
      <c r="E1394" s="158" t="inlineStr">
        <is>
          <t>UND</t>
        </is>
      </c>
      <c r="F1394" s="158" t="inlineStr">
        <is>
          <t>MATERIALES</t>
        </is>
      </c>
      <c r="G1394" s="158" t="inlineStr">
        <is>
          <t>PVC</t>
        </is>
      </c>
    </row>
    <row r="1395">
      <c r="B1395" s="158" t="inlineStr">
        <is>
          <t>MAT19-0004</t>
        </is>
      </c>
      <c r="C1395" s="558" t="inlineStr">
        <is>
          <t>0119-0004</t>
        </is>
      </c>
      <c r="D1395" s="158" t="inlineStr">
        <is>
          <t>ADAPTADOR PVC HEMBRA 1 1/2" (38mm)</t>
        </is>
      </c>
      <c r="E1395" s="158" t="inlineStr">
        <is>
          <t>UND</t>
        </is>
      </c>
      <c r="F1395" s="158" t="inlineStr">
        <is>
          <t>MATERIALES</t>
        </is>
      </c>
      <c r="G1395" s="158" t="inlineStr">
        <is>
          <t>PVC</t>
        </is>
      </c>
    </row>
    <row r="1396">
      <c r="B1396" s="158" t="inlineStr">
        <is>
          <t>MAT19-0005</t>
        </is>
      </c>
      <c r="C1396" s="558" t="inlineStr">
        <is>
          <t>0119-0005</t>
        </is>
      </c>
      <c r="D1396" s="158" t="inlineStr">
        <is>
          <t>ADAPTADOR PVC HEMBRA 1 1/4" (31mm)</t>
        </is>
      </c>
      <c r="E1396" s="158" t="inlineStr">
        <is>
          <t>UND</t>
        </is>
      </c>
      <c r="F1396" s="158" t="inlineStr">
        <is>
          <t>MATERIALES</t>
        </is>
      </c>
      <c r="G1396" s="158" t="inlineStr">
        <is>
          <t>PVC</t>
        </is>
      </c>
    </row>
    <row r="1397">
      <c r="B1397" s="158" t="inlineStr">
        <is>
          <t>MAT19-0006</t>
        </is>
      </c>
      <c r="C1397" s="558" t="inlineStr">
        <is>
          <t>0119-0006</t>
        </is>
      </c>
      <c r="D1397" s="158" t="inlineStr">
        <is>
          <t>ADAPTADOR PVC HEMBRA  1/2" (12mm)</t>
        </is>
      </c>
      <c r="E1397" s="158" t="inlineStr">
        <is>
          <t>UND</t>
        </is>
      </c>
      <c r="F1397" s="158" t="inlineStr">
        <is>
          <t>MATERIALES</t>
        </is>
      </c>
      <c r="G1397" s="158" t="inlineStr">
        <is>
          <t>PVC</t>
        </is>
      </c>
    </row>
    <row r="1398">
      <c r="B1398" s="158" t="inlineStr">
        <is>
          <t>MAT19-0007</t>
        </is>
      </c>
      <c r="C1398" s="558" t="inlineStr">
        <is>
          <t>0119-0007</t>
        </is>
      </c>
      <c r="D1398" s="158" t="inlineStr">
        <is>
          <t>ADAPTADOR PVC HEMBRA  2" (50mm)</t>
        </is>
      </c>
      <c r="E1398" s="158" t="inlineStr">
        <is>
          <t>UND</t>
        </is>
      </c>
      <c r="F1398" s="158" t="inlineStr">
        <is>
          <t>MATERIALES</t>
        </is>
      </c>
      <c r="G1398" s="158" t="inlineStr">
        <is>
          <t>PVC</t>
        </is>
      </c>
    </row>
    <row r="1399">
      <c r="B1399" s="158" t="inlineStr">
        <is>
          <t>MAT19-0008</t>
        </is>
      </c>
      <c r="C1399" s="558" t="inlineStr">
        <is>
          <t>0119-0008</t>
        </is>
      </c>
      <c r="D1399" s="158" t="inlineStr">
        <is>
          <t>ADAPTADOR PVC  HEMBRA 3/4" (18mm)</t>
        </is>
      </c>
      <c r="E1399" s="158" t="inlineStr">
        <is>
          <t>UND</t>
        </is>
      </c>
      <c r="F1399" s="158" t="inlineStr">
        <is>
          <t>MATERIALES</t>
        </is>
      </c>
      <c r="G1399" s="158" t="inlineStr">
        <is>
          <t>PVC</t>
        </is>
      </c>
    </row>
    <row r="1400">
      <c r="B1400" s="158" t="inlineStr">
        <is>
          <t>MAT19-0009</t>
        </is>
      </c>
      <c r="C1400" s="558" t="inlineStr">
        <is>
          <t>0119-0009</t>
        </is>
      </c>
      <c r="D1400" s="158" t="inlineStr">
        <is>
          <t>ADAPTADOR CPVC MACHO  1/2" (12mm)</t>
        </is>
      </c>
      <c r="E1400" s="158" t="inlineStr">
        <is>
          <t>UND</t>
        </is>
      </c>
      <c r="F1400" s="158" t="inlineStr">
        <is>
          <t>MATERIALES</t>
        </is>
      </c>
      <c r="G1400" s="158" t="inlineStr">
        <is>
          <t>PVC</t>
        </is>
      </c>
    </row>
    <row r="1401">
      <c r="B1401" s="158" t="inlineStr">
        <is>
          <t>MAT19-0010</t>
        </is>
      </c>
      <c r="C1401" s="558" t="inlineStr">
        <is>
          <t>0119-0010</t>
        </is>
      </c>
      <c r="D1401" s="158" t="inlineStr">
        <is>
          <t>ADAPTADOR PVC MACHO  1 1/4" (31mm)</t>
        </is>
      </c>
      <c r="E1401" s="158" t="inlineStr">
        <is>
          <t>UND</t>
        </is>
      </c>
      <c r="F1401" s="158" t="inlineStr">
        <is>
          <t>MATERIALES</t>
        </is>
      </c>
      <c r="G1401" s="158" t="inlineStr">
        <is>
          <t>PVC</t>
        </is>
      </c>
    </row>
    <row r="1402">
      <c r="B1402" s="158" t="inlineStr">
        <is>
          <t>MAT19-0011</t>
        </is>
      </c>
      <c r="C1402" s="558" t="inlineStr">
        <is>
          <t>0119-0011</t>
        </is>
      </c>
      <c r="D1402" s="158" t="inlineStr">
        <is>
          <t>ADAPTADOR MACHO PVC 1/2 (12mm)</t>
        </is>
      </c>
      <c r="E1402" s="158" t="inlineStr">
        <is>
          <t>UND</t>
        </is>
      </c>
      <c r="F1402" s="158" t="inlineStr">
        <is>
          <t>MATERIALES</t>
        </is>
      </c>
      <c r="G1402" s="158" t="inlineStr">
        <is>
          <t>PVC</t>
        </is>
      </c>
    </row>
    <row r="1403">
      <c r="B1403" s="158" t="inlineStr">
        <is>
          <t>MAT19-0012</t>
        </is>
      </c>
      <c r="C1403" s="558" t="inlineStr">
        <is>
          <t>0119-0012</t>
        </is>
      </c>
      <c r="D1403" s="158" t="inlineStr">
        <is>
          <t>ADAPTADOR MACHO PVC 3/4 (18mm)</t>
        </is>
      </c>
      <c r="E1403" s="158" t="inlineStr">
        <is>
          <t>UND</t>
        </is>
      </c>
      <c r="F1403" s="158" t="inlineStr">
        <is>
          <t>MATERIALES</t>
        </is>
      </c>
      <c r="G1403" s="158" t="inlineStr">
        <is>
          <t>PVC</t>
        </is>
      </c>
    </row>
    <row r="1404">
      <c r="B1404" s="158" t="inlineStr">
        <is>
          <t>MAT19-0013</t>
        </is>
      </c>
      <c r="C1404" s="558" t="inlineStr">
        <is>
          <t>0119-0013</t>
        </is>
      </c>
      <c r="D1404" s="158" t="inlineStr">
        <is>
          <t>CODO 45 CPVC 1/2" (12mm)</t>
        </is>
      </c>
      <c r="E1404" s="158" t="inlineStr">
        <is>
          <t>UND</t>
        </is>
      </c>
      <c r="F1404" s="158" t="inlineStr">
        <is>
          <t>MATERIALES</t>
        </is>
      </c>
      <c r="G1404" s="158" t="inlineStr">
        <is>
          <t>PVC</t>
        </is>
      </c>
    </row>
    <row r="1405">
      <c r="B1405" s="158" t="inlineStr">
        <is>
          <t>MAT19-0014</t>
        </is>
      </c>
      <c r="C1405" s="558" t="inlineStr">
        <is>
          <t>0119-0014</t>
        </is>
      </c>
      <c r="D1405" s="158" t="inlineStr">
        <is>
          <t>CODO 45 PVC LISO 1/2" (12mm)</t>
        </is>
      </c>
      <c r="E1405" s="158" t="inlineStr">
        <is>
          <t>UND</t>
        </is>
      </c>
      <c r="F1405" s="158" t="inlineStr">
        <is>
          <t>MATERIALES</t>
        </is>
      </c>
      <c r="G1405" s="158" t="inlineStr">
        <is>
          <t>PVC</t>
        </is>
      </c>
    </row>
    <row r="1406">
      <c r="B1406" s="158" t="inlineStr">
        <is>
          <t>MAT19-0015</t>
        </is>
      </c>
      <c r="C1406" s="558" t="inlineStr">
        <is>
          <t>0119-0015</t>
        </is>
      </c>
      <c r="D1406" s="158" t="inlineStr">
        <is>
          <t>CODO 45 PVC PARED DELGADA 1 1/4" (31mm)</t>
        </is>
      </c>
      <c r="E1406" s="158" t="inlineStr">
        <is>
          <t>UND</t>
        </is>
      </c>
      <c r="F1406" s="158" t="inlineStr">
        <is>
          <t>MATERIALES</t>
        </is>
      </c>
      <c r="G1406" s="158" t="inlineStr">
        <is>
          <t>PVC</t>
        </is>
      </c>
    </row>
    <row r="1407">
      <c r="B1407" s="158" t="inlineStr">
        <is>
          <t>MAT19-0016</t>
        </is>
      </c>
      <c r="C1407" s="558" t="inlineStr">
        <is>
          <t>0119-0016</t>
        </is>
      </c>
      <c r="D1407" s="158" t="inlineStr">
        <is>
          <t>CODO 45 PVC PARED DELGADA 1 1/2" (38mm)</t>
        </is>
      </c>
      <c r="E1407" s="158" t="inlineStr">
        <is>
          <t>UND</t>
        </is>
      </c>
      <c r="F1407" s="158" t="inlineStr">
        <is>
          <t>MATERIALES</t>
        </is>
      </c>
      <c r="G1407" s="158" t="inlineStr">
        <is>
          <t>PVC</t>
        </is>
      </c>
    </row>
    <row r="1408">
      <c r="B1408" s="158" t="inlineStr">
        <is>
          <t>MAT19-0017</t>
        </is>
      </c>
      <c r="C1408" s="558" t="inlineStr">
        <is>
          <t>0119-0017</t>
        </is>
      </c>
      <c r="D1408" s="158" t="inlineStr">
        <is>
          <t>CODO 45 PVC PARED DELGADA 3"(75mm)</t>
        </is>
      </c>
      <c r="E1408" s="158" t="inlineStr">
        <is>
          <t>UND</t>
        </is>
      </c>
      <c r="F1408" s="158" t="inlineStr">
        <is>
          <t>MATERIALES</t>
        </is>
      </c>
      <c r="G1408" s="158" t="inlineStr">
        <is>
          <t>PVC</t>
        </is>
      </c>
    </row>
    <row r="1409">
      <c r="B1409" s="158" t="inlineStr">
        <is>
          <t>MAT19-0018</t>
        </is>
      </c>
      <c r="C1409" s="558" t="inlineStr">
        <is>
          <t>0119-0018</t>
        </is>
      </c>
      <c r="D1409" s="158" t="inlineStr">
        <is>
          <t>CODO 45 PVC PARED DELGADA 4" (100mm)</t>
        </is>
      </c>
      <c r="E1409" s="158" t="inlineStr">
        <is>
          <t>UND</t>
        </is>
      </c>
      <c r="F1409" s="158" t="inlineStr">
        <is>
          <t>MATERIALES</t>
        </is>
      </c>
      <c r="G1409" s="158" t="inlineStr">
        <is>
          <t>PVC</t>
        </is>
      </c>
    </row>
    <row r="1410">
      <c r="B1410" s="158" t="inlineStr">
        <is>
          <t>MAT19-0019</t>
        </is>
      </c>
      <c r="C1410" s="558" t="inlineStr">
        <is>
          <t>0119-0019</t>
        </is>
      </c>
      <c r="D1410" s="158" t="inlineStr">
        <is>
          <t>CODO 45 PVC PARED DELGADA SANITARIO 2" (50mm)</t>
        </is>
      </c>
      <c r="E1410" s="158" t="inlineStr">
        <is>
          <t>UND</t>
        </is>
      </c>
      <c r="F1410" s="158" t="inlineStr">
        <is>
          <t>MATERIALES</t>
        </is>
      </c>
      <c r="G1410" s="158" t="inlineStr">
        <is>
          <t>PVC</t>
        </is>
      </c>
    </row>
    <row r="1411">
      <c r="B1411" s="158" t="inlineStr">
        <is>
          <t>MAT19-0020</t>
        </is>
      </c>
      <c r="C1411" s="558" t="inlineStr">
        <is>
          <t>0119-0020</t>
        </is>
      </c>
      <c r="D1411" s="158" t="inlineStr">
        <is>
          <t>CODO 90 PVC LISO 1/2" (12mm)</t>
        </is>
      </c>
      <c r="E1411" s="158" t="inlineStr">
        <is>
          <t>UND</t>
        </is>
      </c>
      <c r="F1411" s="158" t="inlineStr">
        <is>
          <t>MATERIALES</t>
        </is>
      </c>
      <c r="G1411" s="158" t="inlineStr">
        <is>
          <t>PVC</t>
        </is>
      </c>
    </row>
    <row r="1412">
      <c r="B1412" s="158" t="inlineStr">
        <is>
          <t>MAT19-0021</t>
        </is>
      </c>
      <c r="C1412" s="558" t="inlineStr">
        <is>
          <t>0119-0021</t>
        </is>
      </c>
      <c r="D1412" s="158" t="inlineStr">
        <is>
          <t>CODO 90 CPVC 1/2" (12mm)</t>
        </is>
      </c>
      <c r="E1412" s="158" t="inlineStr">
        <is>
          <t>UND</t>
        </is>
      </c>
      <c r="F1412" s="158" t="inlineStr">
        <is>
          <t>MATERIALES</t>
        </is>
      </c>
      <c r="G1412" s="158" t="inlineStr">
        <is>
          <t>PVC</t>
        </is>
      </c>
    </row>
    <row r="1413">
      <c r="B1413" s="158" t="inlineStr">
        <is>
          <t>MAT19-0022</t>
        </is>
      </c>
      <c r="C1413" s="558" t="inlineStr">
        <is>
          <t>0119-0022</t>
        </is>
      </c>
      <c r="D1413" s="158" t="inlineStr">
        <is>
          <t>CODO 90 PVC PARED DELGADA 1 1/2" (38mm)</t>
        </is>
      </c>
      <c r="E1413" s="158" t="inlineStr">
        <is>
          <t>UND</t>
        </is>
      </c>
      <c r="F1413" s="158" t="inlineStr">
        <is>
          <t>MATERIALES</t>
        </is>
      </c>
      <c r="G1413" s="158" t="inlineStr">
        <is>
          <t>PVC</t>
        </is>
      </c>
    </row>
    <row r="1414">
      <c r="B1414" s="158" t="inlineStr">
        <is>
          <t>MAT19-0023</t>
        </is>
      </c>
      <c r="C1414" s="558" t="inlineStr">
        <is>
          <t>0119-0023</t>
        </is>
      </c>
      <c r="D1414" s="158" t="inlineStr">
        <is>
          <t>CODO 90 PVC PARED DELGADA 1 1/4" (31mm)</t>
        </is>
      </c>
      <c r="E1414" s="158" t="inlineStr">
        <is>
          <t>UND</t>
        </is>
      </c>
      <c r="F1414" s="158" t="inlineStr">
        <is>
          <t>MATERIALES</t>
        </is>
      </c>
      <c r="G1414" s="158" t="inlineStr">
        <is>
          <t>PVC</t>
        </is>
      </c>
    </row>
    <row r="1415">
      <c r="B1415" s="158" t="inlineStr">
        <is>
          <t>MAT19-0024</t>
        </is>
      </c>
      <c r="C1415" s="558" t="inlineStr">
        <is>
          <t>0119-0024</t>
        </is>
      </c>
      <c r="D1415" s="158" t="inlineStr">
        <is>
          <t>CODO 90 PVC PARED DELGADA 2" (50mm)</t>
        </is>
      </c>
      <c r="E1415" s="158" t="inlineStr">
        <is>
          <t>UND</t>
        </is>
      </c>
      <c r="F1415" s="158" t="inlineStr">
        <is>
          <t>MATERIALES</t>
        </is>
      </c>
      <c r="G1415" s="158" t="inlineStr">
        <is>
          <t>PVC</t>
        </is>
      </c>
    </row>
    <row r="1416">
      <c r="B1416" s="158" t="inlineStr">
        <is>
          <t>MAT19-0025</t>
        </is>
      </c>
      <c r="C1416" s="558" t="inlineStr">
        <is>
          <t>0119-0025</t>
        </is>
      </c>
      <c r="D1416" s="158" t="inlineStr">
        <is>
          <t>CODO 90 PVC PARED DELGADA 3" (75mm)</t>
        </is>
      </c>
      <c r="E1416" s="158" t="inlineStr">
        <is>
          <t>UND</t>
        </is>
      </c>
      <c r="F1416" s="158" t="inlineStr">
        <is>
          <t>MATERIALES</t>
        </is>
      </c>
      <c r="G1416" s="158" t="inlineStr">
        <is>
          <t>PVC</t>
        </is>
      </c>
    </row>
    <row r="1417">
      <c r="B1417" s="158" t="inlineStr">
        <is>
          <t>MAT19-0026</t>
        </is>
      </c>
      <c r="C1417" s="558" t="inlineStr">
        <is>
          <t>0119-0026</t>
        </is>
      </c>
      <c r="D1417" s="158" t="inlineStr">
        <is>
          <t>CODO 90 PVC PARED DELGADA 4" (100mm)</t>
        </is>
      </c>
      <c r="E1417" s="158" t="inlineStr">
        <is>
          <t>UND</t>
        </is>
      </c>
      <c r="F1417" s="158" t="inlineStr">
        <is>
          <t>MATERIALES</t>
        </is>
      </c>
      <c r="G1417" s="158" t="inlineStr">
        <is>
          <t>PVC</t>
        </is>
      </c>
    </row>
    <row r="1418">
      <c r="B1418" s="158" t="inlineStr">
        <is>
          <t>MAT19-0027</t>
        </is>
      </c>
      <c r="C1418" s="558" t="inlineStr">
        <is>
          <t>0119-0027</t>
        </is>
      </c>
      <c r="D1418" s="158" t="inlineStr">
        <is>
          <t>CONECTOR PVC CONDUIT UL 1 1/2" (38mm)</t>
        </is>
      </c>
      <c r="E1418" s="158" t="inlineStr">
        <is>
          <t>UND</t>
        </is>
      </c>
      <c r="F1418" s="158" t="inlineStr">
        <is>
          <t>MATERIALES</t>
        </is>
      </c>
      <c r="G1418" s="158" t="inlineStr">
        <is>
          <t>PVC</t>
        </is>
      </c>
    </row>
    <row r="1419">
      <c r="B1419" s="158" t="inlineStr">
        <is>
          <t>MAT19-0028</t>
        </is>
      </c>
      <c r="C1419" s="558" t="inlineStr">
        <is>
          <t>0119-0028</t>
        </is>
      </c>
      <c r="D1419" s="574" t="inlineStr">
        <is>
          <t>CONECTOR PVC CONDUIT UL 1"  (25mm)</t>
        </is>
      </c>
      <c r="E1419" s="158" t="inlineStr">
        <is>
          <t>UND</t>
        </is>
      </c>
      <c r="F1419" s="158" t="inlineStr">
        <is>
          <t>MATERIALES</t>
        </is>
      </c>
      <c r="G1419" s="158" t="inlineStr">
        <is>
          <t>PVC</t>
        </is>
      </c>
    </row>
    <row r="1420">
      <c r="B1420" s="158" t="inlineStr">
        <is>
          <t>MAT19-0029</t>
        </is>
      </c>
      <c r="C1420" s="558" t="inlineStr">
        <is>
          <t>0119-0029</t>
        </is>
      </c>
      <c r="D1420" s="158" t="inlineStr">
        <is>
          <t>CONECTOR PVC CONDUIT UL 1/2" (12mm)</t>
        </is>
      </c>
      <c r="E1420" s="158" t="inlineStr">
        <is>
          <t>UND</t>
        </is>
      </c>
      <c r="F1420" s="158" t="inlineStr">
        <is>
          <t>MATERIALES</t>
        </is>
      </c>
      <c r="G1420" s="158" t="inlineStr">
        <is>
          <t>PVC</t>
        </is>
      </c>
    </row>
    <row r="1421">
      <c r="B1421" s="158" t="inlineStr">
        <is>
          <t>MAT19-0030</t>
        </is>
      </c>
      <c r="C1421" s="558" t="inlineStr">
        <is>
          <t>0119-0030</t>
        </is>
      </c>
      <c r="D1421" s="158" t="inlineStr">
        <is>
          <t xml:space="preserve">CONECTORPVC CONDUIT UL 3/4" (18mm) </t>
        </is>
      </c>
      <c r="E1421" s="158" t="inlineStr">
        <is>
          <t>UND</t>
        </is>
      </c>
      <c r="F1421" s="158" t="inlineStr">
        <is>
          <t>MATERIALES</t>
        </is>
      </c>
      <c r="G1421" s="158" t="inlineStr">
        <is>
          <t>PVC</t>
        </is>
      </c>
    </row>
    <row r="1422">
      <c r="B1422" s="158" t="inlineStr">
        <is>
          <t>MAT19-0031</t>
        </is>
      </c>
      <c r="C1422" s="558" t="inlineStr">
        <is>
          <t>0119-0031</t>
        </is>
      </c>
      <c r="D1422" s="158" t="inlineStr">
        <is>
          <t>CURVA PVC CONDUIT UL 1 1/2" (38mm)</t>
        </is>
      </c>
      <c r="E1422" s="158" t="inlineStr">
        <is>
          <t>UND</t>
        </is>
      </c>
      <c r="F1422" s="158" t="inlineStr">
        <is>
          <t>MATERIALES</t>
        </is>
      </c>
      <c r="G1422" s="158" t="inlineStr">
        <is>
          <t>PVC</t>
        </is>
      </c>
    </row>
    <row r="1423">
      <c r="B1423" s="158" t="inlineStr">
        <is>
          <t>MAT19-0032</t>
        </is>
      </c>
      <c r="C1423" s="558" t="inlineStr">
        <is>
          <t>0119-0032</t>
        </is>
      </c>
      <c r="D1423" s="158" t="inlineStr">
        <is>
          <t>CURVA PVC CONDUIT UL 1" (25mm)</t>
        </is>
      </c>
      <c r="E1423" s="158" t="inlineStr">
        <is>
          <t>UND</t>
        </is>
      </c>
      <c r="F1423" s="158" t="inlineStr">
        <is>
          <t>MATERIALES</t>
        </is>
      </c>
      <c r="G1423" s="158" t="inlineStr">
        <is>
          <t>PVC</t>
        </is>
      </c>
    </row>
    <row r="1424">
      <c r="B1424" s="158" t="inlineStr">
        <is>
          <t>MAT19-0033</t>
        </is>
      </c>
      <c r="C1424" s="558" t="inlineStr">
        <is>
          <t>0119-0033</t>
        </is>
      </c>
      <c r="D1424" s="158" t="inlineStr">
        <is>
          <t xml:space="preserve">CURVA PVC CONDUIT UL 1/2" (12mm) </t>
        </is>
      </c>
      <c r="E1424" s="158" t="inlineStr">
        <is>
          <t>UND</t>
        </is>
      </c>
      <c r="F1424" s="158" t="inlineStr">
        <is>
          <t>MATERIALES</t>
        </is>
      </c>
      <c r="G1424" s="158" t="inlineStr">
        <is>
          <t>PVC</t>
        </is>
      </c>
    </row>
    <row r="1425">
      <c r="B1425" s="158" t="inlineStr">
        <is>
          <t>MAT19-0034</t>
        </is>
      </c>
      <c r="C1425" s="558" t="inlineStr">
        <is>
          <t>0119-0034</t>
        </is>
      </c>
      <c r="D1425" s="158" t="inlineStr">
        <is>
          <t xml:space="preserve">CURVA PVC CONDUIT UL 3/4" (31mm) </t>
        </is>
      </c>
      <c r="E1425" s="158" t="inlineStr">
        <is>
          <t>UND</t>
        </is>
      </c>
      <c r="F1425" s="158" t="inlineStr">
        <is>
          <t>MATERIALES</t>
        </is>
      </c>
      <c r="G1425" s="158" t="inlineStr">
        <is>
          <t>PVC</t>
        </is>
      </c>
    </row>
    <row r="1426">
      <c r="B1426" s="158" t="inlineStr">
        <is>
          <t>MAT19-0035</t>
        </is>
      </c>
      <c r="C1426" s="558" t="inlineStr">
        <is>
          <t>0119-0035</t>
        </is>
      </c>
      <c r="D1426" s="158" t="inlineStr">
        <is>
          <t>REDUCCION PVC DE 1 1/4"X1" (31mmx25mm)</t>
        </is>
      </c>
      <c r="E1426" s="158" t="inlineStr">
        <is>
          <t>UND</t>
        </is>
      </c>
      <c r="F1426" s="158" t="inlineStr">
        <is>
          <t>MATERIALES</t>
        </is>
      </c>
      <c r="G1426" s="158" t="inlineStr">
        <is>
          <t>PVC</t>
        </is>
      </c>
    </row>
    <row r="1427">
      <c r="B1427" s="158" t="inlineStr">
        <is>
          <t>MAT19-0036</t>
        </is>
      </c>
      <c r="C1427" s="558" t="inlineStr">
        <is>
          <t>0119-0036</t>
        </is>
      </c>
      <c r="D1427" s="158" t="inlineStr">
        <is>
          <t>REDUCCION PVC DE 6"x4" (150mmx100mm)</t>
        </is>
      </c>
      <c r="E1427" s="158" t="inlineStr">
        <is>
          <t>UND</t>
        </is>
      </c>
      <c r="F1427" s="158" t="inlineStr">
        <is>
          <t>MATERIALES</t>
        </is>
      </c>
      <c r="G1427" s="158" t="inlineStr">
        <is>
          <t>PVC</t>
        </is>
      </c>
    </row>
    <row r="1428">
      <c r="B1428" s="158" t="inlineStr">
        <is>
          <t>MAT19-0037</t>
        </is>
      </c>
      <c r="C1428" s="558" t="inlineStr">
        <is>
          <t>0119-0037</t>
        </is>
      </c>
      <c r="D1428" s="158" t="inlineStr">
        <is>
          <t xml:space="preserve">REDUCCION PVC LISA PRES 2"x3/4" (50mmx18mm) </t>
        </is>
      </c>
      <c r="E1428" s="158" t="inlineStr">
        <is>
          <t>UND</t>
        </is>
      </c>
      <c r="F1428" s="158" t="inlineStr">
        <is>
          <t>MATERIALES</t>
        </is>
      </c>
      <c r="G1428" s="158" t="inlineStr">
        <is>
          <t>PVC</t>
        </is>
      </c>
    </row>
    <row r="1429">
      <c r="B1429" s="158" t="inlineStr">
        <is>
          <t>MAT19-0038</t>
        </is>
      </c>
      <c r="C1429" s="558" t="inlineStr">
        <is>
          <t>0119-0038</t>
        </is>
      </c>
      <c r="D1429" s="158" t="inlineStr">
        <is>
          <t xml:space="preserve">REDUCCION PVC SANITARIO 2"x1 1/4" (50mmx31) </t>
        </is>
      </c>
      <c r="E1429" s="158" t="inlineStr">
        <is>
          <t>UND</t>
        </is>
      </c>
      <c r="F1429" s="158" t="inlineStr">
        <is>
          <t>MATERIALES</t>
        </is>
      </c>
      <c r="G1429" s="158" t="inlineStr">
        <is>
          <t>PVC</t>
        </is>
      </c>
    </row>
    <row r="1430">
      <c r="B1430" s="158" t="inlineStr">
        <is>
          <t>MAT19-0039</t>
        </is>
      </c>
      <c r="C1430" s="558" t="inlineStr">
        <is>
          <t>0119-0039</t>
        </is>
      </c>
      <c r="D1430" s="158" t="inlineStr">
        <is>
          <t>REDUCCION PVC 1/2"x3/4" (12mmx31mm)</t>
        </is>
      </c>
      <c r="E1430" s="158" t="inlineStr">
        <is>
          <t>UND</t>
        </is>
      </c>
      <c r="F1430" s="158" t="inlineStr">
        <is>
          <t>MATERIALES</t>
        </is>
      </c>
      <c r="G1430" s="158" t="inlineStr">
        <is>
          <t>PVC</t>
        </is>
      </c>
    </row>
    <row r="1431">
      <c r="B1431" s="158" t="inlineStr">
        <is>
          <t>MAT19-0040</t>
        </is>
      </c>
      <c r="C1431" s="558" t="inlineStr">
        <is>
          <t>0119-0040</t>
        </is>
      </c>
      <c r="D1431" s="158" t="inlineStr">
        <is>
          <t>REDUCCION PVC 1 1/2"x1"  (38mmx25mm)</t>
        </is>
      </c>
      <c r="E1431" s="158" t="inlineStr">
        <is>
          <t>UND</t>
        </is>
      </c>
      <c r="F1431" s="158" t="inlineStr">
        <is>
          <t>MATERIALES</t>
        </is>
      </c>
      <c r="G1431" s="158" t="inlineStr">
        <is>
          <t>PVC</t>
        </is>
      </c>
    </row>
    <row r="1432">
      <c r="B1432" s="158" t="inlineStr">
        <is>
          <t>MAT19-0041</t>
        </is>
      </c>
      <c r="C1432" s="558" t="inlineStr">
        <is>
          <t>0119-0041</t>
        </is>
      </c>
      <c r="D1432" s="158" t="inlineStr">
        <is>
          <t>REDUCCION PVC LISA P.D.  3"x4" (75mmx100mm)</t>
        </is>
      </c>
      <c r="E1432" s="158" t="inlineStr">
        <is>
          <t>UND</t>
        </is>
      </c>
      <c r="F1432" s="158" t="inlineStr">
        <is>
          <t>MATERIALES</t>
        </is>
      </c>
      <c r="G1432" s="158" t="inlineStr">
        <is>
          <t>PVC</t>
        </is>
      </c>
    </row>
    <row r="1433">
      <c r="B1433" s="158" t="inlineStr">
        <is>
          <t>MAT19-0042</t>
        </is>
      </c>
      <c r="C1433" s="558" t="inlineStr">
        <is>
          <t>0119-0042</t>
        </is>
      </c>
      <c r="D1433" s="158" t="inlineStr">
        <is>
          <t>REDUCCION PVC LISA P.D. 1/2"x1 1/2" (12mmx38mm)</t>
        </is>
      </c>
      <c r="E1433" s="158" t="inlineStr">
        <is>
          <t>UND</t>
        </is>
      </c>
      <c r="F1433" s="158" t="inlineStr">
        <is>
          <t>MATERIALES</t>
        </is>
      </c>
      <c r="G1433" s="158" t="inlineStr">
        <is>
          <t>PVC</t>
        </is>
      </c>
    </row>
    <row r="1434">
      <c r="B1434" s="158" t="inlineStr">
        <is>
          <t>MAT19-0043</t>
        </is>
      </c>
      <c r="C1434" s="558" t="inlineStr">
        <is>
          <t>0119-0043</t>
        </is>
      </c>
      <c r="D1434" s="158" t="inlineStr">
        <is>
          <t>REDUCCION PVC LISA P.D. 2"x3" (50mmx75mm)</t>
        </is>
      </c>
      <c r="E1434" s="158" t="inlineStr">
        <is>
          <t>UND</t>
        </is>
      </c>
      <c r="F1434" s="158" t="inlineStr">
        <is>
          <t>MATERIALES</t>
        </is>
      </c>
      <c r="G1434" s="158" t="inlineStr">
        <is>
          <t>PVC</t>
        </is>
      </c>
    </row>
    <row r="1435">
      <c r="B1435" s="158" t="inlineStr">
        <is>
          <t>MAT19-0044</t>
        </is>
      </c>
      <c r="C1435" s="558" t="inlineStr">
        <is>
          <t>0119-0044</t>
        </is>
      </c>
      <c r="D1435" s="158" t="inlineStr">
        <is>
          <t>REDUCCION PVC LISA P.D. 2"x4" (50mmx100mm)</t>
        </is>
      </c>
      <c r="E1435" s="158" t="inlineStr">
        <is>
          <t>UND</t>
        </is>
      </c>
      <c r="F1435" s="158" t="inlineStr">
        <is>
          <t>MATERIALES</t>
        </is>
      </c>
      <c r="G1435" s="158" t="inlineStr">
        <is>
          <t>PVC</t>
        </is>
      </c>
    </row>
    <row r="1436">
      <c r="B1436" s="158" t="inlineStr">
        <is>
          <t>MAT19-0045</t>
        </is>
      </c>
      <c r="C1436" s="558" t="inlineStr">
        <is>
          <t>0119-0045</t>
        </is>
      </c>
      <c r="D1436" s="158" t="inlineStr">
        <is>
          <t>REDUCCION PVC LISA P.D. 1 1/2"x2" (31mmx50mm)</t>
        </is>
      </c>
      <c r="E1436" s="158" t="inlineStr">
        <is>
          <t>UND</t>
        </is>
      </c>
      <c r="F1436" s="158" t="inlineStr">
        <is>
          <t>MATERIALES</t>
        </is>
      </c>
      <c r="G1436" s="158" t="inlineStr">
        <is>
          <t>PVC</t>
        </is>
      </c>
    </row>
    <row r="1437">
      <c r="B1437" s="158" t="inlineStr">
        <is>
          <t>MAT19-0046</t>
        </is>
      </c>
      <c r="C1437" s="558" t="inlineStr">
        <is>
          <t>0119-0046</t>
        </is>
      </c>
      <c r="D1437" s="158" t="inlineStr">
        <is>
          <t>REDUCCION PVC LISA 3/4"x1/2" (18mmx12mm)</t>
        </is>
      </c>
      <c r="E1437" s="158" t="inlineStr">
        <is>
          <t>UND</t>
        </is>
      </c>
      <c r="F1437" s="158" t="inlineStr">
        <is>
          <t>MATERIALES</t>
        </is>
      </c>
      <c r="G1437" s="158" t="inlineStr">
        <is>
          <t>PVC</t>
        </is>
      </c>
    </row>
    <row r="1438">
      <c r="B1438" s="158" t="inlineStr">
        <is>
          <t>MAT19-0047</t>
        </is>
      </c>
      <c r="C1438" s="558" t="inlineStr">
        <is>
          <t>0119-0047</t>
        </is>
      </c>
      <c r="D1438" s="158" t="inlineStr">
        <is>
          <t>REDUCCION PVC PARED GRUESA 1 1/2"x1 1/4" (38mmx31mm)</t>
        </is>
      </c>
      <c r="E1438" s="158" t="inlineStr">
        <is>
          <t>UND</t>
        </is>
      </c>
      <c r="F1438" s="158" t="inlineStr">
        <is>
          <t>MATERIALES</t>
        </is>
      </c>
      <c r="G1438" s="158" t="inlineStr">
        <is>
          <t>PVC</t>
        </is>
      </c>
    </row>
    <row r="1439">
      <c r="B1439" s="158" t="inlineStr">
        <is>
          <t>MAT19-0048</t>
        </is>
      </c>
      <c r="C1439" s="558" t="inlineStr">
        <is>
          <t>0119-0048</t>
        </is>
      </c>
      <c r="D1439" s="158" t="inlineStr">
        <is>
          <t>REDUCCION PVC PARED GRUESA 1 1/2"x2" (38mmx50mm)</t>
        </is>
      </c>
      <c r="E1439" s="158" t="inlineStr">
        <is>
          <t>UND</t>
        </is>
      </c>
      <c r="F1439" s="158" t="inlineStr">
        <is>
          <t>MATERIALES</t>
        </is>
      </c>
      <c r="G1439" s="158" t="inlineStr">
        <is>
          <t>PVC</t>
        </is>
      </c>
    </row>
    <row r="1440">
      <c r="B1440" s="158" t="inlineStr">
        <is>
          <t>MAT19-0049</t>
        </is>
      </c>
      <c r="C1440" s="558" t="inlineStr">
        <is>
          <t>0119-0049</t>
        </is>
      </c>
      <c r="D1440" s="158" t="inlineStr">
        <is>
          <t>REDUCCION PVC PARED GRUESA 2 "x1 1/4" (50mmx31mm)</t>
        </is>
      </c>
      <c r="E1440" s="158" t="inlineStr">
        <is>
          <t>UND</t>
        </is>
      </c>
      <c r="F1440" s="158" t="inlineStr">
        <is>
          <t>MATERIALES</t>
        </is>
      </c>
      <c r="G1440" s="158" t="inlineStr">
        <is>
          <t>PVC</t>
        </is>
      </c>
    </row>
    <row r="1441">
      <c r="B1441" s="158" t="inlineStr">
        <is>
          <t>MAT19-0050</t>
        </is>
      </c>
      <c r="C1441" s="558" t="inlineStr">
        <is>
          <t>0119-0050</t>
        </is>
      </c>
      <c r="D1441" s="158" t="inlineStr">
        <is>
          <t>REDUCCION PVC 1 1/2"x2" (38mmx50mm)</t>
        </is>
      </c>
      <c r="E1441" s="158" t="inlineStr">
        <is>
          <t>UND</t>
        </is>
      </c>
      <c r="F1441" s="158" t="inlineStr">
        <is>
          <t>MATERIALES</t>
        </is>
      </c>
      <c r="G1441" s="158" t="inlineStr">
        <is>
          <t>PVC</t>
        </is>
      </c>
    </row>
    <row r="1442">
      <c r="B1442" s="158" t="inlineStr">
        <is>
          <t>MAT19-0051</t>
        </is>
      </c>
      <c r="C1442" s="558" t="inlineStr">
        <is>
          <t>0119-0051</t>
        </is>
      </c>
      <c r="D1442" s="158" t="inlineStr">
        <is>
          <t>REDUCCION PVC 2"x1" (50mmx25mm)</t>
        </is>
      </c>
      <c r="E1442" s="158" t="inlineStr">
        <is>
          <t>UND</t>
        </is>
      </c>
      <c r="F1442" s="158" t="inlineStr">
        <is>
          <t>MATERIALES</t>
        </is>
      </c>
      <c r="G1442" s="158" t="inlineStr">
        <is>
          <t>PVC</t>
        </is>
      </c>
    </row>
    <row r="1443">
      <c r="B1443" s="158" t="inlineStr">
        <is>
          <t>MAT19-0052</t>
        </is>
      </c>
      <c r="C1443" s="558" t="inlineStr">
        <is>
          <t>0119-0052</t>
        </is>
      </c>
      <c r="D1443" s="158" t="inlineStr">
        <is>
          <t>REDUCCION PVC 1"x3/4" (25mmx18mm)</t>
        </is>
      </c>
      <c r="E1443" s="158" t="inlineStr">
        <is>
          <t>UND</t>
        </is>
      </c>
      <c r="F1443" s="158" t="inlineStr">
        <is>
          <t>MATERIALES</t>
        </is>
      </c>
      <c r="G1443" s="158" t="inlineStr">
        <is>
          <t>PVC</t>
        </is>
      </c>
    </row>
    <row r="1444">
      <c r="B1444" s="158" t="inlineStr">
        <is>
          <t>MAT19-0053</t>
        </is>
      </c>
      <c r="C1444" s="558" t="inlineStr">
        <is>
          <t>0119-0053</t>
        </is>
      </c>
      <c r="D1444" s="158" t="inlineStr">
        <is>
          <t>REDUCCION PVC DE 1"x1/2" (25mmx12mm)</t>
        </is>
      </c>
      <c r="E1444" s="158" t="inlineStr">
        <is>
          <t>UND</t>
        </is>
      </c>
      <c r="F1444" s="158" t="inlineStr">
        <is>
          <t>MATERIALES</t>
        </is>
      </c>
      <c r="G1444" s="158" t="inlineStr">
        <is>
          <t>PVC</t>
        </is>
      </c>
    </row>
    <row r="1445">
      <c r="B1445" s="158" t="inlineStr">
        <is>
          <t>MAT19-0054</t>
        </is>
      </c>
      <c r="C1445" s="558" t="inlineStr">
        <is>
          <t>0119-0054</t>
        </is>
      </c>
      <c r="D1445" s="158" t="inlineStr">
        <is>
          <t>SIFON PVC SIN REGISTRO P.D. 1 1/2" (38mm)</t>
        </is>
      </c>
      <c r="E1445" s="158" t="inlineStr">
        <is>
          <t>UND</t>
        </is>
      </c>
      <c r="F1445" s="158" t="inlineStr">
        <is>
          <t>MATERIALES</t>
        </is>
      </c>
      <c r="G1445" s="158" t="inlineStr">
        <is>
          <t>PVC</t>
        </is>
      </c>
    </row>
    <row r="1446">
      <c r="B1446" s="158" t="inlineStr">
        <is>
          <t>MAT19-0055</t>
        </is>
      </c>
      <c r="C1446" s="558" t="inlineStr">
        <is>
          <t>0119-0055</t>
        </is>
      </c>
      <c r="D1446" s="158" t="inlineStr">
        <is>
          <t>SIFON PVC SIN REGISTRO P.D. 2" (50mm)</t>
        </is>
      </c>
      <c r="E1446" s="158" t="inlineStr">
        <is>
          <t>UND</t>
        </is>
      </c>
      <c r="F1446" s="158" t="inlineStr">
        <is>
          <t>MATERIALES</t>
        </is>
      </c>
      <c r="G1446" s="158" t="inlineStr">
        <is>
          <t>PVC</t>
        </is>
      </c>
    </row>
    <row r="1447">
      <c r="B1447" s="158" t="inlineStr">
        <is>
          <t>MAT19-0056</t>
        </is>
      </c>
      <c r="C1447" s="558" t="inlineStr">
        <is>
          <t>0119-0056</t>
        </is>
      </c>
      <c r="D1447" s="158" t="inlineStr">
        <is>
          <t>SIFON PVC SIN REGISTRO P.D. 3" (75mm)</t>
        </is>
      </c>
      <c r="E1447" s="158" t="inlineStr">
        <is>
          <t>UND</t>
        </is>
      </c>
      <c r="F1447" s="158" t="inlineStr">
        <is>
          <t>MATERIALES</t>
        </is>
      </c>
      <c r="G1447" s="158" t="inlineStr">
        <is>
          <t>PVC</t>
        </is>
      </c>
    </row>
    <row r="1448">
      <c r="B1448" s="158" t="inlineStr">
        <is>
          <t>MAT19-0057</t>
        </is>
      </c>
      <c r="C1448" s="558" t="inlineStr">
        <is>
          <t>0119-0057</t>
        </is>
      </c>
      <c r="D1448" s="158" t="inlineStr">
        <is>
          <t>SIFON PVC SIN REGISTRO P.D. 4 (100mm)</t>
        </is>
      </c>
      <c r="E1448" s="158" t="inlineStr">
        <is>
          <t>UND</t>
        </is>
      </c>
      <c r="F1448" s="158" t="inlineStr">
        <is>
          <t>MATERIALES</t>
        </is>
      </c>
      <c r="G1448" s="158" t="inlineStr">
        <is>
          <t>PVC</t>
        </is>
      </c>
    </row>
    <row r="1449">
      <c r="B1449" s="158" t="inlineStr">
        <is>
          <t>MAT19-0058</t>
        </is>
      </c>
      <c r="C1449" s="558" t="inlineStr">
        <is>
          <t>0119-0058</t>
        </is>
      </c>
      <c r="D1449" s="158" t="inlineStr">
        <is>
          <t>SIFON PVC U 180 P.D. 2" (50mm)</t>
        </is>
      </c>
      <c r="E1449" s="158" t="inlineStr">
        <is>
          <t>UND</t>
        </is>
      </c>
      <c r="F1449" s="158" t="inlineStr">
        <is>
          <t>MATERIALES</t>
        </is>
      </c>
      <c r="G1449" s="158" t="inlineStr">
        <is>
          <t>PVC</t>
        </is>
      </c>
    </row>
    <row r="1450">
      <c r="B1450" s="158" t="inlineStr">
        <is>
          <t>MAT19-0059</t>
        </is>
      </c>
      <c r="C1450" s="558" t="inlineStr">
        <is>
          <t>0119-0059</t>
        </is>
      </c>
      <c r="D1450" s="158" t="inlineStr">
        <is>
          <t>TAPON PVC HEMBRA ROSCADO DE 4" (100mm)</t>
        </is>
      </c>
      <c r="E1450" s="158" t="inlineStr">
        <is>
          <t>UND</t>
        </is>
      </c>
      <c r="F1450" s="158" t="inlineStr">
        <is>
          <t>MATERIALES</t>
        </is>
      </c>
      <c r="G1450" s="158" t="inlineStr">
        <is>
          <t>PVC</t>
        </is>
      </c>
    </row>
    <row r="1451">
      <c r="B1451" s="158" t="inlineStr">
        <is>
          <t>MAT19-0060</t>
        </is>
      </c>
      <c r="C1451" s="558" t="inlineStr">
        <is>
          <t>0119-0060</t>
        </is>
      </c>
      <c r="D1451" s="158" t="inlineStr">
        <is>
          <t xml:space="preserve">TAPON PVC MACHO ROSCADO 2" (50mm) </t>
        </is>
      </c>
      <c r="E1451" s="158" t="inlineStr">
        <is>
          <t>UND</t>
        </is>
      </c>
      <c r="F1451" s="158" t="inlineStr">
        <is>
          <t>MATERIALES</t>
        </is>
      </c>
      <c r="G1451" s="158" t="inlineStr">
        <is>
          <t>PVC</t>
        </is>
      </c>
    </row>
    <row r="1452">
      <c r="B1452" s="158" t="inlineStr">
        <is>
          <t>MAT19-0061</t>
        </is>
      </c>
      <c r="C1452" s="558" t="inlineStr">
        <is>
          <t>0119-0061</t>
        </is>
      </c>
      <c r="D1452" s="158" t="inlineStr">
        <is>
          <t>TAPON PVC HEMBRA LISO  1/2" (12mm)</t>
        </is>
      </c>
      <c r="E1452" s="158" t="inlineStr">
        <is>
          <t>UND</t>
        </is>
      </c>
      <c r="F1452" s="158" t="inlineStr">
        <is>
          <t>MATERIALES</t>
        </is>
      </c>
      <c r="G1452" s="158" t="inlineStr">
        <is>
          <t>PVC</t>
        </is>
      </c>
    </row>
    <row r="1453">
      <c r="B1453" s="158" t="inlineStr">
        <is>
          <t>MAT19-0062</t>
        </is>
      </c>
      <c r="C1453" s="558" t="inlineStr">
        <is>
          <t>0119-0062</t>
        </is>
      </c>
      <c r="D1453" s="158" t="inlineStr">
        <is>
          <t>TAPON PVC HEMBRA LISO 2" (50mm)</t>
        </is>
      </c>
      <c r="E1453" s="158" t="inlineStr">
        <is>
          <t>UND</t>
        </is>
      </c>
      <c r="F1453" s="158" t="inlineStr">
        <is>
          <t>MATERIALES</t>
        </is>
      </c>
      <c r="G1453" s="158" t="inlineStr">
        <is>
          <t>PVC</t>
        </is>
      </c>
    </row>
    <row r="1454">
      <c r="B1454" s="158" t="inlineStr">
        <is>
          <t>MAT19-0063</t>
        </is>
      </c>
      <c r="C1454" s="558" t="inlineStr">
        <is>
          <t>0119-0063</t>
        </is>
      </c>
      <c r="D1454" s="158" t="inlineStr">
        <is>
          <t>TAPON PVC HEMBRA SANITARIO 4" (100mm)</t>
        </is>
      </c>
      <c r="E1454" s="158" t="inlineStr">
        <is>
          <t>UND</t>
        </is>
      </c>
      <c r="F1454" s="158" t="inlineStr">
        <is>
          <t>MATERIALES</t>
        </is>
      </c>
      <c r="G1454" s="158" t="inlineStr">
        <is>
          <t>PVC</t>
        </is>
      </c>
    </row>
    <row r="1455">
      <c r="B1455" s="158" t="inlineStr">
        <is>
          <t>MAT19-0064</t>
        </is>
      </c>
      <c r="C1455" s="558" t="inlineStr">
        <is>
          <t>0119-0064</t>
        </is>
      </c>
      <c r="D1455" s="158" t="inlineStr">
        <is>
          <t>TAPON PVC HEMBRA ROSCADO 1/2" (12mm)</t>
        </is>
      </c>
      <c r="E1455" s="158" t="inlineStr">
        <is>
          <t>UND</t>
        </is>
      </c>
      <c r="F1455" s="158" t="inlineStr">
        <is>
          <t>MATERIALES</t>
        </is>
      </c>
      <c r="G1455" s="158" t="inlineStr">
        <is>
          <t>PVC</t>
        </is>
      </c>
    </row>
    <row r="1456">
      <c r="B1456" s="158" t="inlineStr">
        <is>
          <t>MAT19-0065</t>
        </is>
      </c>
      <c r="C1456" s="558" t="inlineStr">
        <is>
          <t>0119-0065</t>
        </is>
      </c>
      <c r="D1456" s="158" t="inlineStr">
        <is>
          <t>TAPON PVC HEMBRA ROSCADO 2" (50mm)</t>
        </is>
      </c>
      <c r="E1456" s="158" t="inlineStr">
        <is>
          <t>UND</t>
        </is>
      </c>
      <c r="F1456" s="158" t="inlineStr">
        <is>
          <t>MATERIALES</t>
        </is>
      </c>
      <c r="G1456" s="158" t="inlineStr">
        <is>
          <t>PVC</t>
        </is>
      </c>
    </row>
    <row r="1457">
      <c r="B1457" s="158" t="inlineStr">
        <is>
          <t>MAT19-0066</t>
        </is>
      </c>
      <c r="C1457" s="558" t="inlineStr">
        <is>
          <t>0119-0066</t>
        </is>
      </c>
      <c r="D1457" s="158" t="inlineStr">
        <is>
          <t>TAPON PVC LISO CPVC 1/2" (12mm)</t>
        </is>
      </c>
      <c r="E1457" s="158" t="inlineStr">
        <is>
          <t>UND</t>
        </is>
      </c>
      <c r="F1457" s="158" t="inlineStr">
        <is>
          <t>MATERIALES</t>
        </is>
      </c>
      <c r="G1457" s="158" t="inlineStr">
        <is>
          <t>PVC</t>
        </is>
      </c>
    </row>
    <row r="1458">
      <c r="B1458" s="158" t="inlineStr">
        <is>
          <t>MAT19-0067</t>
        </is>
      </c>
      <c r="C1458" s="558" t="inlineStr">
        <is>
          <t>0119-0067</t>
        </is>
      </c>
      <c r="D1458" s="158" t="inlineStr">
        <is>
          <t>TAPON PVC LISO 1/2" (12mm)</t>
        </is>
      </c>
      <c r="E1458" s="158" t="inlineStr">
        <is>
          <t>UND</t>
        </is>
      </c>
      <c r="F1458" s="158" t="inlineStr">
        <is>
          <t>MATERIALES</t>
        </is>
      </c>
      <c r="G1458" s="158" t="inlineStr">
        <is>
          <t>PVC</t>
        </is>
      </c>
    </row>
    <row r="1459">
      <c r="B1459" s="158" t="inlineStr">
        <is>
          <t>MAT19-0068</t>
        </is>
      </c>
      <c r="C1459" s="558" t="inlineStr">
        <is>
          <t>0119-0068</t>
        </is>
      </c>
      <c r="D1459" s="158" t="inlineStr">
        <is>
          <t>TAPON PVC HEMBRA POTABLE 3" (75mm)</t>
        </is>
      </c>
      <c r="E1459" s="158" t="inlineStr">
        <is>
          <t>UND</t>
        </is>
      </c>
      <c r="F1459" s="158" t="inlineStr">
        <is>
          <t>MATERIALES</t>
        </is>
      </c>
      <c r="G1459" s="158" t="inlineStr">
        <is>
          <t>PVC</t>
        </is>
      </c>
    </row>
    <row r="1460">
      <c r="B1460" s="158" t="inlineStr">
        <is>
          <t>MAT19-0069</t>
        </is>
      </c>
      <c r="C1460" s="558" t="inlineStr">
        <is>
          <t>0119-0069</t>
        </is>
      </c>
      <c r="D1460" s="158" t="inlineStr">
        <is>
          <t>TAPON PVC MACHO 1/2" (12mm)</t>
        </is>
      </c>
      <c r="E1460" s="158" t="inlineStr">
        <is>
          <t>UND</t>
        </is>
      </c>
      <c r="F1460" s="158" t="inlineStr">
        <is>
          <t>MATERIALES</t>
        </is>
      </c>
      <c r="G1460" s="158" t="inlineStr">
        <is>
          <t>PVC</t>
        </is>
      </c>
    </row>
    <row r="1461">
      <c r="B1461" s="158" t="inlineStr">
        <is>
          <t>MAT19-0070</t>
        </is>
      </c>
      <c r="C1461" s="558" t="inlineStr">
        <is>
          <t>0119-0070</t>
        </is>
      </c>
      <c r="D1461" s="158" t="inlineStr">
        <is>
          <t>TAPON PVC MACHO PRESION 4" (100mm)</t>
        </is>
      </c>
      <c r="E1461" s="158" t="inlineStr">
        <is>
          <t>UND</t>
        </is>
      </c>
      <c r="F1461" s="158" t="inlineStr">
        <is>
          <t>MATERIALES</t>
        </is>
      </c>
      <c r="G1461" s="158" t="inlineStr">
        <is>
          <t>PVC</t>
        </is>
      </c>
    </row>
    <row r="1462">
      <c r="B1462" s="158" t="inlineStr">
        <is>
          <t>MAT19-0071</t>
        </is>
      </c>
      <c r="C1462" s="558" t="inlineStr">
        <is>
          <t>0119-0071</t>
        </is>
      </c>
      <c r="D1462" s="158" t="inlineStr">
        <is>
          <t>TAPON PVC HEMBRA LISO 1 1/2" (38mm)</t>
        </is>
      </c>
      <c r="E1462" s="158" t="inlineStr">
        <is>
          <t>UND</t>
        </is>
      </c>
      <c r="F1462" s="158" t="inlineStr">
        <is>
          <t>MATERIALES</t>
        </is>
      </c>
      <c r="G1462" s="158" t="inlineStr">
        <is>
          <t>PVC</t>
        </is>
      </c>
    </row>
    <row r="1463">
      <c r="B1463" s="158" t="inlineStr">
        <is>
          <t>MAT19-0072</t>
        </is>
      </c>
      <c r="C1463" s="558" t="inlineStr">
        <is>
          <t>0119-0072</t>
        </is>
      </c>
      <c r="D1463" s="158" t="inlineStr">
        <is>
          <t>TEE PVC SANITARIO 1 1/4" (31mm)</t>
        </is>
      </c>
      <c r="E1463" s="158" t="inlineStr">
        <is>
          <t>UND</t>
        </is>
      </c>
      <c r="F1463" s="158" t="inlineStr">
        <is>
          <t>MATERIALES</t>
        </is>
      </c>
      <c r="G1463" s="158" t="inlineStr">
        <is>
          <t>PVC</t>
        </is>
      </c>
    </row>
    <row r="1464">
      <c r="B1464" s="158" t="inlineStr">
        <is>
          <t>MAT19-0073</t>
        </is>
      </c>
      <c r="C1464" s="558" t="inlineStr">
        <is>
          <t>0119-0073</t>
        </is>
      </c>
      <c r="D1464" s="158" t="inlineStr">
        <is>
          <t>TEE PVC HG 1/2" (12mm)</t>
        </is>
      </c>
      <c r="E1464" s="158" t="inlineStr">
        <is>
          <t>UND</t>
        </is>
      </c>
      <c r="F1464" s="158" t="inlineStr">
        <is>
          <t>MATERIALES</t>
        </is>
      </c>
      <c r="G1464" s="158" t="inlineStr">
        <is>
          <t>PVC</t>
        </is>
      </c>
    </row>
    <row r="1465">
      <c r="B1465" s="158" t="inlineStr">
        <is>
          <t>MAT19-0074</t>
        </is>
      </c>
      <c r="C1465" s="558" t="inlineStr">
        <is>
          <t>0119-0074</t>
        </is>
      </c>
      <c r="D1465" s="158" t="inlineStr">
        <is>
          <t>TEE PVC CIELO SUSPENDIDO</t>
        </is>
      </c>
      <c r="E1465" s="158" t="inlineStr">
        <is>
          <t>UND</t>
        </is>
      </c>
      <c r="F1465" s="158" t="inlineStr">
        <is>
          <t>MATERIALES</t>
        </is>
      </c>
      <c r="G1465" s="158" t="inlineStr">
        <is>
          <t>PVC</t>
        </is>
      </c>
    </row>
    <row r="1466">
      <c r="B1466" s="158" t="inlineStr">
        <is>
          <t>MAT19-0075</t>
        </is>
      </c>
      <c r="C1466" s="558" t="inlineStr">
        <is>
          <t>0119-0075</t>
        </is>
      </c>
      <c r="D1466" s="158" t="inlineStr">
        <is>
          <t>TEE CPVC 1/2" (12mm)</t>
        </is>
      </c>
      <c r="E1466" s="158" t="inlineStr">
        <is>
          <t>UND</t>
        </is>
      </c>
      <c r="F1466" s="158" t="inlineStr">
        <is>
          <t>MATERIALES</t>
        </is>
      </c>
      <c r="G1466" s="158" t="inlineStr">
        <is>
          <t>PVC</t>
        </is>
      </c>
    </row>
    <row r="1467">
      <c r="B1467" s="158" t="inlineStr">
        <is>
          <t>MAT19-0076</t>
        </is>
      </c>
      <c r="C1467" s="558" t="inlineStr">
        <is>
          <t>0119-0076</t>
        </is>
      </c>
      <c r="D1467" s="158" t="inlineStr">
        <is>
          <t>TEE PVC PRESIÓN 1 1/4" (31mm)</t>
        </is>
      </c>
      <c r="E1467" s="158" t="inlineStr">
        <is>
          <t>UND</t>
        </is>
      </c>
      <c r="F1467" s="158" t="inlineStr">
        <is>
          <t>MATERIALES</t>
        </is>
      </c>
      <c r="G1467" s="158" t="inlineStr">
        <is>
          <t>PVC</t>
        </is>
      </c>
    </row>
    <row r="1468">
      <c r="B1468" s="158" t="inlineStr">
        <is>
          <t>MAT19-0077</t>
        </is>
      </c>
      <c r="C1468" s="558" t="inlineStr">
        <is>
          <t>0119-0077</t>
        </is>
      </c>
      <c r="D1468" s="158" t="inlineStr">
        <is>
          <t>TEE PVC LISA 1/2" (12mm)</t>
        </is>
      </c>
      <c r="E1468" s="158" t="inlineStr">
        <is>
          <t>UND</t>
        </is>
      </c>
      <c r="F1468" s="158" t="inlineStr">
        <is>
          <t>MATERIALES</t>
        </is>
      </c>
      <c r="G1468" s="158" t="inlineStr">
        <is>
          <t>PVC</t>
        </is>
      </c>
    </row>
    <row r="1469">
      <c r="B1469" s="158" t="inlineStr">
        <is>
          <t>MAT19-0078</t>
        </is>
      </c>
      <c r="C1469" s="558" t="inlineStr">
        <is>
          <t>0119-0078</t>
        </is>
      </c>
      <c r="D1469" s="158" t="inlineStr">
        <is>
          <t>TEE PVC PARED DELGADA 1 1/2" (38mm)</t>
        </is>
      </c>
      <c r="E1469" s="158" t="inlineStr">
        <is>
          <t>UND</t>
        </is>
      </c>
      <c r="F1469" s="158" t="inlineStr">
        <is>
          <t>MATERIALES</t>
        </is>
      </c>
      <c r="G1469" s="158" t="inlineStr">
        <is>
          <t>PVC</t>
        </is>
      </c>
    </row>
    <row r="1470">
      <c r="B1470" s="158" t="inlineStr">
        <is>
          <t>MAT19-0079</t>
        </is>
      </c>
      <c r="C1470" s="558" t="inlineStr">
        <is>
          <t>0119-0079</t>
        </is>
      </c>
      <c r="D1470" s="158" t="inlineStr">
        <is>
          <t>TEE PVC PARED DELGADA 2" (50mm)</t>
        </is>
      </c>
      <c r="E1470" s="158" t="inlineStr">
        <is>
          <t>UND</t>
        </is>
      </c>
      <c r="F1470" s="158" t="inlineStr">
        <is>
          <t>MATERIALES</t>
        </is>
      </c>
      <c r="G1470" s="158" t="inlineStr">
        <is>
          <t>PVC</t>
        </is>
      </c>
    </row>
    <row r="1471">
      <c r="B1471" s="158" t="inlineStr">
        <is>
          <t>MAT19-0080</t>
        </is>
      </c>
      <c r="C1471" s="558" t="inlineStr">
        <is>
          <t>0119-0080</t>
        </is>
      </c>
      <c r="D1471" s="158" t="inlineStr">
        <is>
          <t>TEE PVC PARED GRUESA DE 1 1/4" (31mm)</t>
        </is>
      </c>
      <c r="E1471" s="158" t="inlineStr">
        <is>
          <t>UND</t>
        </is>
      </c>
      <c r="F1471" s="158" t="inlineStr">
        <is>
          <t>MATERIALES</t>
        </is>
      </c>
      <c r="G1471" s="158" t="inlineStr">
        <is>
          <t>PVC</t>
        </is>
      </c>
    </row>
    <row r="1472">
      <c r="B1472" s="158" t="inlineStr">
        <is>
          <t>MAT19-0081</t>
        </is>
      </c>
      <c r="C1472" s="558" t="inlineStr">
        <is>
          <t>0119-0081</t>
        </is>
      </c>
      <c r="D1472" s="158" t="inlineStr">
        <is>
          <t>TEE PVC SANITARIA PARED DELGADA 4" (100mm)</t>
        </is>
      </c>
      <c r="E1472" s="158" t="inlineStr">
        <is>
          <t>UND</t>
        </is>
      </c>
      <c r="F1472" s="158" t="inlineStr">
        <is>
          <t>MATERIALES</t>
        </is>
      </c>
      <c r="G1472" s="158" t="inlineStr">
        <is>
          <t>PVC</t>
        </is>
      </c>
    </row>
    <row r="1473">
      <c r="B1473" s="158" t="inlineStr">
        <is>
          <t>MAT19-0082</t>
        </is>
      </c>
      <c r="C1473" s="558" t="inlineStr">
        <is>
          <t>0119-0082</t>
        </is>
      </c>
      <c r="D1473" s="158" t="inlineStr">
        <is>
          <t>TEE PVC ROSCADA  1/2" (12mm)</t>
        </is>
      </c>
      <c r="E1473" s="158" t="inlineStr">
        <is>
          <t>UND</t>
        </is>
      </c>
      <c r="F1473" s="158" t="inlineStr">
        <is>
          <t>MATERIALES</t>
        </is>
      </c>
      <c r="G1473" s="158" t="inlineStr">
        <is>
          <t>PVC</t>
        </is>
      </c>
    </row>
    <row r="1474">
      <c r="B1474" s="158" t="inlineStr">
        <is>
          <t>MAT19-0083</t>
        </is>
      </c>
      <c r="C1474" s="558" t="inlineStr">
        <is>
          <t>0119-0083</t>
        </is>
      </c>
      <c r="D1474" s="158" t="inlineStr">
        <is>
          <t>TEE PVC PARED DELGADA 3" (75mm)</t>
        </is>
      </c>
      <c r="E1474" s="158" t="inlineStr">
        <is>
          <t>UND</t>
        </is>
      </c>
      <c r="F1474" s="158" t="inlineStr">
        <is>
          <t>MATERIALES</t>
        </is>
      </c>
      <c r="G1474" s="158" t="inlineStr">
        <is>
          <t>PVC</t>
        </is>
      </c>
    </row>
    <row r="1475">
      <c r="B1475" s="158" t="inlineStr">
        <is>
          <t>MAT19-0084</t>
        </is>
      </c>
      <c r="C1475" s="558" t="inlineStr">
        <is>
          <t>0119-0084</t>
        </is>
      </c>
      <c r="D1475" s="158" t="inlineStr">
        <is>
          <t>TUBO PVC CONDUIT UL 1/2" (12mm)</t>
        </is>
      </c>
      <c r="E1475" s="158" t="inlineStr">
        <is>
          <t>UND</t>
        </is>
      </c>
      <c r="F1475" s="158" t="inlineStr">
        <is>
          <t>MATERIALES</t>
        </is>
      </c>
      <c r="G1475" s="158" t="inlineStr">
        <is>
          <t>PVC</t>
        </is>
      </c>
    </row>
    <row r="1476">
      <c r="B1476" s="158" t="inlineStr">
        <is>
          <t>MAT19-0085</t>
        </is>
      </c>
      <c r="C1476" s="558" t="inlineStr">
        <is>
          <t>0119-0085</t>
        </is>
      </c>
      <c r="D1476" s="158" t="inlineStr">
        <is>
          <t>TUBO PVC CONDUIT UL 1" (25mm)</t>
        </is>
      </c>
      <c r="E1476" s="158" t="inlineStr">
        <is>
          <t>UND</t>
        </is>
      </c>
      <c r="F1476" s="158" t="inlineStr">
        <is>
          <t>MATERIALES</t>
        </is>
      </c>
      <c r="G1476" s="158" t="inlineStr">
        <is>
          <t>PVC</t>
        </is>
      </c>
    </row>
    <row r="1477">
      <c r="B1477" s="158" t="inlineStr">
        <is>
          <t>MAT19-0086</t>
        </is>
      </c>
      <c r="C1477" s="558" t="inlineStr">
        <is>
          <t>0119-0086</t>
        </is>
      </c>
      <c r="D1477" s="158" t="inlineStr">
        <is>
          <t>TUBO PVC CONDUIT UL 1 1/2" (38mm)</t>
        </is>
      </c>
      <c r="E1477" s="158" t="inlineStr">
        <is>
          <t>UND</t>
        </is>
      </c>
      <c r="F1477" s="158" t="inlineStr">
        <is>
          <t>MATERIALES</t>
        </is>
      </c>
      <c r="G1477" s="158" t="inlineStr">
        <is>
          <t>PVC</t>
        </is>
      </c>
    </row>
    <row r="1478">
      <c r="B1478" s="158" t="inlineStr">
        <is>
          <t>MAT19-0087</t>
        </is>
      </c>
      <c r="C1478" s="558" t="inlineStr">
        <is>
          <t>0119-0087</t>
        </is>
      </c>
      <c r="D1478" s="158" t="inlineStr">
        <is>
          <t xml:space="preserve">TUBO PVC CONDUIT UL 3/4" (18mm) </t>
        </is>
      </c>
      <c r="E1478" s="158" t="inlineStr">
        <is>
          <t>UND</t>
        </is>
      </c>
      <c r="F1478" s="158" t="inlineStr">
        <is>
          <t>MATERIALES</t>
        </is>
      </c>
      <c r="G1478" s="158" t="inlineStr">
        <is>
          <t>PVC</t>
        </is>
      </c>
    </row>
    <row r="1479">
      <c r="B1479" s="158" t="inlineStr">
        <is>
          <t>MAT19-0088</t>
        </is>
      </c>
      <c r="C1479" s="558" t="inlineStr">
        <is>
          <t>0119-0088</t>
        </is>
      </c>
      <c r="D1479" s="158" t="inlineStr">
        <is>
          <t>TUBO CPVC 1/2" (12mm)</t>
        </is>
      </c>
      <c r="E1479" s="158" t="inlineStr">
        <is>
          <t>UND</t>
        </is>
      </c>
      <c r="F1479" s="158" t="inlineStr">
        <is>
          <t>MATERIALES</t>
        </is>
      </c>
      <c r="G1479" s="158" t="inlineStr">
        <is>
          <t>PVC</t>
        </is>
      </c>
    </row>
    <row r="1480">
      <c r="B1480" s="158" t="inlineStr">
        <is>
          <t>MAT19-0089</t>
        </is>
      </c>
      <c r="C1480" s="558" t="inlineStr">
        <is>
          <t>0119-0089</t>
        </is>
      </c>
      <c r="D1480" s="158" t="inlineStr">
        <is>
          <t>TUBO PVC 1 1/2" (38mm)</t>
        </is>
      </c>
      <c r="E1480" s="158" t="inlineStr">
        <is>
          <t>UND</t>
        </is>
      </c>
      <c r="F1480" s="158" t="inlineStr">
        <is>
          <t>MATERIALES</t>
        </is>
      </c>
      <c r="G1480" s="158" t="inlineStr">
        <is>
          <t>PVC</t>
        </is>
      </c>
    </row>
    <row r="1481">
      <c r="B1481" s="158" t="inlineStr">
        <is>
          <t>MAT19-0090</t>
        </is>
      </c>
      <c r="C1481" s="558" t="inlineStr">
        <is>
          <t>0119-0090</t>
        </is>
      </c>
      <c r="D1481" s="158" t="inlineStr">
        <is>
          <t>TUBO PVC 1 1/4" (31mm)</t>
        </is>
      </c>
      <c r="E1481" s="158" t="inlineStr">
        <is>
          <t>UND</t>
        </is>
      </c>
      <c r="F1481" s="158" t="inlineStr">
        <is>
          <t>MATERIALES</t>
        </is>
      </c>
      <c r="G1481" s="158" t="inlineStr">
        <is>
          <t>PVC</t>
        </is>
      </c>
    </row>
    <row r="1482">
      <c r="B1482" s="158" t="inlineStr">
        <is>
          <t>MAT19-0091</t>
        </is>
      </c>
      <c r="C1482" s="558" t="inlineStr">
        <is>
          <t>0119-0091</t>
        </is>
      </c>
      <c r="D1482" s="158" t="inlineStr">
        <is>
          <t>REDUCCION PVC SANITARIA 2"x3/4" (50mmx18mm)</t>
        </is>
      </c>
      <c r="E1482" s="158" t="inlineStr">
        <is>
          <t>UND</t>
        </is>
      </c>
      <c r="F1482" s="158" t="inlineStr">
        <is>
          <t>MATERIALES</t>
        </is>
      </c>
      <c r="G1482" s="158" t="inlineStr">
        <is>
          <t>PVC</t>
        </is>
      </c>
    </row>
    <row r="1483">
      <c r="B1483" s="158" t="inlineStr">
        <is>
          <t>MAT19-0092</t>
        </is>
      </c>
      <c r="C1483" s="558" t="inlineStr">
        <is>
          <t>0119-0092</t>
        </is>
      </c>
      <c r="D1483" s="158" t="inlineStr">
        <is>
          <t>TUBO PVC SCH40 1/2" (12mm)</t>
        </is>
      </c>
      <c r="E1483" s="158" t="inlineStr">
        <is>
          <t>UND</t>
        </is>
      </c>
      <c r="F1483" s="158" t="inlineStr">
        <is>
          <t>MATERIALES</t>
        </is>
      </c>
      <c r="G1483" s="158" t="inlineStr">
        <is>
          <t>PVC</t>
        </is>
      </c>
    </row>
    <row r="1484">
      <c r="B1484" s="158" t="inlineStr">
        <is>
          <t>MAT19-0093</t>
        </is>
      </c>
      <c r="C1484" s="558" t="inlineStr">
        <is>
          <t>0119-0093</t>
        </is>
      </c>
      <c r="D1484" s="158" t="inlineStr">
        <is>
          <t>TUBO PVC SANITARIO 1 1/2" (38mm)</t>
        </is>
      </c>
      <c r="E1484" s="158" t="inlineStr">
        <is>
          <t>UND</t>
        </is>
      </c>
      <c r="F1484" s="158" t="inlineStr">
        <is>
          <t>MATERIALES</t>
        </is>
      </c>
      <c r="G1484" s="158" t="inlineStr">
        <is>
          <t>PVC</t>
        </is>
      </c>
    </row>
    <row r="1485">
      <c r="B1485" s="158" t="inlineStr">
        <is>
          <t>MAT19-0094</t>
        </is>
      </c>
      <c r="C1485" s="558" t="inlineStr">
        <is>
          <t>0119-0094</t>
        </is>
      </c>
      <c r="D1485" s="158" t="inlineStr">
        <is>
          <t>TUBO PVC SANITARIO 1 1/4" (31mm)</t>
        </is>
      </c>
      <c r="E1485" s="158" t="inlineStr">
        <is>
          <t>UND</t>
        </is>
      </c>
      <c r="F1485" s="158" t="inlineStr">
        <is>
          <t>MATERIALES</t>
        </is>
      </c>
      <c r="G1485" s="158" t="inlineStr">
        <is>
          <t>PVC</t>
        </is>
      </c>
    </row>
    <row r="1486">
      <c r="B1486" s="158" t="inlineStr">
        <is>
          <t>MAT19-0095</t>
        </is>
      </c>
      <c r="C1486" s="558" t="inlineStr">
        <is>
          <t>0119-0095</t>
        </is>
      </c>
      <c r="D1486" s="158" t="inlineStr">
        <is>
          <t>TUBO PVC SANITARIO 2" (50mm)</t>
        </is>
      </c>
      <c r="E1486" s="158" t="inlineStr">
        <is>
          <t>UND</t>
        </is>
      </c>
      <c r="F1486" s="158" t="inlineStr">
        <is>
          <t>MATERIALES</t>
        </is>
      </c>
      <c r="G1486" s="158" t="inlineStr">
        <is>
          <t>PVC</t>
        </is>
      </c>
    </row>
    <row r="1487">
      <c r="B1487" s="158" t="inlineStr">
        <is>
          <t>MAT19-0096</t>
        </is>
      </c>
      <c r="C1487" s="558" t="inlineStr">
        <is>
          <t>0119-0096</t>
        </is>
      </c>
      <c r="D1487" s="158" t="inlineStr">
        <is>
          <t>TUBO PVC SANITARIO  3" (75mm)</t>
        </is>
      </c>
      <c r="E1487" s="158" t="inlineStr">
        <is>
          <t>UND</t>
        </is>
      </c>
      <c r="F1487" s="158" t="inlineStr">
        <is>
          <t>MATERIALES</t>
        </is>
      </c>
      <c r="G1487" s="158" t="inlineStr">
        <is>
          <t>PVC</t>
        </is>
      </c>
    </row>
    <row r="1488">
      <c r="B1488" s="158" t="inlineStr">
        <is>
          <t>MAT19-0097</t>
        </is>
      </c>
      <c r="C1488" s="558" t="inlineStr">
        <is>
          <t>0119-0097</t>
        </is>
      </c>
      <c r="D1488" s="158" t="inlineStr">
        <is>
          <t>TUBO PVC SANITARIO 4" (100mm)</t>
        </is>
      </c>
      <c r="E1488" s="158" t="inlineStr">
        <is>
          <t>UND</t>
        </is>
      </c>
      <c r="F1488" s="158" t="inlineStr">
        <is>
          <t>MATERIALES</t>
        </is>
      </c>
      <c r="G1488" s="158" t="inlineStr">
        <is>
          <t>PVC</t>
        </is>
      </c>
    </row>
    <row r="1489">
      <c r="B1489" s="158" t="inlineStr">
        <is>
          <t>MAT19-0098</t>
        </is>
      </c>
      <c r="C1489" s="558" t="inlineStr">
        <is>
          <t>0119-0098</t>
        </is>
      </c>
      <c r="D1489" s="158" t="inlineStr">
        <is>
          <t>TUBO PVC SANITARIO JC 1" (25mm)</t>
        </is>
      </c>
      <c r="E1489" s="158" t="inlineStr">
        <is>
          <t>UND</t>
        </is>
      </c>
      <c r="F1489" s="158" t="inlineStr">
        <is>
          <t>MATERIALES</t>
        </is>
      </c>
      <c r="G1489" s="158" t="inlineStr">
        <is>
          <t>PVC</t>
        </is>
      </c>
    </row>
    <row r="1490">
      <c r="B1490" s="158" t="inlineStr">
        <is>
          <t>MAT19-0099</t>
        </is>
      </c>
      <c r="C1490" s="558" t="inlineStr">
        <is>
          <t>0119-0099</t>
        </is>
      </c>
      <c r="D1490" s="158" t="inlineStr">
        <is>
          <t>TUBO PVC SANITARIO JC 3" (75mm)</t>
        </is>
      </c>
      <c r="E1490" s="158" t="inlineStr">
        <is>
          <t>UND</t>
        </is>
      </c>
      <c r="F1490" s="158" t="inlineStr">
        <is>
          <t>MATERIALES</t>
        </is>
      </c>
      <c r="G1490" s="158" t="inlineStr">
        <is>
          <t>PVC</t>
        </is>
      </c>
    </row>
    <row r="1491">
      <c r="B1491" s="158" t="inlineStr">
        <is>
          <t>MAT19-0100</t>
        </is>
      </c>
      <c r="C1491" s="558" t="inlineStr">
        <is>
          <t>0119-0100</t>
        </is>
      </c>
      <c r="D1491" s="158" t="inlineStr">
        <is>
          <t>TUBO PVC SANITARIO JC 4" (100mm)</t>
        </is>
      </c>
      <c r="E1491" s="158" t="inlineStr">
        <is>
          <t>UND</t>
        </is>
      </c>
      <c r="F1491" s="158" t="inlineStr">
        <is>
          <t>MATERIALES</t>
        </is>
      </c>
      <c r="G1491" s="158" t="inlineStr">
        <is>
          <t>PVC</t>
        </is>
      </c>
    </row>
    <row r="1492">
      <c r="B1492" s="158" t="inlineStr">
        <is>
          <t>MAT19-0101</t>
        </is>
      </c>
      <c r="C1492" s="558" t="inlineStr">
        <is>
          <t>0119-0101</t>
        </is>
      </c>
      <c r="D1492" s="158" t="inlineStr">
        <is>
          <t>TUBO PVC SANITARIO JC 6" (150mm)</t>
        </is>
      </c>
      <c r="E1492" s="158" t="inlineStr">
        <is>
          <t>UND</t>
        </is>
      </c>
      <c r="F1492" s="158" t="inlineStr">
        <is>
          <t>MATERIALES</t>
        </is>
      </c>
      <c r="G1492" s="158" t="inlineStr">
        <is>
          <t>PVC</t>
        </is>
      </c>
    </row>
    <row r="1493">
      <c r="B1493" s="158" t="inlineStr">
        <is>
          <t>MAT19-0102</t>
        </is>
      </c>
      <c r="C1493" s="558" t="inlineStr">
        <is>
          <t>0119-0102</t>
        </is>
      </c>
      <c r="D1493" s="158" t="inlineStr">
        <is>
          <t>TUBO PVC SDR41 JR 3" (75mm)</t>
        </is>
      </c>
      <c r="E1493" s="158" t="inlineStr">
        <is>
          <t>UND</t>
        </is>
      </c>
      <c r="F1493" s="158" t="inlineStr">
        <is>
          <t>MATERIALES</t>
        </is>
      </c>
      <c r="G1493" s="158" t="inlineStr">
        <is>
          <t>PVC</t>
        </is>
      </c>
    </row>
    <row r="1494">
      <c r="B1494" s="158" t="inlineStr">
        <is>
          <t>MAT19-0103</t>
        </is>
      </c>
      <c r="C1494" s="558" t="inlineStr">
        <is>
          <t>0119-0103</t>
        </is>
      </c>
      <c r="D1494" s="158" t="inlineStr">
        <is>
          <t>TUBO PVC SDR41 JR 4" (100mm)</t>
        </is>
      </c>
      <c r="E1494" s="158" t="inlineStr">
        <is>
          <t>UND</t>
        </is>
      </c>
      <c r="F1494" s="158" t="inlineStr">
        <is>
          <t>MATERIALES</t>
        </is>
      </c>
      <c r="G1494" s="158" t="inlineStr">
        <is>
          <t>PVC</t>
        </is>
      </c>
    </row>
    <row r="1495">
      <c r="B1495" s="158" t="inlineStr">
        <is>
          <t>MAT19-0104</t>
        </is>
      </c>
      <c r="C1495" s="558" t="inlineStr">
        <is>
          <t>0119-0104</t>
        </is>
      </c>
      <c r="D1495" s="158" t="inlineStr">
        <is>
          <t>UNION PVC CONDUIT UL 1 1/2" (38mm)</t>
        </is>
      </c>
      <c r="E1495" s="158" t="inlineStr">
        <is>
          <t>UND</t>
        </is>
      </c>
      <c r="F1495" s="158" t="inlineStr">
        <is>
          <t>MATERIALES</t>
        </is>
      </c>
      <c r="G1495" s="158" t="inlineStr">
        <is>
          <t>PVC</t>
        </is>
      </c>
    </row>
    <row r="1496">
      <c r="B1496" s="158" t="inlineStr">
        <is>
          <t>MAT19-0105</t>
        </is>
      </c>
      <c r="C1496" s="558" t="inlineStr">
        <is>
          <t>0119-0105</t>
        </is>
      </c>
      <c r="D1496" s="158" t="inlineStr">
        <is>
          <t>UNION PVC CONDUIT UL 1" (25mm)</t>
        </is>
      </c>
      <c r="E1496" s="158" t="inlineStr">
        <is>
          <t>UND</t>
        </is>
      </c>
      <c r="F1496" s="158" t="inlineStr">
        <is>
          <t>MATERIALES</t>
        </is>
      </c>
      <c r="G1496" s="158" t="inlineStr">
        <is>
          <t>PVC</t>
        </is>
      </c>
    </row>
    <row r="1497">
      <c r="B1497" s="158" t="inlineStr">
        <is>
          <t>MAT19-0106</t>
        </is>
      </c>
      <c r="C1497" s="558" t="inlineStr">
        <is>
          <t>0119-0106</t>
        </is>
      </c>
      <c r="D1497" s="158" t="inlineStr">
        <is>
          <t>UNION PVC CONDUIT UL 1/2" (12mm)</t>
        </is>
      </c>
      <c r="E1497" s="158" t="inlineStr">
        <is>
          <t>UND</t>
        </is>
      </c>
      <c r="F1497" s="158" t="inlineStr">
        <is>
          <t>MATERIALES</t>
        </is>
      </c>
      <c r="G1497" s="158" t="inlineStr">
        <is>
          <t>PVC</t>
        </is>
      </c>
    </row>
    <row r="1498">
      <c r="B1498" s="158" t="inlineStr">
        <is>
          <t>MAT19-0107</t>
        </is>
      </c>
      <c r="C1498" s="558" t="inlineStr">
        <is>
          <t>0119-0107</t>
        </is>
      </c>
      <c r="D1498" s="158" t="inlineStr">
        <is>
          <t>UNION PVC CONDUIT UL 3/4" (18mm)</t>
        </is>
      </c>
      <c r="E1498" s="158" t="inlineStr">
        <is>
          <t>UND</t>
        </is>
      </c>
      <c r="F1498" s="158" t="inlineStr">
        <is>
          <t>MATERIALES</t>
        </is>
      </c>
      <c r="G1498" s="158" t="inlineStr">
        <is>
          <t>PVC</t>
        </is>
      </c>
    </row>
    <row r="1499">
      <c r="B1499" s="158" t="inlineStr">
        <is>
          <t>MAT19-0108</t>
        </is>
      </c>
      <c r="C1499" s="558" t="inlineStr">
        <is>
          <t>0119-0108</t>
        </is>
      </c>
      <c r="D1499" s="158" t="inlineStr">
        <is>
          <t>UNION CPVC LISA 1/2" (12mm)</t>
        </is>
      </c>
      <c r="E1499" s="158" t="inlineStr">
        <is>
          <t>UND</t>
        </is>
      </c>
      <c r="F1499" s="158" t="inlineStr">
        <is>
          <t>MATERIALES</t>
        </is>
      </c>
      <c r="G1499" s="158" t="inlineStr">
        <is>
          <t>PVC</t>
        </is>
      </c>
    </row>
    <row r="1500">
      <c r="B1500" s="158" t="inlineStr">
        <is>
          <t>MAT19-0109</t>
        </is>
      </c>
      <c r="C1500" s="558" t="inlineStr">
        <is>
          <t>0119-0109</t>
        </is>
      </c>
      <c r="D1500" s="158" t="inlineStr">
        <is>
          <t>UNION PVC LISA 1 1/2" (38mm)</t>
        </is>
      </c>
      <c r="E1500" s="158" t="inlineStr">
        <is>
          <t>UND</t>
        </is>
      </c>
      <c r="F1500" s="158" t="inlineStr">
        <is>
          <t>MATERIALES</t>
        </is>
      </c>
      <c r="G1500" s="158" t="inlineStr">
        <is>
          <t>PVC</t>
        </is>
      </c>
    </row>
    <row r="1501">
      <c r="B1501" s="158" t="inlineStr">
        <is>
          <t>MAT19-0110</t>
        </is>
      </c>
      <c r="C1501" s="558" t="inlineStr">
        <is>
          <t>0119-0110</t>
        </is>
      </c>
      <c r="D1501" s="158" t="inlineStr">
        <is>
          <t>UNION PVC LISA 1 1/4" (31mm)</t>
        </is>
      </c>
      <c r="E1501" s="158" t="inlineStr">
        <is>
          <t>UND</t>
        </is>
      </c>
      <c r="F1501" s="158" t="inlineStr">
        <is>
          <t>MATERIALES</t>
        </is>
      </c>
      <c r="G1501" s="158" t="inlineStr">
        <is>
          <t>PVC</t>
        </is>
      </c>
    </row>
    <row r="1502">
      <c r="B1502" s="158" t="inlineStr">
        <is>
          <t>MAT19-0111</t>
        </is>
      </c>
      <c r="C1502" s="558" t="inlineStr">
        <is>
          <t>0119-0111</t>
        </is>
      </c>
      <c r="D1502" s="158" t="inlineStr">
        <is>
          <t>UNION PVC LISA 1/2" (12mm)</t>
        </is>
      </c>
      <c r="E1502" s="158" t="inlineStr">
        <is>
          <t>UND</t>
        </is>
      </c>
      <c r="F1502" s="158" t="inlineStr">
        <is>
          <t>MATERIALES</t>
        </is>
      </c>
      <c r="G1502" s="158" t="inlineStr">
        <is>
          <t>PVC</t>
        </is>
      </c>
    </row>
    <row r="1503">
      <c r="B1503" s="158" t="inlineStr">
        <is>
          <t>MAT19-0112</t>
        </is>
      </c>
      <c r="C1503" s="558" t="inlineStr">
        <is>
          <t>0119-0112</t>
        </is>
      </c>
      <c r="D1503" s="158" t="inlineStr">
        <is>
          <t>UNION PVC LISA 2" (50mm)</t>
        </is>
      </c>
      <c r="E1503" s="158" t="inlineStr">
        <is>
          <t>UND</t>
        </is>
      </c>
      <c r="F1503" s="158" t="inlineStr">
        <is>
          <t>MATERIALES</t>
        </is>
      </c>
      <c r="G1503" s="158" t="inlineStr">
        <is>
          <t>PVC</t>
        </is>
      </c>
    </row>
    <row r="1504">
      <c r="B1504" s="158" t="inlineStr">
        <is>
          <t>MAT19-0113</t>
        </is>
      </c>
      <c r="C1504" s="558" t="inlineStr">
        <is>
          <t>0119-0113</t>
        </is>
      </c>
      <c r="D1504" s="158" t="inlineStr">
        <is>
          <t>UNION PVC LISA 3" (75mm)</t>
        </is>
      </c>
      <c r="E1504" s="158" t="inlineStr">
        <is>
          <t>UND</t>
        </is>
      </c>
      <c r="F1504" s="158" t="inlineStr">
        <is>
          <t>MATERIALES</t>
        </is>
      </c>
      <c r="G1504" s="158" t="inlineStr">
        <is>
          <t>PVC</t>
        </is>
      </c>
    </row>
    <row r="1505">
      <c r="B1505" s="158" t="inlineStr">
        <is>
          <t>MAT19-0114</t>
        </is>
      </c>
      <c r="C1505" s="558" t="inlineStr">
        <is>
          <t>0119-0114</t>
        </is>
      </c>
      <c r="D1505" s="158" t="inlineStr">
        <is>
          <t>UNION PVC LISA 4" (100mm)</t>
        </is>
      </c>
      <c r="E1505" s="158" t="inlineStr">
        <is>
          <t>UND</t>
        </is>
      </c>
      <c r="F1505" s="158" t="inlineStr">
        <is>
          <t>MATERIALES</t>
        </is>
      </c>
      <c r="G1505" s="158" t="inlineStr">
        <is>
          <t>PVC</t>
        </is>
      </c>
    </row>
    <row r="1506">
      <c r="B1506" s="158" t="inlineStr">
        <is>
          <t>MAT19-0116</t>
        </is>
      </c>
      <c r="C1506" s="558" t="inlineStr">
        <is>
          <t>0119-0116</t>
        </is>
      </c>
      <c r="D1506" s="158" t="inlineStr">
        <is>
          <t>YEE PVC PARED DELGADA 2" (50mm)</t>
        </is>
      </c>
      <c r="E1506" s="158" t="inlineStr">
        <is>
          <t>UND</t>
        </is>
      </c>
      <c r="F1506" s="158" t="inlineStr">
        <is>
          <t>MATERIALES</t>
        </is>
      </c>
      <c r="G1506" s="158" t="inlineStr">
        <is>
          <t>PVC</t>
        </is>
      </c>
    </row>
    <row r="1507">
      <c r="B1507" s="158" t="inlineStr">
        <is>
          <t>MAT19-0117</t>
        </is>
      </c>
      <c r="C1507" s="558" t="inlineStr">
        <is>
          <t>0119-0117</t>
        </is>
      </c>
      <c r="D1507" s="158" t="inlineStr">
        <is>
          <t>YEE PVC PARED DELGADA 3" (75mm)</t>
        </is>
      </c>
      <c r="E1507" s="158" t="inlineStr">
        <is>
          <t>UND</t>
        </is>
      </c>
      <c r="F1507" s="158" t="inlineStr">
        <is>
          <t>MATERIALES</t>
        </is>
      </c>
      <c r="G1507" s="158" t="inlineStr">
        <is>
          <t>PVC</t>
        </is>
      </c>
    </row>
    <row r="1508">
      <c r="B1508" s="158" t="inlineStr">
        <is>
          <t>MAT19-0118</t>
        </is>
      </c>
      <c r="C1508" s="558" t="inlineStr">
        <is>
          <t>0119-0118</t>
        </is>
      </c>
      <c r="D1508" s="158" t="inlineStr">
        <is>
          <t>YEE PVC PARED DELGADA 4" (100mm)</t>
        </is>
      </c>
      <c r="E1508" s="158" t="inlineStr">
        <is>
          <t>UND</t>
        </is>
      </c>
      <c r="F1508" s="158" t="inlineStr">
        <is>
          <t>MATERIALES</t>
        </is>
      </c>
      <c r="G1508" s="158" t="inlineStr">
        <is>
          <t>PVC</t>
        </is>
      </c>
    </row>
    <row r="1509">
      <c r="B1509" s="158" t="inlineStr">
        <is>
          <t>MAT19-0119</t>
        </is>
      </c>
      <c r="C1509" s="558" t="inlineStr">
        <is>
          <t>0119-0119</t>
        </is>
      </c>
      <c r="D1509" s="158" t="inlineStr">
        <is>
          <t>YEE PVC PARED GRUESA 1 1/2" (38mm)</t>
        </is>
      </c>
      <c r="E1509" s="158" t="inlineStr">
        <is>
          <t>UND</t>
        </is>
      </c>
      <c r="F1509" s="158" t="inlineStr">
        <is>
          <t>MATERIALES</t>
        </is>
      </c>
      <c r="G1509" s="158" t="inlineStr">
        <is>
          <t>PVC</t>
        </is>
      </c>
    </row>
    <row r="1510">
      <c r="B1510" s="158" t="inlineStr">
        <is>
          <t>MAT19-0120</t>
        </is>
      </c>
      <c r="C1510" s="558" t="inlineStr">
        <is>
          <t>0119-0120</t>
        </is>
      </c>
      <c r="D1510" s="158" t="inlineStr">
        <is>
          <t>REDUCCIÓN PVC SANITARIA 1 1/4" (31mm)</t>
        </is>
      </c>
      <c r="E1510" s="158" t="inlineStr">
        <is>
          <t>UND</t>
        </is>
      </c>
      <c r="F1510" s="158" t="inlineStr">
        <is>
          <t>MATERIALES</t>
        </is>
      </c>
      <c r="G1510" s="158" t="inlineStr">
        <is>
          <t>PVC</t>
        </is>
      </c>
    </row>
    <row r="1511">
      <c r="B1511" s="158" t="inlineStr">
        <is>
          <t>MAT19-0121</t>
        </is>
      </c>
      <c r="C1511" s="558" t="inlineStr">
        <is>
          <t>0119-0121</t>
        </is>
      </c>
      <c r="D1511" s="158" t="inlineStr">
        <is>
          <t>REDUCCIÓN PVC SANITARIA 2"x1 1/2" (50mmx38mm)</t>
        </is>
      </c>
      <c r="E1511" s="158" t="inlineStr">
        <is>
          <t>UND</t>
        </is>
      </c>
      <c r="F1511" s="158" t="inlineStr">
        <is>
          <t>MATERIALES</t>
        </is>
      </c>
      <c r="G1511" s="158" t="inlineStr">
        <is>
          <t>PVC</t>
        </is>
      </c>
    </row>
    <row r="1512">
      <c r="B1512" s="158" t="inlineStr">
        <is>
          <t>MAT19-0122</t>
        </is>
      </c>
      <c r="C1512" s="558" t="inlineStr">
        <is>
          <t>0119-0122</t>
        </is>
      </c>
      <c r="D1512" s="158" t="inlineStr">
        <is>
          <t>TAPON PVC SANITARIO LISO 1/2" (12mm)</t>
        </is>
      </c>
      <c r="E1512" s="158" t="inlineStr">
        <is>
          <t>UND</t>
        </is>
      </c>
      <c r="F1512" s="158" t="inlineStr">
        <is>
          <t>MATERIALES</t>
        </is>
      </c>
      <c r="G1512" s="158" t="inlineStr">
        <is>
          <t>PVC</t>
        </is>
      </c>
    </row>
    <row r="1513">
      <c r="B1513" s="158" t="inlineStr">
        <is>
          <t>MAT19-0123</t>
        </is>
      </c>
      <c r="C1513" s="558" t="inlineStr">
        <is>
          <t>0119-0123</t>
        </is>
      </c>
      <c r="D1513" s="158" t="inlineStr">
        <is>
          <t>UNION PVC DE REPARACION 1/2" (12mm)</t>
        </is>
      </c>
      <c r="E1513" s="158" t="inlineStr">
        <is>
          <t>UND</t>
        </is>
      </c>
      <c r="F1513" s="158" t="inlineStr">
        <is>
          <t>MATERIALES</t>
        </is>
      </c>
      <c r="G1513" s="158" t="inlineStr">
        <is>
          <t>PVC</t>
        </is>
      </c>
    </row>
    <row r="1514">
      <c r="B1514" s="158" t="inlineStr">
        <is>
          <t>MAT19-0124</t>
        </is>
      </c>
      <c r="C1514" s="558" t="inlineStr">
        <is>
          <t>0119-0124</t>
        </is>
      </c>
      <c r="D1514" s="158" t="inlineStr">
        <is>
          <t>TAPON PVC LISO SANITARIO 1 1/4" (31mm)</t>
        </is>
      </c>
      <c r="E1514" s="158" t="inlineStr">
        <is>
          <t>UND</t>
        </is>
      </c>
      <c r="F1514" s="158" t="inlineStr">
        <is>
          <t>MATERIALES</t>
        </is>
      </c>
      <c r="G1514" s="158" t="inlineStr">
        <is>
          <t>PVC</t>
        </is>
      </c>
    </row>
    <row r="1515">
      <c r="B1515" s="158" t="inlineStr">
        <is>
          <t>MAT19-0125</t>
        </is>
      </c>
      <c r="C1515" s="558" t="inlineStr">
        <is>
          <t>0119-0125</t>
        </is>
      </c>
      <c r="D1515" s="158" t="inlineStr">
        <is>
          <t>TAPON PVC LISO SANITARIO 3" (75mm)</t>
        </is>
      </c>
      <c r="E1515" s="158" t="inlineStr">
        <is>
          <t>UND</t>
        </is>
      </c>
      <c r="F1515" s="158" t="inlineStr">
        <is>
          <t>MATERIALES</t>
        </is>
      </c>
      <c r="G1515" s="158" t="inlineStr">
        <is>
          <t>PVC</t>
        </is>
      </c>
    </row>
    <row r="1516">
      <c r="B1516" s="158" t="inlineStr">
        <is>
          <t>MAT19-0126</t>
        </is>
      </c>
      <c r="C1516" s="558" t="inlineStr">
        <is>
          <t>0119-0126</t>
        </is>
      </c>
      <c r="D1516" s="158" t="inlineStr">
        <is>
          <t>TAPON PVC LISO SANITARIO 2" (50mm)</t>
        </is>
      </c>
      <c r="E1516" s="158" t="inlineStr">
        <is>
          <t>UND</t>
        </is>
      </c>
      <c r="F1516" s="158" t="inlineStr">
        <is>
          <t>MATERIALES</t>
        </is>
      </c>
      <c r="G1516" s="158" t="inlineStr">
        <is>
          <t>PVC</t>
        </is>
      </c>
    </row>
    <row r="1517">
      <c r="B1517" s="158" t="inlineStr">
        <is>
          <t>MAT19-0127</t>
        </is>
      </c>
      <c r="C1517" s="558" t="inlineStr">
        <is>
          <t>0119-0127</t>
        </is>
      </c>
      <c r="D1517" s="158" t="inlineStr">
        <is>
          <t>TEE PVC ROSCADA 2" (50mm)</t>
        </is>
      </c>
      <c r="E1517" s="158" t="inlineStr">
        <is>
          <t>UND</t>
        </is>
      </c>
      <c r="F1517" s="158" t="inlineStr">
        <is>
          <t>MATERIALES</t>
        </is>
      </c>
      <c r="G1517" s="158" t="inlineStr">
        <is>
          <t>PVC</t>
        </is>
      </c>
    </row>
    <row r="1518">
      <c r="B1518" s="158" t="inlineStr">
        <is>
          <t>MAT19-0128</t>
        </is>
      </c>
      <c r="C1518" s="558" t="inlineStr">
        <is>
          <t>0119-0128</t>
        </is>
      </c>
      <c r="D1518" s="158" t="inlineStr">
        <is>
          <t>ADAPTADOR PVC MACHO 2" (50mm)</t>
        </is>
      </c>
      <c r="E1518" s="158" t="inlineStr">
        <is>
          <t>UND</t>
        </is>
      </c>
      <c r="F1518" s="158" t="inlineStr">
        <is>
          <t>MATERIALES</t>
        </is>
      </c>
      <c r="G1518" s="158" t="inlineStr">
        <is>
          <t>PVC</t>
        </is>
      </c>
    </row>
    <row r="1519">
      <c r="B1519" s="158" t="inlineStr">
        <is>
          <t>MAT19-0129</t>
        </is>
      </c>
      <c r="C1519" s="558" t="inlineStr">
        <is>
          <t>0119-0129</t>
        </is>
      </c>
      <c r="D1519" s="158" t="inlineStr">
        <is>
          <t>ADAPTADOR PVC HEMBRA 3" (75mm)</t>
        </is>
      </c>
      <c r="E1519" s="158" t="inlineStr">
        <is>
          <t>UND</t>
        </is>
      </c>
      <c r="F1519" s="158" t="inlineStr">
        <is>
          <t>MATERIALES</t>
        </is>
      </c>
      <c r="G1519" s="158" t="inlineStr">
        <is>
          <t>PVC</t>
        </is>
      </c>
    </row>
    <row r="1520">
      <c r="B1520" s="158" t="inlineStr">
        <is>
          <t>MAT19-0130</t>
        </is>
      </c>
      <c r="C1520" s="558" t="inlineStr">
        <is>
          <t>0119-0130</t>
        </is>
      </c>
      <c r="D1520" s="158" t="inlineStr">
        <is>
          <t>ADAPTADOR PVC MACHO 4" (100mm)</t>
        </is>
      </c>
      <c r="E1520" s="158" t="inlineStr">
        <is>
          <t>UND</t>
        </is>
      </c>
      <c r="F1520" s="158" t="inlineStr">
        <is>
          <t>MATERIALES</t>
        </is>
      </c>
      <c r="G1520" s="158" t="inlineStr">
        <is>
          <t>PVC</t>
        </is>
      </c>
    </row>
    <row r="1521">
      <c r="B1521" s="158" t="inlineStr">
        <is>
          <t>MAT19-0131</t>
        </is>
      </c>
      <c r="C1521" s="558" t="inlineStr">
        <is>
          <t>0119-0131</t>
        </is>
      </c>
      <c r="D1521" s="158" t="inlineStr">
        <is>
          <t>ADAPTADOR PVC SCH80 MACHO 2" (50mm)</t>
        </is>
      </c>
      <c r="E1521" s="158" t="inlineStr">
        <is>
          <t>UND</t>
        </is>
      </c>
      <c r="F1521" s="158" t="inlineStr">
        <is>
          <t>MATERIALES</t>
        </is>
      </c>
      <c r="G1521" s="158" t="inlineStr">
        <is>
          <t>PVC</t>
        </is>
      </c>
    </row>
    <row r="1522">
      <c r="B1522" s="158" t="inlineStr">
        <is>
          <t>MAT19-0132</t>
        </is>
      </c>
      <c r="C1522" s="558" t="inlineStr">
        <is>
          <t>0119-0132</t>
        </is>
      </c>
      <c r="D1522" s="158" t="inlineStr">
        <is>
          <t>ADAPTADOR PVC SCH80 HEMBRA 2" (50mm)</t>
        </is>
      </c>
      <c r="E1522" s="158" t="inlineStr">
        <is>
          <t>UND</t>
        </is>
      </c>
      <c r="F1522" s="158" t="inlineStr">
        <is>
          <t>MATERIALES</t>
        </is>
      </c>
      <c r="G1522" s="158" t="inlineStr">
        <is>
          <t>PVC</t>
        </is>
      </c>
    </row>
    <row r="1523">
      <c r="B1523" s="158" t="inlineStr">
        <is>
          <t>MAT19-0133</t>
        </is>
      </c>
      <c r="C1523" s="558" t="inlineStr">
        <is>
          <t>0119-0133</t>
        </is>
      </c>
      <c r="D1523" s="158" t="inlineStr">
        <is>
          <t>REDUCCION PVC SANITARIA 3"x1 1/2" (75mmx38mm)</t>
        </is>
      </c>
      <c r="E1523" s="158" t="inlineStr">
        <is>
          <t>UND</t>
        </is>
      </c>
      <c r="F1523" s="158" t="inlineStr">
        <is>
          <t>MATERIALES</t>
        </is>
      </c>
      <c r="G1523" s="158" t="inlineStr">
        <is>
          <t>PVC</t>
        </is>
      </c>
    </row>
    <row r="1524">
      <c r="B1524" s="158" t="inlineStr">
        <is>
          <t>MAT19-0134</t>
        </is>
      </c>
      <c r="C1524" s="558" t="inlineStr">
        <is>
          <t>0119-0134</t>
        </is>
      </c>
      <c r="D1524" s="158" t="inlineStr">
        <is>
          <t>TUBO PVC NOVAFORT 6" (150mm)</t>
        </is>
      </c>
      <c r="E1524" s="158" t="inlineStr">
        <is>
          <t>UND</t>
        </is>
      </c>
      <c r="F1524" s="158" t="inlineStr">
        <is>
          <t>MATERIALES</t>
        </is>
      </c>
      <c r="G1524" s="158" t="inlineStr">
        <is>
          <t>PVC</t>
        </is>
      </c>
    </row>
    <row r="1525">
      <c r="B1525" s="158" t="inlineStr">
        <is>
          <t>MAT19-0135</t>
        </is>
      </c>
      <c r="C1525" s="558" t="inlineStr">
        <is>
          <t>0119-0135</t>
        </is>
      </c>
      <c r="D1525" s="158" t="inlineStr">
        <is>
          <t>FOSA SEPTICA 1700 LITROS</t>
        </is>
      </c>
      <c r="E1525" s="158" t="inlineStr">
        <is>
          <t>UND</t>
        </is>
      </c>
      <c r="F1525" s="158" t="inlineStr">
        <is>
          <t>MATERIALES</t>
        </is>
      </c>
      <c r="G1525" s="158" t="inlineStr">
        <is>
          <t>PVC</t>
        </is>
      </c>
    </row>
    <row r="1526">
      <c r="B1526" s="158" t="inlineStr">
        <is>
          <t>MAT19-0136</t>
        </is>
      </c>
      <c r="C1526" s="558" t="inlineStr">
        <is>
          <t>0119-0136</t>
        </is>
      </c>
      <c r="D1526" s="158" t="inlineStr">
        <is>
          <t>CONECTOR PVC CONDUIT UL 2" (50mm)</t>
        </is>
      </c>
      <c r="E1526" s="158" t="inlineStr">
        <is>
          <t>UND</t>
        </is>
      </c>
      <c r="F1526" s="158" t="inlineStr">
        <is>
          <t>MATERIALES</t>
        </is>
      </c>
      <c r="G1526" s="158" t="inlineStr">
        <is>
          <t>PVC</t>
        </is>
      </c>
    </row>
    <row r="1527">
      <c r="B1527" s="158" t="inlineStr">
        <is>
          <t>MAT19-0137</t>
        </is>
      </c>
      <c r="C1527" s="558" t="inlineStr">
        <is>
          <t>0119-0137</t>
        </is>
      </c>
      <c r="D1527" s="158" t="inlineStr">
        <is>
          <t>TUBO PVC CONDUIT UL 2" (50mm)</t>
        </is>
      </c>
      <c r="E1527" s="158" t="inlineStr">
        <is>
          <t>UND</t>
        </is>
      </c>
      <c r="F1527" s="158" t="inlineStr">
        <is>
          <t>MATERIALES</t>
        </is>
      </c>
      <c r="G1527" s="158" t="inlineStr">
        <is>
          <t>PVC</t>
        </is>
      </c>
    </row>
    <row r="1528">
      <c r="B1528" s="158" t="inlineStr">
        <is>
          <t>MAT19-0138</t>
        </is>
      </c>
      <c r="C1528" s="558" t="inlineStr">
        <is>
          <t>0119-0138</t>
        </is>
      </c>
      <c r="D1528" s="158" t="inlineStr">
        <is>
          <t>CURVA PVC CONDUIT UL 2" (50mm)</t>
        </is>
      </c>
      <c r="E1528" s="158" t="inlineStr">
        <is>
          <t>UND</t>
        </is>
      </c>
      <c r="F1528" s="158" t="inlineStr">
        <is>
          <t>MATERIALES</t>
        </is>
      </c>
      <c r="G1528" s="158" t="inlineStr">
        <is>
          <t>PVC</t>
        </is>
      </c>
    </row>
    <row r="1529">
      <c r="B1529" s="158" t="inlineStr">
        <is>
          <t>MAT19-0139</t>
        </is>
      </c>
      <c r="C1529" s="558" t="inlineStr">
        <is>
          <t>0119-0139</t>
        </is>
      </c>
      <c r="D1529" s="158" t="inlineStr">
        <is>
          <t>UNION PVC CONDUIT UL 2" (50mm)</t>
        </is>
      </c>
      <c r="E1529" s="158" t="inlineStr">
        <is>
          <t>UND</t>
        </is>
      </c>
      <c r="F1529" s="158" t="inlineStr">
        <is>
          <t>MATERIALES</t>
        </is>
      </c>
      <c r="G1529" s="158" t="inlineStr">
        <is>
          <t>PVC</t>
        </is>
      </c>
    </row>
    <row r="1530">
      <c r="B1530" s="158" t="inlineStr">
        <is>
          <t>MAT19-0140</t>
        </is>
      </c>
      <c r="C1530" s="558" t="inlineStr">
        <is>
          <t>0119-0140</t>
        </is>
      </c>
      <c r="D1530" s="158" t="inlineStr">
        <is>
          <t>GAZA PVC P/BAJANTE 4" (100mm)</t>
        </is>
      </c>
      <c r="E1530" s="158" t="inlineStr">
        <is>
          <t>UND</t>
        </is>
      </c>
      <c r="F1530" s="158" t="inlineStr">
        <is>
          <t>MATERIALES</t>
        </is>
      </c>
      <c r="G1530" s="158" t="inlineStr">
        <is>
          <t>PVC</t>
        </is>
      </c>
    </row>
    <row r="1531">
      <c r="B1531" s="158" t="inlineStr">
        <is>
          <t>MAT19-0141</t>
        </is>
      </c>
      <c r="C1531" s="558" t="inlineStr">
        <is>
          <t>0119-0141</t>
        </is>
      </c>
      <c r="D1531" s="158" t="inlineStr">
        <is>
          <t>TANQUE TRICAPA 750L</t>
        </is>
      </c>
      <c r="E1531" s="158" t="inlineStr">
        <is>
          <t>UND</t>
        </is>
      </c>
      <c r="F1531" s="158" t="inlineStr">
        <is>
          <t>EQUIPOS</t>
        </is>
      </c>
      <c r="G1531" s="158" t="inlineStr">
        <is>
          <t>PVC</t>
        </is>
      </c>
    </row>
    <row r="1532">
      <c r="B1532" s="158" t="inlineStr">
        <is>
          <t>MAT19-0142</t>
        </is>
      </c>
      <c r="C1532" s="558" t="inlineStr">
        <is>
          <t>0119-0142</t>
        </is>
      </c>
      <c r="D1532" s="158" t="inlineStr">
        <is>
          <t>REDUCCION PVC LISA /PRESION 2"X1 1/2"</t>
        </is>
      </c>
      <c r="E1532" s="158" t="inlineStr">
        <is>
          <t>UND</t>
        </is>
      </c>
      <c r="F1532" s="158" t="inlineStr">
        <is>
          <t>MATERIALES</t>
        </is>
      </c>
      <c r="G1532" s="158" t="inlineStr">
        <is>
          <t>PVC</t>
        </is>
      </c>
    </row>
    <row r="1533">
      <c r="B1533" s="158" t="inlineStr">
        <is>
          <t>MAT19-0143</t>
        </is>
      </c>
      <c r="C1533" s="558" t="inlineStr">
        <is>
          <t>0119-0143</t>
        </is>
      </c>
      <c r="D1533" s="158" t="inlineStr">
        <is>
          <t>CODO PVC POTABLE CEDULA DE PRESIÓN DE 90x2" (50mm)</t>
        </is>
      </c>
      <c r="E1533" s="158" t="inlineStr">
        <is>
          <t>UND</t>
        </is>
      </c>
      <c r="F1533" s="158" t="inlineStr">
        <is>
          <t>MATERIALES</t>
        </is>
      </c>
      <c r="G1533" s="158" t="inlineStr">
        <is>
          <t>PVC</t>
        </is>
      </c>
    </row>
    <row r="1534">
      <c r="B1534" s="158" t="inlineStr">
        <is>
          <t>MAT19-0144</t>
        </is>
      </c>
      <c r="C1534" s="558" t="inlineStr">
        <is>
          <t>0119-0144</t>
        </is>
      </c>
      <c r="D1534" s="158" t="inlineStr">
        <is>
          <t>TEE PVC CEDULA DE PRESIÓN   2" (50mm)</t>
        </is>
      </c>
      <c r="E1534" s="158" t="inlineStr">
        <is>
          <t>UND</t>
        </is>
      </c>
      <c r="F1534" s="158" t="inlineStr">
        <is>
          <t>MATERIALES</t>
        </is>
      </c>
      <c r="G1534" s="158" t="inlineStr">
        <is>
          <t>PVC</t>
        </is>
      </c>
    </row>
    <row r="1535">
      <c r="B1535" s="158" t="inlineStr">
        <is>
          <t>MAT19-0145</t>
        </is>
      </c>
      <c r="C1535" s="558" t="inlineStr">
        <is>
          <t>0119-0145</t>
        </is>
      </c>
      <c r="D1535" s="158" t="inlineStr">
        <is>
          <t>ADAPTADOR PVC HEMBRA CED/ PRESION POTABLE 4" (100mm)</t>
        </is>
      </c>
      <c r="E1535" s="158" t="inlineStr">
        <is>
          <t>UND</t>
        </is>
      </c>
      <c r="F1535" s="158" t="inlineStr">
        <is>
          <t>MATERIALES</t>
        </is>
      </c>
      <c r="G1535" s="158" t="inlineStr">
        <is>
          <t>PVC</t>
        </is>
      </c>
    </row>
    <row r="1536">
      <c r="B1536" s="158" t="inlineStr">
        <is>
          <t>MAT19-0148</t>
        </is>
      </c>
      <c r="C1536" s="558" t="inlineStr">
        <is>
          <t>0119-0148</t>
        </is>
      </c>
      <c r="D1536" s="158" t="inlineStr">
        <is>
          <t>UNION PVC CON ROSCA 1/2" (12mm)</t>
        </is>
      </c>
      <c r="E1536" s="158" t="inlineStr">
        <is>
          <t>UND</t>
        </is>
      </c>
      <c r="F1536" s="158" t="inlineStr">
        <is>
          <t>MATERIALES</t>
        </is>
      </c>
      <c r="G1536" s="158" t="inlineStr">
        <is>
          <t>PVC</t>
        </is>
      </c>
    </row>
    <row r="1537">
      <c r="B1537" s="158" t="inlineStr">
        <is>
          <t>MAT19-0149</t>
        </is>
      </c>
      <c r="C1537" s="558" t="inlineStr">
        <is>
          <t>0119-0149</t>
        </is>
      </c>
      <c r="D1537" s="158" t="inlineStr">
        <is>
          <t>UNION CPVC CON ROSCA 1/2" (12mm)</t>
        </is>
      </c>
      <c r="E1537" s="158" t="inlineStr">
        <is>
          <t>UND</t>
        </is>
      </c>
      <c r="F1537" s="158" t="inlineStr">
        <is>
          <t>MATERIALES</t>
        </is>
      </c>
      <c r="G1537" s="158" t="inlineStr">
        <is>
          <t>PVC</t>
        </is>
      </c>
    </row>
    <row r="1538">
      <c r="B1538" s="158" t="inlineStr">
        <is>
          <t>MAT19-0150</t>
        </is>
      </c>
      <c r="C1538" s="558" t="inlineStr">
        <is>
          <t>0119-0150</t>
        </is>
      </c>
      <c r="D1538" s="158" t="inlineStr">
        <is>
          <t>TUBO PVC SANITARIO 1 1/4" (31mm)</t>
        </is>
      </c>
      <c r="E1538" s="158" t="inlineStr">
        <is>
          <t>UND</t>
        </is>
      </c>
      <c r="F1538" s="158" t="inlineStr">
        <is>
          <t>MATERIALES</t>
        </is>
      </c>
      <c r="G1538" s="158" t="inlineStr">
        <is>
          <t>PVC</t>
        </is>
      </c>
    </row>
    <row r="1539">
      <c r="B1539" s="158" t="inlineStr">
        <is>
          <t>MAT19-0151</t>
        </is>
      </c>
      <c r="C1539" s="558" t="inlineStr">
        <is>
          <t>0119-0151</t>
        </is>
      </c>
      <c r="D1539" s="158" t="inlineStr">
        <is>
          <t>TUBO PVC DRENASEP 4" (100mm)</t>
        </is>
      </c>
      <c r="E1539" s="158" t="inlineStr">
        <is>
          <t>UND</t>
        </is>
      </c>
      <c r="F1539" s="158" t="inlineStr">
        <is>
          <t>MATERIALES</t>
        </is>
      </c>
      <c r="G1539" s="158" t="inlineStr">
        <is>
          <t>PVC</t>
        </is>
      </c>
    </row>
    <row r="1540">
      <c r="B1540" s="158" t="inlineStr">
        <is>
          <t>MAT19-0153</t>
        </is>
      </c>
      <c r="C1540" s="558" t="inlineStr">
        <is>
          <t>0119-0153</t>
        </is>
      </c>
      <c r="D1540" s="158" t="inlineStr">
        <is>
          <t xml:space="preserve">TAPON PVC SANITARIO MACHO 4" (100mm) </t>
        </is>
      </c>
      <c r="E1540" s="158" t="inlineStr">
        <is>
          <t>UND</t>
        </is>
      </c>
      <c r="F1540" s="158" t="inlineStr">
        <is>
          <t>MATERIALES</t>
        </is>
      </c>
      <c r="G1540" s="158" t="inlineStr">
        <is>
          <t>PVC</t>
        </is>
      </c>
    </row>
    <row r="1541">
      <c r="B1541" s="158" t="inlineStr">
        <is>
          <t>MAT19-0154</t>
        </is>
      </c>
      <c r="C1541" s="558" t="inlineStr">
        <is>
          <t>0119-0154</t>
        </is>
      </c>
      <c r="D1541" s="158" t="inlineStr">
        <is>
          <t>CODO PVC POTABLE CEDULA DE PRESIÓN  45x2"(50mm)</t>
        </is>
      </c>
      <c r="E1541" s="158" t="inlineStr">
        <is>
          <t>UND</t>
        </is>
      </c>
      <c r="F1541" s="158" t="inlineStr">
        <is>
          <t>MATERIALES</t>
        </is>
      </c>
      <c r="G1541" s="158" t="inlineStr">
        <is>
          <t>PVC</t>
        </is>
      </c>
    </row>
    <row r="1542">
      <c r="B1542" s="158" t="inlineStr">
        <is>
          <t>MAT19-0155</t>
        </is>
      </c>
      <c r="C1542" s="558" t="inlineStr">
        <is>
          <t>0119-0155</t>
        </is>
      </c>
      <c r="D1542" s="158" t="inlineStr">
        <is>
          <t>TUBO PVC SDR17 PRESION 2" (50mm)</t>
        </is>
      </c>
      <c r="E1542" s="158" t="inlineStr">
        <is>
          <t>UND</t>
        </is>
      </c>
      <c r="F1542" s="158" t="inlineStr">
        <is>
          <t>MATERIALES</t>
        </is>
      </c>
      <c r="G1542" s="158" t="inlineStr">
        <is>
          <t>PVC</t>
        </is>
      </c>
    </row>
    <row r="1543">
      <c r="B1543" s="158" t="inlineStr">
        <is>
          <t>MAT19-0156</t>
        </is>
      </c>
      <c r="C1543" s="558" t="inlineStr">
        <is>
          <t>0119-0156</t>
        </is>
      </c>
      <c r="D1543" s="158" t="inlineStr">
        <is>
          <t>VALVULA PVC 4" (100mm)</t>
        </is>
      </c>
      <c r="E1543" s="158" t="inlineStr">
        <is>
          <t>UND</t>
        </is>
      </c>
      <c r="F1543" s="158" t="inlineStr">
        <is>
          <t>MATERIALES</t>
        </is>
      </c>
      <c r="G1543" s="158" t="inlineStr">
        <is>
          <t>PVC</t>
        </is>
      </c>
    </row>
    <row r="1544">
      <c r="B1544" s="158" t="inlineStr">
        <is>
          <t>MAT19-0157</t>
        </is>
      </c>
      <c r="C1544" s="558" t="inlineStr">
        <is>
          <t>0119-0157</t>
        </is>
      </c>
      <c r="D1544" s="158" t="inlineStr">
        <is>
          <t>UNION PVC LISA 1" (25mm)</t>
        </is>
      </c>
      <c r="E1544" s="158" t="inlineStr">
        <is>
          <t>UND</t>
        </is>
      </c>
      <c r="F1544" s="158" t="inlineStr">
        <is>
          <t>MATERIALES</t>
        </is>
      </c>
      <c r="G1544" s="158" t="inlineStr">
        <is>
          <t>PVC</t>
        </is>
      </c>
    </row>
    <row r="1545">
      <c r="B1545" s="158" t="inlineStr">
        <is>
          <t>MAT19-0158</t>
        </is>
      </c>
      <c r="C1545" s="558" t="inlineStr">
        <is>
          <t>0119-0158</t>
        </is>
      </c>
      <c r="D1545" s="158" t="inlineStr">
        <is>
          <t>REDUCCION PVC 1 1/4"x1" (38mmx25mm)</t>
        </is>
      </c>
      <c r="E1545" s="158" t="inlineStr">
        <is>
          <t>UND</t>
        </is>
      </c>
      <c r="F1545" s="158" t="inlineStr">
        <is>
          <t>MATERIALES</t>
        </is>
      </c>
      <c r="G1545" s="158" t="inlineStr">
        <is>
          <t>PVC</t>
        </is>
      </c>
    </row>
    <row r="1546">
      <c r="B1546" s="158" t="inlineStr">
        <is>
          <t>MAT19-0159</t>
        </is>
      </c>
      <c r="C1546" s="558" t="inlineStr">
        <is>
          <t>0119-0159</t>
        </is>
      </c>
      <c r="D1546" s="158" t="inlineStr">
        <is>
          <t>ADAPTADOR PVC MACHO 1" (25mm)</t>
        </is>
      </c>
      <c r="E1546" s="158" t="inlineStr">
        <is>
          <t>UND</t>
        </is>
      </c>
      <c r="F1546" s="158" t="inlineStr">
        <is>
          <t>MATERIALES</t>
        </is>
      </c>
      <c r="G1546" s="158" t="inlineStr">
        <is>
          <t>PVC</t>
        </is>
      </c>
    </row>
    <row r="1547">
      <c r="B1547" s="158" t="inlineStr">
        <is>
          <t>MAT19-0160</t>
        </is>
      </c>
      <c r="C1547" s="558" t="inlineStr">
        <is>
          <t>0119-0160</t>
        </is>
      </c>
      <c r="D1547" s="158" t="inlineStr">
        <is>
          <t>TUBO PVC SDR17 2" (50mm)</t>
        </is>
      </c>
      <c r="E1547" s="158" t="inlineStr">
        <is>
          <t>UND</t>
        </is>
      </c>
      <c r="F1547" s="158" t="inlineStr">
        <is>
          <t>MATERIALES</t>
        </is>
      </c>
      <c r="G1547" s="158" t="inlineStr">
        <is>
          <t>PVC</t>
        </is>
      </c>
    </row>
    <row r="1548">
      <c r="B1548" s="158" t="inlineStr">
        <is>
          <t>MAT19-0161</t>
        </is>
      </c>
      <c r="C1548" s="558" t="inlineStr">
        <is>
          <t>0119-0161</t>
        </is>
      </c>
      <c r="D1548" s="158" t="inlineStr">
        <is>
          <t>TUBO PVC 1" SDR17 (25mm)</t>
        </is>
      </c>
      <c r="E1548" s="158" t="inlineStr">
        <is>
          <t>UND</t>
        </is>
      </c>
      <c r="F1548" s="158" t="inlineStr">
        <is>
          <t>MATERIALES</t>
        </is>
      </c>
      <c r="G1548" s="158" t="inlineStr">
        <is>
          <t>PVC</t>
        </is>
      </c>
    </row>
    <row r="1549">
      <c r="B1549" s="158" t="inlineStr">
        <is>
          <t>MAT19-0162</t>
        </is>
      </c>
      <c r="C1549" s="558" t="inlineStr">
        <is>
          <t>0119-0162</t>
        </is>
      </c>
      <c r="D1549" s="158" t="inlineStr">
        <is>
          <t>UNION PVC TOPE  1" (25mm)</t>
        </is>
      </c>
      <c r="E1549" s="158" t="inlineStr">
        <is>
          <t>UND</t>
        </is>
      </c>
      <c r="F1549" s="158" t="inlineStr">
        <is>
          <t>MATERIALES</t>
        </is>
      </c>
      <c r="G1549" s="158" t="inlineStr">
        <is>
          <t>PVC</t>
        </is>
      </c>
    </row>
    <row r="1550">
      <c r="B1550" s="158" t="inlineStr">
        <is>
          <t>MAT19-0163</t>
        </is>
      </c>
      <c r="C1550" s="558" t="inlineStr">
        <is>
          <t>0119-0163</t>
        </is>
      </c>
      <c r="D1550" s="158" t="inlineStr">
        <is>
          <t>UNION PVC REGULADORA DEL FLUJO  1/2" (25mm)</t>
        </is>
      </c>
      <c r="E1550" s="158" t="inlineStr">
        <is>
          <t>UND</t>
        </is>
      </c>
      <c r="F1550" s="158" t="inlineStr">
        <is>
          <t>MATERIALES</t>
        </is>
      </c>
      <c r="G1550" s="158" t="inlineStr">
        <is>
          <t>PVC</t>
        </is>
      </c>
    </row>
    <row r="1551">
      <c r="B1551" s="158" t="inlineStr">
        <is>
          <t>MAT19-0164</t>
        </is>
      </c>
      <c r="C1551" s="558" t="inlineStr">
        <is>
          <t>0119-0164</t>
        </is>
      </c>
      <c r="D1551" s="158" t="inlineStr">
        <is>
          <t>UNION PVC DE TOPE 2" (50mm)</t>
        </is>
      </c>
      <c r="E1551" s="158" t="inlineStr">
        <is>
          <t>UND</t>
        </is>
      </c>
      <c r="F1551" s="158" t="inlineStr">
        <is>
          <t>MATERIALES</t>
        </is>
      </c>
      <c r="G1551" s="158" t="inlineStr">
        <is>
          <t>PVC</t>
        </is>
      </c>
    </row>
    <row r="1552">
      <c r="B1552" s="158" t="inlineStr">
        <is>
          <t>MAT19-0165</t>
        </is>
      </c>
      <c r="C1552" s="558" t="inlineStr">
        <is>
          <t>0119-0165</t>
        </is>
      </c>
      <c r="D1552" s="158" t="inlineStr">
        <is>
          <t>REDUCCION PVC PRESION POTABLE 1 1/4"x1" (31mmx25mm)</t>
        </is>
      </c>
      <c r="E1552" s="158" t="inlineStr">
        <is>
          <t>UND</t>
        </is>
      </c>
      <c r="F1552" s="158" t="inlineStr">
        <is>
          <t>MATERIALES</t>
        </is>
      </c>
      <c r="G1552" s="158" t="inlineStr">
        <is>
          <t>PVC</t>
        </is>
      </c>
    </row>
    <row r="1553">
      <c r="B1553" s="158" t="inlineStr">
        <is>
          <t>MAT19-0166</t>
        </is>
      </c>
      <c r="C1553" s="558" t="inlineStr">
        <is>
          <t>0119-0166</t>
        </is>
      </c>
      <c r="D1553" s="158" t="inlineStr">
        <is>
          <t>REDUCCION PVC PRESION POTABLE 2"x1 1/4" (50mmx31mm)</t>
        </is>
      </c>
      <c r="E1553" s="158" t="inlineStr">
        <is>
          <t>UND</t>
        </is>
      </c>
      <c r="F1553" s="158" t="inlineStr">
        <is>
          <t>MATERIALES</t>
        </is>
      </c>
      <c r="G1553" s="158" t="inlineStr">
        <is>
          <t>PVC</t>
        </is>
      </c>
    </row>
    <row r="1554">
      <c r="B1554" s="158" t="inlineStr">
        <is>
          <t>MAT19-0167</t>
        </is>
      </c>
      <c r="C1554" s="558" t="inlineStr">
        <is>
          <t>0119-0167</t>
        </is>
      </c>
      <c r="D1554" s="158" t="inlineStr">
        <is>
          <t>MARCO C/REJILL PVC P/CANAL A15 50CM PE</t>
        </is>
      </c>
      <c r="E1554" s="158" t="inlineStr">
        <is>
          <t>UND</t>
        </is>
      </c>
      <c r="F1554" s="158" t="inlineStr">
        <is>
          <t>MATERIALES</t>
        </is>
      </c>
      <c r="G1554" s="158" t="inlineStr">
        <is>
          <t>PVC</t>
        </is>
      </c>
    </row>
    <row r="1555">
      <c r="B1555" s="158" t="inlineStr">
        <is>
          <t>MAT19-0168</t>
        </is>
      </c>
      <c r="C1555" s="558" t="inlineStr">
        <is>
          <t>0119-0168</t>
        </is>
      </c>
      <c r="D1555" s="158" t="inlineStr">
        <is>
          <t>ANGULO PVC P/CANAL A15 45G C/REJILLA</t>
        </is>
      </c>
      <c r="E1555" s="158" t="inlineStr">
        <is>
          <t>UND</t>
        </is>
      </c>
      <c r="F1555" s="158" t="inlineStr">
        <is>
          <t>MATERIALES</t>
        </is>
      </c>
      <c r="G1555" s="158" t="inlineStr">
        <is>
          <t>PVC</t>
        </is>
      </c>
    </row>
    <row r="1556">
      <c r="B1556" s="158" t="inlineStr">
        <is>
          <t>MAT19-0169</t>
        </is>
      </c>
      <c r="C1556" s="558" t="inlineStr">
        <is>
          <t>0119-0169</t>
        </is>
      </c>
      <c r="D1556" s="158" t="inlineStr">
        <is>
          <t>UNION PVC ACOPLE  2" (50mm)</t>
        </is>
      </c>
      <c r="E1556" s="158" t="inlineStr">
        <is>
          <t>UND</t>
        </is>
      </c>
      <c r="F1556" s="158" t="inlineStr">
        <is>
          <t>MATERIALES</t>
        </is>
      </c>
      <c r="G1556" s="158" t="inlineStr">
        <is>
          <t>PVC</t>
        </is>
      </c>
    </row>
    <row r="1557">
      <c r="B1557" s="158" t="inlineStr">
        <is>
          <t>MAT19-0170</t>
        </is>
      </c>
      <c r="C1557" s="558" t="inlineStr">
        <is>
          <t>0119-0170</t>
        </is>
      </c>
      <c r="D1557" s="158" t="inlineStr">
        <is>
          <t>CHECK LINEAL PVC 2" (50mm)</t>
        </is>
      </c>
      <c r="E1557" s="158" t="inlineStr">
        <is>
          <t>UND</t>
        </is>
      </c>
      <c r="F1557" s="158" t="inlineStr">
        <is>
          <t>MATERIALES</t>
        </is>
      </c>
      <c r="G1557" s="158" t="inlineStr">
        <is>
          <t>PVC</t>
        </is>
      </c>
    </row>
    <row r="1558">
      <c r="B1558" s="158" t="inlineStr">
        <is>
          <t>MAT19-0171</t>
        </is>
      </c>
      <c r="C1558" s="558" t="inlineStr">
        <is>
          <t>0119-0171</t>
        </is>
      </c>
      <c r="D1558" s="158" t="inlineStr">
        <is>
          <t>ADAPTADOR PVC TRAMPA 1 1/2"x1 1/4" (38mmx31mm)</t>
        </is>
      </c>
      <c r="E1558" s="158" t="inlineStr">
        <is>
          <t>UND</t>
        </is>
      </c>
      <c r="F1558" s="158" t="inlineStr">
        <is>
          <t>MATERIALES</t>
        </is>
      </c>
      <c r="G1558" s="158" t="inlineStr">
        <is>
          <t>PVC</t>
        </is>
      </c>
    </row>
    <row r="1559">
      <c r="B1559" s="158" t="inlineStr">
        <is>
          <t>MAT19-0173</t>
        </is>
      </c>
      <c r="C1559" s="558" t="inlineStr">
        <is>
          <t>0119-0173</t>
        </is>
      </c>
      <c r="D1559" s="158" t="inlineStr">
        <is>
          <t>REDUCCION PVC CED PRESION 6"x2" (150mmx50mm)</t>
        </is>
      </c>
      <c r="E1559" s="158" t="inlineStr">
        <is>
          <t>UND</t>
        </is>
      </c>
      <c r="F1559" s="158" t="inlineStr">
        <is>
          <t>MATERIALES</t>
        </is>
      </c>
      <c r="G1559" s="158" t="inlineStr">
        <is>
          <t>PVC</t>
        </is>
      </c>
    </row>
    <row r="1560">
      <c r="B1560" s="158" t="inlineStr">
        <is>
          <t>MAT19-0174</t>
        </is>
      </c>
      <c r="C1560" s="558" t="inlineStr">
        <is>
          <t>0119-0174</t>
        </is>
      </c>
      <c r="D1560" s="158" t="inlineStr">
        <is>
          <t>TEE PVC CEDULA DE PRESIÓN  3/4" (18mm)</t>
        </is>
      </c>
      <c r="E1560" s="158" t="inlineStr">
        <is>
          <t>UND</t>
        </is>
      </c>
      <c r="F1560" s="158" t="inlineStr">
        <is>
          <t>MATERIALES</t>
        </is>
      </c>
      <c r="G1560" s="158" t="inlineStr">
        <is>
          <t>PVC</t>
        </is>
      </c>
    </row>
    <row r="1561">
      <c r="B1561" s="158" t="inlineStr">
        <is>
          <t>MAT19-0175</t>
        </is>
      </c>
      <c r="C1561" s="558" t="inlineStr">
        <is>
          <t>0119-0175</t>
        </is>
      </c>
      <c r="D1561" s="158" t="inlineStr">
        <is>
          <t>CODO PVC LISO 90x3/4" (90x18mm)</t>
        </is>
      </c>
      <c r="E1561" s="158" t="inlineStr">
        <is>
          <t>UND</t>
        </is>
      </c>
      <c r="F1561" s="158" t="inlineStr">
        <is>
          <t>MATERIALES</t>
        </is>
      </c>
      <c r="G1561" s="158" t="inlineStr">
        <is>
          <t>PVC</t>
        </is>
      </c>
    </row>
    <row r="1562">
      <c r="B1562" s="158" t="inlineStr">
        <is>
          <t>MAT19-0176</t>
        </is>
      </c>
      <c r="C1562" s="558" t="inlineStr">
        <is>
          <t>0119-0176</t>
        </is>
      </c>
      <c r="D1562" s="158" t="inlineStr">
        <is>
          <t>TUBO PVC CEDULA DE PRESION 3/4" (18mm)</t>
        </is>
      </c>
      <c r="E1562" s="158" t="inlineStr">
        <is>
          <t>UND</t>
        </is>
      </c>
      <c r="F1562" s="158" t="inlineStr">
        <is>
          <t>MATERIALES</t>
        </is>
      </c>
      <c r="G1562" s="158" t="inlineStr">
        <is>
          <t>PVC</t>
        </is>
      </c>
    </row>
    <row r="1563">
      <c r="B1563" s="158" t="inlineStr">
        <is>
          <t>MAT19-0177</t>
        </is>
      </c>
      <c r="C1563" s="558" t="inlineStr">
        <is>
          <t>0119-0177</t>
        </is>
      </c>
      <c r="D1563" s="158" t="inlineStr">
        <is>
          <t xml:space="preserve">REDUCCION PVC LISA DE PRESION BL 4"x2" (100mmx50mm) </t>
        </is>
      </c>
      <c r="E1563" s="158" t="inlineStr">
        <is>
          <t>UND</t>
        </is>
      </c>
      <c r="F1563" s="158" t="inlineStr">
        <is>
          <t>MATERIALES</t>
        </is>
      </c>
      <c r="G1563" s="158" t="inlineStr">
        <is>
          <t>PVC</t>
        </is>
      </c>
    </row>
    <row r="1564">
      <c r="B1564" s="158" t="inlineStr">
        <is>
          <t>MAT19-0178</t>
        </is>
      </c>
      <c r="C1564" s="558" t="inlineStr">
        <is>
          <t>0119-0178</t>
        </is>
      </c>
      <c r="D1564" s="158" t="inlineStr">
        <is>
          <t xml:space="preserve">TUBO PVC SCH40 3/4" (18mm) </t>
        </is>
      </c>
      <c r="E1564" s="158" t="inlineStr">
        <is>
          <t>UND</t>
        </is>
      </c>
      <c r="F1564" s="158" t="inlineStr">
        <is>
          <t>MATERIALES</t>
        </is>
      </c>
      <c r="G1564" s="158" t="inlineStr">
        <is>
          <t>PVC</t>
        </is>
      </c>
    </row>
    <row r="1565">
      <c r="A1565" s="159" t="n"/>
      <c r="B1565" s="158" t="inlineStr">
        <is>
          <t>MAT19-0179</t>
        </is>
      </c>
      <c r="C1565" s="558" t="inlineStr">
        <is>
          <t>0119-0179</t>
        </is>
      </c>
      <c r="D1565" s="158" t="inlineStr">
        <is>
          <t xml:space="preserve">BRIDA PVC FLEXIBLE 3" (75mm)  </t>
        </is>
      </c>
      <c r="E1565" s="158" t="inlineStr">
        <is>
          <t>UND</t>
        </is>
      </c>
      <c r="F1565" s="158" t="inlineStr">
        <is>
          <t>MATERIALES</t>
        </is>
      </c>
      <c r="G1565" s="158" t="inlineStr">
        <is>
          <t>FERRETERIA GENERAL</t>
        </is>
      </c>
    </row>
    <row r="1566">
      <c r="A1566" s="159" t="n"/>
      <c r="B1566" s="158" t="inlineStr">
        <is>
          <t>MAT19-0180</t>
        </is>
      </c>
      <c r="C1566" s="558" t="inlineStr">
        <is>
          <t>0119-0180</t>
        </is>
      </c>
      <c r="D1566" s="158" t="inlineStr">
        <is>
          <t>LLAVE PASO PVC PRESION 2" (50mm)</t>
        </is>
      </c>
      <c r="E1566" s="158" t="inlineStr">
        <is>
          <t>UND</t>
        </is>
      </c>
      <c r="F1566" s="158" t="inlineStr">
        <is>
          <t>MATERIALES</t>
        </is>
      </c>
      <c r="G1566" s="158" t="inlineStr">
        <is>
          <t>FERRETERIA GENERAL</t>
        </is>
      </c>
    </row>
    <row r="1567">
      <c r="A1567" s="159" t="n"/>
      <c r="B1567" s="158" t="inlineStr">
        <is>
          <t>MAT19-0181</t>
        </is>
      </c>
      <c r="C1567" s="558" t="inlineStr">
        <is>
          <t>0119-0181</t>
        </is>
      </c>
      <c r="D1567" s="158" t="inlineStr">
        <is>
          <t>LLAVE PASO PVC PRESION 4" (100mm)</t>
        </is>
      </c>
      <c r="E1567" s="158" t="inlineStr">
        <is>
          <t>UND</t>
        </is>
      </c>
      <c r="F1567" s="158" t="inlineStr">
        <is>
          <t>MATERIALES</t>
        </is>
      </c>
      <c r="G1567" s="158" t="inlineStr">
        <is>
          <t>FERRETERIA GENERAL</t>
        </is>
      </c>
    </row>
    <row r="1568">
      <c r="A1568" s="159" t="n"/>
      <c r="B1568" s="158" t="inlineStr">
        <is>
          <t>MAT19-0182</t>
        </is>
      </c>
      <c r="C1568" s="558" t="inlineStr">
        <is>
          <t>0119-0182</t>
        </is>
      </c>
      <c r="D1568" s="158" t="inlineStr">
        <is>
          <t>SIFON PVC SIN REGISTRO 2" (50mm)</t>
        </is>
      </c>
      <c r="E1568" s="158" t="inlineStr">
        <is>
          <t>UND</t>
        </is>
      </c>
      <c r="F1568" s="158" t="inlineStr">
        <is>
          <t>MATERIALES</t>
        </is>
      </c>
      <c r="G1568" s="158" t="inlineStr">
        <is>
          <t>FERRETERIA GENERAL</t>
        </is>
      </c>
    </row>
    <row r="1569">
      <c r="A1569" s="159" t="n"/>
      <c r="B1569" s="158" t="inlineStr">
        <is>
          <t>MAT19-0183</t>
        </is>
      </c>
      <c r="C1569" s="558" t="inlineStr">
        <is>
          <t>0108-0489</t>
        </is>
      </c>
      <c r="D1569" s="158" t="inlineStr">
        <is>
          <t>LLAVE DE BOLA 2" (50mm)</t>
        </is>
      </c>
      <c r="E1569" s="158" t="inlineStr">
        <is>
          <t>UND</t>
        </is>
      </c>
      <c r="F1569" s="158" t="inlineStr">
        <is>
          <t>MATERIALES</t>
        </is>
      </c>
      <c r="G1569" s="158" t="inlineStr">
        <is>
          <t>FERRETERIA GENERAL</t>
        </is>
      </c>
    </row>
    <row r="1570">
      <c r="B1570" s="557" t="inlineStr">
        <is>
          <t>(ID) Insumo</t>
        </is>
      </c>
      <c r="C1570" s="558" t="n"/>
      <c r="D1570" s="557" t="inlineStr">
        <is>
          <t>Descripción</t>
        </is>
      </c>
      <c r="E1570" s="557" t="inlineStr">
        <is>
          <t>Unidad</t>
        </is>
      </c>
      <c r="F1570" s="557" t="inlineStr">
        <is>
          <t>Grupo de Insumo</t>
        </is>
      </c>
      <c r="G1570" s="557" t="inlineStr">
        <is>
          <t>Familia de Insumos</t>
        </is>
      </c>
      <c r="H1570" s="560" t="n"/>
    </row>
    <row r="1571">
      <c r="B1571" s="158" t="inlineStr">
        <is>
          <t>MAT21-0002</t>
        </is>
      </c>
      <c r="C1571" s="558" t="inlineStr">
        <is>
          <t>0121-0001</t>
        </is>
      </c>
      <c r="D1571" s="158" t="inlineStr">
        <is>
          <t>CURADOR CURING ECO</t>
        </is>
      </c>
      <c r="E1571" s="158" t="inlineStr">
        <is>
          <t>ESTAÑON</t>
        </is>
      </c>
      <c r="F1571" s="158" t="inlineStr">
        <is>
          <t>MATERIALES</t>
        </is>
      </c>
      <c r="G1571" s="158" t="inlineStr">
        <is>
          <t>SILICONES-SELLADORES-ADITIVOS</t>
        </is>
      </c>
    </row>
    <row r="1572">
      <c r="B1572" s="158" t="inlineStr">
        <is>
          <t>MAT21-0003</t>
        </is>
      </c>
      <c r="C1572" s="558" t="inlineStr">
        <is>
          <t>0121-0002</t>
        </is>
      </c>
      <c r="D1572" s="158" t="inlineStr">
        <is>
          <t>DESMOLDANTE  CASSEROIL</t>
        </is>
      </c>
      <c r="E1572" s="158" t="inlineStr">
        <is>
          <t>ESTAÑON</t>
        </is>
      </c>
      <c r="F1572" s="158" t="inlineStr">
        <is>
          <t>MATERIALES</t>
        </is>
      </c>
      <c r="G1572" s="158" t="inlineStr">
        <is>
          <t>SILICONES-SELLADORES-ADITIVOS</t>
        </is>
      </c>
    </row>
    <row r="1573">
      <c r="B1573" s="158" t="inlineStr">
        <is>
          <t>MAT21-0005</t>
        </is>
      </c>
      <c r="C1573" s="558" t="inlineStr">
        <is>
          <t>0121-0003</t>
        </is>
      </c>
      <c r="D1573" s="158" t="inlineStr">
        <is>
          <t>DURETAN BLANCO</t>
        </is>
      </c>
      <c r="E1573" s="158" t="inlineStr">
        <is>
          <t>CARTUCHO</t>
        </is>
      </c>
      <c r="F1573" s="158" t="inlineStr">
        <is>
          <t>MATERIALES</t>
        </is>
      </c>
      <c r="G1573" s="158" t="inlineStr">
        <is>
          <t>SILICONES-SELLADORES-ADITIVOS</t>
        </is>
      </c>
    </row>
    <row r="1574">
      <c r="B1574" s="158" t="inlineStr">
        <is>
          <t>MAT21-0006</t>
        </is>
      </c>
      <c r="C1574" s="558" t="inlineStr">
        <is>
          <t>0121-0004</t>
        </is>
      </c>
      <c r="D1574" s="158" t="inlineStr">
        <is>
          <t>DURETAN GRIS</t>
        </is>
      </c>
      <c r="E1574" s="158" t="inlineStr">
        <is>
          <t>CARTUCHO</t>
        </is>
      </c>
      <c r="F1574" s="158" t="inlineStr">
        <is>
          <t>MATERIALES</t>
        </is>
      </c>
      <c r="G1574" s="158" t="inlineStr">
        <is>
          <t>SILICONES-SELLADORES-ADITIVOS</t>
        </is>
      </c>
    </row>
    <row r="1575">
      <c r="B1575" s="158" t="inlineStr">
        <is>
          <t>MAT21-0007</t>
        </is>
      </c>
      <c r="C1575" s="558" t="inlineStr">
        <is>
          <t>0121-0005</t>
        </is>
      </c>
      <c r="D1575" s="158" t="inlineStr">
        <is>
          <t>MAXICRIL ADHESIVO</t>
        </is>
      </c>
      <c r="E1575" s="158" t="inlineStr">
        <is>
          <t>GALON</t>
        </is>
      </c>
      <c r="F1575" s="158" t="inlineStr">
        <is>
          <t>MATERIALES</t>
        </is>
      </c>
      <c r="G1575" s="158" t="inlineStr">
        <is>
          <t>SILICONES-SELLADORES-ADITIVOS</t>
        </is>
      </c>
    </row>
    <row r="1576">
      <c r="B1576" s="158" t="inlineStr">
        <is>
          <t>MAT21-0009</t>
        </is>
      </c>
      <c r="C1576" s="558" t="inlineStr">
        <is>
          <t>0121-0006</t>
        </is>
      </c>
      <c r="D1576" s="158" t="inlineStr">
        <is>
          <t>PEGAMENTO  PVC AZUL WETBONDING</t>
        </is>
      </c>
      <c r="E1576" s="158" t="inlineStr">
        <is>
          <t>1/8 DE GALON</t>
        </is>
      </c>
      <c r="F1576" s="158" t="inlineStr">
        <is>
          <t>MATERIALES</t>
        </is>
      </c>
      <c r="G1576" s="158" t="inlineStr">
        <is>
          <t>SILICONES-SELLADORES-ADITIVOS</t>
        </is>
      </c>
    </row>
    <row r="1577">
      <c r="B1577" s="158" t="inlineStr">
        <is>
          <t>MAT21-0010</t>
        </is>
      </c>
      <c r="C1577" s="558" t="inlineStr">
        <is>
          <t>0121-0007</t>
        </is>
      </c>
      <c r="D1577" s="158" t="inlineStr">
        <is>
          <t>PEGAMENTO DE CONTACTO</t>
        </is>
      </c>
      <c r="E1577" s="158" t="inlineStr">
        <is>
          <t>GALON</t>
        </is>
      </c>
      <c r="F1577" s="158" t="inlineStr">
        <is>
          <t>MATERIALES</t>
        </is>
      </c>
      <c r="G1577" s="158" t="inlineStr">
        <is>
          <t>SILICONES-SELLADORES-ADITIVOS</t>
        </is>
      </c>
    </row>
    <row r="1578">
      <c r="B1578" s="158" t="inlineStr">
        <is>
          <t>MAT21-0011</t>
        </is>
      </c>
      <c r="C1578" s="558" t="inlineStr">
        <is>
          <t>0121-0008</t>
        </is>
      </c>
      <c r="D1578" s="158" t="inlineStr">
        <is>
          <t>SELLADOR HI-BOND</t>
        </is>
      </c>
      <c r="E1578" s="158" t="inlineStr">
        <is>
          <t>UND</t>
        </is>
      </c>
      <c r="F1578" s="158" t="inlineStr">
        <is>
          <t>MATERIALES</t>
        </is>
      </c>
      <c r="G1578" s="158" t="inlineStr">
        <is>
          <t>SILICONES-SELLADORES-ADITIVOS</t>
        </is>
      </c>
    </row>
    <row r="1579">
      <c r="B1579" s="158" t="inlineStr">
        <is>
          <t>MAT21-0012</t>
        </is>
      </c>
      <c r="C1579" s="558" t="inlineStr">
        <is>
          <t>0121-0009</t>
        </is>
      </c>
      <c r="D1579" s="158" t="inlineStr">
        <is>
          <t>PEGAMENTO CONTACTO 1/32</t>
        </is>
      </c>
      <c r="E1579" s="158" t="inlineStr">
        <is>
          <t>UND</t>
        </is>
      </c>
      <c r="F1579" s="158" t="inlineStr">
        <is>
          <t>MATERIALES</t>
        </is>
      </c>
      <c r="G1579" s="158" t="inlineStr">
        <is>
          <t>SILICONES-SELLADORES-ADITIVOS</t>
        </is>
      </c>
    </row>
    <row r="1580">
      <c r="B1580" s="158" t="inlineStr">
        <is>
          <t>MAT21-0014</t>
        </is>
      </c>
      <c r="C1580" s="558" t="inlineStr">
        <is>
          <t>0121-0010</t>
        </is>
      </c>
      <c r="D1580" s="158" t="inlineStr">
        <is>
          <t>PEGAMENTO PVC AZUL WETBONDING (DOBLE PROPOSITO)</t>
        </is>
      </c>
      <c r="E1580" s="158" t="inlineStr">
        <is>
          <t>1/4 DE GALON</t>
        </is>
      </c>
      <c r="F1580" s="158" t="inlineStr">
        <is>
          <t>MATERIALES</t>
        </is>
      </c>
      <c r="G1580" s="158" t="inlineStr">
        <is>
          <t>SILICONES-SELLADORES-ADITIVOS</t>
        </is>
      </c>
    </row>
    <row r="1581">
      <c r="B1581" s="158" t="inlineStr">
        <is>
          <t>MAT21-0017</t>
        </is>
      </c>
      <c r="C1581" s="558" t="inlineStr">
        <is>
          <t>0121-0011</t>
        </is>
      </c>
      <c r="D1581" s="158" t="inlineStr">
        <is>
          <t>SILICON PINTABLE</t>
        </is>
      </c>
      <c r="E1581" s="158" t="inlineStr">
        <is>
          <t>UND</t>
        </is>
      </c>
      <c r="F1581" s="158" t="inlineStr">
        <is>
          <t>MATERIALES</t>
        </is>
      </c>
      <c r="G1581" s="158" t="inlineStr">
        <is>
          <t>SILICONES-SELLADORES-ADITIVOS</t>
        </is>
      </c>
    </row>
    <row r="1582">
      <c r="B1582" s="158" t="inlineStr">
        <is>
          <t>MAT21-0018</t>
        </is>
      </c>
      <c r="C1582" s="558" t="inlineStr">
        <is>
          <t>0121-0012</t>
        </is>
      </c>
      <c r="D1582" s="158" t="inlineStr">
        <is>
          <t>SILICON TRANSPARENTE</t>
        </is>
      </c>
      <c r="E1582" s="158" t="inlineStr">
        <is>
          <t>UND</t>
        </is>
      </c>
      <c r="F1582" s="158" t="inlineStr">
        <is>
          <t>MATERIALES</t>
        </is>
      </c>
      <c r="G1582" s="158" t="inlineStr">
        <is>
          <t>SILICONES-SELLADORES-ADITIVOS</t>
        </is>
      </c>
    </row>
    <row r="1583">
      <c r="B1583" s="158" t="inlineStr">
        <is>
          <t>MAT21-0021</t>
        </is>
      </c>
      <c r="C1583" s="558" t="inlineStr">
        <is>
          <t>0121-0013</t>
        </is>
      </c>
      <c r="D1583" s="158" t="inlineStr">
        <is>
          <t>DURETAN TRANSPARENTE</t>
        </is>
      </c>
      <c r="E1583" s="158" t="inlineStr">
        <is>
          <t>UND</t>
        </is>
      </c>
      <c r="F1583" s="158" t="inlineStr">
        <is>
          <t>MATERIALES</t>
        </is>
      </c>
      <c r="G1583" s="158" t="inlineStr">
        <is>
          <t>SILICONES-SELLADORES-ADITIVOS</t>
        </is>
      </c>
    </row>
    <row r="1584">
      <c r="B1584" s="158" t="inlineStr">
        <is>
          <t>MAT21-0022</t>
        </is>
      </c>
      <c r="C1584" s="558" t="inlineStr">
        <is>
          <t>0121-0014</t>
        </is>
      </c>
      <c r="D1584" s="158" t="inlineStr">
        <is>
          <t>MAXICLEAR BRILLANTE</t>
        </is>
      </c>
      <c r="E1584" s="158" t="inlineStr">
        <is>
          <t>GALON</t>
        </is>
      </c>
      <c r="F1584" s="158" t="inlineStr">
        <is>
          <t>MATERIALES</t>
        </is>
      </c>
      <c r="G1584" s="158" t="inlineStr">
        <is>
          <t>SILICONES-SELLADORES-ADITIVOS</t>
        </is>
      </c>
    </row>
    <row r="1585">
      <c r="B1585" s="158" t="inlineStr">
        <is>
          <t>MAT21-0023</t>
        </is>
      </c>
      <c r="C1585" s="558" t="inlineStr">
        <is>
          <t>0121-0015</t>
        </is>
      </c>
      <c r="D1585" s="158" t="inlineStr">
        <is>
          <t>SELLADOR SILICONIZER</t>
        </is>
      </c>
      <c r="E1585" s="158" t="inlineStr">
        <is>
          <t>GALON</t>
        </is>
      </c>
      <c r="F1585" s="158" t="inlineStr">
        <is>
          <t>MATERIALES</t>
        </is>
      </c>
      <c r="G1585" s="158" t="inlineStr">
        <is>
          <t>SILICONES-SELLADORES-ADITIVOS</t>
        </is>
      </c>
    </row>
    <row r="1586">
      <c r="B1586" s="158" t="inlineStr">
        <is>
          <t>MAT21-0024</t>
        </is>
      </c>
      <c r="C1586" s="558" t="inlineStr">
        <is>
          <t>0121-0016</t>
        </is>
      </c>
      <c r="D1586" s="158" t="inlineStr">
        <is>
          <t>ADITIVO P/CONCRETO</t>
        </is>
      </c>
      <c r="E1586" s="158" t="inlineStr">
        <is>
          <t>UND</t>
        </is>
      </c>
      <c r="F1586" s="158" t="inlineStr">
        <is>
          <t>MATERIALES</t>
        </is>
      </c>
      <c r="G1586" s="158" t="inlineStr">
        <is>
          <t>SILICONES-SELLADORES-ADITIVOS</t>
        </is>
      </c>
    </row>
    <row r="1587">
      <c r="B1587" s="158" t="inlineStr">
        <is>
          <t>MAT21-0028</t>
        </is>
      </c>
      <c r="C1587" s="558" t="inlineStr">
        <is>
          <t>0121-0017</t>
        </is>
      </c>
      <c r="D1587" s="158" t="inlineStr">
        <is>
          <t>ADITIVO EUCON RETARDER 100C</t>
        </is>
      </c>
      <c r="E1587" s="158" t="inlineStr">
        <is>
          <t>CUBETA</t>
        </is>
      </c>
      <c r="F1587" s="158" t="inlineStr">
        <is>
          <t>MATERIALES</t>
        </is>
      </c>
      <c r="G1587" s="158" t="inlineStr">
        <is>
          <t>SILICONES-SELLADORES-ADITIVOS</t>
        </is>
      </c>
    </row>
    <row r="1588">
      <c r="B1588" s="158" t="inlineStr">
        <is>
          <t>MAT21-0029</t>
        </is>
      </c>
      <c r="C1588" s="558" t="inlineStr">
        <is>
          <t>0121-0018</t>
        </is>
      </c>
      <c r="D1588" s="158" t="inlineStr">
        <is>
          <t>ADITIVO PLASTOL 5000 ULTRA</t>
        </is>
      </c>
      <c r="E1588" s="158" t="inlineStr">
        <is>
          <t>CUBETA</t>
        </is>
      </c>
      <c r="F1588" s="158" t="inlineStr">
        <is>
          <t>MATERIALES</t>
        </is>
      </c>
      <c r="G1588" s="158" t="inlineStr">
        <is>
          <t>SILICONES-SELLADORES-ADITIVOS</t>
        </is>
      </c>
    </row>
    <row r="1589">
      <c r="B1589" s="158" t="inlineStr">
        <is>
          <t>MAT21-0030</t>
        </is>
      </c>
      <c r="C1589" s="558" t="inlineStr">
        <is>
          <t>0121-0019</t>
        </is>
      </c>
      <c r="D1589" s="158" t="inlineStr">
        <is>
          <t>PEGAMENTO P/MUEBLES</t>
        </is>
      </c>
      <c r="E1589" s="158" t="inlineStr">
        <is>
          <t>SACO</t>
        </is>
      </c>
      <c r="F1589" s="158" t="inlineStr">
        <is>
          <t>MATERIALES</t>
        </is>
      </c>
      <c r="G1589" s="158" t="inlineStr">
        <is>
          <t>SILICONES-SELLADORES-ADITIVOS</t>
        </is>
      </c>
    </row>
    <row r="1590">
      <c r="B1590" s="158" t="inlineStr">
        <is>
          <t>MAT21-0035</t>
        </is>
      </c>
      <c r="C1590" s="558" t="inlineStr">
        <is>
          <t>0121-0020</t>
        </is>
      </c>
      <c r="D1590" s="158" t="inlineStr">
        <is>
          <t>ANCHORMAX 200 (CARTUCHO DE 300ML)</t>
        </is>
      </c>
      <c r="E1590" s="158" t="inlineStr">
        <is>
          <t>UND</t>
        </is>
      </c>
      <c r="F1590" s="158" t="inlineStr">
        <is>
          <t>MATERIALES</t>
        </is>
      </c>
      <c r="G1590" s="158" t="inlineStr">
        <is>
          <t>SILICONES-SELLADORES-ADITIVOS</t>
        </is>
      </c>
    </row>
    <row r="1591">
      <c r="B1591" s="158" t="inlineStr">
        <is>
          <t>MAT21-0036</t>
        </is>
      </c>
      <c r="C1591" s="558" t="inlineStr">
        <is>
          <t>0121-0021</t>
        </is>
      </c>
      <c r="D1591" s="158" t="inlineStr">
        <is>
          <t>SELLADOR PARA CERAMICA STONETECH SEALER</t>
        </is>
      </c>
      <c r="E1591" s="158" t="inlineStr">
        <is>
          <t>GALON</t>
        </is>
      </c>
      <c r="F1591" s="158" t="inlineStr">
        <is>
          <t>MATERIALES</t>
        </is>
      </c>
      <c r="G1591" s="158" t="inlineStr">
        <is>
          <t>SILICONES-SELLADORES-ADITIVOS</t>
        </is>
      </c>
    </row>
    <row r="1592">
      <c r="B1592" s="158" t="inlineStr">
        <is>
          <t>MAT21-0037</t>
        </is>
      </c>
      <c r="C1592" s="558" t="inlineStr">
        <is>
          <t>0121-0022</t>
        </is>
      </c>
      <c r="D1592" s="158" t="inlineStr">
        <is>
          <t>LIMPIADOR DE CERAMICA STONETECH</t>
        </is>
      </c>
      <c r="E1592" s="158" t="inlineStr">
        <is>
          <t>GALON</t>
        </is>
      </c>
      <c r="F1592" s="158" t="inlineStr">
        <is>
          <t>MATERIALES</t>
        </is>
      </c>
      <c r="G1592" s="158" t="inlineStr">
        <is>
          <t>SILICONES-SELLADORES-ADITIVOS</t>
        </is>
      </c>
    </row>
    <row r="1593">
      <c r="B1593" s="158" t="inlineStr">
        <is>
          <t>MAT21-0038</t>
        </is>
      </c>
      <c r="C1593" s="558" t="inlineStr">
        <is>
          <t>0121-0023</t>
        </is>
      </c>
      <c r="D1593" s="158" t="inlineStr">
        <is>
          <t>POLYFLEX SELLADOR ELASTOMERICO DE POLIURETANO</t>
        </is>
      </c>
      <c r="E1593" s="158" t="inlineStr">
        <is>
          <t>UND</t>
        </is>
      </c>
      <c r="F1593" s="158" t="inlineStr">
        <is>
          <t>MATERIALES</t>
        </is>
      </c>
      <c r="G1593" s="158" t="inlineStr">
        <is>
          <t>SILICONES-SELLADORES-ADITIVOS</t>
        </is>
      </c>
    </row>
    <row r="1594">
      <c r="B1594" s="158" t="inlineStr">
        <is>
          <t>MAT21-0039</t>
        </is>
      </c>
      <c r="C1594" s="558" t="inlineStr">
        <is>
          <t>0121-0024</t>
        </is>
      </c>
      <c r="D1594" s="158" t="inlineStr">
        <is>
          <t>SELLADOR UNIVERSAL BLANCO EN GALON</t>
        </is>
      </c>
      <c r="E1594" s="158" t="inlineStr">
        <is>
          <t>GAL</t>
        </is>
      </c>
      <c r="F1594" s="158" t="inlineStr">
        <is>
          <t>MATERIALES</t>
        </is>
      </c>
      <c r="G1594" s="158" t="inlineStr">
        <is>
          <t>SILICONES-SELLADORES-ADITIVOS</t>
        </is>
      </c>
    </row>
    <row r="1595">
      <c r="B1595" s="557" t="inlineStr">
        <is>
          <t>(ID) Insumo</t>
        </is>
      </c>
      <c r="C1595" s="558" t="inlineStr">
        <is>
          <t>01) Insumo</t>
        </is>
      </c>
      <c r="D1595" s="557" t="inlineStr">
        <is>
          <t>Descripción</t>
        </is>
      </c>
      <c r="E1595" s="557" t="inlineStr">
        <is>
          <t>Unidad</t>
        </is>
      </c>
      <c r="F1595" s="557" t="inlineStr">
        <is>
          <t>Grupo de Insumo</t>
        </is>
      </c>
      <c r="G1595" s="557" t="inlineStr">
        <is>
          <t>Familia de Insumos</t>
        </is>
      </c>
      <c r="H1595" s="560" t="n"/>
    </row>
    <row r="1596">
      <c r="B1596" s="158" t="inlineStr">
        <is>
          <t>MAT22-0001</t>
        </is>
      </c>
      <c r="C1596" s="558" t="inlineStr">
        <is>
          <t>0122-0001</t>
        </is>
      </c>
      <c r="D1596" s="158" t="inlineStr">
        <is>
          <t>ZACATE SAN AGUSTIN</t>
        </is>
      </c>
      <c r="E1596" s="158" t="inlineStr">
        <is>
          <t>M2</t>
        </is>
      </c>
      <c r="F1596" s="158" t="inlineStr">
        <is>
          <t>MATERIALES</t>
        </is>
      </c>
      <c r="G1596" s="158" t="inlineStr">
        <is>
          <t>VEGETACION Y AMENIDADES</t>
        </is>
      </c>
    </row>
    <row r="1597">
      <c r="B1597" s="158" t="inlineStr">
        <is>
          <t>MAT22-0002</t>
        </is>
      </c>
      <c r="C1597" s="558" t="inlineStr">
        <is>
          <t>0122-0002</t>
        </is>
      </c>
      <c r="D1597" s="158" t="inlineStr">
        <is>
          <t>GEOCELDAS P/ZACATE 56X56</t>
        </is>
      </c>
      <c r="E1597" s="158" t="inlineStr">
        <is>
          <t>UND</t>
        </is>
      </c>
      <c r="F1597" s="158" t="inlineStr">
        <is>
          <t>MATERIALES</t>
        </is>
      </c>
      <c r="G1597" s="158" t="inlineStr">
        <is>
          <t>VEGETACION Y AMENIDADES</t>
        </is>
      </c>
    </row>
    <row r="1598">
      <c r="B1598" s="158" t="inlineStr">
        <is>
          <t>MAT22-0005</t>
        </is>
      </c>
      <c r="C1598" s="558" t="inlineStr">
        <is>
          <t>0122-0003</t>
        </is>
      </c>
      <c r="D1598" s="158" t="inlineStr">
        <is>
          <t>GEOTEXTIL</t>
        </is>
      </c>
      <c r="E1598" s="158" t="inlineStr">
        <is>
          <t>M</t>
        </is>
      </c>
      <c r="F1598" s="158" t="inlineStr">
        <is>
          <t>MATERIALES</t>
        </is>
      </c>
      <c r="G1598" s="158" t="inlineStr">
        <is>
          <t>VEGETACION Y AMENIDADES</t>
        </is>
      </c>
    </row>
    <row r="1599">
      <c r="B1599" s="158" t="inlineStr">
        <is>
          <t>MAT22-0006</t>
        </is>
      </c>
      <c r="C1599" s="558" t="inlineStr">
        <is>
          <t>0122-0004</t>
        </is>
      </c>
      <c r="D1599" s="158" t="inlineStr">
        <is>
          <t>ROCIADOR P/JARDINES</t>
        </is>
      </c>
      <c r="E1599" s="158" t="inlineStr">
        <is>
          <t>UND</t>
        </is>
      </c>
      <c r="F1599" s="158" t="inlineStr">
        <is>
          <t>MATERIALES</t>
        </is>
      </c>
      <c r="G1599" s="158" t="inlineStr">
        <is>
          <t>VEGETACION Y AMENIDADES</t>
        </is>
      </c>
    </row>
    <row r="1600">
      <c r="B1600" s="158" t="inlineStr">
        <is>
          <t>MAT22-0007</t>
        </is>
      </c>
      <c r="C1600" s="558" t="inlineStr">
        <is>
          <t>0122-0005</t>
        </is>
      </c>
      <c r="D1600" s="158" t="inlineStr">
        <is>
          <t>FOLLAJE SINTETICO</t>
        </is>
      </c>
      <c r="E1600" s="158" t="inlineStr">
        <is>
          <t>UND</t>
        </is>
      </c>
      <c r="F1600" s="158" t="inlineStr">
        <is>
          <t>MATERIALES</t>
        </is>
      </c>
      <c r="G1600" s="158" t="inlineStr">
        <is>
          <t>VEGETACION Y AMENIDADES</t>
        </is>
      </c>
    </row>
    <row r="1601">
      <c r="B1601" s="158" t="inlineStr">
        <is>
          <t>MAT22-0008</t>
        </is>
      </c>
      <c r="C1601" s="558" t="inlineStr">
        <is>
          <t>0122-0006</t>
        </is>
      </c>
      <c r="D1601" s="158" t="inlineStr">
        <is>
          <t>ZACATE DULCE</t>
        </is>
      </c>
      <c r="E1601" s="158" t="inlineStr">
        <is>
          <t>M2</t>
        </is>
      </c>
      <c r="F1601" s="158" t="inlineStr">
        <is>
          <t>MATERIALES</t>
        </is>
      </c>
      <c r="G1601" s="158" t="inlineStr">
        <is>
          <t>VEGETACION Y AMENIDADES</t>
        </is>
      </c>
    </row>
    <row r="1602">
      <c r="B1602" s="560" t="inlineStr">
        <is>
          <t>(ID) Insumo</t>
        </is>
      </c>
      <c r="C1602" s="558" t="inlineStr">
        <is>
          <t>01) Insumo</t>
        </is>
      </c>
      <c r="D1602" s="560" t="inlineStr">
        <is>
          <t>Descripción</t>
        </is>
      </c>
      <c r="E1602" s="560" t="inlineStr">
        <is>
          <t>Unidad</t>
        </is>
      </c>
      <c r="F1602" s="560" t="inlineStr">
        <is>
          <t>Grupo de Insumo</t>
        </is>
      </c>
      <c r="G1602" s="560" t="inlineStr">
        <is>
          <t>Familia de Insumos</t>
        </is>
      </c>
      <c r="H1602" s="560" t="n"/>
    </row>
    <row r="1603">
      <c r="B1603" s="158" t="inlineStr">
        <is>
          <t>MAT230003</t>
        </is>
      </c>
      <c r="C1603" s="558" t="n">
        <v>1230003</v>
      </c>
      <c r="D1603" s="158" t="inlineStr">
        <is>
          <t>PRENSA CABLE P/TUBO 1.1/2 P/DOS CABLES ID-2</t>
        </is>
      </c>
      <c r="E1603" s="158" t="inlineStr">
        <is>
          <t>UND</t>
        </is>
      </c>
      <c r="F1603" s="158" t="inlineStr">
        <is>
          <t>MATERIALES</t>
        </is>
      </c>
      <c r="G1603" s="158" t="n"/>
    </row>
    <row r="1610">
      <c r="G1610" s="158" t="n"/>
    </row>
    <row r="1611">
      <c r="G1611" s="158" t="n"/>
    </row>
    <row r="1612">
      <c r="G1612" s="158" t="n"/>
    </row>
    <row r="1613">
      <c r="G1613" s="158" t="n"/>
    </row>
    <row r="1614">
      <c r="G1614" s="158" t="n"/>
    </row>
    <row r="1615">
      <c r="G1615" s="158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B3:Q1032"/>
  <sheetViews>
    <sheetView tabSelected="1" topLeftCell="A325" workbookViewId="0">
      <selection activeCell="D992" sqref="D992"/>
    </sheetView>
  </sheetViews>
  <sheetFormatPr baseColWidth="8" defaultColWidth="11.43359375" defaultRowHeight="15"/>
  <cols>
    <col width="3.49609375" bestFit="1" customWidth="1" min="2" max="2"/>
    <col width="36.453125" customWidth="1" min="3" max="3"/>
    <col width="42.77734375" bestFit="1" customWidth="1" min="4" max="4"/>
    <col width="13.44921875" customWidth="1" min="5" max="5"/>
    <col width="20.84765625" bestFit="1" customWidth="1" min="6" max="6"/>
    <col width="32.015625" bestFit="1" customWidth="1" min="7" max="7"/>
    <col width="13.1796875" bestFit="1" customWidth="1" min="8" max="8"/>
    <col width="16.94921875" bestFit="1" customWidth="1" min="10" max="10"/>
    <col width="14.66015625" customWidth="1" min="14" max="14"/>
  </cols>
  <sheetData>
    <row r="3" ht="33" customHeight="1">
      <c r="C3" s="211" t="inlineStr">
        <is>
          <t xml:space="preserve">   </t>
        </is>
      </c>
      <c r="D3" s="211" t="inlineStr">
        <is>
          <t xml:space="preserve">IKARIA TECHO </t>
        </is>
      </c>
      <c r="E3" s="211" t="n"/>
    </row>
    <row r="7" ht="21" customHeight="1">
      <c r="C7" s="351" t="n">
        <v>1</v>
      </c>
      <c r="D7" s="351" t="inlineStr">
        <is>
          <t xml:space="preserve">RELLENOS </t>
        </is>
      </c>
    </row>
    <row r="9">
      <c r="C9" s="131" t="inlineStr">
        <is>
          <t xml:space="preserve">Lastre </t>
        </is>
      </c>
    </row>
    <row r="10">
      <c r="C10" s="132" t="inlineStr">
        <is>
          <t xml:space="preserve">Espesor: </t>
        </is>
      </c>
      <c r="D10" s="133" t="n">
        <v>0.15</v>
      </c>
      <c r="E10" s="133" t="inlineStr">
        <is>
          <t xml:space="preserve">m </t>
        </is>
      </c>
    </row>
    <row r="11">
      <c r="C11" s="136" t="inlineStr">
        <is>
          <t xml:space="preserve">Área casa (incluye área de pilas) </t>
        </is>
      </c>
      <c r="D11" s="137" t="n">
        <v>394.99</v>
      </c>
      <c r="E11" s="137" t="inlineStr">
        <is>
          <t xml:space="preserve">m2 </t>
        </is>
      </c>
    </row>
    <row r="13">
      <c r="C13" s="134" t="inlineStr">
        <is>
          <t xml:space="preserve">m3 totales </t>
        </is>
      </c>
      <c r="D13" s="138" t="n">
        <v>59.2485</v>
      </c>
      <c r="E13" s="135" t="inlineStr">
        <is>
          <t>m3</t>
        </is>
      </c>
      <c r="J13" t="inlineStr">
        <is>
          <t>Diferencia</t>
        </is>
      </c>
    </row>
    <row r="14">
      <c r="G14" s="742" t="inlineStr">
        <is>
          <t xml:space="preserve">COMPARACION SISTEMA </t>
        </is>
      </c>
      <c r="H14" s="462" t="n"/>
      <c r="I14" s="461" t="n"/>
    </row>
    <row r="15">
      <c r="C15" s="218" t="n"/>
      <c r="D15" s="219" t="inlineStr">
        <is>
          <t>Costo</t>
        </is>
      </c>
      <c r="E15" s="218" t="inlineStr">
        <is>
          <t xml:space="preserve">Costo Total </t>
        </is>
      </c>
      <c r="G15" s="199" t="inlineStr">
        <is>
          <t xml:space="preserve">Horas </t>
        </is>
      </c>
      <c r="H15" s="129" t="inlineStr">
        <is>
          <t xml:space="preserve">Costo/hora </t>
        </is>
      </c>
      <c r="I15" s="129" t="inlineStr">
        <is>
          <t>Costo Total</t>
        </is>
      </c>
    </row>
    <row r="16">
      <c r="C16" s="218" t="inlineStr">
        <is>
          <t>Mano de obra (trazado) (m2)</t>
        </is>
      </c>
      <c r="D16" s="743" t="n">
        <v>1273.55</v>
      </c>
      <c r="E16" s="744">
        <f>D16*D11</f>
        <v/>
      </c>
      <c r="F16" s="245" t="inlineStr">
        <is>
          <t xml:space="preserve">Trazo </t>
        </is>
      </c>
      <c r="G16" s="199" t="n">
        <v>30</v>
      </c>
      <c r="H16" s="687" t="n">
        <v>1700</v>
      </c>
      <c r="I16" s="745">
        <f>G16*H16</f>
        <v/>
      </c>
    </row>
    <row r="17">
      <c r="C17" s="218" t="inlineStr">
        <is>
          <t>Mano de obra (excavación) (m3)</t>
        </is>
      </c>
      <c r="D17" s="743" t="n">
        <v>18148.02</v>
      </c>
      <c r="E17" s="744" t="n"/>
      <c r="F17" s="245" t="inlineStr">
        <is>
          <t xml:space="preserve">Zanjeo </t>
        </is>
      </c>
      <c r="G17" s="199" t="n">
        <v>39</v>
      </c>
      <c r="H17" s="687" t="n">
        <v>1700</v>
      </c>
      <c r="I17" s="687">
        <f>G17*H17</f>
        <v/>
      </c>
    </row>
    <row r="18">
      <c r="C18" s="218" t="inlineStr">
        <is>
          <t>Mano de obra (relleno ) (m3)</t>
        </is>
      </c>
      <c r="D18" s="743" t="n">
        <v>28973.15</v>
      </c>
      <c r="E18" s="744">
        <f>D18*D13</f>
        <v/>
      </c>
      <c r="F18" s="71" t="n"/>
      <c r="G18" s="129" t="n"/>
      <c r="H18" s="129" t="n"/>
      <c r="I18" s="746">
        <f>SUM(I16:I17)</f>
        <v/>
      </c>
      <c r="J18" s="685">
        <f>E19-I18</f>
        <v/>
      </c>
    </row>
    <row r="19">
      <c r="C19" s="218" t="n"/>
      <c r="D19" s="747" t="inlineStr">
        <is>
          <t xml:space="preserve">Total </t>
        </is>
      </c>
      <c r="E19" s="745">
        <f>SUM(E16:E18)</f>
        <v/>
      </c>
    </row>
    <row r="23" ht="21" customHeight="1">
      <c r="C23" s="351" t="n">
        <v>2</v>
      </c>
      <c r="D23" s="351" t="inlineStr">
        <is>
          <t xml:space="preserve">SELLO DE CONCRETO </t>
        </is>
      </c>
    </row>
    <row r="25">
      <c r="C25" s="131" t="inlineStr">
        <is>
          <t xml:space="preserve">Sello concreto </t>
        </is>
      </c>
    </row>
    <row r="26">
      <c r="C26" s="132" t="inlineStr">
        <is>
          <t xml:space="preserve">Espesor: </t>
        </is>
      </c>
      <c r="D26" s="133" t="n">
        <v>0.06</v>
      </c>
      <c r="E26" s="133" t="inlineStr">
        <is>
          <t xml:space="preserve">m </t>
        </is>
      </c>
    </row>
    <row r="27">
      <c r="C27" s="136" t="inlineStr">
        <is>
          <t xml:space="preserve">Área casa (NO incluye área de pilas) </t>
        </is>
      </c>
      <c r="D27" s="137" t="n">
        <v>343.6413</v>
      </c>
      <c r="E27" s="137" t="inlineStr">
        <is>
          <t xml:space="preserve">m2 </t>
        </is>
      </c>
    </row>
    <row r="29">
      <c r="C29" s="134" t="inlineStr">
        <is>
          <t xml:space="preserve">m3 totales </t>
        </is>
      </c>
      <c r="D29" s="138" t="n">
        <v>23.6994</v>
      </c>
      <c r="E29" s="135" t="inlineStr">
        <is>
          <t>m3</t>
        </is>
      </c>
    </row>
    <row r="31">
      <c r="C31" s="139" t="inlineStr">
        <is>
          <t xml:space="preserve">Cemento </t>
        </is>
      </c>
      <c r="D31" s="140" t="n">
        <v>142.2</v>
      </c>
      <c r="E31" s="139" t="inlineStr">
        <is>
          <t xml:space="preserve">sacos </t>
        </is>
      </c>
    </row>
    <row r="32">
      <c r="C32" s="139" t="inlineStr">
        <is>
          <t xml:space="preserve">Arena </t>
        </is>
      </c>
      <c r="D32" s="140" t="n">
        <v>17.7746</v>
      </c>
      <c r="E32" s="139" t="inlineStr">
        <is>
          <t>m3</t>
        </is>
      </c>
    </row>
    <row r="33">
      <c r="C33" s="139" t="inlineStr">
        <is>
          <t xml:space="preserve">Piedra </t>
        </is>
      </c>
      <c r="D33" s="140" t="n">
        <v>18.9595</v>
      </c>
      <c r="E33" s="139" t="inlineStr">
        <is>
          <t>m3</t>
        </is>
      </c>
    </row>
    <row r="35">
      <c r="C35" s="247" t="inlineStr">
        <is>
          <t>CANTIDADES DOSIFICACION ADELANTE (DIEGO - JARDEL)</t>
        </is>
      </c>
      <c r="D35" s="247" t="n"/>
      <c r="E35" s="247" t="n"/>
    </row>
    <row r="36">
      <c r="C36" s="139" t="inlineStr">
        <is>
          <t xml:space="preserve">Cemento </t>
        </is>
      </c>
      <c r="D36" s="140">
        <f>D29*180</f>
        <v/>
      </c>
      <c r="E36" s="139" t="inlineStr">
        <is>
          <t xml:space="preserve">kilos </t>
        </is>
      </c>
    </row>
    <row r="37">
      <c r="C37" s="139" t="inlineStr">
        <is>
          <t xml:space="preserve">Arena </t>
        </is>
      </c>
      <c r="D37" s="140">
        <f>D29*0.73</f>
        <v/>
      </c>
      <c r="E37" s="139" t="inlineStr">
        <is>
          <t>m3</t>
        </is>
      </c>
    </row>
    <row r="38">
      <c r="C38" s="139" t="inlineStr">
        <is>
          <t xml:space="preserve">Piedra </t>
        </is>
      </c>
      <c r="D38" s="140">
        <f>D29*0.6</f>
        <v/>
      </c>
      <c r="E38" s="139" t="inlineStr">
        <is>
          <t>m3</t>
        </is>
      </c>
    </row>
    <row r="41">
      <c r="J41" t="inlineStr">
        <is>
          <t>Diferencia</t>
        </is>
      </c>
    </row>
    <row r="42">
      <c r="G42" s="742" t="inlineStr">
        <is>
          <t xml:space="preserve">COMPARACION SISTEMA </t>
        </is>
      </c>
      <c r="H42" s="462" t="n"/>
      <c r="I42" s="461" t="n"/>
    </row>
    <row r="43">
      <c r="C43" s="218" t="n"/>
      <c r="D43" s="219" t="inlineStr">
        <is>
          <t>Costo</t>
        </is>
      </c>
      <c r="E43" s="218" t="inlineStr">
        <is>
          <t xml:space="preserve">Costo Total </t>
        </is>
      </c>
      <c r="G43" s="199" t="inlineStr">
        <is>
          <t xml:space="preserve">Horas </t>
        </is>
      </c>
      <c r="H43" s="129" t="inlineStr">
        <is>
          <t xml:space="preserve">Costo/hora </t>
        </is>
      </c>
      <c r="I43" s="129" t="inlineStr">
        <is>
          <t>Costo Total</t>
        </is>
      </c>
      <c r="J43" s="685" t="n"/>
    </row>
    <row r="44">
      <c r="C44" s="218" t="inlineStr">
        <is>
          <t>Mano de obra (concreto) (m3)</t>
        </is>
      </c>
      <c r="D44" s="743" t="n">
        <v>41390.21</v>
      </c>
      <c r="E44" s="744">
        <f>D44*D29</f>
        <v/>
      </c>
      <c r="F44" s="246" t="inlineStr">
        <is>
          <t xml:space="preserve"> Sello </t>
        </is>
      </c>
      <c r="G44" s="199" t="n">
        <v>27</v>
      </c>
      <c r="H44" s="687" t="n">
        <v>1700</v>
      </c>
      <c r="I44" s="746">
        <f>G44*H44</f>
        <v/>
      </c>
      <c r="J44" s="685">
        <f>E44-I44</f>
        <v/>
      </c>
    </row>
    <row r="46">
      <c r="I46" s="685" t="n"/>
    </row>
    <row r="48" ht="21" customHeight="1">
      <c r="C48" s="351" t="n">
        <v>3</v>
      </c>
      <c r="D48" s="351" t="inlineStr">
        <is>
          <t xml:space="preserve">LOSA FLOTANTE </t>
        </is>
      </c>
    </row>
    <row r="50">
      <c r="C50" s="208" t="inlineStr">
        <is>
          <t xml:space="preserve">CONCRETO </t>
        </is>
      </c>
    </row>
    <row r="52">
      <c r="C52" s="132" t="inlineStr">
        <is>
          <t xml:space="preserve">Espesor: </t>
        </is>
      </c>
      <c r="D52" s="133" t="n">
        <v>0.2</v>
      </c>
      <c r="E52" s="133" t="inlineStr">
        <is>
          <t xml:space="preserve">m </t>
        </is>
      </c>
    </row>
    <row r="53">
      <c r="C53" s="136" t="inlineStr">
        <is>
          <t xml:space="preserve">Área casa (NO incluye área de pilas) </t>
        </is>
      </c>
      <c r="D53" s="137" t="n">
        <v>343.6413</v>
      </c>
      <c r="E53" s="137" t="inlineStr">
        <is>
          <t xml:space="preserve">m2 </t>
        </is>
      </c>
    </row>
    <row r="55">
      <c r="C55" s="134" t="inlineStr">
        <is>
          <t xml:space="preserve">m3 totales </t>
        </is>
      </c>
      <c r="D55" s="138" t="n">
        <v>68.7283</v>
      </c>
      <c r="E55" s="135" t="inlineStr">
        <is>
          <t>m3</t>
        </is>
      </c>
    </row>
    <row r="57">
      <c r="C57" s="139" t="inlineStr">
        <is>
          <t xml:space="preserve">Cemento </t>
        </is>
      </c>
      <c r="D57" s="140" t="n">
        <v>549.83</v>
      </c>
      <c r="E57" s="139" t="inlineStr">
        <is>
          <t xml:space="preserve">sacos </t>
        </is>
      </c>
    </row>
    <row r="58">
      <c r="C58" s="139" t="inlineStr">
        <is>
          <t xml:space="preserve">Arena </t>
        </is>
      </c>
      <c r="D58" s="140" t="n">
        <v>51.5462</v>
      </c>
      <c r="E58" s="139" t="inlineStr">
        <is>
          <t>m3</t>
        </is>
      </c>
    </row>
    <row r="59">
      <c r="C59" s="139" t="inlineStr">
        <is>
          <t xml:space="preserve">Piedra </t>
        </is>
      </c>
      <c r="D59" s="140" t="n">
        <v>54.9826</v>
      </c>
      <c r="E59" s="139" t="inlineStr">
        <is>
          <t>m3</t>
        </is>
      </c>
    </row>
    <row r="62">
      <c r="C62" s="247" t="inlineStr">
        <is>
          <t>CANTIDADES DOSIFICACION ADELANTE (DIEGO - JARDEL)</t>
        </is>
      </c>
      <c r="D62" s="247" t="n"/>
      <c r="E62" s="247" t="n"/>
    </row>
    <row r="63">
      <c r="C63" s="139" t="inlineStr">
        <is>
          <t xml:space="preserve">Cemento </t>
        </is>
      </c>
      <c r="D63" s="140">
        <f>D55*333</f>
        <v/>
      </c>
      <c r="E63" s="139" t="inlineStr">
        <is>
          <t xml:space="preserve">kilos </t>
        </is>
      </c>
    </row>
    <row r="64">
      <c r="C64" s="139" t="inlineStr">
        <is>
          <t xml:space="preserve">Arena </t>
        </is>
      </c>
      <c r="D64" s="140">
        <f>D55*0.59</f>
        <v/>
      </c>
      <c r="E64" s="139" t="inlineStr">
        <is>
          <t>m3</t>
        </is>
      </c>
    </row>
    <row r="65">
      <c r="C65" s="139" t="inlineStr">
        <is>
          <t xml:space="preserve">Piedra </t>
        </is>
      </c>
      <c r="D65" s="140">
        <f>D55*0.67</f>
        <v/>
      </c>
      <c r="E65" s="139" t="inlineStr">
        <is>
          <t>m3</t>
        </is>
      </c>
    </row>
    <row r="66">
      <c r="C66" s="139" t="inlineStr">
        <is>
          <t>ADITIVO 2 (litros) (EUDO 100 C )</t>
        </is>
      </c>
      <c r="D66" s="140" t="n">
        <v>137.4565</v>
      </c>
      <c r="E66" s="139" t="inlineStr">
        <is>
          <t>litro</t>
        </is>
      </c>
    </row>
    <row r="72">
      <c r="C72" s="208" t="inlineStr">
        <is>
          <t xml:space="preserve">PREVISTA TUBERIA ELECTRICA </t>
        </is>
      </c>
      <c r="D72" s="208" t="n"/>
    </row>
    <row r="74">
      <c r="G74" t="inlineStr">
        <is>
          <t xml:space="preserve">CANTIDAD </t>
        </is>
      </c>
    </row>
    <row r="75" ht="22.5" customHeight="1">
      <c r="C75" s="143" t="inlineStr">
        <is>
          <t xml:space="preserve">Tomas 30 cm altura </t>
        </is>
      </c>
      <c r="D75" s="129" t="n"/>
      <c r="E75" s="129" t="n"/>
      <c r="F75" s="129" t="n"/>
      <c r="G75" s="201" t="n">
        <v>17</v>
      </c>
    </row>
    <row r="76" ht="24" customHeight="1">
      <c r="C76" s="143" t="inlineStr">
        <is>
          <t xml:space="preserve">Tomas 1.1 m altura </t>
        </is>
      </c>
      <c r="D76" s="129" t="n"/>
      <c r="E76" s="129" t="n"/>
      <c r="F76" s="129" t="n"/>
      <c r="G76" s="203" t="n">
        <v>6</v>
      </c>
    </row>
    <row r="77">
      <c r="C77" s="129" t="inlineStr">
        <is>
          <t xml:space="preserve">Tomas de 1,50 m altura </t>
        </is>
      </c>
      <c r="D77" s="129" t="n"/>
      <c r="E77" s="129" t="n"/>
      <c r="F77" s="129" t="n"/>
      <c r="G77" s="202" t="n">
        <v>4</v>
      </c>
    </row>
    <row r="78">
      <c r="C78" s="129" t="inlineStr">
        <is>
          <t xml:space="preserve">Salida voz 1,5 </t>
        </is>
      </c>
      <c r="D78" s="129" t="n"/>
      <c r="E78" s="129" t="n"/>
      <c r="F78" s="129" t="n"/>
      <c r="G78" s="419" t="n">
        <v>4</v>
      </c>
    </row>
    <row r="79">
      <c r="G79" s="199">
        <f>SUM(G75:G78)</f>
        <v/>
      </c>
      <c r="H79" s="199" t="inlineStr">
        <is>
          <t xml:space="preserve">un </t>
        </is>
      </c>
    </row>
    <row r="80">
      <c r="C80" s="129" t="n"/>
      <c r="D80" s="199" t="inlineStr">
        <is>
          <t xml:space="preserve">m </t>
        </is>
      </c>
      <c r="E80" s="129" t="inlineStr">
        <is>
          <t>tubos (un)</t>
        </is>
      </c>
    </row>
    <row r="81">
      <c r="C81" s="129" t="inlineStr">
        <is>
          <t>Tubo 1/2"</t>
        </is>
      </c>
      <c r="D81" s="199">
        <f>G75*0.3</f>
        <v/>
      </c>
      <c r="E81" s="200">
        <f>D81/6</f>
        <v/>
      </c>
    </row>
    <row r="82">
      <c r="C82" s="129" t="inlineStr">
        <is>
          <t>Tubo 1/2"</t>
        </is>
      </c>
      <c r="D82" s="199">
        <f>G76*1.1</f>
        <v/>
      </c>
      <c r="E82" s="206">
        <f>D82/6</f>
        <v/>
      </c>
      <c r="F82" s="199">
        <f>E81+E82+E83</f>
        <v/>
      </c>
      <c r="G82" s="129" t="inlineStr">
        <is>
          <t xml:space="preserve">un </t>
        </is>
      </c>
    </row>
    <row r="83">
      <c r="C83" s="129" t="inlineStr">
        <is>
          <t>Tubo 1/2"</t>
        </is>
      </c>
      <c r="D83" s="199">
        <f>G77*1.5</f>
        <v/>
      </c>
      <c r="E83" s="198">
        <f>D83/6</f>
        <v/>
      </c>
    </row>
    <row r="84">
      <c r="C84" s="129" t="inlineStr">
        <is>
          <t>Tubo 1"</t>
        </is>
      </c>
      <c r="D84" s="199">
        <f>G78*1.5</f>
        <v/>
      </c>
      <c r="E84" s="748">
        <f>D84/6</f>
        <v/>
      </c>
    </row>
    <row r="85">
      <c r="C85" s="129" t="inlineStr">
        <is>
          <t>Tubo 3/4"</t>
        </is>
      </c>
      <c r="D85" s="199">
        <f>G78*1.5</f>
        <v/>
      </c>
      <c r="E85" s="748">
        <f>D85/6</f>
        <v/>
      </c>
    </row>
    <row r="87">
      <c r="F87" s="598" t="inlineStr">
        <is>
          <t xml:space="preserve">CANTIDADES ADICIONALES </t>
        </is>
      </c>
      <c r="G87" s="461" t="n"/>
    </row>
    <row r="88">
      <c r="E88" s="199" t="n"/>
      <c r="F88" s="598" t="inlineStr">
        <is>
          <t>CANTIDAD</t>
        </is>
      </c>
      <c r="G88" s="598" t="inlineStr">
        <is>
          <t xml:space="preserve">TIPO TUBO </t>
        </is>
      </c>
    </row>
    <row r="89">
      <c r="C89" s="199" t="n">
        <v>8</v>
      </c>
      <c r="D89" s="70" t="inlineStr">
        <is>
          <t xml:space="preserve">1/2" </t>
        </is>
      </c>
      <c r="E89" s="199">
        <f>(C89*1.8)/6</f>
        <v/>
      </c>
      <c r="F89" s="598">
        <f>F82+E89</f>
        <v/>
      </c>
      <c r="G89" s="598" t="inlineStr">
        <is>
          <t>1/2"</t>
        </is>
      </c>
    </row>
    <row r="90">
      <c r="C90" s="199" t="n">
        <v>1</v>
      </c>
      <c r="D90" s="70" t="inlineStr">
        <is>
          <t>1"</t>
        </is>
      </c>
      <c r="E90" s="199">
        <f>(C90*1.8)/6</f>
        <v/>
      </c>
      <c r="F90" s="749">
        <f>E84+E90</f>
        <v/>
      </c>
      <c r="G90" s="598" t="inlineStr">
        <is>
          <t>1"</t>
        </is>
      </c>
    </row>
    <row r="91">
      <c r="C91" s="199" t="n">
        <v>2</v>
      </c>
      <c r="D91" s="70" t="inlineStr">
        <is>
          <t>3/4"</t>
        </is>
      </c>
      <c r="E91" s="199">
        <f>(C91*1.8)/6</f>
        <v/>
      </c>
      <c r="F91" s="749">
        <f>E85+E91</f>
        <v/>
      </c>
      <c r="G91" s="598" t="inlineStr">
        <is>
          <t>3/4"</t>
        </is>
      </c>
    </row>
    <row r="92">
      <c r="C92" s="199" t="n">
        <v>1</v>
      </c>
      <c r="D92" s="70" t="inlineStr">
        <is>
          <t>1 1/2"</t>
        </is>
      </c>
      <c r="E92" s="199">
        <f>(C92*1.8)/6</f>
        <v/>
      </c>
    </row>
    <row r="93">
      <c r="C93" s="205">
        <f>SUM(C89:C92)</f>
        <v/>
      </c>
    </row>
    <row r="95">
      <c r="C95" s="208" t="inlineStr">
        <is>
          <t xml:space="preserve">VIGAS PERIMETRALES </t>
        </is>
      </c>
    </row>
    <row r="97">
      <c r="C97" s="209" t="inlineStr">
        <is>
          <t xml:space="preserve">LARGO </t>
        </is>
      </c>
      <c r="D97" s="71" t="n">
        <v>7.82</v>
      </c>
    </row>
    <row r="98">
      <c r="D98" s="71" t="n">
        <v>30.21</v>
      </c>
    </row>
    <row r="99">
      <c r="D99" s="71" t="n">
        <v>5.92</v>
      </c>
      <c r="I99" t="n">
        <v>0.05</v>
      </c>
    </row>
    <row r="100">
      <c r="D100" s="71" t="n">
        <v>4.41</v>
      </c>
      <c r="I100" t="n">
        <v>0.06</v>
      </c>
    </row>
    <row r="101">
      <c r="D101" s="71" t="n">
        <v>1.56</v>
      </c>
      <c r="I101" t="n">
        <v>0.06</v>
      </c>
    </row>
    <row r="102">
      <c r="D102" s="71" t="n">
        <v>2.7</v>
      </c>
      <c r="I102" t="n">
        <v>0.09</v>
      </c>
    </row>
    <row r="103">
      <c r="D103" s="213">
        <f>SUM(D97:D102)</f>
        <v/>
      </c>
      <c r="E103" s="214" t="inlineStr">
        <is>
          <t xml:space="preserve">m </t>
        </is>
      </c>
      <c r="I103" t="n">
        <v>0.05</v>
      </c>
    </row>
    <row r="104">
      <c r="I104" t="n">
        <v>0.11</v>
      </c>
    </row>
    <row r="105">
      <c r="I105" t="n">
        <v>0.19</v>
      </c>
    </row>
    <row r="106">
      <c r="C106" s="132" t="inlineStr">
        <is>
          <t xml:space="preserve">ANCHO </t>
        </is>
      </c>
      <c r="D106" s="133" t="n">
        <v>0.2</v>
      </c>
      <c r="E106" s="133" t="inlineStr">
        <is>
          <t xml:space="preserve">m </t>
        </is>
      </c>
      <c r="I106" t="n">
        <v>0.44</v>
      </c>
    </row>
    <row r="107">
      <c r="C107" s="136" t="inlineStr">
        <is>
          <t xml:space="preserve">ESPESOR </t>
        </is>
      </c>
      <c r="D107" s="137" t="n">
        <v>0.2</v>
      </c>
      <c r="E107" s="137" t="inlineStr">
        <is>
          <t xml:space="preserve">m </t>
        </is>
      </c>
      <c r="I107" t="n">
        <v>0.17</v>
      </c>
    </row>
    <row r="108">
      <c r="C108" s="136" t="inlineStr">
        <is>
          <t xml:space="preserve">LARGO </t>
        </is>
      </c>
      <c r="D108" s="137">
        <f>D103</f>
        <v/>
      </c>
      <c r="E108" s="137" t="inlineStr">
        <is>
          <t xml:space="preserve">m </t>
        </is>
      </c>
      <c r="I108" t="n">
        <v>0.01</v>
      </c>
    </row>
    <row r="109">
      <c r="I109" t="n">
        <v>0.01</v>
      </c>
    </row>
    <row r="110">
      <c r="F110" t="inlineStr">
        <is>
          <t>verificacion planos</t>
        </is>
      </c>
      <c r="I110" t="n">
        <v>0.11</v>
      </c>
    </row>
    <row r="111">
      <c r="C111" s="134" t="inlineStr">
        <is>
          <t xml:space="preserve">CONCRETO </t>
        </is>
      </c>
      <c r="D111" s="138">
        <f>(D106*D107*D108)*1.05</f>
        <v/>
      </c>
      <c r="E111" s="135" t="inlineStr">
        <is>
          <t xml:space="preserve">m3 </t>
        </is>
      </c>
      <c r="I111" t="n">
        <v>0.1</v>
      </c>
    </row>
    <row r="112">
      <c r="I112" t="n">
        <v>0.11</v>
      </c>
    </row>
    <row r="113">
      <c r="C113" s="139" t="inlineStr">
        <is>
          <t xml:space="preserve">Cemento </t>
        </is>
      </c>
      <c r="D113" s="140">
        <f>D111*8</f>
        <v/>
      </c>
      <c r="E113" s="139" t="inlineStr">
        <is>
          <t xml:space="preserve">sacos </t>
        </is>
      </c>
      <c r="I113" t="n">
        <v>0.44</v>
      </c>
    </row>
    <row r="114">
      <c r="C114" s="139" t="inlineStr">
        <is>
          <t xml:space="preserve">Arena </t>
        </is>
      </c>
      <c r="D114" s="140">
        <f>D111*0.75</f>
        <v/>
      </c>
      <c r="E114" s="139" t="inlineStr">
        <is>
          <t>m3</t>
        </is>
      </c>
      <c r="I114" s="210">
        <f>SUM(I99:I113)</f>
        <v/>
      </c>
      <c r="J114" t="inlineStr">
        <is>
          <t xml:space="preserve">m3 </t>
        </is>
      </c>
    </row>
    <row r="115">
      <c r="C115" s="139" t="inlineStr">
        <is>
          <t xml:space="preserve">Piedra </t>
        </is>
      </c>
      <c r="D115" s="140">
        <f>D111*0.8</f>
        <v/>
      </c>
      <c r="E115" s="139" t="inlineStr">
        <is>
          <t>m3</t>
        </is>
      </c>
    </row>
    <row r="119">
      <c r="C119" s="134" t="inlineStr">
        <is>
          <t xml:space="preserve">MALLA ELECTROSOLDADA #2 </t>
        </is>
      </c>
      <c r="D119" s="134" t="n"/>
      <c r="E119" s="212" t="inlineStr">
        <is>
          <t>(2,2 X 6 M)</t>
        </is>
      </c>
    </row>
    <row r="121">
      <c r="C121" s="136" t="inlineStr">
        <is>
          <t xml:space="preserve">Área casa (incluye área de pilas) </t>
        </is>
      </c>
      <c r="D121" s="137">
        <f>54.44+7.59</f>
        <v/>
      </c>
      <c r="E121" s="137" t="inlineStr">
        <is>
          <t xml:space="preserve">m2 </t>
        </is>
      </c>
    </row>
    <row r="122">
      <c r="F122" s="71" t="inlineStr">
        <is>
          <t xml:space="preserve">Peso </t>
        </is>
      </c>
      <c r="G122" s="71" t="inlineStr">
        <is>
          <t xml:space="preserve">kg </t>
        </is>
      </c>
    </row>
    <row r="123">
      <c r="C123" s="139" t="inlineStr">
        <is>
          <t xml:space="preserve"># Malla electrosoldada </t>
        </is>
      </c>
      <c r="D123" s="140">
        <f>D121/(1.9*5.7)</f>
        <v/>
      </c>
      <c r="E123" s="139" t="inlineStr">
        <is>
          <t xml:space="preserve">un </t>
        </is>
      </c>
      <c r="F123" s="71" t="n">
        <v>30.87</v>
      </c>
      <c r="G123" s="123">
        <f>D123*F123</f>
        <v/>
      </c>
    </row>
    <row r="126">
      <c r="C126" s="134" t="inlineStr">
        <is>
          <t xml:space="preserve">ARMADURA </t>
        </is>
      </c>
      <c r="D126" s="216" t="inlineStr">
        <is>
          <t xml:space="preserve"> 4 # 3 AROS # 3 @ 20 cm </t>
        </is>
      </c>
    </row>
    <row r="128">
      <c r="C128" s="217" t="inlineStr">
        <is>
          <t xml:space="preserve">Varilla longituginal </t>
        </is>
      </c>
      <c r="D128" s="217" t="inlineStr">
        <is>
          <t xml:space="preserve">4#3 </t>
        </is>
      </c>
    </row>
    <row r="130">
      <c r="C130" s="132" t="inlineStr">
        <is>
          <t xml:space="preserve">Cantidad </t>
        </is>
      </c>
      <c r="D130" s="133" t="n">
        <v>4</v>
      </c>
      <c r="E130" s="133" t="inlineStr">
        <is>
          <t xml:space="preserve">un </t>
        </is>
      </c>
    </row>
    <row r="131">
      <c r="C131" s="136" t="inlineStr">
        <is>
          <t xml:space="preserve">Largo </t>
        </is>
      </c>
      <c r="D131" s="137">
        <f>D103</f>
        <v/>
      </c>
      <c r="E131" s="137" t="inlineStr">
        <is>
          <t xml:space="preserve">m </t>
        </is>
      </c>
    </row>
    <row r="132">
      <c r="F132" s="71" t="inlineStr">
        <is>
          <t xml:space="preserve">Peso </t>
        </is>
      </c>
      <c r="G132" s="71" t="inlineStr">
        <is>
          <t xml:space="preserve">kg </t>
        </is>
      </c>
    </row>
    <row r="133">
      <c r="C133" s="598" t="inlineStr">
        <is>
          <t xml:space="preserve">Varilla # 3 Longitudinal </t>
        </is>
      </c>
      <c r="D133" s="140">
        <f>(D130*D131)/5.7</f>
        <v/>
      </c>
      <c r="E133" s="598" t="inlineStr">
        <is>
          <t xml:space="preserve">un </t>
        </is>
      </c>
      <c r="F133" s="71" t="n">
        <v>3.36</v>
      </c>
      <c r="G133" s="123">
        <f>D133*F133</f>
        <v/>
      </c>
    </row>
    <row r="134">
      <c r="F134" s="71" t="n"/>
      <c r="G134" s="71" t="n"/>
    </row>
    <row r="135">
      <c r="F135" s="71" t="n"/>
      <c r="G135" s="71" t="n"/>
    </row>
    <row r="136">
      <c r="C136" s="217" t="inlineStr">
        <is>
          <t>Aros</t>
        </is>
      </c>
      <c r="D136" s="217" t="inlineStr">
        <is>
          <t xml:space="preserve"># 3 @ 20 cm </t>
        </is>
      </c>
      <c r="F136" s="71" t="n"/>
      <c r="G136" s="71" t="n"/>
    </row>
    <row r="137">
      <c r="F137" s="71" t="n"/>
      <c r="G137" s="71" t="n"/>
    </row>
    <row r="138">
      <c r="C138" s="136" t="inlineStr">
        <is>
          <t xml:space="preserve">Largo </t>
        </is>
      </c>
      <c r="D138" s="137">
        <f>D103</f>
        <v/>
      </c>
      <c r="E138" s="137" t="inlineStr">
        <is>
          <t xml:space="preserve">m </t>
        </is>
      </c>
      <c r="F138" s="71" t="n"/>
      <c r="G138" s="71" t="n"/>
    </row>
    <row r="139">
      <c r="C139" s="136" t="inlineStr">
        <is>
          <t xml:space="preserve">Longitud de aro </t>
        </is>
      </c>
      <c r="D139" s="137">
        <f>(4*0.2)+0.2</f>
        <v/>
      </c>
      <c r="E139" s="137" t="inlineStr">
        <is>
          <t xml:space="preserve">m </t>
        </is>
      </c>
      <c r="F139" s="71" t="n"/>
      <c r="G139" s="71" t="n"/>
    </row>
    <row r="140">
      <c r="C140" s="136" t="inlineStr">
        <is>
          <t xml:space="preserve">#Aros </t>
        </is>
      </c>
      <c r="D140" s="137">
        <f>D138/0.2</f>
        <v/>
      </c>
      <c r="E140" s="137" t="inlineStr">
        <is>
          <t xml:space="preserve">un </t>
        </is>
      </c>
      <c r="F140" s="71" t="n"/>
      <c r="G140" s="71" t="n"/>
    </row>
    <row r="141">
      <c r="F141" s="71" t="inlineStr">
        <is>
          <t xml:space="preserve">Peso </t>
        </is>
      </c>
      <c r="G141" s="71" t="inlineStr">
        <is>
          <t xml:space="preserve">kg </t>
        </is>
      </c>
    </row>
    <row r="142">
      <c r="C142" s="598" t="inlineStr">
        <is>
          <t xml:space="preserve">#Varilla #3 Aros </t>
        </is>
      </c>
      <c r="D142" s="140">
        <f>(D139*D140)/5.7</f>
        <v/>
      </c>
      <c r="E142" s="598" t="inlineStr">
        <is>
          <t xml:space="preserve">un </t>
        </is>
      </c>
      <c r="F142" s="71" t="n">
        <v>3.36</v>
      </c>
      <c r="G142" s="123">
        <f>D142*F142</f>
        <v/>
      </c>
    </row>
    <row r="143">
      <c r="F143" s="71" t="n"/>
      <c r="G143" s="123">
        <f>SUM(G133:G142)</f>
        <v/>
      </c>
    </row>
    <row r="144">
      <c r="C144" s="598" t="inlineStr">
        <is>
          <t xml:space="preserve">Alambre negro </t>
        </is>
      </c>
      <c r="D144" s="140">
        <f>+(G143)*4.5%</f>
        <v/>
      </c>
      <c r="E144" s="598" t="inlineStr">
        <is>
          <t xml:space="preserve">kg </t>
        </is>
      </c>
    </row>
    <row r="146">
      <c r="C146" s="208" t="inlineStr">
        <is>
          <t xml:space="preserve">FORMALETA </t>
        </is>
      </c>
    </row>
    <row r="148">
      <c r="C148" s="136" t="inlineStr">
        <is>
          <t xml:space="preserve">Largo </t>
        </is>
      </c>
      <c r="D148" s="137" t="n">
        <v>35.21</v>
      </c>
      <c r="E148" s="137" t="inlineStr">
        <is>
          <t xml:space="preserve">m </t>
        </is>
      </c>
    </row>
    <row r="149">
      <c r="C149" s="136" t="inlineStr">
        <is>
          <t xml:space="preserve">Ancho </t>
        </is>
      </c>
      <c r="D149" s="137" t="n">
        <v>0.2</v>
      </c>
      <c r="E149" s="137" t="inlineStr">
        <is>
          <t xml:space="preserve">m </t>
        </is>
      </c>
    </row>
    <row r="151">
      <c r="C151" s="598" t="inlineStr">
        <is>
          <t xml:space="preserve">Area formaleta </t>
        </is>
      </c>
      <c r="D151" s="140">
        <f>(D148*D149)</f>
        <v/>
      </c>
      <c r="E151" s="598" t="inlineStr">
        <is>
          <t>m2</t>
        </is>
      </c>
    </row>
    <row r="153">
      <c r="J153" t="inlineStr">
        <is>
          <t>Diferencia</t>
        </is>
      </c>
    </row>
    <row r="154">
      <c r="C154" s="218" t="n"/>
      <c r="D154" s="219" t="inlineStr">
        <is>
          <t>Costo</t>
        </is>
      </c>
      <c r="E154" s="218" t="inlineStr">
        <is>
          <t xml:space="preserve">Costo Total </t>
        </is>
      </c>
      <c r="G154" s="742" t="inlineStr">
        <is>
          <t xml:space="preserve">COMPARACION SISTEMA </t>
        </is>
      </c>
      <c r="H154" s="462" t="n"/>
      <c r="I154" s="461" t="n"/>
    </row>
    <row r="155">
      <c r="C155" s="218" t="inlineStr">
        <is>
          <t>Mano de obra (concreto) (m3)</t>
        </is>
      </c>
      <c r="D155" s="743" t="n">
        <v>7500</v>
      </c>
      <c r="E155" s="744">
        <f>D155*D55</f>
        <v/>
      </c>
      <c r="G155" s="199" t="inlineStr">
        <is>
          <t xml:space="preserve">Horas </t>
        </is>
      </c>
      <c r="H155" s="129" t="inlineStr">
        <is>
          <t xml:space="preserve">Costo/hora </t>
        </is>
      </c>
      <c r="I155" s="129" t="inlineStr">
        <is>
          <t>Costo Total</t>
        </is>
      </c>
    </row>
    <row r="156">
      <c r="C156" s="218" t="inlineStr">
        <is>
          <t>Mano de obra (acero) (kilo)</t>
        </is>
      </c>
      <c r="D156" s="743" t="n">
        <v>450</v>
      </c>
      <c r="E156" s="744">
        <f>D156*(G143+G123)</f>
        <v/>
      </c>
      <c r="F156" s="246" t="inlineStr">
        <is>
          <t xml:space="preserve">Acero losa </t>
        </is>
      </c>
      <c r="G156" s="199" t="n">
        <v>106</v>
      </c>
      <c r="H156" s="687" t="n">
        <v>1700</v>
      </c>
      <c r="I156" s="687">
        <f>G156*H156</f>
        <v/>
      </c>
    </row>
    <row r="157">
      <c r="C157" s="218" t="inlineStr">
        <is>
          <t>Mano de obra (formaleta ) (m2)</t>
        </is>
      </c>
      <c r="D157" s="743" t="n">
        <v>4000</v>
      </c>
      <c r="E157" s="744">
        <f>D157*D151</f>
        <v/>
      </c>
      <c r="F157" s="246" t="inlineStr">
        <is>
          <t xml:space="preserve">Formaleta </t>
        </is>
      </c>
      <c r="G157" s="199" t="n">
        <v>26</v>
      </c>
      <c r="H157" s="687" t="n">
        <v>1700</v>
      </c>
      <c r="I157" s="687">
        <f>G157*H157</f>
        <v/>
      </c>
    </row>
    <row r="158">
      <c r="C158" s="218" t="inlineStr">
        <is>
          <t xml:space="preserve">Mano de obra tuberia mecanica </t>
        </is>
      </c>
      <c r="D158" s="743" t="n"/>
      <c r="E158" s="744" t="n"/>
      <c r="F158" s="246" t="inlineStr">
        <is>
          <t xml:space="preserve">Colado losa </t>
        </is>
      </c>
      <c r="G158" s="199" t="n">
        <v>20</v>
      </c>
      <c r="H158" s="687" t="n">
        <v>1700</v>
      </c>
      <c r="I158" s="687">
        <f>G158*H158</f>
        <v/>
      </c>
    </row>
    <row r="159">
      <c r="C159" s="218" t="n"/>
      <c r="D159" s="747" t="inlineStr">
        <is>
          <t xml:space="preserve">Total </t>
        </is>
      </c>
      <c r="E159" s="745">
        <f>SUM(E155:E158)</f>
        <v/>
      </c>
      <c r="F159" s="246" t="inlineStr">
        <is>
          <t xml:space="preserve">Tuberia mecanica </t>
        </is>
      </c>
      <c r="G159" s="199" t="n">
        <v>30</v>
      </c>
      <c r="H159" s="687" t="n">
        <v>1700</v>
      </c>
      <c r="I159" s="687">
        <f>G159*H159</f>
        <v/>
      </c>
    </row>
    <row r="160">
      <c r="G160" s="199" t="n"/>
      <c r="H160" s="129" t="n"/>
      <c r="I160" s="746">
        <f>SUM(I156:I159)</f>
        <v/>
      </c>
      <c r="J160" s="685">
        <f>E159-I160</f>
        <v/>
      </c>
    </row>
    <row r="162">
      <c r="I162" s="685">
        <f>I159+I17</f>
        <v/>
      </c>
    </row>
    <row r="164" ht="21" customHeight="1">
      <c r="C164" s="351" t="n">
        <v>4</v>
      </c>
      <c r="D164" s="351" t="inlineStr">
        <is>
          <t xml:space="preserve">MUROS </t>
        </is>
      </c>
    </row>
    <row r="166">
      <c r="C166" s="208" t="inlineStr">
        <is>
          <t xml:space="preserve">MALLA MUROS </t>
        </is>
      </c>
    </row>
    <row r="168">
      <c r="C168" s="134" t="inlineStr">
        <is>
          <t xml:space="preserve">MALLA </t>
        </is>
      </c>
      <c r="D168" s="216" t="inlineStr">
        <is>
          <t xml:space="preserve">Varilla # 3 @ 30 cm </t>
        </is>
      </c>
    </row>
    <row r="172">
      <c r="C172" s="209" t="inlineStr">
        <is>
          <t xml:space="preserve">LARGO </t>
        </is>
      </c>
      <c r="D172" s="71" t="n">
        <v>13.25</v>
      </c>
    </row>
    <row r="173">
      <c r="D173" s="71" t="n">
        <v>2.01</v>
      </c>
    </row>
    <row r="174">
      <c r="D174" s="71" t="n">
        <v>4.99</v>
      </c>
    </row>
    <row r="175">
      <c r="D175" s="71" t="n">
        <v>3.89</v>
      </c>
    </row>
    <row r="176">
      <c r="D176" s="71" t="n">
        <v>8.050000000000001</v>
      </c>
    </row>
    <row r="177">
      <c r="D177" s="71" t="n">
        <v>0.45</v>
      </c>
    </row>
    <row r="178">
      <c r="D178" s="71" t="n">
        <v>1.7</v>
      </c>
    </row>
    <row r="179">
      <c r="D179" s="71" t="n">
        <v>1.75</v>
      </c>
    </row>
    <row r="180">
      <c r="D180" s="71" t="n">
        <v>0.55</v>
      </c>
    </row>
    <row r="181">
      <c r="D181" s="71" t="n">
        <v>1.65</v>
      </c>
    </row>
    <row r="182">
      <c r="D182" s="71" t="n">
        <v>0.6</v>
      </c>
    </row>
    <row r="183">
      <c r="D183" s="71" t="n">
        <v>0.6</v>
      </c>
      <c r="E183" s="71" t="n"/>
    </row>
    <row r="184">
      <c r="D184" s="71" t="n"/>
    </row>
    <row r="185">
      <c r="D185" s="213">
        <f>SUM(D172:D184)</f>
        <v/>
      </c>
      <c r="E185" s="214" t="inlineStr">
        <is>
          <t xml:space="preserve">m </t>
        </is>
      </c>
    </row>
    <row r="188">
      <c r="C188" s="136" t="inlineStr">
        <is>
          <t xml:space="preserve">Largo </t>
        </is>
      </c>
      <c r="D188" s="137">
        <f>D185</f>
        <v/>
      </c>
      <c r="E188" s="137" t="inlineStr">
        <is>
          <t xml:space="preserve">m </t>
        </is>
      </c>
    </row>
    <row r="189">
      <c r="C189" s="136" t="inlineStr">
        <is>
          <t xml:space="preserve">#Varillas verticales </t>
        </is>
      </c>
      <c r="D189" s="226">
        <f>(D188/0.3)</f>
        <v/>
      </c>
      <c r="E189" s="137" t="inlineStr">
        <is>
          <t xml:space="preserve">un </t>
        </is>
      </c>
    </row>
    <row r="190">
      <c r="C190" s="136" t="inlineStr">
        <is>
          <t xml:space="preserve">Alto de varilla </t>
        </is>
      </c>
      <c r="D190" s="228" t="n">
        <v>2.8</v>
      </c>
      <c r="E190" s="137" t="inlineStr">
        <is>
          <t xml:space="preserve">m </t>
        </is>
      </c>
      <c r="F190" s="127" t="inlineStr">
        <is>
          <t xml:space="preserve">REVISAR ALTURA </t>
        </is>
      </c>
    </row>
    <row r="191">
      <c r="C191" s="136" t="inlineStr">
        <is>
          <t xml:space="preserve"># varillas horizontales </t>
        </is>
      </c>
      <c r="D191" s="750">
        <f>D190/0.3</f>
        <v/>
      </c>
      <c r="E191" s="137" t="inlineStr">
        <is>
          <t xml:space="preserve">un </t>
        </is>
      </c>
    </row>
    <row r="192">
      <c r="F192" s="71" t="inlineStr">
        <is>
          <t xml:space="preserve">Peso </t>
        </is>
      </c>
      <c r="G192" s="71" t="inlineStr">
        <is>
          <t xml:space="preserve">kg </t>
        </is>
      </c>
    </row>
    <row r="193">
      <c r="C193" s="598" t="inlineStr">
        <is>
          <t>#Varilla #3 verticales</t>
        </is>
      </c>
      <c r="D193" s="140">
        <f>(D189*D190)/5.7</f>
        <v/>
      </c>
      <c r="E193" s="598" t="inlineStr">
        <is>
          <t xml:space="preserve">un </t>
        </is>
      </c>
      <c r="F193" s="71" t="n">
        <v>3.36</v>
      </c>
      <c r="G193" s="123">
        <f>D193*F193</f>
        <v/>
      </c>
    </row>
    <row r="194">
      <c r="C194" s="598" t="inlineStr">
        <is>
          <t xml:space="preserve">#Varilla #3 horizontales </t>
        </is>
      </c>
      <c r="D194" s="140">
        <f>(D188*D191)/5.7</f>
        <v/>
      </c>
      <c r="E194" s="598" t="inlineStr">
        <is>
          <t xml:space="preserve">un </t>
        </is>
      </c>
      <c r="F194" s="71" t="n">
        <v>3.36</v>
      </c>
      <c r="G194" s="123">
        <f>D194*F194</f>
        <v/>
      </c>
    </row>
    <row r="195">
      <c r="C195" s="598" t="inlineStr">
        <is>
          <t xml:space="preserve">Alambre negro </t>
        </is>
      </c>
      <c r="D195" s="140">
        <f>+(G196)*4.5%</f>
        <v/>
      </c>
      <c r="E195" s="598" t="inlineStr">
        <is>
          <t xml:space="preserve">kg </t>
        </is>
      </c>
      <c r="F195" s="71" t="n"/>
      <c r="G195" s="123" t="n"/>
    </row>
    <row r="196">
      <c r="F196" s="71" t="inlineStr">
        <is>
          <t xml:space="preserve">Total </t>
        </is>
      </c>
      <c r="G196" s="123">
        <f>SUM(G193:G194)</f>
        <v/>
      </c>
    </row>
    <row r="199">
      <c r="C199" s="208" t="inlineStr">
        <is>
          <t xml:space="preserve">CONCRETO MUROS </t>
        </is>
      </c>
    </row>
    <row r="201">
      <c r="C201" s="136" t="inlineStr">
        <is>
          <t xml:space="preserve">LARGO </t>
        </is>
      </c>
      <c r="D201" s="137">
        <f>D185</f>
        <v/>
      </c>
      <c r="E201" s="137" t="inlineStr">
        <is>
          <t xml:space="preserve">m </t>
        </is>
      </c>
    </row>
    <row r="202">
      <c r="C202" s="132" t="inlineStr">
        <is>
          <t xml:space="preserve">ALTO </t>
        </is>
      </c>
      <c r="D202" s="133" t="n">
        <v>2.4</v>
      </c>
      <c r="E202" s="133" t="inlineStr">
        <is>
          <t xml:space="preserve">m </t>
        </is>
      </c>
    </row>
    <row r="203">
      <c r="C203" s="136" t="inlineStr">
        <is>
          <t xml:space="preserve">ESPESOR </t>
        </is>
      </c>
      <c r="D203" s="137" t="n">
        <v>0.1</v>
      </c>
      <c r="E203" s="137" t="inlineStr">
        <is>
          <t xml:space="preserve">m </t>
        </is>
      </c>
    </row>
    <row r="205">
      <c r="C205" s="134" t="inlineStr">
        <is>
          <t xml:space="preserve">CONCRETO MUROS </t>
        </is>
      </c>
      <c r="D205" s="138">
        <f>(D201*D202*D203)*1.05</f>
        <v/>
      </c>
      <c r="E205" s="135" t="inlineStr">
        <is>
          <t xml:space="preserve">m3 </t>
        </is>
      </c>
    </row>
    <row r="207">
      <c r="C207" s="136" t="inlineStr">
        <is>
          <t xml:space="preserve">AREA  LOSA CENITAL </t>
        </is>
      </c>
      <c r="D207" s="137">
        <f>0.8*2.3</f>
        <v/>
      </c>
      <c r="E207" s="137" t="inlineStr">
        <is>
          <t xml:space="preserve">m2 </t>
        </is>
      </c>
    </row>
    <row r="208">
      <c r="C208" s="136" t="inlineStr">
        <is>
          <t xml:space="preserve">ANCHO </t>
        </is>
      </c>
      <c r="D208" s="137" t="n">
        <v>0.1</v>
      </c>
      <c r="E208" s="137" t="inlineStr">
        <is>
          <t xml:space="preserve">m </t>
        </is>
      </c>
    </row>
    <row r="210">
      <c r="C210" s="134" t="inlineStr">
        <is>
          <t xml:space="preserve">CONCRETO LOSA CENITAL </t>
        </is>
      </c>
      <c r="D210" s="138">
        <f>(D207*D208)*1.05</f>
        <v/>
      </c>
      <c r="E210" s="135" t="inlineStr">
        <is>
          <t xml:space="preserve">m3 </t>
        </is>
      </c>
    </row>
    <row r="214">
      <c r="C214" s="139" t="inlineStr">
        <is>
          <t xml:space="preserve">Cemento </t>
        </is>
      </c>
      <c r="D214" s="140">
        <f>D205*8</f>
        <v/>
      </c>
      <c r="E214" s="139" t="inlineStr">
        <is>
          <t xml:space="preserve">sacos </t>
        </is>
      </c>
    </row>
    <row r="215">
      <c r="C215" s="139" t="inlineStr">
        <is>
          <t xml:space="preserve">Arena </t>
        </is>
      </c>
      <c r="D215" s="140">
        <f>D205*0.75</f>
        <v/>
      </c>
      <c r="E215" s="139" t="inlineStr">
        <is>
          <t>m3</t>
        </is>
      </c>
    </row>
    <row r="216">
      <c r="C216" s="139" t="inlineStr">
        <is>
          <t xml:space="preserve">Piedra </t>
        </is>
      </c>
      <c r="D216" s="140">
        <f>D205*0.8</f>
        <v/>
      </c>
      <c r="E216" s="139" t="inlineStr">
        <is>
          <t>m3</t>
        </is>
      </c>
    </row>
    <row r="219">
      <c r="C219" s="208" t="inlineStr">
        <is>
          <t>FORMALETA MUROS</t>
        </is>
      </c>
    </row>
    <row r="221">
      <c r="C221" s="132" t="inlineStr">
        <is>
          <t>ALTO</t>
        </is>
      </c>
      <c r="D221" s="133" t="n">
        <v>2.4</v>
      </c>
      <c r="E221" s="133" t="inlineStr">
        <is>
          <t xml:space="preserve">m </t>
        </is>
      </c>
    </row>
    <row r="222">
      <c r="C222" s="136" t="inlineStr">
        <is>
          <t xml:space="preserve">LARGO </t>
        </is>
      </c>
      <c r="D222" s="137">
        <f>D201</f>
        <v/>
      </c>
      <c r="E222" s="137" t="inlineStr">
        <is>
          <t xml:space="preserve">m </t>
        </is>
      </c>
    </row>
    <row r="224">
      <c r="C224" s="134" t="inlineStr">
        <is>
          <t xml:space="preserve">FORMALETA </t>
        </is>
      </c>
      <c r="D224" s="138">
        <f>(D221*D222)*2</f>
        <v/>
      </c>
      <c r="E224" s="135" t="inlineStr">
        <is>
          <t xml:space="preserve">m2 </t>
        </is>
      </c>
    </row>
    <row r="228">
      <c r="C228" s="208" t="inlineStr">
        <is>
          <t xml:space="preserve">VIGA CORONA </t>
        </is>
      </c>
    </row>
    <row r="230">
      <c r="C230" s="209" t="inlineStr">
        <is>
          <t xml:space="preserve">LARGO </t>
        </is>
      </c>
      <c r="D230" s="71" t="n"/>
    </row>
    <row r="231">
      <c r="D231" s="71" t="n">
        <v>34.68</v>
      </c>
    </row>
    <row r="232">
      <c r="D232" s="71" t="n">
        <v>7.47</v>
      </c>
    </row>
    <row r="233">
      <c r="D233" s="71" t="n">
        <v>2.88</v>
      </c>
    </row>
    <row r="234">
      <c r="D234" s="71" t="n">
        <v>1.7</v>
      </c>
    </row>
    <row r="235">
      <c r="D235" s="71" t="n">
        <v>2.64</v>
      </c>
    </row>
    <row r="236">
      <c r="D236" s="71" t="n">
        <v>2.67</v>
      </c>
    </row>
    <row r="237">
      <c r="D237" s="71" t="n"/>
    </row>
    <row r="238">
      <c r="D238" s="213">
        <f>SUM(D230:D237)</f>
        <v/>
      </c>
      <c r="E238" s="214" t="inlineStr">
        <is>
          <t xml:space="preserve">m </t>
        </is>
      </c>
    </row>
    <row r="241">
      <c r="C241" s="252" t="inlineStr">
        <is>
          <t xml:space="preserve">Largo </t>
        </is>
      </c>
      <c r="D241" s="233">
        <f>D238+D259</f>
        <v/>
      </c>
      <c r="E241" s="232" t="inlineStr">
        <is>
          <t xml:space="preserve">m </t>
        </is>
      </c>
      <c r="F241" s="229" t="n"/>
      <c r="G241" s="229" t="n"/>
    </row>
    <row r="242">
      <c r="C242" s="252" t="inlineStr">
        <is>
          <t xml:space="preserve"># ganchos#3 verticales @ 12,5 cm </t>
        </is>
      </c>
      <c r="D242" s="232">
        <f>D241/0.125</f>
        <v/>
      </c>
      <c r="E242" s="232" t="inlineStr">
        <is>
          <t xml:space="preserve">un </t>
        </is>
      </c>
      <c r="F242" s="248" t="n"/>
      <c r="G242" s="250" t="n"/>
    </row>
    <row r="243">
      <c r="C243" s="252" t="inlineStr">
        <is>
          <t xml:space="preserve">Longitud gancho </t>
        </is>
      </c>
      <c r="D243" s="232">
        <f>0.4+0.2</f>
        <v/>
      </c>
      <c r="E243" s="232" t="inlineStr">
        <is>
          <t xml:space="preserve">m </t>
        </is>
      </c>
      <c r="F243" s="253" t="inlineStr">
        <is>
          <t xml:space="preserve">Peso </t>
        </is>
      </c>
      <c r="G243" s="253" t="inlineStr">
        <is>
          <t xml:space="preserve">kg </t>
        </is>
      </c>
    </row>
    <row r="244">
      <c r="C244" s="234" t="inlineStr">
        <is>
          <t xml:space="preserve">#Varilla #3 ganchos </t>
        </is>
      </c>
      <c r="D244" s="251">
        <f>(D242*D243)/5.7</f>
        <v/>
      </c>
      <c r="E244" s="234" t="inlineStr">
        <is>
          <t xml:space="preserve">un </t>
        </is>
      </c>
      <c r="F244" s="253" t="n">
        <v>3.36</v>
      </c>
      <c r="G244" s="254">
        <f>D244*F244</f>
        <v/>
      </c>
    </row>
    <row r="245">
      <c r="C245" s="234" t="inlineStr">
        <is>
          <t xml:space="preserve">Alambre negro </t>
        </is>
      </c>
      <c r="D245" s="251">
        <f>+(G246)*4.5%</f>
        <v/>
      </c>
      <c r="E245" s="234" t="inlineStr">
        <is>
          <t xml:space="preserve">kg </t>
        </is>
      </c>
      <c r="F245" s="253" t="n"/>
      <c r="G245" s="254" t="n"/>
    </row>
    <row r="246">
      <c r="C246" s="229" t="n"/>
      <c r="D246" s="229" t="n"/>
      <c r="E246" s="229" t="n"/>
      <c r="F246" s="255" t="inlineStr">
        <is>
          <t xml:space="preserve">Total </t>
        </is>
      </c>
      <c r="G246" s="256">
        <f>SUM(G244)</f>
        <v/>
      </c>
    </row>
    <row r="247">
      <c r="C247" s="229" t="n"/>
      <c r="D247" s="229" t="n"/>
      <c r="E247" s="229" t="n"/>
      <c r="F247" s="229" t="n"/>
      <c r="G247" s="229" t="n"/>
    </row>
    <row r="251">
      <c r="C251" s="231" t="inlineStr">
        <is>
          <t xml:space="preserve">Largo </t>
        </is>
      </c>
      <c r="D251" s="232" t="n">
        <v>0.8</v>
      </c>
      <c r="E251" s="232" t="inlineStr">
        <is>
          <t xml:space="preserve">m </t>
        </is>
      </c>
      <c r="F251" s="229" t="n"/>
      <c r="G251" s="229" t="n"/>
    </row>
    <row r="252">
      <c r="C252" s="231" t="inlineStr">
        <is>
          <t xml:space="preserve">#Buque puerta </t>
        </is>
      </c>
      <c r="D252" s="233" t="n">
        <v>8</v>
      </c>
      <c r="E252" s="232" t="inlineStr">
        <is>
          <t xml:space="preserve">un </t>
        </is>
      </c>
      <c r="F252" s="229" t="n"/>
      <c r="G252" s="229" t="n"/>
    </row>
    <row r="253">
      <c r="C253" s="231" t="inlineStr">
        <is>
          <t xml:space="preserve"># Buque ventana </t>
        </is>
      </c>
      <c r="D253" s="233" t="n">
        <v>4</v>
      </c>
      <c r="E253" s="232" t="inlineStr">
        <is>
          <t xml:space="preserve">un </t>
        </is>
      </c>
      <c r="F253" s="229" t="n"/>
      <c r="G253" s="229" t="n"/>
    </row>
    <row r="254">
      <c r="C254" s="231" t="inlineStr">
        <is>
          <t xml:space="preserve">#  piezas Total </t>
        </is>
      </c>
      <c r="D254" s="232">
        <f>(D252*4)+(4*D253)</f>
        <v/>
      </c>
      <c r="E254" s="232" t="inlineStr">
        <is>
          <t xml:space="preserve">un </t>
        </is>
      </c>
      <c r="F254" s="229" t="n"/>
      <c r="G254" s="229" t="n"/>
    </row>
    <row r="255">
      <c r="C255" s="229" t="n"/>
      <c r="D255" s="229" t="n"/>
      <c r="E255" s="229" t="n"/>
      <c r="F255" s="253" t="inlineStr">
        <is>
          <t xml:space="preserve">Peso </t>
        </is>
      </c>
      <c r="G255" s="253" t="inlineStr">
        <is>
          <t xml:space="preserve">kg </t>
        </is>
      </c>
    </row>
    <row r="256">
      <c r="C256" s="234" t="inlineStr">
        <is>
          <t xml:space="preserve">#Varilla #4 (buque ventana y puerta) </t>
        </is>
      </c>
      <c r="D256" s="251">
        <f>(D251*D254)/5.6</f>
        <v/>
      </c>
      <c r="E256" s="234" t="inlineStr">
        <is>
          <t xml:space="preserve">un </t>
        </is>
      </c>
      <c r="F256" s="253" t="n">
        <v>5.96</v>
      </c>
      <c r="G256" s="254">
        <f>D256*F256</f>
        <v/>
      </c>
    </row>
    <row r="257">
      <c r="C257" s="231" t="inlineStr">
        <is>
          <t xml:space="preserve">Varilla # 4 longitudinal  viga corona </t>
        </is>
      </c>
      <c r="D257" s="233" t="n">
        <v>3</v>
      </c>
      <c r="E257" s="232" t="inlineStr">
        <is>
          <t xml:space="preserve">un </t>
        </is>
      </c>
      <c r="F257" s="253" t="n"/>
      <c r="G257" s="254" t="n"/>
    </row>
    <row r="258">
      <c r="C258" s="234" t="inlineStr">
        <is>
          <t xml:space="preserve">#Varilla #4 (viga corona) </t>
        </is>
      </c>
      <c r="D258" s="251">
        <f>(D257*D238)/5.6</f>
        <v/>
      </c>
      <c r="E258" s="234" t="inlineStr">
        <is>
          <t xml:space="preserve">un </t>
        </is>
      </c>
      <c r="F258" s="253" t="n">
        <v>5.96</v>
      </c>
      <c r="G258" s="254">
        <f>D258*F258</f>
        <v/>
      </c>
    </row>
    <row r="259">
      <c r="C259" s="231" t="inlineStr">
        <is>
          <t xml:space="preserve">Longitud banquina ventana </t>
        </is>
      </c>
      <c r="D259" s="233">
        <f>0.65+0.7+1+1.4</f>
        <v/>
      </c>
      <c r="E259" s="232" t="inlineStr">
        <is>
          <t xml:space="preserve">m </t>
        </is>
      </c>
      <c r="F259" s="253" t="n"/>
      <c r="G259" s="254" t="n"/>
    </row>
    <row r="260">
      <c r="C260" s="234" t="inlineStr">
        <is>
          <t xml:space="preserve">#Varilla #4 (banquina ventana) </t>
        </is>
      </c>
      <c r="D260" s="251">
        <f>(2*D259)/5.6</f>
        <v/>
      </c>
      <c r="E260" s="234" t="inlineStr">
        <is>
          <t xml:space="preserve">un </t>
        </is>
      </c>
      <c r="F260" s="253" t="n">
        <v>5.96</v>
      </c>
      <c r="G260" s="254">
        <f>D260*F260</f>
        <v/>
      </c>
    </row>
    <row r="261">
      <c r="C261" s="249" t="n"/>
      <c r="D261" s="230" t="n"/>
      <c r="E261" s="249" t="n"/>
      <c r="F261" s="253" t="n"/>
      <c r="G261" s="254" t="n"/>
    </row>
    <row r="262">
      <c r="C262" s="234" t="inlineStr">
        <is>
          <t xml:space="preserve">Alambre negro </t>
        </is>
      </c>
      <c r="D262" s="251">
        <f>+(G263)*4.5%</f>
        <v/>
      </c>
      <c r="E262" s="234" t="inlineStr">
        <is>
          <t xml:space="preserve">kg </t>
        </is>
      </c>
      <c r="F262" s="253" t="n"/>
      <c r="G262" s="254" t="n"/>
    </row>
    <row r="263">
      <c r="C263" s="229" t="n"/>
      <c r="D263" s="229" t="n"/>
      <c r="E263" s="229" t="n"/>
      <c r="F263" s="255" t="inlineStr">
        <is>
          <t xml:space="preserve">Total </t>
        </is>
      </c>
      <c r="G263" s="256">
        <f>SUM(G256:G262)</f>
        <v/>
      </c>
    </row>
    <row r="268">
      <c r="C268" s="208" t="inlineStr">
        <is>
          <t xml:space="preserve">CONCRETO VIGA CARGADOR </t>
        </is>
      </c>
    </row>
    <row r="270">
      <c r="C270" s="136" t="inlineStr">
        <is>
          <t xml:space="preserve">LARGO </t>
        </is>
      </c>
      <c r="D270" s="137">
        <f>D238</f>
        <v/>
      </c>
      <c r="E270" s="137" t="inlineStr">
        <is>
          <t xml:space="preserve">m </t>
        </is>
      </c>
    </row>
    <row r="271">
      <c r="C271" s="132" t="inlineStr">
        <is>
          <t xml:space="preserve">ALTO </t>
        </is>
      </c>
      <c r="D271" s="133" t="n">
        <v>0.4</v>
      </c>
      <c r="E271" s="133" t="inlineStr">
        <is>
          <t xml:space="preserve">m </t>
        </is>
      </c>
    </row>
    <row r="272">
      <c r="C272" s="136" t="inlineStr">
        <is>
          <t xml:space="preserve">ESPESOR </t>
        </is>
      </c>
      <c r="D272" s="137" t="n">
        <v>0.1</v>
      </c>
      <c r="E272" s="137" t="inlineStr">
        <is>
          <t xml:space="preserve">m </t>
        </is>
      </c>
    </row>
    <row r="275">
      <c r="C275" s="134" t="inlineStr">
        <is>
          <t xml:space="preserve">CONCRETO </t>
        </is>
      </c>
      <c r="D275" s="138">
        <f>(D270*D271*D272)*1.05</f>
        <v/>
      </c>
      <c r="E275" s="135" t="inlineStr">
        <is>
          <t xml:space="preserve">m3 </t>
        </is>
      </c>
    </row>
    <row r="277">
      <c r="C277" s="139" t="inlineStr">
        <is>
          <t xml:space="preserve">Cemento </t>
        </is>
      </c>
      <c r="D277" s="140">
        <f>D275*8</f>
        <v/>
      </c>
      <c r="E277" s="139" t="inlineStr">
        <is>
          <t xml:space="preserve">sacos </t>
        </is>
      </c>
    </row>
    <row r="278">
      <c r="C278" s="139" t="inlineStr">
        <is>
          <t xml:space="preserve">Arena </t>
        </is>
      </c>
      <c r="D278" s="140">
        <f>D275*0.75</f>
        <v/>
      </c>
      <c r="E278" s="139" t="inlineStr">
        <is>
          <t>m3</t>
        </is>
      </c>
    </row>
    <row r="279">
      <c r="C279" s="139" t="inlineStr">
        <is>
          <t xml:space="preserve">Piedra </t>
        </is>
      </c>
      <c r="D279" s="140">
        <f>D275*0.8</f>
        <v/>
      </c>
      <c r="E279" s="139" t="inlineStr">
        <is>
          <t>m3</t>
        </is>
      </c>
    </row>
    <row r="281">
      <c r="F281" t="inlineStr">
        <is>
          <t xml:space="preserve">Total concreto muro y viga corona </t>
        </is>
      </c>
    </row>
    <row r="282">
      <c r="C282" s="247" t="inlineStr">
        <is>
          <t xml:space="preserve">CANTIDADES DOSIFICACION ADELANTE (DIEGO - JARDEL) MURO Y VIGA CORONA </t>
        </is>
      </c>
      <c r="D282" s="247" t="n"/>
      <c r="E282" s="247" t="n"/>
      <c r="F282" s="257">
        <f>D275+D205+D210</f>
        <v/>
      </c>
      <c r="G282" s="127" t="inlineStr">
        <is>
          <t>m3</t>
        </is>
      </c>
    </row>
    <row r="283">
      <c r="C283" s="139" t="inlineStr">
        <is>
          <t xml:space="preserve">Cemento </t>
        </is>
      </c>
      <c r="D283" s="140">
        <f>F282*340</f>
        <v/>
      </c>
      <c r="E283" s="139" t="inlineStr">
        <is>
          <t xml:space="preserve">kilos </t>
        </is>
      </c>
    </row>
    <row r="284">
      <c r="C284" s="139" t="inlineStr">
        <is>
          <t xml:space="preserve">Arena </t>
        </is>
      </c>
      <c r="D284" s="140">
        <f>F282*0.71</f>
        <v/>
      </c>
      <c r="E284" s="139" t="inlineStr">
        <is>
          <t>m3</t>
        </is>
      </c>
    </row>
    <row r="285">
      <c r="C285" s="139" t="inlineStr">
        <is>
          <t xml:space="preserve">Piedra </t>
        </is>
      </c>
      <c r="D285" s="140">
        <f>F282*0.57</f>
        <v/>
      </c>
      <c r="E285" s="139" t="inlineStr">
        <is>
          <t>m3</t>
        </is>
      </c>
    </row>
    <row r="286">
      <c r="C286" s="139" t="inlineStr">
        <is>
          <t>ADITIVO 1(litros) (5000 ultra )</t>
        </is>
      </c>
      <c r="D286" s="140">
        <f>1.9*F282</f>
        <v/>
      </c>
      <c r="E286" s="139" t="inlineStr">
        <is>
          <t>litro</t>
        </is>
      </c>
    </row>
    <row r="287">
      <c r="C287" s="139" t="inlineStr">
        <is>
          <t>ADITIVO 2 (litros) (EUDO 100 C )</t>
        </is>
      </c>
      <c r="D287" s="140">
        <f>1.8*F282</f>
        <v/>
      </c>
      <c r="E287" s="139" t="inlineStr">
        <is>
          <t>litro</t>
        </is>
      </c>
    </row>
    <row r="288">
      <c r="C288" s="139" t="inlineStr">
        <is>
          <t xml:space="preserve">FIBRA </t>
        </is>
      </c>
      <c r="D288" s="140">
        <f>150*F282</f>
        <v/>
      </c>
      <c r="E288" s="139" t="inlineStr">
        <is>
          <t>litro</t>
        </is>
      </c>
    </row>
    <row r="289">
      <c r="C289" s="134" t="inlineStr">
        <is>
          <t xml:space="preserve">FIBRA </t>
        </is>
      </c>
      <c r="D289" s="138">
        <f>0.8*F282</f>
        <v/>
      </c>
      <c r="E289" s="134" t="inlineStr">
        <is>
          <t>kg</t>
        </is>
      </c>
    </row>
    <row r="292">
      <c r="D292" s="742" t="inlineStr">
        <is>
          <t xml:space="preserve">COMPARACION SISTEMA </t>
        </is>
      </c>
      <c r="E292" s="462" t="n"/>
      <c r="F292" s="461" t="n"/>
    </row>
    <row r="293">
      <c r="D293" s="199" t="inlineStr">
        <is>
          <t xml:space="preserve">Horas </t>
        </is>
      </c>
      <c r="E293" s="129" t="inlineStr">
        <is>
          <t xml:space="preserve">Costo/hora </t>
        </is>
      </c>
      <c r="F293" s="129" t="inlineStr">
        <is>
          <t>Costo Total</t>
        </is>
      </c>
    </row>
    <row r="294">
      <c r="C294" s="246" t="inlineStr">
        <is>
          <t>ACERO MUROS</t>
        </is>
      </c>
      <c r="D294" s="199" t="n">
        <v>119</v>
      </c>
      <c r="E294" s="687" t="n">
        <v>1700</v>
      </c>
      <c r="F294" s="687">
        <f>D294*E294</f>
        <v/>
      </c>
    </row>
    <row r="295">
      <c r="C295" s="246" t="inlineStr">
        <is>
          <t xml:space="preserve">FORMALETA </t>
        </is>
      </c>
      <c r="D295" s="199" t="n">
        <v>117</v>
      </c>
      <c r="E295" s="687" t="n">
        <v>1700</v>
      </c>
      <c r="F295" s="687">
        <f>D295*E295</f>
        <v/>
      </c>
    </row>
    <row r="296">
      <c r="C296" s="246" t="inlineStr">
        <is>
          <t xml:space="preserve">COLADO MUROS </t>
        </is>
      </c>
      <c r="D296" s="199" t="n">
        <v>37</v>
      </c>
      <c r="E296" s="687" t="n">
        <v>1700</v>
      </c>
      <c r="F296" s="687">
        <f>D296*E296</f>
        <v/>
      </c>
    </row>
    <row r="297">
      <c r="C297" s="246" t="inlineStr">
        <is>
          <t xml:space="preserve">TRAZO FORMALETA N1 </t>
        </is>
      </c>
      <c r="D297" s="199" t="n">
        <v>12</v>
      </c>
      <c r="E297" s="687" t="n">
        <v>1700</v>
      </c>
      <c r="F297" s="687">
        <f>D297*E297</f>
        <v/>
      </c>
    </row>
    <row r="298">
      <c r="C298" s="246" t="inlineStr">
        <is>
          <t xml:space="preserve">DESENCOFRE MUROS N1 </t>
        </is>
      </c>
      <c r="D298" s="199" t="n">
        <v>60</v>
      </c>
      <c r="E298" s="687" t="n">
        <v>1700</v>
      </c>
      <c r="F298" s="687">
        <f>D298*E298</f>
        <v/>
      </c>
    </row>
    <row r="299">
      <c r="C299" s="246" t="n"/>
      <c r="D299" s="199" t="n"/>
      <c r="E299" s="687" t="n"/>
      <c r="F299" s="687" t="n"/>
    </row>
    <row r="300">
      <c r="D300" s="199" t="n"/>
      <c r="E300" s="129" t="n"/>
      <c r="F300" s="746">
        <f>SUM(F294:F299)</f>
        <v/>
      </c>
    </row>
    <row r="303" ht="21" customHeight="1">
      <c r="C303" s="351" t="n">
        <v>5</v>
      </c>
      <c r="D303" s="351" t="inlineStr">
        <is>
          <t xml:space="preserve">COLUMNAS </t>
        </is>
      </c>
    </row>
    <row r="305">
      <c r="C305" s="340" t="inlineStr">
        <is>
          <t xml:space="preserve">COLUMNA DE COCHERA </t>
        </is>
      </c>
    </row>
    <row r="308">
      <c r="C308" s="208" t="inlineStr">
        <is>
          <t xml:space="preserve">FUNDACION COLUMNA COCHERA </t>
        </is>
      </c>
    </row>
    <row r="310">
      <c r="C310" s="136" t="inlineStr">
        <is>
          <t xml:space="preserve">LARGO </t>
        </is>
      </c>
      <c r="D310" s="137" t="n">
        <v>1</v>
      </c>
      <c r="E310" s="137" t="inlineStr">
        <is>
          <t xml:space="preserve">m </t>
        </is>
      </c>
    </row>
    <row r="311">
      <c r="C311" s="132" t="inlineStr">
        <is>
          <t xml:space="preserve">ANCHO </t>
        </is>
      </c>
      <c r="D311" s="133" t="n">
        <v>0.5</v>
      </c>
      <c r="E311" s="133" t="inlineStr">
        <is>
          <t xml:space="preserve">m </t>
        </is>
      </c>
    </row>
    <row r="312">
      <c r="C312" s="136" t="inlineStr">
        <is>
          <t xml:space="preserve">ESPESOR </t>
        </is>
      </c>
      <c r="D312" s="137" t="n">
        <v>0.25</v>
      </c>
      <c r="E312" s="137" t="inlineStr">
        <is>
          <t xml:space="preserve">m </t>
        </is>
      </c>
    </row>
    <row r="315">
      <c r="B315" s="126" t="n"/>
      <c r="C315" s="341" t="inlineStr">
        <is>
          <t xml:space="preserve">CONCRETO </t>
        </is>
      </c>
      <c r="D315" s="259">
        <f>(D310*D311*D312)*3*1.05</f>
        <v/>
      </c>
      <c r="E315" s="342" t="inlineStr">
        <is>
          <t xml:space="preserve">m3 </t>
        </is>
      </c>
      <c r="F315" s="528">
        <f>D315+D344+D371</f>
        <v/>
      </c>
    </row>
    <row r="316">
      <c r="D316" s="229" t="n"/>
    </row>
    <row r="317">
      <c r="C317" s="139" t="inlineStr">
        <is>
          <t xml:space="preserve">Cemento </t>
        </is>
      </c>
      <c r="D317" s="251">
        <f>D315*8</f>
        <v/>
      </c>
      <c r="E317" s="139" t="inlineStr">
        <is>
          <t xml:space="preserve">sacos </t>
        </is>
      </c>
    </row>
    <row r="318">
      <c r="C318" s="139" t="inlineStr">
        <is>
          <t xml:space="preserve">Arena </t>
        </is>
      </c>
      <c r="D318" s="251">
        <f>D315*0.75</f>
        <v/>
      </c>
      <c r="E318" s="139" t="inlineStr">
        <is>
          <t>m3</t>
        </is>
      </c>
    </row>
    <row r="319">
      <c r="C319" s="139" t="inlineStr">
        <is>
          <t xml:space="preserve">Piedra </t>
        </is>
      </c>
      <c r="D319" s="251">
        <f>D315*0.8</f>
        <v/>
      </c>
      <c r="E319" s="139" t="inlineStr">
        <is>
          <t>m3</t>
        </is>
      </c>
    </row>
    <row r="321">
      <c r="C321" s="208" t="inlineStr">
        <is>
          <t xml:space="preserve">ACERO FUNDACION </t>
        </is>
      </c>
      <c r="D321" s="252" t="inlineStr">
        <is>
          <t xml:space="preserve"># Malla #3 @20  cm </t>
        </is>
      </c>
      <c r="E321" s="127" t="inlineStr">
        <is>
          <t xml:space="preserve">3 un: 2 cochera + 1 medidor </t>
        </is>
      </c>
      <c r="F321" s="127" t="n"/>
    </row>
    <row r="324">
      <c r="C324" s="252" t="inlineStr">
        <is>
          <t xml:space="preserve">Largo </t>
        </is>
      </c>
      <c r="D324" s="233" t="n">
        <v>1</v>
      </c>
      <c r="E324" s="232" t="inlineStr">
        <is>
          <t xml:space="preserve">m </t>
        </is>
      </c>
      <c r="F324" s="229" t="n"/>
      <c r="G324" s="229" t="n"/>
    </row>
    <row r="325">
      <c r="C325" s="252" t="inlineStr">
        <is>
          <t xml:space="preserve">Ancho </t>
        </is>
      </c>
      <c r="D325" s="233" t="n">
        <v>0.5</v>
      </c>
      <c r="E325" s="232" t="inlineStr">
        <is>
          <t xml:space="preserve">m </t>
        </is>
      </c>
      <c r="F325" s="229" t="n"/>
      <c r="G325" s="229" t="n"/>
    </row>
    <row r="326">
      <c r="C326" s="252" t="inlineStr">
        <is>
          <t xml:space="preserve">Largo con gancho </t>
        </is>
      </c>
      <c r="D326" s="233" t="n">
        <v>1.5</v>
      </c>
      <c r="E326" s="232" t="inlineStr">
        <is>
          <t xml:space="preserve">m </t>
        </is>
      </c>
      <c r="F326" s="229" t="n"/>
      <c r="G326" s="229" t="n"/>
    </row>
    <row r="327">
      <c r="C327" s="252" t="inlineStr">
        <is>
          <t xml:space="preserve">Ancho con gancho </t>
        </is>
      </c>
      <c r="D327" s="233" t="n">
        <v>1</v>
      </c>
      <c r="E327" s="232" t="inlineStr">
        <is>
          <t xml:space="preserve">m </t>
        </is>
      </c>
      <c r="F327" s="229" t="n"/>
      <c r="G327" s="229" t="n"/>
    </row>
    <row r="328">
      <c r="C328" s="252" t="inlineStr">
        <is>
          <t xml:space="preserve"># Varillas ancho </t>
        </is>
      </c>
      <c r="D328" s="233">
        <f>(D324/0.2)+1</f>
        <v/>
      </c>
      <c r="E328" s="232" t="inlineStr">
        <is>
          <t xml:space="preserve">un </t>
        </is>
      </c>
      <c r="F328" s="248" t="n"/>
      <c r="G328" s="250" t="n"/>
    </row>
    <row r="329">
      <c r="C329" s="252" t="inlineStr">
        <is>
          <t xml:space="preserve"># Varillas largo </t>
        </is>
      </c>
      <c r="D329" s="233">
        <f>(D325/0.2)+1.5</f>
        <v/>
      </c>
      <c r="E329" s="232" t="inlineStr">
        <is>
          <t xml:space="preserve">un </t>
        </is>
      </c>
      <c r="F329" s="248" t="n"/>
      <c r="G329" s="250" t="n"/>
    </row>
    <row r="330">
      <c r="C330" s="258" t="n"/>
      <c r="D330" s="228" t="n"/>
      <c r="E330" s="232" t="n"/>
      <c r="F330" s="253" t="inlineStr">
        <is>
          <t xml:space="preserve">Peso </t>
        </is>
      </c>
      <c r="G330" s="253" t="inlineStr">
        <is>
          <t xml:space="preserve">kg </t>
        </is>
      </c>
    </row>
    <row r="331">
      <c r="B331" s="127" t="n"/>
      <c r="C331" s="234" t="inlineStr">
        <is>
          <t xml:space="preserve">#Varilla #3  </t>
        </is>
      </c>
      <c r="D331" s="251">
        <f>((D326*D329)/5.7)*3</f>
        <v/>
      </c>
      <c r="E331" s="234" t="inlineStr">
        <is>
          <t xml:space="preserve">un </t>
        </is>
      </c>
      <c r="F331" s="253" t="n">
        <v>3.36</v>
      </c>
      <c r="G331" s="254">
        <f>D331*F331</f>
        <v/>
      </c>
    </row>
    <row r="332">
      <c r="B332" s="127" t="n"/>
      <c r="C332" s="234" t="inlineStr">
        <is>
          <t xml:space="preserve">#Varilla #3  </t>
        </is>
      </c>
      <c r="D332" s="251">
        <f>((D327*D328)/5.7)*3</f>
        <v/>
      </c>
      <c r="E332" s="234" t="inlineStr">
        <is>
          <t xml:space="preserve">un </t>
        </is>
      </c>
      <c r="F332" s="253" t="n">
        <v>3.36</v>
      </c>
      <c r="G332" s="254">
        <f>D332*F332</f>
        <v/>
      </c>
    </row>
    <row r="333">
      <c r="B333" s="127" t="n"/>
      <c r="C333" s="234" t="inlineStr">
        <is>
          <t xml:space="preserve">Alambre negro </t>
        </is>
      </c>
      <c r="D333" s="251">
        <f>+(G334)*4.5%</f>
        <v/>
      </c>
      <c r="E333" s="234" t="inlineStr">
        <is>
          <t xml:space="preserve">kg </t>
        </is>
      </c>
      <c r="F333" s="253" t="n"/>
      <c r="G333" s="254" t="n"/>
    </row>
    <row r="334">
      <c r="C334" s="229" t="n"/>
      <c r="D334" s="229" t="n"/>
      <c r="E334" s="229" t="n"/>
      <c r="F334" s="255" t="inlineStr">
        <is>
          <t xml:space="preserve">Total </t>
        </is>
      </c>
      <c r="G334" s="256">
        <f>SUM(G331:G332)</f>
        <v/>
      </c>
    </row>
    <row r="337">
      <c r="C337" s="208" t="inlineStr">
        <is>
          <t xml:space="preserve">COLUMNA COCHERA </t>
        </is>
      </c>
    </row>
    <row r="339">
      <c r="C339" s="136" t="inlineStr">
        <is>
          <t xml:space="preserve">ESPESOR </t>
        </is>
      </c>
      <c r="D339" s="137" t="n">
        <v>0.1</v>
      </c>
      <c r="E339" s="137" t="inlineStr">
        <is>
          <t xml:space="preserve">m </t>
        </is>
      </c>
    </row>
    <row r="340">
      <c r="C340" s="132" t="inlineStr">
        <is>
          <t>ANCHO</t>
        </is>
      </c>
      <c r="D340" s="133" t="n">
        <v>0.6</v>
      </c>
      <c r="E340" s="133" t="inlineStr">
        <is>
          <t xml:space="preserve">m </t>
        </is>
      </c>
    </row>
    <row r="341">
      <c r="C341" s="132" t="inlineStr">
        <is>
          <t xml:space="preserve">ALTO </t>
        </is>
      </c>
      <c r="D341" s="137">
        <f>2.55+0.25</f>
        <v/>
      </c>
      <c r="E341" s="137" t="inlineStr">
        <is>
          <t xml:space="preserve">m </t>
        </is>
      </c>
    </row>
    <row r="344">
      <c r="B344" s="126" t="n"/>
      <c r="C344" s="134" t="inlineStr">
        <is>
          <t xml:space="preserve">CONCRETO </t>
        </is>
      </c>
      <c r="D344" s="259">
        <f>((D339*D340*D341)+(D339*D340*0.65))*1.05</f>
        <v/>
      </c>
      <c r="E344" s="135" t="inlineStr">
        <is>
          <t xml:space="preserve">m3 </t>
        </is>
      </c>
    </row>
    <row r="345">
      <c r="D345" s="229" t="n"/>
    </row>
    <row r="346">
      <c r="C346" s="139" t="inlineStr">
        <is>
          <t xml:space="preserve">Cemento </t>
        </is>
      </c>
      <c r="D346" s="251">
        <f>D344*8</f>
        <v/>
      </c>
      <c r="E346" s="139" t="inlineStr">
        <is>
          <t xml:space="preserve">sacos </t>
        </is>
      </c>
    </row>
    <row r="347">
      <c r="C347" s="139" t="inlineStr">
        <is>
          <t xml:space="preserve">Arena </t>
        </is>
      </c>
      <c r="D347" s="251">
        <f>D344*0.75</f>
        <v/>
      </c>
      <c r="E347" s="139" t="inlineStr">
        <is>
          <t>m3</t>
        </is>
      </c>
    </row>
    <row r="348">
      <c r="C348" s="139" t="inlineStr">
        <is>
          <t xml:space="preserve">Piedra </t>
        </is>
      </c>
      <c r="D348" s="251">
        <f>D344*0.8</f>
        <v/>
      </c>
      <c r="E348" s="139" t="inlineStr">
        <is>
          <t>m3</t>
        </is>
      </c>
    </row>
    <row r="350">
      <c r="C350" s="208" t="inlineStr">
        <is>
          <t>ACERO COLUMNA COCHERA</t>
        </is>
      </c>
      <c r="D350" s="252" t="inlineStr">
        <is>
          <t xml:space="preserve">8 varillas #3 aros # 2 @15 cm </t>
        </is>
      </c>
    </row>
    <row r="353">
      <c r="C353" s="252" t="inlineStr">
        <is>
          <t xml:space="preserve">Alto </t>
        </is>
      </c>
      <c r="D353" s="233">
        <f>D341+0.5</f>
        <v/>
      </c>
      <c r="E353" s="232" t="inlineStr">
        <is>
          <t xml:space="preserve">m </t>
        </is>
      </c>
    </row>
    <row r="354">
      <c r="C354" s="252" t="inlineStr">
        <is>
          <t xml:space="preserve"># Varillas verticales </t>
        </is>
      </c>
      <c r="D354" s="233" t="n">
        <v>8</v>
      </c>
      <c r="E354" s="232" t="inlineStr">
        <is>
          <t xml:space="preserve">un </t>
        </is>
      </c>
    </row>
    <row r="355">
      <c r="C355" s="252" t="inlineStr">
        <is>
          <t xml:space="preserve">Lontitud de aro </t>
        </is>
      </c>
      <c r="D355" s="233">
        <f>(0.1*2)*(0.6*2)+0.2</f>
        <v/>
      </c>
      <c r="E355" s="232" t="inlineStr">
        <is>
          <t xml:space="preserve">m </t>
        </is>
      </c>
    </row>
    <row r="356">
      <c r="C356" s="252" t="inlineStr">
        <is>
          <t xml:space="preserve"># Aros </t>
        </is>
      </c>
      <c r="D356" s="233">
        <f>D341/0.15</f>
        <v/>
      </c>
      <c r="E356" s="232" t="inlineStr">
        <is>
          <t xml:space="preserve">un </t>
        </is>
      </c>
      <c r="F356" s="253" t="inlineStr">
        <is>
          <t xml:space="preserve">Peso </t>
        </is>
      </c>
      <c r="G356" s="253" t="inlineStr">
        <is>
          <t xml:space="preserve">kg </t>
        </is>
      </c>
    </row>
    <row r="357">
      <c r="B357" s="127" t="n"/>
      <c r="C357" s="234" t="inlineStr">
        <is>
          <t xml:space="preserve">#Varilla #3 </t>
        </is>
      </c>
      <c r="D357" s="251">
        <f>(D354*D353)/5.7</f>
        <v/>
      </c>
      <c r="E357" s="234" t="inlineStr">
        <is>
          <t xml:space="preserve">un </t>
        </is>
      </c>
      <c r="F357" s="253" t="n">
        <v>3.36</v>
      </c>
      <c r="G357" s="254">
        <f>D357*F357</f>
        <v/>
      </c>
    </row>
    <row r="358">
      <c r="B358" s="127" t="n"/>
      <c r="C358" s="234" t="inlineStr">
        <is>
          <t xml:space="preserve">#Varilla #2 aros </t>
        </is>
      </c>
      <c r="D358" s="251">
        <f>(D356*D355)/5.7</f>
        <v/>
      </c>
      <c r="E358" s="234" t="inlineStr">
        <is>
          <t xml:space="preserve">un </t>
        </is>
      </c>
      <c r="F358" s="253" t="n">
        <v>1.02</v>
      </c>
      <c r="G358" s="254">
        <f>D358*F358</f>
        <v/>
      </c>
    </row>
    <row r="359">
      <c r="B359" s="127" t="n"/>
      <c r="C359" s="234" t="inlineStr">
        <is>
          <t xml:space="preserve">Alambre negro </t>
        </is>
      </c>
      <c r="D359" s="251">
        <f>+(G360)*4.5%</f>
        <v/>
      </c>
      <c r="E359" s="234" t="inlineStr">
        <is>
          <t xml:space="preserve">kg </t>
        </is>
      </c>
      <c r="F359" s="253" t="n"/>
      <c r="G359" s="254" t="n"/>
    </row>
    <row r="360">
      <c r="C360" s="229" t="n"/>
      <c r="D360" s="229" t="n"/>
      <c r="E360" s="229" t="n"/>
      <c r="F360" s="255" t="inlineStr">
        <is>
          <t xml:space="preserve">Total </t>
        </is>
      </c>
      <c r="G360" s="256">
        <f>SUM(G357:G359)</f>
        <v/>
      </c>
    </row>
    <row r="364">
      <c r="C364" s="208" t="inlineStr">
        <is>
          <t xml:space="preserve">COLUMNA MEDIDOR </t>
        </is>
      </c>
    </row>
    <row r="366">
      <c r="C366" s="136" t="inlineStr">
        <is>
          <t xml:space="preserve">ESPESOR </t>
        </is>
      </c>
      <c r="D366" s="137" t="n">
        <v>0.15</v>
      </c>
      <c r="E366" s="137" t="inlineStr">
        <is>
          <t xml:space="preserve">m </t>
        </is>
      </c>
    </row>
    <row r="367">
      <c r="C367" s="132" t="inlineStr">
        <is>
          <t>ANCHO</t>
        </is>
      </c>
      <c r="D367" s="133" t="n">
        <v>0.25</v>
      </c>
      <c r="E367" s="133" t="inlineStr">
        <is>
          <t xml:space="preserve">m </t>
        </is>
      </c>
    </row>
    <row r="368">
      <c r="C368" s="132" t="inlineStr">
        <is>
          <t xml:space="preserve">ALTO </t>
        </is>
      </c>
      <c r="D368" s="137">
        <f>2.8+0.4</f>
        <v/>
      </c>
      <c r="E368" s="137" t="inlineStr">
        <is>
          <t xml:space="preserve">m </t>
        </is>
      </c>
    </row>
    <row r="371">
      <c r="B371" s="126" t="n"/>
      <c r="C371" s="134" t="inlineStr">
        <is>
          <t xml:space="preserve">CONCRETO </t>
        </is>
      </c>
      <c r="D371" s="259">
        <f>((D366*D367*D368))*1.05</f>
        <v/>
      </c>
      <c r="E371" s="135" t="inlineStr">
        <is>
          <t xml:space="preserve">m3 </t>
        </is>
      </c>
    </row>
    <row r="372">
      <c r="D372" s="229" t="n"/>
    </row>
    <row r="373">
      <c r="C373" s="139" t="inlineStr">
        <is>
          <t xml:space="preserve">Cemento </t>
        </is>
      </c>
      <c r="D373" s="251">
        <f>D371*8</f>
        <v/>
      </c>
      <c r="E373" s="139" t="inlineStr">
        <is>
          <t xml:space="preserve">sacos </t>
        </is>
      </c>
    </row>
    <row r="374">
      <c r="C374" s="139" t="inlineStr">
        <is>
          <t xml:space="preserve">Arena </t>
        </is>
      </c>
      <c r="D374" s="251">
        <f>D371*0.75</f>
        <v/>
      </c>
      <c r="E374" s="139" t="inlineStr">
        <is>
          <t>m3</t>
        </is>
      </c>
    </row>
    <row r="375">
      <c r="C375" s="139" t="inlineStr">
        <is>
          <t xml:space="preserve">Piedra </t>
        </is>
      </c>
      <c r="D375" s="251">
        <f>D371*0.8</f>
        <v/>
      </c>
      <c r="E375" s="139" t="inlineStr">
        <is>
          <t>m3</t>
        </is>
      </c>
    </row>
    <row r="377">
      <c r="C377" s="208" t="inlineStr">
        <is>
          <t xml:space="preserve">ACERO COLUMNA MEDIDOR </t>
        </is>
      </c>
      <c r="D377" s="252" t="inlineStr">
        <is>
          <t xml:space="preserve">4 varillas #3 aros # 2 @15 cm </t>
        </is>
      </c>
    </row>
    <row r="380">
      <c r="C380" s="252" t="inlineStr">
        <is>
          <t xml:space="preserve">Alto </t>
        </is>
      </c>
      <c r="D380" s="233">
        <f>D368+0.5</f>
        <v/>
      </c>
      <c r="E380" s="232" t="inlineStr">
        <is>
          <t xml:space="preserve">m </t>
        </is>
      </c>
    </row>
    <row r="381">
      <c r="C381" s="252" t="inlineStr">
        <is>
          <t xml:space="preserve"># Varillas verticales </t>
        </is>
      </c>
      <c r="D381" s="233" t="n">
        <v>4</v>
      </c>
      <c r="E381" s="232" t="inlineStr">
        <is>
          <t xml:space="preserve">un </t>
        </is>
      </c>
    </row>
    <row r="382">
      <c r="C382" s="252" t="inlineStr">
        <is>
          <t xml:space="preserve">Lontitud de aro </t>
        </is>
      </c>
      <c r="D382" s="233">
        <f>(0.15*2)*(0.25*2)+0.2</f>
        <v/>
      </c>
      <c r="E382" s="232" t="inlineStr">
        <is>
          <t xml:space="preserve">m </t>
        </is>
      </c>
    </row>
    <row r="383">
      <c r="C383" s="252" t="inlineStr">
        <is>
          <t xml:space="preserve"># Aros </t>
        </is>
      </c>
      <c r="D383" s="233">
        <f>D368/0.15</f>
        <v/>
      </c>
      <c r="E383" s="232" t="inlineStr">
        <is>
          <t xml:space="preserve">un </t>
        </is>
      </c>
      <c r="F383" s="253" t="inlineStr">
        <is>
          <t xml:space="preserve">Peso </t>
        </is>
      </c>
      <c r="G383" s="253" t="inlineStr">
        <is>
          <t xml:space="preserve">kg </t>
        </is>
      </c>
    </row>
    <row r="384">
      <c r="B384" s="127" t="n"/>
      <c r="C384" s="234" t="inlineStr">
        <is>
          <t xml:space="preserve">#Varilla #3 </t>
        </is>
      </c>
      <c r="D384" s="251">
        <f>(D381*D380)/5.7</f>
        <v/>
      </c>
      <c r="E384" s="234" t="inlineStr">
        <is>
          <t xml:space="preserve">un </t>
        </is>
      </c>
      <c r="F384" s="253" t="n">
        <v>3.36</v>
      </c>
      <c r="G384" s="254">
        <f>D384*F384</f>
        <v/>
      </c>
    </row>
    <row r="385">
      <c r="B385" s="127" t="n"/>
      <c r="C385" s="234" t="inlineStr">
        <is>
          <t xml:space="preserve">#Varilla #2 aros </t>
        </is>
      </c>
      <c r="D385" s="251">
        <f>(D383*D382)/5.7</f>
        <v/>
      </c>
      <c r="E385" s="234" t="inlineStr">
        <is>
          <t xml:space="preserve">un </t>
        </is>
      </c>
      <c r="F385" s="253" t="n">
        <v>1.02</v>
      </c>
      <c r="G385" s="254">
        <f>D385*F385</f>
        <v/>
      </c>
    </row>
    <row r="386">
      <c r="B386" s="127" t="n"/>
      <c r="C386" s="234" t="inlineStr">
        <is>
          <t xml:space="preserve">Alambre negro </t>
        </is>
      </c>
      <c r="D386" s="251">
        <f>+(G387)*4.5%</f>
        <v/>
      </c>
      <c r="E386" s="234" t="inlineStr">
        <is>
          <t xml:space="preserve">kg </t>
        </is>
      </c>
      <c r="F386" s="253" t="n"/>
      <c r="G386" s="254" t="n"/>
    </row>
    <row r="387">
      <c r="C387" s="229" t="n"/>
      <c r="D387" s="229" t="n"/>
      <c r="E387" s="229" t="n"/>
      <c r="F387" s="255" t="inlineStr">
        <is>
          <t xml:space="preserve">Total </t>
        </is>
      </c>
      <c r="G387" s="256">
        <f>SUM(G384:G386)</f>
        <v/>
      </c>
    </row>
    <row r="390">
      <c r="F390" t="inlineStr">
        <is>
          <t xml:space="preserve">Total concreto muro y viga corona </t>
        </is>
      </c>
    </row>
    <row r="391">
      <c r="C391" s="247" t="inlineStr">
        <is>
          <t xml:space="preserve">CANTIDADES DOSIFICACION ADELANTE (DIEGO - JARDEL) </t>
        </is>
      </c>
      <c r="D391" s="247" t="n"/>
      <c r="E391" s="247" t="n"/>
      <c r="F391" s="343">
        <f>D315+D344+D371</f>
        <v/>
      </c>
      <c r="G391" s="127" t="inlineStr">
        <is>
          <t>m3</t>
        </is>
      </c>
    </row>
    <row r="392">
      <c r="C392" s="139" t="inlineStr">
        <is>
          <t xml:space="preserve">Cemento </t>
        </is>
      </c>
      <c r="D392" s="140">
        <f>F391*333</f>
        <v/>
      </c>
      <c r="E392" s="139" t="inlineStr">
        <is>
          <t xml:space="preserve">kilos </t>
        </is>
      </c>
    </row>
    <row r="393">
      <c r="C393" s="139" t="inlineStr">
        <is>
          <t xml:space="preserve">Arena </t>
        </is>
      </c>
      <c r="D393" s="140">
        <f>F391*0.59</f>
        <v/>
      </c>
      <c r="E393" s="139" t="inlineStr">
        <is>
          <t>m3</t>
        </is>
      </c>
    </row>
    <row r="394">
      <c r="C394" s="139" t="inlineStr">
        <is>
          <t xml:space="preserve">Piedra </t>
        </is>
      </c>
      <c r="D394" s="140">
        <f>F391*0.67</f>
        <v/>
      </c>
      <c r="E394" s="139" t="inlineStr">
        <is>
          <t>m3</t>
        </is>
      </c>
    </row>
    <row r="398">
      <c r="D398" s="742" t="inlineStr">
        <is>
          <t xml:space="preserve">COMPARACION SISTEMA </t>
        </is>
      </c>
      <c r="E398" s="462" t="n"/>
      <c r="F398" s="461" t="n"/>
    </row>
    <row r="399">
      <c r="D399" s="199" t="inlineStr">
        <is>
          <t xml:space="preserve">Horas </t>
        </is>
      </c>
      <c r="E399" s="129" t="inlineStr">
        <is>
          <t xml:space="preserve">Costo/hora </t>
        </is>
      </c>
      <c r="F399" s="129" t="inlineStr">
        <is>
          <t>Costo Total</t>
        </is>
      </c>
    </row>
    <row r="400">
      <c r="C400" s="246" t="inlineStr">
        <is>
          <t xml:space="preserve">COLUMNA COCHERA </t>
        </is>
      </c>
      <c r="D400" s="199" t="n">
        <v>50</v>
      </c>
      <c r="E400" s="687" t="n">
        <v>1700</v>
      </c>
      <c r="F400" s="687">
        <f>D400*E400</f>
        <v/>
      </c>
    </row>
    <row r="401">
      <c r="C401" s="246" t="inlineStr">
        <is>
          <t xml:space="preserve">COLUMNA MEDIDOR </t>
        </is>
      </c>
      <c r="D401" s="199" t="n">
        <v>30</v>
      </c>
      <c r="E401" s="687" t="n">
        <v>1700</v>
      </c>
      <c r="F401" s="687">
        <f>D401*E401</f>
        <v/>
      </c>
    </row>
    <row r="402">
      <c r="D402" s="199" t="n"/>
      <c r="E402" s="129" t="n"/>
      <c r="F402" s="746">
        <f>SUM(F400:F401)</f>
        <v/>
      </c>
    </row>
    <row r="406" ht="21" customHeight="1">
      <c r="C406" s="351" t="n">
        <v>6</v>
      </c>
      <c r="D406" s="351" t="inlineStr">
        <is>
          <t xml:space="preserve">COCHERA Y PILAS </t>
        </is>
      </c>
    </row>
    <row r="409">
      <c r="C409" s="132" t="inlineStr">
        <is>
          <t xml:space="preserve">AREA PILA </t>
        </is>
      </c>
      <c r="D409" s="133" t="n">
        <v>7.59</v>
      </c>
      <c r="E409" s="133" t="inlineStr">
        <is>
          <t xml:space="preserve">m2 </t>
        </is>
      </c>
    </row>
    <row r="410">
      <c r="C410" s="136" t="inlineStr">
        <is>
          <t xml:space="preserve">AREA COCHERA </t>
        </is>
      </c>
      <c r="D410" s="137" t="n">
        <v>27.39</v>
      </c>
      <c r="E410" s="137" t="inlineStr">
        <is>
          <t xml:space="preserve">m2 </t>
        </is>
      </c>
    </row>
    <row r="411">
      <c r="C411" s="247" t="inlineStr">
        <is>
          <t xml:space="preserve">AREA TOTAL </t>
        </is>
      </c>
      <c r="D411" s="203">
        <f>SUM(D409:D410)</f>
        <v/>
      </c>
      <c r="E411" s="203" t="inlineStr">
        <is>
          <t xml:space="preserve"> m2 </t>
        </is>
      </c>
    </row>
    <row r="415">
      <c r="C415" s="131" t="inlineStr">
        <is>
          <t xml:space="preserve">Lastre </t>
        </is>
      </c>
    </row>
    <row r="416">
      <c r="C416" s="132" t="inlineStr">
        <is>
          <t xml:space="preserve">Espesor: </t>
        </is>
      </c>
      <c r="D416" s="133" t="n">
        <v>0.1</v>
      </c>
      <c r="E416" s="133" t="inlineStr">
        <is>
          <t xml:space="preserve">m </t>
        </is>
      </c>
    </row>
    <row r="417">
      <c r="C417" s="136" t="inlineStr">
        <is>
          <t xml:space="preserve">Área casa (incluye área de pilas) </t>
        </is>
      </c>
      <c r="D417" s="137">
        <f>D411</f>
        <v/>
      </c>
      <c r="E417" s="137" t="inlineStr">
        <is>
          <t xml:space="preserve">m2 </t>
        </is>
      </c>
    </row>
    <row r="419">
      <c r="C419" s="134" t="inlineStr">
        <is>
          <t xml:space="preserve">m3 totales </t>
        </is>
      </c>
      <c r="D419" s="138">
        <f>D416*D417*1.3</f>
        <v/>
      </c>
      <c r="E419" s="135" t="inlineStr">
        <is>
          <t>m3</t>
        </is>
      </c>
    </row>
    <row r="422">
      <c r="C422" s="131" t="inlineStr">
        <is>
          <t xml:space="preserve">Concreto </t>
        </is>
      </c>
    </row>
    <row r="425">
      <c r="C425" s="136" t="inlineStr">
        <is>
          <t xml:space="preserve">ESPESOR </t>
        </is>
      </c>
      <c r="D425" s="137" t="n">
        <v>0.1</v>
      </c>
      <c r="E425" s="137" t="inlineStr">
        <is>
          <t xml:space="preserve">m </t>
        </is>
      </c>
    </row>
    <row r="427">
      <c r="C427" s="134" t="inlineStr">
        <is>
          <t xml:space="preserve">CONCRETO </t>
        </is>
      </c>
      <c r="D427" s="259">
        <f>(D411*D425)*1.05</f>
        <v/>
      </c>
      <c r="E427" s="135" t="inlineStr">
        <is>
          <t xml:space="preserve">m3 </t>
        </is>
      </c>
    </row>
    <row r="428">
      <c r="D428" s="229" t="n"/>
    </row>
    <row r="429">
      <c r="C429" s="139" t="inlineStr">
        <is>
          <t xml:space="preserve">Cemento </t>
        </is>
      </c>
      <c r="D429" s="251">
        <f>D427*7</f>
        <v/>
      </c>
      <c r="E429" s="139" t="inlineStr">
        <is>
          <t xml:space="preserve">sacos </t>
        </is>
      </c>
    </row>
    <row r="430">
      <c r="C430" s="139" t="inlineStr">
        <is>
          <t xml:space="preserve">Arena </t>
        </is>
      </c>
      <c r="D430" s="251">
        <f>D427*0.75</f>
        <v/>
      </c>
      <c r="E430" s="139" t="inlineStr">
        <is>
          <t>m3</t>
        </is>
      </c>
    </row>
    <row r="431">
      <c r="C431" s="139" t="inlineStr">
        <is>
          <t xml:space="preserve">Piedra </t>
        </is>
      </c>
      <c r="D431" s="251">
        <f>D427*0.8</f>
        <v/>
      </c>
      <c r="E431" s="139" t="inlineStr">
        <is>
          <t>m3</t>
        </is>
      </c>
    </row>
    <row r="432">
      <c r="C432" s="139" t="inlineStr">
        <is>
          <t xml:space="preserve">Piedrilla </t>
        </is>
      </c>
      <c r="D432" s="251" t="n">
        <v>10</v>
      </c>
      <c r="E432" s="139" t="inlineStr">
        <is>
          <t xml:space="preserve">sacos </t>
        </is>
      </c>
      <c r="F432" s="127" t="inlineStr">
        <is>
          <t xml:space="preserve">COCHERA </t>
        </is>
      </c>
    </row>
    <row r="434">
      <c r="C434" s="247" t="inlineStr">
        <is>
          <t xml:space="preserve">CANTIDADES DOSIFICACION ADELANTE (DIEGO - JARDEL) MURO Y VIGA CORONA </t>
        </is>
      </c>
      <c r="D434" s="247" t="n"/>
      <c r="E434" s="247" t="n"/>
    </row>
    <row r="435">
      <c r="C435" s="139" t="inlineStr">
        <is>
          <t xml:space="preserve">Cemento </t>
        </is>
      </c>
      <c r="D435" s="140">
        <f>D427*333</f>
        <v/>
      </c>
      <c r="E435" s="139" t="inlineStr">
        <is>
          <t xml:space="preserve">kilos </t>
        </is>
      </c>
    </row>
    <row r="436">
      <c r="C436" s="139" t="inlineStr">
        <is>
          <t xml:space="preserve">Arena </t>
        </is>
      </c>
      <c r="D436" s="140">
        <f>D427*0.59</f>
        <v/>
      </c>
      <c r="E436" s="139" t="inlineStr">
        <is>
          <t>m3</t>
        </is>
      </c>
    </row>
    <row r="437">
      <c r="C437" s="139" t="inlineStr">
        <is>
          <t xml:space="preserve">Piedra </t>
        </is>
      </c>
      <c r="D437" s="140">
        <f>D427*0.67</f>
        <v/>
      </c>
      <c r="E437" s="139" t="inlineStr">
        <is>
          <t>m3</t>
        </is>
      </c>
    </row>
    <row r="438">
      <c r="C438" s="139" t="inlineStr">
        <is>
          <t xml:space="preserve">Piedrilla </t>
        </is>
      </c>
      <c r="D438" s="251" t="n">
        <v>10</v>
      </c>
      <c r="E438" s="139" t="inlineStr">
        <is>
          <t xml:space="preserve">sacos </t>
        </is>
      </c>
      <c r="F438" s="127" t="inlineStr">
        <is>
          <t xml:space="preserve">COCHERA </t>
        </is>
      </c>
    </row>
    <row r="441">
      <c r="C441" s="134" t="inlineStr">
        <is>
          <t xml:space="preserve">MALLA ELECTROSOLDADA #2 </t>
        </is>
      </c>
      <c r="D441" s="134" t="n"/>
      <c r="E441" s="212" t="inlineStr">
        <is>
          <t>(2,2 X 6 M)</t>
        </is>
      </c>
    </row>
    <row r="443">
      <c r="C443" s="136" t="inlineStr">
        <is>
          <t xml:space="preserve">Área casa (incluye área de pilas) </t>
        </is>
      </c>
      <c r="D443" s="137">
        <f>D411</f>
        <v/>
      </c>
      <c r="E443" s="137" t="inlineStr">
        <is>
          <t xml:space="preserve">m2 </t>
        </is>
      </c>
    </row>
    <row r="445">
      <c r="C445" s="139" t="inlineStr">
        <is>
          <t xml:space="preserve"># Malla electrosoldada </t>
        </is>
      </c>
      <c r="D445" s="140">
        <f>D443/(1.9*5.7)</f>
        <v/>
      </c>
      <c r="E445" s="139" t="inlineStr">
        <is>
          <t xml:space="preserve">un </t>
        </is>
      </c>
    </row>
    <row r="448">
      <c r="D448" s="742" t="inlineStr">
        <is>
          <t xml:space="preserve">COMPARACION SISTEMA </t>
        </is>
      </c>
      <c r="E448" s="462" t="n"/>
      <c r="F448" s="461" t="n"/>
    </row>
    <row r="449">
      <c r="D449" s="199" t="inlineStr">
        <is>
          <t xml:space="preserve">Horas </t>
        </is>
      </c>
      <c r="E449" s="129" t="inlineStr">
        <is>
          <t xml:space="preserve">Costo/hora </t>
        </is>
      </c>
      <c r="F449" s="129" t="inlineStr">
        <is>
          <t>Costo Total</t>
        </is>
      </c>
    </row>
    <row r="450">
      <c r="C450" s="246" t="inlineStr">
        <is>
          <t xml:space="preserve">LASTRE Y COMPACTACION COCHERA </t>
        </is>
      </c>
      <c r="D450" s="199" t="n">
        <v>10</v>
      </c>
      <c r="E450" s="687" t="n">
        <v>1700</v>
      </c>
      <c r="F450" s="687">
        <f>D450*E450</f>
        <v/>
      </c>
    </row>
    <row r="451">
      <c r="C451" s="246" t="inlineStr">
        <is>
          <t xml:space="preserve">COLADO LOSA COCHERA </t>
        </is>
      </c>
      <c r="D451" s="199" t="n">
        <v>40</v>
      </c>
      <c r="E451" s="687" t="n">
        <v>1700</v>
      </c>
      <c r="F451" s="687">
        <f>D451*E451</f>
        <v/>
      </c>
    </row>
    <row r="452">
      <c r="C452" s="246" t="inlineStr">
        <is>
          <t xml:space="preserve">ACABADO LAVADO COCHERA </t>
        </is>
      </c>
      <c r="D452" s="199" t="n">
        <v>21</v>
      </c>
      <c r="E452" s="687" t="n">
        <v>1700</v>
      </c>
      <c r="F452" s="687">
        <f>D452*E452</f>
        <v/>
      </c>
    </row>
    <row r="453">
      <c r="C453" s="246" t="inlineStr">
        <is>
          <t xml:space="preserve">LASTRE Y COMPACTACION AREA PILA </t>
        </is>
      </c>
      <c r="D453" s="199" t="n">
        <v>5</v>
      </c>
      <c r="E453" s="687" t="n">
        <v>1700</v>
      </c>
      <c r="F453" s="687">
        <f>D453*E453</f>
        <v/>
      </c>
    </row>
    <row r="454">
      <c r="C454" s="246" t="inlineStr">
        <is>
          <t xml:space="preserve">COLADO AREA PILA </t>
        </is>
      </c>
      <c r="D454" s="199" t="n">
        <v>10</v>
      </c>
      <c r="E454" s="687" t="n">
        <v>1700</v>
      </c>
      <c r="F454" s="687">
        <f>D454*E454</f>
        <v/>
      </c>
    </row>
    <row r="455">
      <c r="C455" s="246" t="inlineStr">
        <is>
          <t xml:space="preserve">ACABADO LAVADO AREA PILA </t>
        </is>
      </c>
      <c r="D455" s="199" t="n">
        <v>5</v>
      </c>
      <c r="E455" s="687" t="n">
        <v>1700</v>
      </c>
      <c r="F455" s="687">
        <f>D455*E455</f>
        <v/>
      </c>
    </row>
    <row r="456">
      <c r="D456" s="199" t="n"/>
      <c r="E456" s="129" t="n"/>
      <c r="F456" s="746">
        <f>SUM(F450:F455)</f>
        <v/>
      </c>
    </row>
    <row r="459">
      <c r="H459" s="127" t="inlineStr">
        <is>
          <t xml:space="preserve">CERCHAS </t>
        </is>
      </c>
    </row>
    <row r="460" ht="21" customHeight="1">
      <c r="C460" s="351" t="n">
        <v>7</v>
      </c>
      <c r="D460" s="351" t="inlineStr">
        <is>
          <t xml:space="preserve">ESTRUCTURA TECHO CASA </t>
        </is>
      </c>
      <c r="H460" s="127" t="inlineStr">
        <is>
          <t xml:space="preserve">CLAVADORES </t>
        </is>
      </c>
    </row>
    <row r="461">
      <c r="H461" s="127" t="inlineStr">
        <is>
          <t xml:space="preserve">PRECINTAS </t>
        </is>
      </c>
    </row>
    <row r="462">
      <c r="C462" s="131" t="inlineStr">
        <is>
          <t xml:space="preserve">CERCHAS </t>
        </is>
      </c>
    </row>
    <row r="465">
      <c r="C465" s="154" t="inlineStr">
        <is>
          <t xml:space="preserve">LARGO CERCHAS </t>
        </is>
      </c>
      <c r="D465" s="199" t="n">
        <v>11.47</v>
      </c>
      <c r="E465" s="199" t="inlineStr">
        <is>
          <t xml:space="preserve">m </t>
        </is>
      </c>
    </row>
    <row r="466">
      <c r="C466" s="751" t="n"/>
      <c r="D466" s="199" t="n">
        <v>1.5</v>
      </c>
      <c r="E466" s="199" t="inlineStr">
        <is>
          <t xml:space="preserve">m </t>
        </is>
      </c>
    </row>
    <row r="467">
      <c r="C467" s="751" t="n"/>
      <c r="D467" s="199" t="n">
        <v>11.37</v>
      </c>
      <c r="E467" s="199" t="inlineStr">
        <is>
          <t xml:space="preserve">m </t>
        </is>
      </c>
    </row>
    <row r="468">
      <c r="C468" s="751" t="n"/>
      <c r="D468" s="199" t="n">
        <v>4.31</v>
      </c>
      <c r="E468" s="199" t="inlineStr">
        <is>
          <t xml:space="preserve">m </t>
        </is>
      </c>
    </row>
    <row r="469">
      <c r="C469" s="751" t="n"/>
      <c r="D469" s="199" t="n">
        <v>7.91</v>
      </c>
      <c r="E469" s="199" t="inlineStr">
        <is>
          <t xml:space="preserve">m </t>
        </is>
      </c>
    </row>
    <row r="470">
      <c r="C470" s="88" t="n"/>
      <c r="D470" s="199" t="n">
        <v>5.08</v>
      </c>
      <c r="E470" s="199" t="inlineStr">
        <is>
          <t xml:space="preserve">m </t>
        </is>
      </c>
    </row>
    <row r="473">
      <c r="C473" s="529" t="inlineStr">
        <is>
          <t xml:space="preserve">TUBO  2" X 4"HG </t>
        </is>
      </c>
      <c r="D473" s="71" t="n">
        <v>11.39</v>
      </c>
    </row>
    <row r="474">
      <c r="D474" s="71">
        <f>12.52-11.45</f>
        <v/>
      </c>
    </row>
    <row r="475">
      <c r="D475" s="71" t="n">
        <v>0.5</v>
      </c>
    </row>
    <row r="476">
      <c r="C476" t="inlineStr">
        <is>
          <t xml:space="preserve">Largo </t>
        </is>
      </c>
      <c r="D476" s="213">
        <f>SUM(D473:D475)</f>
        <v/>
      </c>
      <c r="E476" s="214" t="inlineStr">
        <is>
          <t xml:space="preserve">m </t>
        </is>
      </c>
    </row>
    <row r="480">
      <c r="C480" s="139" t="inlineStr">
        <is>
          <t xml:space="preserve"># Tubos 2" x 4" </t>
        </is>
      </c>
      <c r="D480" s="140">
        <f>D476/6</f>
        <v/>
      </c>
      <c r="E480" s="139" t="inlineStr">
        <is>
          <t xml:space="preserve">un </t>
        </is>
      </c>
      <c r="F480" s="216" t="inlineStr">
        <is>
          <t xml:space="preserve">1 cercha de 11, 47 </t>
        </is>
      </c>
    </row>
    <row r="481">
      <c r="C481" s="139" t="inlineStr">
        <is>
          <t xml:space="preserve"># Tubos 2" x 4" </t>
        </is>
      </c>
      <c r="D481" s="140">
        <f>(D466*D$480)/(D$465)</f>
        <v/>
      </c>
      <c r="E481" s="139" t="inlineStr">
        <is>
          <t xml:space="preserve">un </t>
        </is>
      </c>
      <c r="F481" s="216" t="inlineStr">
        <is>
          <t xml:space="preserve">1 cercha de 1,5 m </t>
        </is>
      </c>
    </row>
    <row r="482">
      <c r="C482" s="139" t="inlineStr">
        <is>
          <t xml:space="preserve"># Tubos 2" x 4" </t>
        </is>
      </c>
      <c r="D482" s="140">
        <f>(D467*D$480)/(D$465)</f>
        <v/>
      </c>
      <c r="E482" s="139" t="inlineStr">
        <is>
          <t xml:space="preserve">un </t>
        </is>
      </c>
      <c r="F482" s="216" t="inlineStr">
        <is>
          <t xml:space="preserve">1 cercha de 11,37 m </t>
        </is>
      </c>
    </row>
    <row r="483">
      <c r="C483" s="139" t="inlineStr">
        <is>
          <t xml:space="preserve"># Tubos 2" x 4" </t>
        </is>
      </c>
      <c r="D483" s="140">
        <f>(D468*D$480)/(D$465)</f>
        <v/>
      </c>
      <c r="E483" s="139" t="inlineStr">
        <is>
          <t xml:space="preserve">un </t>
        </is>
      </c>
      <c r="F483" s="216" t="inlineStr">
        <is>
          <t xml:space="preserve">1 cercha de 4,31 m </t>
        </is>
      </c>
    </row>
    <row r="484">
      <c r="C484" s="139" t="inlineStr">
        <is>
          <t xml:space="preserve"># Tubos 2" x 4" </t>
        </is>
      </c>
      <c r="D484" s="140">
        <f>(D469*D$480)/(D$465)</f>
        <v/>
      </c>
      <c r="E484" s="139" t="inlineStr">
        <is>
          <t xml:space="preserve">un </t>
        </is>
      </c>
      <c r="F484" s="216" t="inlineStr">
        <is>
          <t xml:space="preserve">1 cercha de 7,91 m </t>
        </is>
      </c>
    </row>
    <row r="485">
      <c r="C485" s="139" t="inlineStr">
        <is>
          <t xml:space="preserve"># Tubos 2" x 4" </t>
        </is>
      </c>
      <c r="D485" s="140">
        <f>(D470*D$480)/(D$465)</f>
        <v/>
      </c>
      <c r="E485" s="139" t="inlineStr">
        <is>
          <t xml:space="preserve">un </t>
        </is>
      </c>
      <c r="F485" s="216" t="inlineStr">
        <is>
          <t xml:space="preserve">1 cercha de 5,08 m </t>
        </is>
      </c>
    </row>
    <row r="486">
      <c r="C486" s="139" t="inlineStr">
        <is>
          <t xml:space="preserve"># Tubos 2" x 4" </t>
        </is>
      </c>
      <c r="D486" s="261">
        <f>SUM(D480:D485)</f>
        <v/>
      </c>
      <c r="E486" s="139" t="inlineStr">
        <is>
          <t xml:space="preserve">un </t>
        </is>
      </c>
      <c r="F486" s="125" t="n"/>
    </row>
    <row r="489">
      <c r="C489" s="530" t="inlineStr">
        <is>
          <t xml:space="preserve">TUBO  2" X 2" </t>
        </is>
      </c>
      <c r="D489" s="71" t="n">
        <v>5.59</v>
      </c>
    </row>
    <row r="490">
      <c r="D490" s="71" t="n">
        <v>4.32</v>
      </c>
    </row>
    <row r="491">
      <c r="D491" s="71" t="n">
        <v>0.251</v>
      </c>
    </row>
    <row r="492">
      <c r="D492" s="71" t="n">
        <v>0.23</v>
      </c>
    </row>
    <row r="493">
      <c r="D493" s="71" t="n">
        <v>1.16</v>
      </c>
    </row>
    <row r="494">
      <c r="D494" s="71" t="n">
        <v>1</v>
      </c>
    </row>
    <row r="495">
      <c r="D495" s="71" t="n">
        <v>0.21</v>
      </c>
    </row>
    <row r="496">
      <c r="D496" s="71" t="n"/>
    </row>
    <row r="497">
      <c r="C497" t="inlineStr">
        <is>
          <t xml:space="preserve">Largo </t>
        </is>
      </c>
      <c r="D497" s="213">
        <f>SUM(D489:D496)</f>
        <v/>
      </c>
      <c r="E497" s="214" t="inlineStr">
        <is>
          <t xml:space="preserve">m </t>
        </is>
      </c>
    </row>
    <row r="501">
      <c r="C501" s="139" t="inlineStr">
        <is>
          <t xml:space="preserve"># Tubos 2" x 2" </t>
        </is>
      </c>
      <c r="D501" s="140">
        <f>D497/6</f>
        <v/>
      </c>
      <c r="E501" s="139" t="inlineStr">
        <is>
          <t xml:space="preserve">un </t>
        </is>
      </c>
      <c r="F501" s="216" t="inlineStr">
        <is>
          <t xml:space="preserve">1 cercha de 11, 47 </t>
        </is>
      </c>
    </row>
    <row r="502">
      <c r="C502" s="139" t="inlineStr">
        <is>
          <t xml:space="preserve"># Tubos 2" x 2" </t>
        </is>
      </c>
      <c r="D502" s="140">
        <f>(D466*D$501)/(D$465)</f>
        <v/>
      </c>
      <c r="E502" s="139" t="inlineStr">
        <is>
          <t xml:space="preserve">un </t>
        </is>
      </c>
      <c r="F502" s="216" t="inlineStr">
        <is>
          <t xml:space="preserve">1 cercha de 1,5 m </t>
        </is>
      </c>
    </row>
    <row r="503">
      <c r="C503" s="139" t="inlineStr">
        <is>
          <t xml:space="preserve"># Tubos 2" x 2" </t>
        </is>
      </c>
      <c r="D503" s="140">
        <f>(D467*D$501)/(D$465)</f>
        <v/>
      </c>
      <c r="E503" s="139" t="inlineStr">
        <is>
          <t xml:space="preserve">un </t>
        </is>
      </c>
      <c r="F503" s="216" t="inlineStr">
        <is>
          <t xml:space="preserve">1 cercha de 11,37 m </t>
        </is>
      </c>
    </row>
    <row r="504">
      <c r="C504" s="139" t="inlineStr">
        <is>
          <t xml:space="preserve"># Tubos 2" x 2" </t>
        </is>
      </c>
      <c r="D504" s="140">
        <f>(D468*D$501)/(D$465)</f>
        <v/>
      </c>
      <c r="E504" s="139" t="inlineStr">
        <is>
          <t xml:space="preserve">un </t>
        </is>
      </c>
      <c r="F504" s="216" t="inlineStr">
        <is>
          <t xml:space="preserve">1 cercha de 4,31 m </t>
        </is>
      </c>
    </row>
    <row r="505">
      <c r="C505" s="139" t="inlineStr">
        <is>
          <t xml:space="preserve"># Tubos 2" x 2" </t>
        </is>
      </c>
      <c r="D505" s="140">
        <f>(D469*D$501)/(D$465)</f>
        <v/>
      </c>
      <c r="E505" s="139" t="inlineStr">
        <is>
          <t xml:space="preserve">un </t>
        </is>
      </c>
      <c r="F505" s="216" t="inlineStr">
        <is>
          <t xml:space="preserve">1 cercha de 7,91 m </t>
        </is>
      </c>
    </row>
    <row r="506">
      <c r="C506" s="139" t="inlineStr">
        <is>
          <t xml:space="preserve"># Tubos 2" x 2" </t>
        </is>
      </c>
      <c r="D506" s="140">
        <f>(D470*D$501)/(D$465)</f>
        <v/>
      </c>
      <c r="E506" s="139" t="inlineStr">
        <is>
          <t xml:space="preserve">un </t>
        </is>
      </c>
      <c r="F506" s="216" t="inlineStr">
        <is>
          <t xml:space="preserve">1 cercha de 5,08 m </t>
        </is>
      </c>
    </row>
    <row r="507">
      <c r="C507" s="139" t="inlineStr">
        <is>
          <t xml:space="preserve"># Tubos 2" x 2" HG </t>
        </is>
      </c>
      <c r="D507" s="261">
        <f>SUM(D501:D506)*1.1</f>
        <v/>
      </c>
      <c r="E507" s="139" t="inlineStr">
        <is>
          <t xml:space="preserve">un </t>
        </is>
      </c>
      <c r="F507" s="265" t="n"/>
    </row>
    <row r="510">
      <c r="C510" s="131" t="inlineStr">
        <is>
          <t xml:space="preserve">CLAVADORES </t>
        </is>
      </c>
    </row>
    <row r="512">
      <c r="C512" s="260" t="inlineStr">
        <is>
          <t xml:space="preserve"># CLAVADORES </t>
        </is>
      </c>
      <c r="D512" s="199" t="inlineStr">
        <is>
          <t xml:space="preserve">Cantidad </t>
        </is>
      </c>
      <c r="E512" s="199" t="inlineStr">
        <is>
          <t xml:space="preserve">Medida </t>
        </is>
      </c>
      <c r="F512" s="199" t="inlineStr">
        <is>
          <t xml:space="preserve">Largo total </t>
        </is>
      </c>
    </row>
    <row r="513">
      <c r="D513" s="199" t="n">
        <v>3</v>
      </c>
      <c r="E513" s="199">
        <f>2.8+2.7</f>
        <v/>
      </c>
      <c r="F513" s="199">
        <f>D513*E513</f>
        <v/>
      </c>
    </row>
    <row r="514">
      <c r="D514" s="199" t="n">
        <v>6</v>
      </c>
      <c r="E514" s="199">
        <f>1.75+2.7+1.45</f>
        <v/>
      </c>
      <c r="F514" s="199">
        <f>D514*E514</f>
        <v/>
      </c>
    </row>
    <row r="515">
      <c r="D515" s="199" t="n">
        <v>2</v>
      </c>
      <c r="E515" s="199">
        <f>2.7+1.45</f>
        <v/>
      </c>
      <c r="F515" s="199">
        <f>D515*E515</f>
        <v/>
      </c>
    </row>
    <row r="516">
      <c r="D516" s="199" t="n">
        <v>1</v>
      </c>
      <c r="E516" s="199" t="n">
        <v>2.7</v>
      </c>
      <c r="F516" s="199">
        <f>D516*E516</f>
        <v/>
      </c>
    </row>
    <row r="517">
      <c r="D517">
        <f>SUM(D513:D516)</f>
        <v/>
      </c>
      <c r="E517" t="inlineStr">
        <is>
          <t xml:space="preserve">Total </t>
        </is>
      </c>
      <c r="F517" s="261">
        <f>SUM(F513:F516)</f>
        <v/>
      </c>
      <c r="G517" t="inlineStr">
        <is>
          <t xml:space="preserve">un </t>
        </is>
      </c>
    </row>
    <row r="521">
      <c r="C521" s="139" t="inlineStr">
        <is>
          <t xml:space="preserve"># Tubos 2" x 2" CLAVADORES  HG </t>
        </is>
      </c>
      <c r="D521" s="140">
        <f>(F517/6)*1.1</f>
        <v/>
      </c>
      <c r="E521" s="139" t="inlineStr">
        <is>
          <t xml:space="preserve">un </t>
        </is>
      </c>
      <c r="F521" s="265" t="n"/>
    </row>
    <row r="525">
      <c r="C525" s="131" t="inlineStr">
        <is>
          <t xml:space="preserve">PRECINTA </t>
        </is>
      </c>
    </row>
    <row r="528">
      <c r="C528" s="132" t="inlineStr">
        <is>
          <t xml:space="preserve">Alto </t>
        </is>
      </c>
      <c r="D528" s="133" t="n">
        <v>2.14</v>
      </c>
      <c r="E528" s="133" t="inlineStr">
        <is>
          <t xml:space="preserve">m </t>
        </is>
      </c>
    </row>
    <row r="529">
      <c r="C529" s="136" t="inlineStr">
        <is>
          <t xml:space="preserve">Largo </t>
        </is>
      </c>
      <c r="D529" s="137" t="n">
        <v>5.9</v>
      </c>
      <c r="E529" s="137" t="inlineStr">
        <is>
          <t xml:space="preserve">m </t>
        </is>
      </c>
    </row>
    <row r="532">
      <c r="C532" s="260" t="inlineStr">
        <is>
          <t>TUBO 3" X 3" (PERIMETRO Y VERTICALES)</t>
        </is>
      </c>
      <c r="D532" s="71">
        <f>D528*2</f>
        <v/>
      </c>
    </row>
    <row r="533">
      <c r="D533" s="71">
        <f>D529</f>
        <v/>
      </c>
    </row>
    <row r="534">
      <c r="D534" s="71">
        <f>6*D528</f>
        <v/>
      </c>
    </row>
    <row r="535">
      <c r="D535" s="71" t="n"/>
    </row>
    <row r="536">
      <c r="C536" t="inlineStr">
        <is>
          <t xml:space="preserve">Largo </t>
        </is>
      </c>
      <c r="D536" s="213">
        <f>SUM(D532:D535)</f>
        <v/>
      </c>
      <c r="E536" s="214" t="inlineStr">
        <is>
          <t xml:space="preserve">m </t>
        </is>
      </c>
    </row>
    <row r="540">
      <c r="C540" s="139" t="inlineStr">
        <is>
          <t xml:space="preserve"># Tubos 3" x 3" HG </t>
        </is>
      </c>
      <c r="D540" s="140">
        <f>(D536/6)*1.1</f>
        <v/>
      </c>
      <c r="E540" s="139" t="inlineStr">
        <is>
          <t xml:space="preserve">un </t>
        </is>
      </c>
    </row>
    <row r="544">
      <c r="C544" s="260" t="inlineStr">
        <is>
          <t>TUBO 2" X 2" (DIAGONALES)</t>
        </is>
      </c>
    </row>
    <row r="545">
      <c r="D545" s="71">
        <f>4*3.52</f>
        <v/>
      </c>
    </row>
    <row r="546">
      <c r="C546" t="inlineStr">
        <is>
          <t xml:space="preserve">Largo </t>
        </is>
      </c>
      <c r="D546" s="213">
        <f>SUM(D545:D545)</f>
        <v/>
      </c>
      <c r="E546" s="214" t="inlineStr">
        <is>
          <t xml:space="preserve">m </t>
        </is>
      </c>
    </row>
    <row r="548">
      <c r="C548" s="139" t="inlineStr">
        <is>
          <t xml:space="preserve"># Tubos 2" x 2" HG </t>
        </is>
      </c>
      <c r="D548" s="140">
        <f>(D546/6)*1.1</f>
        <v/>
      </c>
      <c r="E548" s="139" t="inlineStr">
        <is>
          <t xml:space="preserve">un </t>
        </is>
      </c>
      <c r="F548" s="265" t="n"/>
    </row>
    <row r="552">
      <c r="D552" s="742" t="inlineStr">
        <is>
          <t xml:space="preserve">COMPARACION SISTEMA </t>
        </is>
      </c>
      <c r="E552" s="462" t="n"/>
      <c r="F552" s="461" t="n"/>
    </row>
    <row r="553">
      <c r="D553" s="199" t="inlineStr">
        <is>
          <t xml:space="preserve">Horas </t>
        </is>
      </c>
      <c r="E553" s="129" t="inlineStr">
        <is>
          <t xml:space="preserve">Costo/hora </t>
        </is>
      </c>
      <c r="F553" s="129" t="inlineStr">
        <is>
          <t>Costo Total</t>
        </is>
      </c>
    </row>
    <row r="554">
      <c r="C554" s="246" t="inlineStr">
        <is>
          <t xml:space="preserve">ESTRUCTURA METALICA TECHO </t>
        </is>
      </c>
      <c r="D554" s="199" t="n">
        <v>106</v>
      </c>
      <c r="E554" s="687" t="n">
        <v>1700</v>
      </c>
      <c r="F554" s="687">
        <f>D554*E554</f>
        <v/>
      </c>
    </row>
    <row r="555">
      <c r="C555" s="246" t="inlineStr">
        <is>
          <t xml:space="preserve">ESTRUCTURA TECHO PINTURA </t>
        </is>
      </c>
      <c r="D555" s="199" t="n">
        <v>11</v>
      </c>
      <c r="E555" s="687" t="n">
        <v>1700</v>
      </c>
      <c r="F555" s="687">
        <f>D555*E555</f>
        <v/>
      </c>
    </row>
    <row r="556">
      <c r="D556" s="199" t="n"/>
      <c r="E556" s="129" t="n"/>
      <c r="F556" s="746">
        <f>SUM(F554:F555)</f>
        <v/>
      </c>
    </row>
    <row r="561" ht="21" customHeight="1">
      <c r="C561" s="351" t="n">
        <v>8</v>
      </c>
      <c r="D561" s="351" t="inlineStr">
        <is>
          <t xml:space="preserve">ESTRUCTURA TECHO COCHERA </t>
        </is>
      </c>
    </row>
    <row r="563">
      <c r="C563" s="131" t="inlineStr">
        <is>
          <t xml:space="preserve">ESTRUCTURA </t>
        </is>
      </c>
    </row>
    <row r="566">
      <c r="C566" s="260" t="inlineStr">
        <is>
          <t xml:space="preserve">TUBO  2" X 6"HN </t>
        </is>
      </c>
      <c r="D566" s="71" t="n">
        <v>19.7</v>
      </c>
    </row>
    <row r="567">
      <c r="D567" s="71" t="n">
        <v>2.89</v>
      </c>
    </row>
    <row r="568">
      <c r="D568" s="71" t="n">
        <v>14.45</v>
      </c>
    </row>
    <row r="569">
      <c r="D569" s="71" t="n">
        <v>3.3</v>
      </c>
    </row>
    <row r="570">
      <c r="D570" s="71" t="n"/>
    </row>
    <row r="571">
      <c r="C571" t="inlineStr">
        <is>
          <t xml:space="preserve">Largo </t>
        </is>
      </c>
      <c r="D571" s="213">
        <f>SUM(D566:D570)</f>
        <v/>
      </c>
      <c r="E571" s="214" t="inlineStr">
        <is>
          <t xml:space="preserve">m </t>
        </is>
      </c>
    </row>
    <row r="575">
      <c r="C575" s="139" t="inlineStr">
        <is>
          <t xml:space="preserve"># Tubos 2" x 6" </t>
        </is>
      </c>
      <c r="D575" s="140">
        <f>D571/6</f>
        <v/>
      </c>
      <c r="E575" s="139" t="inlineStr">
        <is>
          <t xml:space="preserve">un </t>
        </is>
      </c>
    </row>
    <row r="579">
      <c r="C579" s="260" t="inlineStr">
        <is>
          <t xml:space="preserve">TUBO  2" X 2"HN </t>
        </is>
      </c>
      <c r="D579" s="71">
        <f>6.8*4</f>
        <v/>
      </c>
    </row>
    <row r="580">
      <c r="D580" s="71" t="n">
        <v>3.5</v>
      </c>
    </row>
    <row r="581">
      <c r="D581" s="71" t="n"/>
    </row>
    <row r="582">
      <c r="D582" s="71" t="n"/>
    </row>
    <row r="583">
      <c r="D583" s="71" t="n"/>
    </row>
    <row r="584">
      <c r="C584" t="inlineStr">
        <is>
          <t xml:space="preserve">Largo </t>
        </is>
      </c>
      <c r="D584" s="213">
        <f>SUM(D579:D583)</f>
        <v/>
      </c>
      <c r="E584" s="214" t="inlineStr">
        <is>
          <t xml:space="preserve">m </t>
        </is>
      </c>
    </row>
    <row r="588">
      <c r="C588" s="139" t="inlineStr">
        <is>
          <t xml:space="preserve"># Tubos 2" x 2" </t>
        </is>
      </c>
      <c r="D588" s="140">
        <f>D584/6</f>
        <v/>
      </c>
      <c r="E588" s="139" t="inlineStr">
        <is>
          <t xml:space="preserve">un </t>
        </is>
      </c>
    </row>
    <row r="592">
      <c r="C592" s="260" t="inlineStr">
        <is>
          <t xml:space="preserve">TUBO  3" X 3"HN </t>
        </is>
      </c>
      <c r="D592" s="71" t="n"/>
    </row>
    <row r="593">
      <c r="D593" s="71" t="n"/>
    </row>
    <row r="594">
      <c r="D594" s="71">
        <f>2.55*2</f>
        <v/>
      </c>
    </row>
    <row r="595">
      <c r="D595" s="71">
        <f>0.25*2</f>
        <v/>
      </c>
    </row>
    <row r="596">
      <c r="D596" s="71" t="n"/>
    </row>
    <row r="597">
      <c r="C597" t="inlineStr">
        <is>
          <t xml:space="preserve">Largo </t>
        </is>
      </c>
      <c r="D597" s="213">
        <f>SUM(D592:D596)</f>
        <v/>
      </c>
      <c r="E597" s="214" t="inlineStr">
        <is>
          <t xml:space="preserve">m </t>
        </is>
      </c>
    </row>
    <row r="601">
      <c r="C601" s="139" t="inlineStr">
        <is>
          <t xml:space="preserve"># Tubos 3" x 3" </t>
        </is>
      </c>
      <c r="D601" s="140">
        <f>D597/6</f>
        <v/>
      </c>
      <c r="E601" s="139" t="inlineStr">
        <is>
          <t xml:space="preserve">un </t>
        </is>
      </c>
    </row>
    <row r="608">
      <c r="D608" s="742" t="inlineStr">
        <is>
          <t xml:space="preserve">COMPARACION SISTEMA </t>
        </is>
      </c>
      <c r="E608" s="462" t="n"/>
      <c r="F608" s="461" t="n"/>
    </row>
    <row r="609">
      <c r="D609" s="199" t="inlineStr">
        <is>
          <t xml:space="preserve">Horas </t>
        </is>
      </c>
      <c r="E609" s="129" t="inlineStr">
        <is>
          <t xml:space="preserve">Costo/hora </t>
        </is>
      </c>
      <c r="F609" s="129" t="inlineStr">
        <is>
          <t>Costo Total</t>
        </is>
      </c>
    </row>
    <row r="610">
      <c r="C610" s="246" t="inlineStr">
        <is>
          <t xml:space="preserve">ESTRUCTURA METALICA TECHO COCHERA </t>
        </is>
      </c>
      <c r="D610" s="199" t="n">
        <v>40</v>
      </c>
      <c r="E610" s="687" t="n">
        <v>1700</v>
      </c>
      <c r="F610" s="687">
        <f>D610*E610</f>
        <v/>
      </c>
    </row>
    <row r="611">
      <c r="C611" s="246" t="inlineStr">
        <is>
          <t xml:space="preserve">ESTRUCTURA TECHO PINTURA COCHERA </t>
        </is>
      </c>
      <c r="D611" s="199" t="n">
        <v>10</v>
      </c>
      <c r="E611" s="687" t="n">
        <v>1700</v>
      </c>
      <c r="F611" s="687">
        <f>D611*E611</f>
        <v/>
      </c>
    </row>
    <row r="612">
      <c r="D612" s="199" t="n"/>
      <c r="E612" s="129" t="n"/>
      <c r="F612" s="746">
        <f>SUM(F610:F611)</f>
        <v/>
      </c>
    </row>
    <row r="617" ht="21" customHeight="1">
      <c r="C617" s="351" t="n">
        <v>9</v>
      </c>
      <c r="D617" s="351" t="inlineStr">
        <is>
          <t xml:space="preserve">CUBIERTA TECHO CASA </t>
        </is>
      </c>
    </row>
    <row r="619">
      <c r="C619" s="132" t="inlineStr">
        <is>
          <t xml:space="preserve">AREA </t>
        </is>
      </c>
      <c r="D619" s="133" t="n">
        <v>62.05</v>
      </c>
      <c r="E619" s="133" t="inlineStr">
        <is>
          <t xml:space="preserve">m2 </t>
        </is>
      </c>
    </row>
    <row r="621" ht="27.75" customHeight="1">
      <c r="D621" s="199" t="inlineStr">
        <is>
          <t xml:space="preserve">Cantidad lamina </t>
        </is>
      </c>
      <c r="E621" s="262" t="inlineStr">
        <is>
          <t>Medida (largo) (m)</t>
        </is>
      </c>
      <c r="F621" s="154" t="inlineStr">
        <is>
          <t xml:space="preserve">Largo total </t>
        </is>
      </c>
    </row>
    <row r="622">
      <c r="D622" s="199" t="n">
        <v>3</v>
      </c>
      <c r="E622" s="199" t="n">
        <v>11.5</v>
      </c>
      <c r="F622" s="199">
        <f>D622*E622</f>
        <v/>
      </c>
    </row>
    <row r="623">
      <c r="D623" s="199" t="n">
        <v>2.5</v>
      </c>
      <c r="E623" s="199" t="n">
        <v>12.09</v>
      </c>
      <c r="F623" s="199">
        <f>D623*E623</f>
        <v/>
      </c>
    </row>
    <row r="624">
      <c r="D624" s="199" t="n">
        <v>3.5</v>
      </c>
      <c r="E624" s="199" t="n">
        <v>11.4</v>
      </c>
      <c r="F624" s="199">
        <f>D624*E624</f>
        <v/>
      </c>
    </row>
    <row r="625">
      <c r="D625" s="199" t="n">
        <v>3</v>
      </c>
      <c r="E625" s="199" t="n">
        <v>7.97</v>
      </c>
      <c r="F625" s="199">
        <f>D625*E625</f>
        <v/>
      </c>
    </row>
    <row r="626">
      <c r="D626" s="199" t="n">
        <v>1</v>
      </c>
      <c r="E626" s="199" t="n">
        <v>5.11</v>
      </c>
      <c r="F626" s="199">
        <f>D626*E626</f>
        <v/>
      </c>
    </row>
    <row r="627">
      <c r="D627" s="199" t="n"/>
      <c r="E627" s="199" t="n"/>
      <c r="F627" s="199">
        <f>D627*E627</f>
        <v/>
      </c>
    </row>
    <row r="628">
      <c r="D628">
        <f>SUM(D622:D627)</f>
        <v/>
      </c>
      <c r="E628" t="inlineStr">
        <is>
          <t xml:space="preserve">Total </t>
        </is>
      </c>
      <c r="F628" s="261">
        <f>SUM(F622:F627)</f>
        <v/>
      </c>
      <c r="G628" t="inlineStr">
        <is>
          <t>m</t>
        </is>
      </c>
    </row>
    <row r="631">
      <c r="C631" s="139" t="inlineStr">
        <is>
          <t xml:space="preserve">Total de kilos </t>
        </is>
      </c>
      <c r="D631" s="140">
        <f>F628*2.15</f>
        <v/>
      </c>
      <c r="E631" s="139" t="inlineStr">
        <is>
          <t xml:space="preserve">kg </t>
        </is>
      </c>
    </row>
    <row r="635">
      <c r="C635" s="216" t="inlineStr">
        <is>
          <t xml:space="preserve">NOTA : 1 m equivale 2,15 kg de peso de lamina de cubierta </t>
        </is>
      </c>
      <c r="D635" s="216" t="n"/>
      <c r="E635" t="inlineStr">
        <is>
          <t xml:space="preserve">DESPERDICIO </t>
        </is>
      </c>
    </row>
    <row r="636">
      <c r="C636" s="216" t="inlineStr">
        <is>
          <t xml:space="preserve">1 clip por clavador </t>
        </is>
      </c>
      <c r="D636" s="263">
        <f>D517*D628</f>
        <v/>
      </c>
      <c r="E636" s="264">
        <f>D636*1.28</f>
        <v/>
      </c>
    </row>
    <row r="637">
      <c r="C637" s="216" t="inlineStr">
        <is>
          <t xml:space="preserve">2 Tornillos de 1" x clavador </t>
        </is>
      </c>
      <c r="D637" s="263">
        <f>D628*D517*2</f>
        <v/>
      </c>
      <c r="E637" s="264">
        <f>D637*1.28</f>
        <v/>
      </c>
    </row>
    <row r="639">
      <c r="D639" s="742" t="inlineStr">
        <is>
          <t xml:space="preserve">COMPARACION SISTEMA </t>
        </is>
      </c>
      <c r="E639" s="462" t="n"/>
      <c r="F639" s="461" t="n"/>
    </row>
    <row r="640">
      <c r="D640" s="199" t="inlineStr">
        <is>
          <t xml:space="preserve">Horas </t>
        </is>
      </c>
      <c r="E640" s="129" t="inlineStr">
        <is>
          <t xml:space="preserve">Costo/hora </t>
        </is>
      </c>
      <c r="F640" s="129" t="inlineStr">
        <is>
          <t>Costo Total</t>
        </is>
      </c>
    </row>
    <row r="641">
      <c r="C641" s="246" t="inlineStr">
        <is>
          <t xml:space="preserve">CUBIERTA TECHO  </t>
        </is>
      </c>
      <c r="D641" s="199" t="n">
        <v>30</v>
      </c>
      <c r="E641" s="687" t="n">
        <v>1700</v>
      </c>
      <c r="F641" s="687">
        <f>D641*E641</f>
        <v/>
      </c>
    </row>
    <row r="642">
      <c r="D642" s="199" t="n"/>
      <c r="E642" s="129" t="n"/>
      <c r="F642" s="746">
        <f>SUM(F641:F641)</f>
        <v/>
      </c>
    </row>
    <row r="648" ht="21" customHeight="1">
      <c r="C648" s="351" t="n">
        <v>10</v>
      </c>
      <c r="D648" s="351" t="inlineStr">
        <is>
          <t xml:space="preserve">CUBIERTA TECHO COCHERA  </t>
        </is>
      </c>
    </row>
    <row r="650">
      <c r="C650" s="132" t="inlineStr">
        <is>
          <t xml:space="preserve">AREA </t>
        </is>
      </c>
      <c r="D650" s="133" t="n">
        <v>27.62</v>
      </c>
      <c r="E650" s="133" t="inlineStr">
        <is>
          <t xml:space="preserve">m2 </t>
        </is>
      </c>
    </row>
    <row r="653">
      <c r="D653" s="742" t="inlineStr">
        <is>
          <t xml:space="preserve">COMPARACION SISTEMA </t>
        </is>
      </c>
      <c r="E653" s="462" t="n"/>
      <c r="F653" s="461" t="n"/>
    </row>
    <row r="654">
      <c r="D654" s="199" t="inlineStr">
        <is>
          <t xml:space="preserve">Horas </t>
        </is>
      </c>
      <c r="E654" s="129" t="inlineStr">
        <is>
          <t xml:space="preserve">Costo/hora </t>
        </is>
      </c>
      <c r="F654" s="129" t="inlineStr">
        <is>
          <t>Costo Total</t>
        </is>
      </c>
    </row>
    <row r="655">
      <c r="C655" s="246" t="inlineStr">
        <is>
          <t xml:space="preserve">CUBIERTA TECHO  </t>
        </is>
      </c>
      <c r="D655" s="199" t="n">
        <v>20</v>
      </c>
      <c r="E655" s="687" t="n">
        <v>1700</v>
      </c>
      <c r="F655" s="687">
        <f>D655*E655</f>
        <v/>
      </c>
    </row>
    <row r="656">
      <c r="D656" s="199" t="n"/>
      <c r="E656" s="129" t="n"/>
      <c r="F656" s="746">
        <f>SUM(F655:F655)</f>
        <v/>
      </c>
    </row>
    <row r="662" ht="21" customHeight="1">
      <c r="C662" s="351" t="n">
        <v>11</v>
      </c>
      <c r="D662" s="351" t="inlineStr">
        <is>
          <t xml:space="preserve">HOJALATERIA Y CANOAS </t>
        </is>
      </c>
    </row>
    <row r="665">
      <c r="C665" s="131" t="inlineStr">
        <is>
          <t xml:space="preserve">BOTAGUA 10 cm x 10 cm </t>
        </is>
      </c>
    </row>
    <row r="666">
      <c r="D666" s="71">
        <f>5.25+2.71</f>
        <v/>
      </c>
    </row>
    <row r="667">
      <c r="C667" t="inlineStr">
        <is>
          <t xml:space="preserve">LARGO </t>
        </is>
      </c>
      <c r="D667" s="71" t="n">
        <v>8.49</v>
      </c>
    </row>
    <row r="668">
      <c r="D668" s="71" t="n">
        <v>27.55</v>
      </c>
    </row>
    <row r="669">
      <c r="D669" s="71" t="n">
        <v>5.14</v>
      </c>
    </row>
    <row r="670">
      <c r="C670" s="139" t="inlineStr">
        <is>
          <t xml:space="preserve">TOTAL </t>
        </is>
      </c>
      <c r="D670" s="140">
        <f>SUM(D666:D669)</f>
        <v/>
      </c>
      <c r="E670" s="139" t="inlineStr">
        <is>
          <t xml:space="preserve">m </t>
        </is>
      </c>
    </row>
    <row r="672">
      <c r="C672" s="266" t="inlineStr">
        <is>
          <t xml:space="preserve">#Botaguas </t>
        </is>
      </c>
      <c r="D672" s="267">
        <f>(D670/1.83)*1.05</f>
        <v/>
      </c>
      <c r="E672" s="266" t="inlineStr">
        <is>
          <t xml:space="preserve">un </t>
        </is>
      </c>
    </row>
    <row r="675">
      <c r="C675" s="131" t="inlineStr">
        <is>
          <t xml:space="preserve">CANOA HG 10 cm </t>
        </is>
      </c>
    </row>
    <row r="677">
      <c r="C677" t="inlineStr">
        <is>
          <t xml:space="preserve">LARGO </t>
        </is>
      </c>
      <c r="D677" s="71" t="n">
        <v>10.11</v>
      </c>
    </row>
    <row r="678">
      <c r="D678" s="71" t="n">
        <v>0.65</v>
      </c>
    </row>
    <row r="679">
      <c r="D679" s="71" t="n">
        <v>5.29</v>
      </c>
    </row>
    <row r="680">
      <c r="C680" s="139" t="inlineStr">
        <is>
          <t xml:space="preserve">TOTAL </t>
        </is>
      </c>
      <c r="D680" s="140">
        <f>SUM(D677:D679)</f>
        <v/>
      </c>
      <c r="E680" s="139" t="inlineStr">
        <is>
          <t xml:space="preserve">m </t>
        </is>
      </c>
      <c r="F680" s="268">
        <f>(D680/0.91)*1.05</f>
        <v/>
      </c>
      <c r="G680" s="269" t="inlineStr">
        <is>
          <t xml:space="preserve">yarda </t>
        </is>
      </c>
    </row>
    <row r="683">
      <c r="C683" s="127" t="inlineStr">
        <is>
          <t xml:space="preserve">1 yarda =0,91 m </t>
        </is>
      </c>
    </row>
    <row r="686">
      <c r="D686" s="742" t="inlineStr">
        <is>
          <t xml:space="preserve">COMPARACION SISTEMA </t>
        </is>
      </c>
      <c r="E686" s="462" t="n"/>
      <c r="F686" s="461" t="n"/>
    </row>
    <row r="687">
      <c r="D687" s="199" t="inlineStr">
        <is>
          <t xml:space="preserve">Horas </t>
        </is>
      </c>
      <c r="E687" s="129" t="inlineStr">
        <is>
          <t xml:space="preserve">Costo/hora </t>
        </is>
      </c>
      <c r="F687" s="129" t="inlineStr">
        <is>
          <t>Costo Total</t>
        </is>
      </c>
    </row>
    <row r="688">
      <c r="C688" s="246" t="inlineStr">
        <is>
          <t xml:space="preserve">HOJALATERIA CASA </t>
        </is>
      </c>
      <c r="D688" s="199" t="n">
        <v>22</v>
      </c>
      <c r="E688" s="687" t="n">
        <v>1700</v>
      </c>
      <c r="F688" s="687">
        <f>D688*E688</f>
        <v/>
      </c>
    </row>
    <row r="689">
      <c r="C689" s="246" t="inlineStr">
        <is>
          <t xml:space="preserve">HOJALATERIA COCHERA Y AREA PILA </t>
        </is>
      </c>
      <c r="D689" s="199" t="n">
        <v>12</v>
      </c>
      <c r="E689" s="687" t="n">
        <v>1700</v>
      </c>
      <c r="F689" s="687">
        <f>D689*E689</f>
        <v/>
      </c>
    </row>
    <row r="690">
      <c r="D690" s="199" t="n"/>
      <c r="E690" s="129" t="n"/>
      <c r="F690" s="746">
        <f>SUM(F688:F689)</f>
        <v/>
      </c>
    </row>
    <row r="695" ht="21" customHeight="1">
      <c r="C695" s="351" t="n">
        <v>12</v>
      </c>
      <c r="D695" s="351" t="inlineStr">
        <is>
          <t xml:space="preserve">LIVIANO EXTERIORES </t>
        </is>
      </c>
    </row>
    <row r="697">
      <c r="C697" s="131" t="inlineStr">
        <is>
          <t xml:space="preserve">TAPICHELES </t>
        </is>
      </c>
    </row>
    <row r="699">
      <c r="C699" t="inlineStr">
        <is>
          <t xml:space="preserve">AREA </t>
        </is>
      </c>
      <c r="D699" s="71" t="n">
        <v>9.51</v>
      </c>
    </row>
    <row r="700">
      <c r="D700" s="71" t="n">
        <v>7.89</v>
      </c>
    </row>
    <row r="701">
      <c r="D701" s="71" t="n">
        <v>7.89</v>
      </c>
    </row>
    <row r="702">
      <c r="D702" s="71" t="n">
        <v>9.800000000000001</v>
      </c>
    </row>
    <row r="703">
      <c r="C703" s="129" t="inlineStr">
        <is>
          <t xml:space="preserve">AREA TOTAL </t>
        </is>
      </c>
      <c r="D703" s="206">
        <f>SUM(D699:D702)</f>
        <v/>
      </c>
      <c r="E703" t="inlineStr">
        <is>
          <t>m2</t>
        </is>
      </c>
    </row>
    <row r="707">
      <c r="C707" s="139" t="inlineStr">
        <is>
          <t xml:space="preserve">#Lámina securock </t>
        </is>
      </c>
      <c r="D707" s="140">
        <f>(D703/(1.22*2.44))*1.1</f>
        <v/>
      </c>
      <c r="E707" s="139" t="inlineStr">
        <is>
          <t xml:space="preserve">un </t>
        </is>
      </c>
    </row>
    <row r="710">
      <c r="D710" s="742" t="inlineStr">
        <is>
          <t xml:space="preserve">COMPARACION SISTEMA </t>
        </is>
      </c>
      <c r="E710" s="462" t="n"/>
      <c r="F710" s="461" t="n"/>
    </row>
    <row r="711">
      <c r="D711" s="199" t="inlineStr">
        <is>
          <t xml:space="preserve">Horas </t>
        </is>
      </c>
      <c r="E711" s="129" t="inlineStr">
        <is>
          <t xml:space="preserve">Costo/hora </t>
        </is>
      </c>
      <c r="F711" s="129" t="inlineStr">
        <is>
          <t>Costo Total</t>
        </is>
      </c>
    </row>
    <row r="712">
      <c r="C712" s="246" t="inlineStr">
        <is>
          <t xml:space="preserve">ESTRUCTURA LIVIANA TAPICHELES </t>
        </is>
      </c>
      <c r="D712" s="199" t="n">
        <v>40</v>
      </c>
      <c r="E712" s="687" t="n">
        <v>1700</v>
      </c>
      <c r="F712" s="687">
        <f>D712*E712</f>
        <v/>
      </c>
    </row>
    <row r="713">
      <c r="C713" s="246" t="inlineStr">
        <is>
          <t xml:space="preserve">FORRO TAPICHELES </t>
        </is>
      </c>
      <c r="D713" s="199" t="n">
        <v>40</v>
      </c>
      <c r="E713" s="687" t="n">
        <v>1700</v>
      </c>
      <c r="F713" s="687">
        <f>D713*E713</f>
        <v/>
      </c>
    </row>
    <row r="714">
      <c r="C714" s="246" t="inlineStr">
        <is>
          <t xml:space="preserve">FORRO ALEROS Y TABLILLA </t>
        </is>
      </c>
      <c r="D714" s="199" t="n">
        <v>30</v>
      </c>
      <c r="E714" s="687" t="n">
        <v>1700</v>
      </c>
      <c r="F714" s="687">
        <f>D714*E714</f>
        <v/>
      </c>
    </row>
    <row r="715">
      <c r="C715" s="246" t="inlineStr">
        <is>
          <t xml:space="preserve">PARED EXTERNA </t>
        </is>
      </c>
      <c r="D715" s="199" t="n">
        <v>50</v>
      </c>
      <c r="E715" s="687" t="n">
        <v>1700</v>
      </c>
      <c r="F715" s="687">
        <f>D715*E715</f>
        <v/>
      </c>
    </row>
    <row r="716">
      <c r="D716" s="199" t="n"/>
      <c r="E716" s="129" t="n"/>
      <c r="F716" s="746">
        <f>SUM(F712:F715)</f>
        <v/>
      </c>
    </row>
    <row r="720" ht="21" customHeight="1">
      <c r="C720" s="351" t="n">
        <v>13</v>
      </c>
      <c r="D720" s="351" t="inlineStr">
        <is>
          <t>LIVIANO INTERIORES</t>
        </is>
      </c>
    </row>
    <row r="722">
      <c r="C722" s="131" t="inlineStr">
        <is>
          <t xml:space="preserve">CIELOS </t>
        </is>
      </c>
    </row>
    <row r="724">
      <c r="C724" t="inlineStr">
        <is>
          <t xml:space="preserve">AREA </t>
        </is>
      </c>
      <c r="D724" s="71" t="n">
        <v>2.88</v>
      </c>
    </row>
    <row r="725">
      <c r="D725" s="71" t="n">
        <v>11.72</v>
      </c>
    </row>
    <row r="726">
      <c r="D726" s="71" t="n">
        <v>1.91</v>
      </c>
    </row>
    <row r="727">
      <c r="D727" s="71" t="n">
        <v>20.07</v>
      </c>
    </row>
    <row r="728">
      <c r="D728" s="71" t="n">
        <v>1.99</v>
      </c>
    </row>
    <row r="729">
      <c r="D729" s="71" t="n">
        <v>1.33</v>
      </c>
    </row>
    <row r="730">
      <c r="D730" s="71" t="n">
        <v>7.28</v>
      </c>
    </row>
    <row r="731">
      <c r="D731" s="71" t="n">
        <v>2.19</v>
      </c>
    </row>
    <row r="732">
      <c r="D732" s="71" t="n"/>
    </row>
    <row r="733">
      <c r="C733" s="129" t="inlineStr">
        <is>
          <t xml:space="preserve">AREA TOTAL </t>
        </is>
      </c>
      <c r="D733" s="206">
        <f>SUM(D724:D732)</f>
        <v/>
      </c>
      <c r="E733" t="inlineStr">
        <is>
          <t>m2</t>
        </is>
      </c>
    </row>
    <row r="737">
      <c r="C737" s="131" t="inlineStr">
        <is>
          <t xml:space="preserve">PAREDES </t>
        </is>
      </c>
    </row>
    <row r="738">
      <c r="D738" s="597" t="inlineStr">
        <is>
          <t>PAREDES</t>
        </is>
      </c>
      <c r="E738" s="462" t="n"/>
      <c r="F738" s="462" t="n"/>
      <c r="G738" s="461" t="n"/>
    </row>
    <row r="739">
      <c r="D739" s="154" t="inlineStr">
        <is>
          <t xml:space="preserve">LARGO </t>
        </is>
      </c>
      <c r="E739" s="154" t="inlineStr">
        <is>
          <t xml:space="preserve">ALTO </t>
        </is>
      </c>
      <c r="F739" s="154" t="inlineStr">
        <is>
          <t>AREA</t>
        </is>
      </c>
      <c r="G739" s="199" t="inlineStr">
        <is>
          <t>MATERIAL</t>
        </is>
      </c>
    </row>
    <row r="740">
      <c r="D740" s="154" t="n">
        <v>2.69</v>
      </c>
      <c r="E740" s="154" t="n">
        <v>2.6</v>
      </c>
      <c r="F740" s="339">
        <f>D740*E740</f>
        <v/>
      </c>
      <c r="G740" s="199" t="inlineStr">
        <is>
          <t xml:space="preserve"> 1 CARA DENGLASS </t>
        </is>
      </c>
    </row>
    <row r="741">
      <c r="D741" s="154" t="n">
        <v>1.3</v>
      </c>
      <c r="E741" s="154" t="n">
        <v>2.6</v>
      </c>
      <c r="F741" s="339">
        <f>D741*E741</f>
        <v/>
      </c>
      <c r="G741" s="199" t="inlineStr">
        <is>
          <t xml:space="preserve">2 CARAS: 1 DENGLASS  Y 1 GYPSUM </t>
        </is>
      </c>
    </row>
    <row r="742">
      <c r="D742" s="71" t="n"/>
    </row>
    <row r="743">
      <c r="D743" s="71" t="n"/>
    </row>
    <row r="744">
      <c r="C744" s="129" t="inlineStr">
        <is>
          <t xml:space="preserve">LARGO TOTAL </t>
        </is>
      </c>
      <c r="D744" s="206">
        <f>SUM(D740:D743)</f>
        <v/>
      </c>
      <c r="E744" t="inlineStr">
        <is>
          <t>m</t>
        </is>
      </c>
    </row>
    <row r="747">
      <c r="C747" s="199" t="inlineStr">
        <is>
          <t xml:space="preserve">ALTURA </t>
        </is>
      </c>
      <c r="D747" s="199" t="n">
        <v>2.6</v>
      </c>
      <c r="E747" s="129" t="inlineStr">
        <is>
          <t xml:space="preserve">m </t>
        </is>
      </c>
    </row>
    <row r="750">
      <c r="C750" s="139" t="inlineStr">
        <is>
          <t xml:space="preserve">Area paredes livianas </t>
        </is>
      </c>
      <c r="D750" s="140">
        <f>D744*D747</f>
        <v/>
      </c>
      <c r="E750" s="139" t="inlineStr">
        <is>
          <t xml:space="preserve">m2 </t>
        </is>
      </c>
    </row>
    <row r="753">
      <c r="C753" s="132" t="inlineStr">
        <is>
          <t>TRACK</t>
        </is>
      </c>
      <c r="D753" s="133" t="inlineStr">
        <is>
          <t xml:space="preserve">0,28 un /m2 </t>
        </is>
      </c>
    </row>
    <row r="754">
      <c r="C754" s="132" t="inlineStr">
        <is>
          <t xml:space="preserve">STUD </t>
        </is>
      </c>
      <c r="D754" s="133" t="inlineStr">
        <is>
          <t xml:space="preserve">0,90 un/m2 </t>
        </is>
      </c>
    </row>
    <row r="755">
      <c r="C755" s="132" t="inlineStr">
        <is>
          <t>MURO SECO (sur)</t>
        </is>
      </c>
      <c r="D755" s="133" t="inlineStr">
        <is>
          <t xml:space="preserve">3,3 sacos/m2 </t>
        </is>
      </c>
    </row>
    <row r="756">
      <c r="C756" s="132" t="inlineStr">
        <is>
          <t xml:space="preserve">CINTA 76 </t>
        </is>
      </c>
      <c r="D756" s="132" t="inlineStr">
        <is>
          <t xml:space="preserve">1 Lamina x 3,66x 1,1 /0,76 m </t>
        </is>
      </c>
    </row>
    <row r="760">
      <c r="D760" s="742" t="inlineStr">
        <is>
          <t xml:space="preserve">COMPARACION SISTEMA </t>
        </is>
      </c>
      <c r="E760" s="462" t="n"/>
      <c r="F760" s="461" t="n"/>
    </row>
    <row r="761">
      <c r="D761" s="199" t="inlineStr">
        <is>
          <t xml:space="preserve">Horas </t>
        </is>
      </c>
      <c r="E761" s="129" t="inlineStr">
        <is>
          <t xml:space="preserve">Costo/hora </t>
        </is>
      </c>
      <c r="F761" s="129" t="inlineStr">
        <is>
          <t>Costo Total</t>
        </is>
      </c>
    </row>
    <row r="762">
      <c r="C762" s="246" t="inlineStr">
        <is>
          <t xml:space="preserve">ESTRUCTURA LIVIANA INTERNA </t>
        </is>
      </c>
      <c r="D762" s="199" t="n">
        <v>60</v>
      </c>
      <c r="E762" s="687" t="n">
        <v>1700</v>
      </c>
      <c r="F762" s="687">
        <f>D762*E762</f>
        <v/>
      </c>
    </row>
    <row r="763">
      <c r="C763" s="246" t="inlineStr">
        <is>
          <t xml:space="preserve">FORRO LIVIANO INTERNO </t>
        </is>
      </c>
      <c r="D763" s="199" t="n">
        <v>70</v>
      </c>
      <c r="E763" s="687" t="n">
        <v>1700</v>
      </c>
      <c r="F763" s="687">
        <f>D763*E763</f>
        <v/>
      </c>
    </row>
    <row r="764">
      <c r="C764" s="246" t="n"/>
      <c r="D764" s="199" t="n"/>
      <c r="E764" s="687" t="n"/>
      <c r="F764" s="687" t="n"/>
    </row>
    <row r="765">
      <c r="C765" s="246" t="n"/>
      <c r="D765" s="199" t="n"/>
      <c r="E765" s="687" t="n"/>
      <c r="F765" s="687" t="n"/>
    </row>
    <row r="766">
      <c r="D766" s="199" t="n"/>
      <c r="E766" s="129" t="n"/>
      <c r="F766" s="746">
        <f>SUM(F762:F765)</f>
        <v/>
      </c>
    </row>
    <row r="771" ht="21" customHeight="1">
      <c r="C771" s="351" t="n">
        <v>14</v>
      </c>
      <c r="D771" s="351" t="inlineStr">
        <is>
          <t xml:space="preserve">REPELLO INTERNOY EXTERNO </t>
        </is>
      </c>
    </row>
    <row r="773">
      <c r="C773" s="131" t="inlineStr">
        <is>
          <t>EM: EMPASTE (INTERIOR)</t>
        </is>
      </c>
      <c r="D773" s="345" t="n"/>
    </row>
    <row r="776">
      <c r="C776" s="199" t="inlineStr">
        <is>
          <t xml:space="preserve">LARGO PARED </t>
        </is>
      </c>
      <c r="D776" s="199" t="n">
        <v>6.28</v>
      </c>
      <c r="E776" s="199" t="inlineStr">
        <is>
          <t xml:space="preserve">m </t>
        </is>
      </c>
    </row>
    <row r="777">
      <c r="D777" s="199" t="n">
        <v>0.95</v>
      </c>
    </row>
    <row r="778">
      <c r="D778" s="199" t="n">
        <v>0.45</v>
      </c>
    </row>
    <row r="779">
      <c r="D779" s="199" t="n">
        <v>4.46</v>
      </c>
    </row>
    <row r="780">
      <c r="D780" s="199" t="n">
        <v>4.85</v>
      </c>
    </row>
    <row r="781">
      <c r="D781" s="199" t="n">
        <v>1.36</v>
      </c>
    </row>
    <row r="782">
      <c r="D782" s="199" t="n">
        <v>2.35</v>
      </c>
    </row>
    <row r="783">
      <c r="D783" s="199" t="n">
        <v>1.84</v>
      </c>
    </row>
    <row r="784">
      <c r="D784" s="199" t="n">
        <v>2.69</v>
      </c>
    </row>
    <row r="785">
      <c r="D785" s="199" t="n">
        <v>16.05</v>
      </c>
    </row>
    <row r="786">
      <c r="D786" s="103" t="n">
        <v>15.4</v>
      </c>
    </row>
    <row r="787">
      <c r="C787" t="inlineStr">
        <is>
          <t xml:space="preserve">LARGO PARED </t>
        </is>
      </c>
      <c r="D787" s="206">
        <f>SUM(D776:D786)</f>
        <v/>
      </c>
      <c r="E787" s="129" t="inlineStr">
        <is>
          <t xml:space="preserve">m </t>
        </is>
      </c>
    </row>
    <row r="790">
      <c r="C790" s="132" t="inlineStr">
        <is>
          <t xml:space="preserve">ALTO DE PARED </t>
        </is>
      </c>
      <c r="D790" s="133" t="n"/>
      <c r="E790" t="inlineStr">
        <is>
          <t xml:space="preserve"> m </t>
        </is>
      </c>
    </row>
    <row r="793">
      <c r="C793" s="139" t="inlineStr">
        <is>
          <t xml:space="preserve">Area </t>
        </is>
      </c>
      <c r="D793" s="140">
        <f>(D787*D790)</f>
        <v/>
      </c>
      <c r="E793" s="139" t="inlineStr">
        <is>
          <t xml:space="preserve">m2 </t>
        </is>
      </c>
    </row>
    <row r="797">
      <c r="C797" s="131" t="inlineStr">
        <is>
          <t>MS: MURO SECO (EXTERIOR)</t>
        </is>
      </c>
      <c r="D797" s="346" t="n"/>
    </row>
    <row r="800">
      <c r="C800" s="199" t="inlineStr">
        <is>
          <t xml:space="preserve">LARGO PARED </t>
        </is>
      </c>
      <c r="D800" s="199" t="n">
        <v>14.93</v>
      </c>
      <c r="E800" s="199" t="inlineStr">
        <is>
          <t xml:space="preserve">m </t>
        </is>
      </c>
    </row>
    <row r="801">
      <c r="D801" s="199" t="n">
        <v>17.59</v>
      </c>
    </row>
    <row r="802">
      <c r="D802" s="199" t="n">
        <v>2.91</v>
      </c>
    </row>
    <row r="803">
      <c r="C803" t="inlineStr">
        <is>
          <t xml:space="preserve">LARGO PARED </t>
        </is>
      </c>
      <c r="D803" s="206">
        <f>SUM(D800:D802)</f>
        <v/>
      </c>
      <c r="E803" s="129" t="inlineStr">
        <is>
          <t xml:space="preserve">m </t>
        </is>
      </c>
    </row>
    <row r="806" ht="21" customHeight="1">
      <c r="C806" s="351" t="n">
        <v>15</v>
      </c>
      <c r="D806" s="351" t="inlineStr">
        <is>
          <t xml:space="preserve">ENCHAPES INTERNO Y EXTERNO </t>
        </is>
      </c>
    </row>
    <row r="808" customFormat="1" s="459"/>
    <row r="810">
      <c r="C810" s="131" t="inlineStr">
        <is>
          <t xml:space="preserve">PA: AZULEJO A ELEGIR  </t>
        </is>
      </c>
      <c r="D810" s="125" t="n"/>
    </row>
    <row r="812">
      <c r="C812" s="199" t="inlineStr">
        <is>
          <t xml:space="preserve">LARGO PARED </t>
        </is>
      </c>
      <c r="D812" s="199" t="n">
        <v>2.42</v>
      </c>
      <c r="E812" s="199" t="inlineStr">
        <is>
          <t xml:space="preserve">m </t>
        </is>
      </c>
      <c r="F812" s="344" t="inlineStr">
        <is>
          <t>FALTA PISO</t>
        </is>
      </c>
    </row>
    <row r="813">
      <c r="D813" s="199" t="n">
        <v>2.16</v>
      </c>
      <c r="F813" s="127" t="n"/>
    </row>
    <row r="814">
      <c r="C814" t="inlineStr">
        <is>
          <t xml:space="preserve">LARGO PARED </t>
        </is>
      </c>
      <c r="D814" s="206">
        <f>SUM(D812:D813)</f>
        <v/>
      </c>
      <c r="E814" s="199" t="inlineStr">
        <is>
          <t xml:space="preserve">m </t>
        </is>
      </c>
      <c r="F814" s="127" t="n"/>
    </row>
    <row r="818">
      <c r="C818" s="132" t="inlineStr">
        <is>
          <t xml:space="preserve">ALTO DE PARED </t>
        </is>
      </c>
      <c r="D818" s="133" t="n">
        <v>2.6</v>
      </c>
      <c r="E818" t="inlineStr">
        <is>
          <t xml:space="preserve"> m </t>
        </is>
      </c>
      <c r="G818" s="129" t="inlineStr">
        <is>
          <t>Rendimiento de mortero de pega</t>
        </is>
      </c>
      <c r="H818" s="129" t="n">
        <v>2.2</v>
      </c>
    </row>
    <row r="819">
      <c r="G819" s="129" t="inlineStr">
        <is>
          <t>Pega cerámica plus Cemex (saco 20Kg)</t>
        </is>
      </c>
      <c r="H819" s="129">
        <f>+ROUNDUP(D825/H818,0)</f>
        <v/>
      </c>
    </row>
    <row r="820">
      <c r="C820" s="139" t="inlineStr">
        <is>
          <t xml:space="preserve">Area </t>
        </is>
      </c>
      <c r="D820" s="140">
        <f>(D814*D818)</f>
        <v/>
      </c>
      <c r="E820" s="139" t="inlineStr">
        <is>
          <t xml:space="preserve">m2 </t>
        </is>
      </c>
    </row>
    <row r="821">
      <c r="G821" s="199" t="inlineStr">
        <is>
          <t>Información técnica</t>
        </is>
      </c>
      <c r="H821" s="199" t="inlineStr">
        <is>
          <t>Formato pieza</t>
        </is>
      </c>
      <c r="I821" s="199" t="inlineStr">
        <is>
          <t>Rendimiento</t>
        </is>
      </c>
      <c r="J821" s="199" t="inlineStr">
        <is>
          <t>Cantidad (und 2 kg)</t>
        </is>
      </c>
    </row>
    <row r="822">
      <c r="C822" s="139" t="inlineStr">
        <is>
          <t xml:space="preserve">Area de piso de duchas </t>
        </is>
      </c>
      <c r="D822" s="140">
        <f>3.2+2.84</f>
        <v/>
      </c>
      <c r="E822" s="139" t="inlineStr">
        <is>
          <t xml:space="preserve">m2 </t>
        </is>
      </c>
      <c r="G822" s="199" t="inlineStr">
        <is>
          <t xml:space="preserve">Rendimiento de fragua (kg/m2) </t>
        </is>
      </c>
      <c r="H822" s="199" t="inlineStr">
        <is>
          <t>200x600</t>
        </is>
      </c>
      <c r="I822" s="199" t="n">
        <v>0.15</v>
      </c>
      <c r="J822" s="199">
        <f>+ROUNDUP(D825*I822/2,0)</f>
        <v/>
      </c>
    </row>
    <row r="824">
      <c r="B824" s="127" t="n"/>
      <c r="C824" s="347" t="inlineStr">
        <is>
          <t xml:space="preserve">AREA TOTAL DE ENCHAPES </t>
        </is>
      </c>
      <c r="D824" s="348">
        <f>D820+D822</f>
        <v/>
      </c>
      <c r="E824" s="347" t="inlineStr">
        <is>
          <t xml:space="preserve">m2 </t>
        </is>
      </c>
    </row>
    <row r="825">
      <c r="C825" t="inlineStr">
        <is>
          <t>Con desperdicio (7%)</t>
        </is>
      </c>
      <c r="D825" s="348">
        <f>+ROUNDUP(D824*1.07,0)</f>
        <v/>
      </c>
    </row>
    <row r="827" customFormat="1" s="459"/>
    <row r="830">
      <c r="C830" s="131" t="inlineStr">
        <is>
          <t>FA: FACHALETA A ELEGIR (SIDING)</t>
        </is>
      </c>
      <c r="D830" s="127" t="n"/>
      <c r="G830" s="129" t="inlineStr">
        <is>
          <t>Rendimiento de mortero de pega</t>
        </is>
      </c>
      <c r="H830" s="129" t="n">
        <v>2.2</v>
      </c>
    </row>
    <row r="831">
      <c r="G831" s="129" t="inlineStr">
        <is>
          <t>Pega cerámica plus Cemex (saco 20Kg)</t>
        </is>
      </c>
      <c r="H831" s="129">
        <f>+D848/H830</f>
        <v/>
      </c>
    </row>
    <row r="833">
      <c r="B833" s="752" t="inlineStr">
        <is>
          <t>Sector A</t>
        </is>
      </c>
      <c r="C833" s="465" t="inlineStr">
        <is>
          <t xml:space="preserve">LARGO PARED </t>
        </is>
      </c>
      <c r="D833" s="199" t="n">
        <v>0.7</v>
      </c>
      <c r="E833" s="199" t="inlineStr">
        <is>
          <t xml:space="preserve">m </t>
        </is>
      </c>
      <c r="G833" s="199" t="inlineStr">
        <is>
          <t>Información técnica</t>
        </is>
      </c>
      <c r="H833" s="199" t="inlineStr">
        <is>
          <t>Formato pieza</t>
        </is>
      </c>
      <c r="I833" s="199" t="inlineStr">
        <is>
          <t>Rendimiento</t>
        </is>
      </c>
      <c r="J833" s="199" t="inlineStr">
        <is>
          <t>Cantidad (und 2 kg)</t>
        </is>
      </c>
    </row>
    <row r="834">
      <c r="B834" s="751" t="n"/>
      <c r="D834" s="199" t="n"/>
      <c r="G834" s="199" t="inlineStr">
        <is>
          <t xml:space="preserve">Rendimiento de fragua (kg/m2) </t>
        </is>
      </c>
      <c r="H834" s="199" t="inlineStr">
        <is>
          <t>200x600</t>
        </is>
      </c>
      <c r="I834" s="199" t="n">
        <v>0.15</v>
      </c>
      <c r="J834" s="199">
        <f>+ROUNDUP(D840*I834/2,0)</f>
        <v/>
      </c>
    </row>
    <row r="835">
      <c r="B835" s="751" t="n"/>
      <c r="C835" t="inlineStr">
        <is>
          <t xml:space="preserve">LARGO PARED </t>
        </is>
      </c>
      <c r="D835" s="206">
        <f>SUM(D833:D834)</f>
        <v/>
      </c>
      <c r="E835" s="129" t="inlineStr">
        <is>
          <t xml:space="preserve">m </t>
        </is>
      </c>
    </row>
    <row r="836">
      <c r="B836" s="751" t="n"/>
      <c r="N836" s="70" t="inlineStr">
        <is>
          <t xml:space="preserve">SECTOR A </t>
        </is>
      </c>
      <c r="O836" s="70" t="inlineStr">
        <is>
          <t>SECTOR B</t>
        </is>
      </c>
      <c r="P836" s="145" t="inlineStr">
        <is>
          <t>TOTAL</t>
        </is>
      </c>
      <c r="Q836" s="145" t="inlineStr">
        <is>
          <t>UNIDAD</t>
        </is>
      </c>
    </row>
    <row r="837">
      <c r="B837" s="751" t="n"/>
      <c r="C837" s="466" t="inlineStr">
        <is>
          <t xml:space="preserve">ALTO DE PARED </t>
        </is>
      </c>
      <c r="D837" s="133" t="n">
        <v>4.25</v>
      </c>
      <c r="E837" t="inlineStr">
        <is>
          <t xml:space="preserve"> m </t>
        </is>
      </c>
      <c r="J837" s="463" t="inlineStr">
        <is>
          <t>Descripción del material</t>
        </is>
      </c>
      <c r="K837" s="464" t="n"/>
      <c r="L837" s="464" t="n"/>
      <c r="M837" s="464" t="n"/>
      <c r="N837" s="434" t="inlineStr">
        <is>
          <t>Cantidad</t>
        </is>
      </c>
      <c r="O837" s="469" t="inlineStr">
        <is>
          <t>Cantidad</t>
        </is>
      </c>
      <c r="P837" s="88" t="n"/>
      <c r="Q837" s="88" t="n"/>
    </row>
    <row r="838" ht="14.85" customHeight="1">
      <c r="B838" s="751" t="n"/>
      <c r="J838" s="151" t="inlineStr">
        <is>
          <t>Perfil H.G.PA Cal 20 10 X 3.2 X 305CM G60</t>
        </is>
      </c>
      <c r="K838" s="462" t="n"/>
      <c r="L838" s="462" t="n"/>
      <c r="M838" s="461" t="n"/>
      <c r="N838" s="465" t="n">
        <v>1</v>
      </c>
      <c r="O838" s="465" t="n">
        <v>1</v>
      </c>
      <c r="P838" s="465">
        <f>SUM(N838:O838)</f>
        <v/>
      </c>
      <c r="Q838" s="199" t="inlineStr">
        <is>
          <t>UND</t>
        </is>
      </c>
    </row>
    <row r="839">
      <c r="B839" s="751" t="n"/>
      <c r="C839" s="467" t="inlineStr">
        <is>
          <t>AREA TOTAL SIDING</t>
        </is>
      </c>
      <c r="D839" s="348">
        <f>(D835*D837)</f>
        <v/>
      </c>
      <c r="E839" s="347" t="inlineStr">
        <is>
          <t xml:space="preserve">m2 </t>
        </is>
      </c>
      <c r="J839" s="151" t="inlineStr">
        <is>
          <t>Perfil H.G.PE Cal 20 10 X 5.0 X 305CM G60</t>
        </is>
      </c>
      <c r="K839" s="462" t="n"/>
      <c r="L839" s="462" t="n"/>
      <c r="M839" s="461" t="n"/>
      <c r="N839" s="465" t="n">
        <v>5</v>
      </c>
      <c r="O839" s="465" t="n">
        <v>4</v>
      </c>
      <c r="P839" s="465">
        <f>SUM(N839:O839)</f>
        <v/>
      </c>
      <c r="Q839" s="199" t="inlineStr">
        <is>
          <t>UND</t>
        </is>
      </c>
    </row>
    <row r="840" ht="14.85" customHeight="1">
      <c r="B840" s="751" t="n"/>
      <c r="J840" s="151" t="inlineStr">
        <is>
          <t>Tornillos LH8-050 uniones metálicas</t>
        </is>
      </c>
      <c r="K840" s="462" t="n"/>
      <c r="L840" s="462" t="n"/>
      <c r="M840" s="461" t="n"/>
      <c r="N840" s="465" t="n">
        <v>25</v>
      </c>
      <c r="O840" s="465" t="n">
        <v>20</v>
      </c>
      <c r="P840" s="465">
        <f>SUM(N840:O840)</f>
        <v/>
      </c>
      <c r="Q840" s="199" t="inlineStr">
        <is>
          <t>UND</t>
        </is>
      </c>
    </row>
    <row r="841">
      <c r="B841" s="88" t="n"/>
      <c r="C841" s="465" t="inlineStr">
        <is>
          <t xml:space="preserve">LARGO PARED </t>
        </is>
      </c>
      <c r="D841" s="199" t="n">
        <v>1</v>
      </c>
      <c r="E841" s="199" t="inlineStr">
        <is>
          <t xml:space="preserve">m </t>
        </is>
      </c>
      <c r="J841" s="151" t="inlineStr">
        <is>
          <t>T-Tek Tablilla js 11mm 1229x2438mm A11 D76</t>
        </is>
      </c>
      <c r="K841" s="462" t="n"/>
      <c r="L841" s="462" t="n"/>
      <c r="M841" s="461" t="n"/>
      <c r="N841" s="199" t="n">
        <v>2</v>
      </c>
      <c r="O841" s="199" t="n">
        <v>2</v>
      </c>
      <c r="P841" s="465">
        <f>SUM(N841:O841)</f>
        <v/>
      </c>
      <c r="Q841" s="199" t="inlineStr">
        <is>
          <t>UND</t>
        </is>
      </c>
    </row>
    <row r="842">
      <c r="D842" s="199" t="n"/>
      <c r="J842" s="151" t="inlineStr">
        <is>
          <t>Torn Plycem PH8-125 punta tek #8x1-1/4</t>
        </is>
      </c>
      <c r="K842" s="462" t="n"/>
      <c r="L842" s="462" t="n"/>
      <c r="M842" s="461" t="n"/>
      <c r="N842" s="199" t="n">
        <v>115</v>
      </c>
      <c r="O842" s="199" t="n">
        <v>115</v>
      </c>
      <c r="P842" s="465">
        <f>SUM(N842:O842)</f>
        <v/>
      </c>
      <c r="Q842" s="199" t="inlineStr">
        <is>
          <t>UND</t>
        </is>
      </c>
    </row>
    <row r="843">
      <c r="B843" s="752" t="inlineStr">
        <is>
          <t>Sector B</t>
        </is>
      </c>
      <c r="C843" t="inlineStr">
        <is>
          <t xml:space="preserve">LARGO PARED </t>
        </is>
      </c>
      <c r="D843" s="206">
        <f>SUM(D841:D842)</f>
        <v/>
      </c>
      <c r="E843" s="129" t="inlineStr">
        <is>
          <t xml:space="preserve">m </t>
        </is>
      </c>
      <c r="J843" s="151" t="inlineStr">
        <is>
          <t>Sellador de Tornillo (Zero Spackilng lanco)</t>
        </is>
      </c>
      <c r="K843" s="462" t="n"/>
      <c r="L843" s="462" t="n"/>
      <c r="M843" s="461" t="n"/>
      <c r="N843" s="199" t="n"/>
      <c r="O843" s="468" t="n">
        <v>0.25</v>
      </c>
      <c r="P843" s="468">
        <f>SUM(N843:O843)</f>
        <v/>
      </c>
      <c r="Q843" s="199" t="inlineStr">
        <is>
          <t>GALÓN</t>
        </is>
      </c>
    </row>
    <row r="844">
      <c r="B844" s="751" t="n"/>
      <c r="J844" s="151" t="inlineStr">
        <is>
          <t>Building Wrap Rollo 1.22 x 35 m</t>
        </is>
      </c>
      <c r="K844" s="462" t="n"/>
      <c r="L844" s="462" t="n"/>
      <c r="M844" s="461" t="n"/>
      <c r="N844" s="199" t="n"/>
      <c r="O844" s="199" t="n">
        <v>1</v>
      </c>
      <c r="P844" s="465">
        <f>SUM(N844:O844)</f>
        <v/>
      </c>
      <c r="Q844" s="199" t="inlineStr">
        <is>
          <t>UND</t>
        </is>
      </c>
    </row>
    <row r="845">
      <c r="B845" s="751" t="n"/>
      <c r="C845" s="132" t="inlineStr">
        <is>
          <t xml:space="preserve">ALTO DE PARED </t>
        </is>
      </c>
      <c r="D845" s="133">
        <f>2.6+1.15</f>
        <v/>
      </c>
      <c r="E845" s="129" t="inlineStr">
        <is>
          <t xml:space="preserve"> m </t>
        </is>
      </c>
      <c r="J845" s="151" t="inlineStr">
        <is>
          <t>Sikaflex 1A Plus Sellador Poliuretano 300 ml</t>
        </is>
      </c>
      <c r="K845" s="462" t="n"/>
      <c r="L845" s="462" t="n"/>
      <c r="M845" s="461" t="n"/>
      <c r="N845" s="199" t="n"/>
      <c r="O845" s="199" t="n">
        <v>1</v>
      </c>
      <c r="P845" s="465">
        <f>SUM(N845:O845)</f>
        <v/>
      </c>
      <c r="Q845" s="199" t="inlineStr">
        <is>
          <t>UND</t>
        </is>
      </c>
    </row>
    <row r="846">
      <c r="B846" s="751" t="n"/>
      <c r="J846" s="151" t="inlineStr">
        <is>
          <t>Tornillo MM 10-075 cabeza hex punta broca # 10x3/4 (19mm)</t>
        </is>
      </c>
      <c r="K846" s="462" t="n"/>
      <c r="L846" s="462" t="n"/>
      <c r="M846" s="461" t="n"/>
      <c r="N846" s="199" t="n">
        <v>5</v>
      </c>
      <c r="O846" s="199" t="n">
        <v>5</v>
      </c>
      <c r="P846" s="465">
        <f>SUM(N846:O846)</f>
        <v/>
      </c>
      <c r="Q846" s="199" t="inlineStr">
        <is>
          <t>UND</t>
        </is>
      </c>
    </row>
    <row r="847">
      <c r="B847" s="751" t="n"/>
      <c r="C847" s="467" t="inlineStr">
        <is>
          <t>AREA TOTAL SIDING</t>
        </is>
      </c>
      <c r="D847" s="348">
        <f>(D843*D845)</f>
        <v/>
      </c>
      <c r="E847" s="347" t="inlineStr">
        <is>
          <t xml:space="preserve">m2 </t>
        </is>
      </c>
      <c r="J847" s="151" t="inlineStr">
        <is>
          <t>Perno de expansión 2-1/2" x 1/4"</t>
        </is>
      </c>
      <c r="K847" s="462" t="n"/>
      <c r="L847" s="462" t="n"/>
      <c r="M847" s="461" t="n"/>
      <c r="N847" s="199" t="n">
        <v>2</v>
      </c>
      <c r="O847" s="199" t="n">
        <v>2</v>
      </c>
      <c r="P847" s="465">
        <f>SUM(N847:O847)</f>
        <v/>
      </c>
      <c r="Q847" s="199" t="inlineStr">
        <is>
          <t>UND</t>
        </is>
      </c>
    </row>
    <row r="848">
      <c r="B848" s="88" t="n"/>
    </row>
    <row r="849">
      <c r="C849" s="429" t="inlineStr">
        <is>
          <t>TOTAL ÁREA SIDING</t>
        </is>
      </c>
      <c r="D849" s="460">
        <f>+D847+D839</f>
        <v/>
      </c>
      <c r="E849" s="429" t="inlineStr">
        <is>
          <t>m2</t>
        </is>
      </c>
    </row>
    <row r="851" customFormat="1" s="459"/>
    <row r="853">
      <c r="C853" s="131" t="inlineStr">
        <is>
          <t xml:space="preserve">PC: PORCELANATO ELEGIR </t>
        </is>
      </c>
    </row>
    <row r="857">
      <c r="B857" s="127" t="n"/>
      <c r="C857" s="347" t="inlineStr">
        <is>
          <t xml:space="preserve">AREA TOTAL PORCELANATO </t>
        </is>
      </c>
      <c r="D857" s="348">
        <f>43.85</f>
        <v/>
      </c>
      <c r="E857" s="347" t="inlineStr">
        <is>
          <t xml:space="preserve">m2 </t>
        </is>
      </c>
      <c r="G857" s="129" t="inlineStr">
        <is>
          <t>Rendimiento de mortero de pega</t>
        </is>
      </c>
      <c r="H857" s="129" t="n">
        <v>2.2</v>
      </c>
    </row>
    <row r="858">
      <c r="C858" t="inlineStr">
        <is>
          <t>Total con desperdicio (7%)</t>
        </is>
      </c>
      <c r="D858" s="348">
        <f>ROUNDUP(+D857*1.07,0)</f>
        <v/>
      </c>
      <c r="E858" t="inlineStr">
        <is>
          <t xml:space="preserve">m2 </t>
        </is>
      </c>
      <c r="G858" s="129" t="inlineStr">
        <is>
          <t>Pega cerámica plus Cemex (saco 20Kg)</t>
        </is>
      </c>
      <c r="H858" s="129">
        <f>+ROUNDUP(D858/H857,0)</f>
        <v/>
      </c>
    </row>
    <row r="860">
      <c r="B860" s="127" t="n"/>
      <c r="C860" s="131" t="inlineStr">
        <is>
          <t xml:space="preserve">LOSA CENITAL </t>
        </is>
      </c>
      <c r="G860" s="199" t="inlineStr">
        <is>
          <t>Información técnica</t>
        </is>
      </c>
      <c r="H860" s="199" t="inlineStr">
        <is>
          <t>Formato pieza</t>
        </is>
      </c>
      <c r="I860" s="199" t="inlineStr">
        <is>
          <t>Rendimiento</t>
        </is>
      </c>
      <c r="J860" s="199" t="inlineStr">
        <is>
          <t>Cantidad (und 2 kg)</t>
        </is>
      </c>
    </row>
    <row r="861">
      <c r="G861" s="199" t="inlineStr">
        <is>
          <t xml:space="preserve">Rendimiento de fragua (kg/m2) </t>
        </is>
      </c>
      <c r="H861" s="199" t="inlineStr">
        <is>
          <t>600x600</t>
        </is>
      </c>
      <c r="I861" s="199" t="n">
        <v>0.13</v>
      </c>
      <c r="J861" s="199">
        <f>+ROUNDUP(D858*I861/2,0)</f>
        <v/>
      </c>
    </row>
    <row r="864">
      <c r="C864" s="347" t="inlineStr">
        <is>
          <t xml:space="preserve">AREA TOTAL ENCHAPE LOSA CENITAL </t>
        </is>
      </c>
      <c r="D864" s="348" t="n">
        <v>2.19</v>
      </c>
      <c r="E864" s="347" t="inlineStr">
        <is>
          <t xml:space="preserve">m2 </t>
        </is>
      </c>
    </row>
    <row r="865">
      <c r="C865" t="inlineStr">
        <is>
          <t>Total con desperdicio (7%)</t>
        </is>
      </c>
      <c r="D865" s="348">
        <f>ROUNDUP(+D864*1.07,0)</f>
        <v/>
      </c>
      <c r="E865" t="inlineStr">
        <is>
          <t xml:space="preserve">m2 </t>
        </is>
      </c>
    </row>
    <row r="867">
      <c r="C867" s="349" t="inlineStr">
        <is>
          <t>AREA TOTAL DE ENCHAPES (PISO, BAÑO Y LOSA CENITAL)</t>
        </is>
      </c>
      <c r="D867" s="349" t="n"/>
      <c r="E867" s="350">
        <f>(D865+D858+D825)</f>
        <v/>
      </c>
      <c r="F867" s="349" t="inlineStr">
        <is>
          <t xml:space="preserve">m2 </t>
        </is>
      </c>
    </row>
    <row r="870">
      <c r="C870" s="347" t="inlineStr">
        <is>
          <t xml:space="preserve">BONDEX </t>
        </is>
      </c>
      <c r="D870" s="348">
        <f>E867/2.2</f>
        <v/>
      </c>
      <c r="E870" s="347" t="inlineStr">
        <is>
          <t xml:space="preserve">SACO </t>
        </is>
      </c>
      <c r="F870" s="127" t="n"/>
    </row>
    <row r="871">
      <c r="C871" s="347" t="inlineStr">
        <is>
          <t xml:space="preserve">FRAGUA (2 kg </t>
        </is>
      </c>
      <c r="D871" s="348">
        <f>E867/0.13</f>
        <v/>
      </c>
      <c r="E871" s="347" t="inlineStr">
        <is>
          <t xml:space="preserve">BOLSA </t>
        </is>
      </c>
      <c r="F871" s="127" t="n"/>
    </row>
    <row r="876">
      <c r="D876" s="742" t="inlineStr">
        <is>
          <t xml:space="preserve">COMPARACION SISTEMA </t>
        </is>
      </c>
      <c r="E876" s="462" t="n"/>
      <c r="F876" s="461" t="n"/>
    </row>
    <row r="877">
      <c r="D877" s="199" t="inlineStr">
        <is>
          <t xml:space="preserve">Horas </t>
        </is>
      </c>
      <c r="E877" s="129" t="n">
        <v>54</v>
      </c>
      <c r="F877" s="129" t="inlineStr">
        <is>
          <t>Costo Total</t>
        </is>
      </c>
    </row>
    <row r="878">
      <c r="C878" s="246" t="inlineStr">
        <is>
          <t xml:space="preserve">ENCHAPE PISO </t>
        </is>
      </c>
      <c r="D878" s="199" t="n">
        <v>40</v>
      </c>
      <c r="E878" s="687" t="n">
        <v>1700</v>
      </c>
      <c r="F878" s="687">
        <f>D878*E878</f>
        <v/>
      </c>
    </row>
    <row r="879">
      <c r="C879" s="246" t="inlineStr">
        <is>
          <t xml:space="preserve">ENCHAPE FACHADA </t>
        </is>
      </c>
      <c r="D879" s="199" t="n"/>
      <c r="E879" s="687" t="n">
        <v>1700</v>
      </c>
      <c r="F879" s="687">
        <f>D879*E879</f>
        <v/>
      </c>
    </row>
    <row r="880">
      <c r="C880" s="246" t="inlineStr">
        <is>
          <t>ENCHAPE BAÑO</t>
        </is>
      </c>
      <c r="D880" s="199" t="n">
        <v>30</v>
      </c>
      <c r="E880" s="687" t="n">
        <v>1700</v>
      </c>
      <c r="F880" s="687">
        <f>D880*E880</f>
        <v/>
      </c>
    </row>
    <row r="881">
      <c r="C881" s="246" t="inlineStr">
        <is>
          <t xml:space="preserve"> ENCHAPE LOSA CENITAL </t>
        </is>
      </c>
      <c r="D881" s="199" t="n">
        <v>6</v>
      </c>
      <c r="E881" s="687" t="n">
        <v>1700</v>
      </c>
      <c r="F881" s="687">
        <f>D881*E881</f>
        <v/>
      </c>
    </row>
    <row r="882">
      <c r="D882" s="199" t="n"/>
      <c r="E882" s="129" t="n"/>
      <c r="F882" s="746">
        <f>SUM(F878:F881)</f>
        <v/>
      </c>
    </row>
    <row r="886" ht="21" customHeight="1">
      <c r="C886" s="351" t="n">
        <v>16</v>
      </c>
      <c r="D886" s="351" t="inlineStr">
        <is>
          <t xml:space="preserve">MUEBLES </t>
        </is>
      </c>
    </row>
    <row r="888">
      <c r="C888" s="133" t="inlineStr">
        <is>
          <t xml:space="preserve">Mueble de cocina </t>
        </is>
      </c>
      <c r="D888" s="133" t="n">
        <v>1</v>
      </c>
      <c r="E888" t="inlineStr">
        <is>
          <t xml:space="preserve">un </t>
        </is>
      </c>
    </row>
    <row r="889">
      <c r="C889" s="133" t="inlineStr">
        <is>
          <t xml:space="preserve">Mueble de baño </t>
        </is>
      </c>
      <c r="D889" s="133" t="n">
        <v>1</v>
      </c>
      <c r="E889" t="inlineStr">
        <is>
          <t xml:space="preserve">un </t>
        </is>
      </c>
    </row>
    <row r="890">
      <c r="C890" s="133" t="inlineStr">
        <is>
          <t xml:space="preserve">Closet </t>
        </is>
      </c>
      <c r="D890" s="133" t="n">
        <v>1</v>
      </c>
      <c r="E890" t="inlineStr">
        <is>
          <t xml:space="preserve">un </t>
        </is>
      </c>
    </row>
    <row r="891">
      <c r="C891" s="133" t="inlineStr">
        <is>
          <t>Walk in closet</t>
        </is>
      </c>
      <c r="D891" s="133" t="n">
        <v>1</v>
      </c>
      <c r="E891" t="inlineStr">
        <is>
          <t xml:space="preserve">un </t>
        </is>
      </c>
    </row>
    <row r="894">
      <c r="C894" s="131" t="inlineStr">
        <is>
          <t xml:space="preserve">GRANITO </t>
        </is>
      </c>
    </row>
    <row r="897">
      <c r="C897" s="347" t="inlineStr">
        <is>
          <t xml:space="preserve">GRANITO </t>
        </is>
      </c>
      <c r="D897" s="348">
        <f>0.6+0.65+0.73+0.9+0.65</f>
        <v/>
      </c>
      <c r="E897" s="347" t="inlineStr">
        <is>
          <t xml:space="preserve">M </t>
        </is>
      </c>
    </row>
    <row r="901">
      <c r="D901" s="742" t="inlineStr">
        <is>
          <t xml:space="preserve">COMPARACION SISTEMA </t>
        </is>
      </c>
      <c r="E901" s="462" t="n"/>
      <c r="F901" s="461" t="n"/>
    </row>
    <row r="902">
      <c r="D902" s="199" t="inlineStr">
        <is>
          <t xml:space="preserve">Horas </t>
        </is>
      </c>
      <c r="E902" s="129" t="n"/>
      <c r="F902" s="199" t="inlineStr">
        <is>
          <t>Costo Total</t>
        </is>
      </c>
    </row>
    <row r="903">
      <c r="C903" s="246" t="inlineStr">
        <is>
          <t xml:space="preserve">CONFECCION DE MUEBLE </t>
        </is>
      </c>
      <c r="D903" s="199" t="n">
        <v>200</v>
      </c>
      <c r="E903" s="687" t="n">
        <v>1700</v>
      </c>
      <c r="F903" s="687">
        <f>D903*E903</f>
        <v/>
      </c>
    </row>
    <row r="904">
      <c r="C904" s="246" t="inlineStr">
        <is>
          <t xml:space="preserve">INSTALACION DE MUEBLE </t>
        </is>
      </c>
      <c r="D904" s="199" t="n">
        <v>118</v>
      </c>
      <c r="E904" s="687" t="n">
        <v>1700</v>
      </c>
      <c r="F904" s="687">
        <f>D904*E904</f>
        <v/>
      </c>
    </row>
    <row r="905">
      <c r="C905" s="246" t="n"/>
      <c r="D905" s="199" t="n"/>
      <c r="E905" s="687" t="n"/>
      <c r="F905" s="687" t="n"/>
    </row>
    <row r="906">
      <c r="D906" s="199" t="n"/>
      <c r="E906" s="129" t="n"/>
      <c r="F906" s="746">
        <f>SUM(F903:F905)</f>
        <v/>
      </c>
    </row>
    <row r="909" ht="21" customHeight="1">
      <c r="C909" s="351" t="n">
        <v>17</v>
      </c>
      <c r="D909" s="351" t="inlineStr">
        <is>
          <t>PUERTAS</t>
        </is>
      </c>
    </row>
    <row r="911">
      <c r="C911" s="131" t="inlineStr">
        <is>
          <t>PUERTAS</t>
        </is>
      </c>
    </row>
    <row r="912">
      <c r="G912" s="434" t="inlineStr">
        <is>
          <t>Tipo de puerta madera o melamina</t>
        </is>
      </c>
      <c r="H912" s="434" t="inlineStr">
        <is>
          <t>Total (unds)</t>
        </is>
      </c>
    </row>
    <row r="913">
      <c r="C913" s="199" t="inlineStr">
        <is>
          <t xml:space="preserve">TIPO </t>
        </is>
      </c>
      <c r="D913" s="199" t="inlineStr">
        <is>
          <t>MEDIDA</t>
        </is>
      </c>
      <c r="E913" s="199" t="inlineStr">
        <is>
          <t xml:space="preserve">CANTIDAD </t>
        </is>
      </c>
      <c r="G913" s="199" t="inlineStr">
        <is>
          <t>Puerta 0,80 m x 2,1 m</t>
        </is>
      </c>
      <c r="H913" s="199">
        <f>+SUMIF(D914:D921,"0,80 M x 2,1 m",E914:E921)</f>
        <v/>
      </c>
    </row>
    <row r="914">
      <c r="C914" s="352" t="inlineStr">
        <is>
          <t xml:space="preserve">P1 </t>
        </is>
      </c>
      <c r="D914" s="199" t="inlineStr">
        <is>
          <t xml:space="preserve">1 m x 2,1 m </t>
        </is>
      </c>
      <c r="E914" s="199" t="n">
        <v>1</v>
      </c>
      <c r="G914" s="199" t="inlineStr">
        <is>
          <t>Puerta 0,90 m x 2,1 m</t>
        </is>
      </c>
      <c r="H914" s="199">
        <f>+SUMIF(D914:D921,"0,90 x 2,1 m ",E914:E921)</f>
        <v/>
      </c>
      <c r="I914" t="inlineStr">
        <is>
          <t>ok</t>
        </is>
      </c>
    </row>
    <row r="915">
      <c r="C915" s="353" t="inlineStr">
        <is>
          <t xml:space="preserve">P2 </t>
        </is>
      </c>
      <c r="D915" s="199" t="inlineStr">
        <is>
          <t xml:space="preserve">0,90 x 2,1 m </t>
        </is>
      </c>
      <c r="E915" s="199" t="n">
        <v>1</v>
      </c>
      <c r="G915" s="199" t="inlineStr">
        <is>
          <t>Puerta 1 m x 2,1 m</t>
        </is>
      </c>
      <c r="H915" s="199">
        <f>+SUMIF(D914:D921,"1 m x 2,1 m ",E914:E921)</f>
        <v/>
      </c>
      <c r="I915" t="inlineStr">
        <is>
          <t>ok</t>
        </is>
      </c>
    </row>
    <row r="916">
      <c r="C916" s="354" t="inlineStr">
        <is>
          <t xml:space="preserve">P3 </t>
        </is>
      </c>
      <c r="D916" s="199" t="inlineStr">
        <is>
          <t>0,80 m x 2,1 m</t>
        </is>
      </c>
      <c r="E916" s="199" t="n">
        <v>1</v>
      </c>
      <c r="G916" s="199" t="inlineStr">
        <is>
          <t>Puerta 0,70 m x 2,1 m</t>
        </is>
      </c>
      <c r="H916" s="199">
        <f>+SUMIF(D914:D921,"0,70 m x 2,1 m ",E914:E921)</f>
        <v/>
      </c>
    </row>
    <row r="917">
      <c r="C917" s="200" t="inlineStr">
        <is>
          <t xml:space="preserve">P4 </t>
        </is>
      </c>
      <c r="D917" s="199" t="inlineStr">
        <is>
          <t xml:space="preserve">0,90 x 2,1 m </t>
        </is>
      </c>
      <c r="E917" s="199" t="n">
        <v>1</v>
      </c>
    </row>
    <row r="918">
      <c r="C918" s="355" t="inlineStr">
        <is>
          <t xml:space="preserve">P6 </t>
        </is>
      </c>
      <c r="D918" s="199" t="inlineStr">
        <is>
          <t xml:space="preserve">0,70 m x 2,1 m </t>
        </is>
      </c>
      <c r="E918" s="199" t="n">
        <v>1</v>
      </c>
    </row>
    <row r="919">
      <c r="C919" s="356" t="inlineStr">
        <is>
          <t xml:space="preserve">P7 </t>
        </is>
      </c>
      <c r="D919" s="199" t="inlineStr">
        <is>
          <t xml:space="preserve">1,4 m x 2,1 m </t>
        </is>
      </c>
      <c r="E919" s="199" t="n">
        <v>1</v>
      </c>
    </row>
    <row r="920">
      <c r="C920" s="356" t="inlineStr">
        <is>
          <t xml:space="preserve">P7 </t>
        </is>
      </c>
      <c r="D920" s="199" t="inlineStr">
        <is>
          <t xml:space="preserve">1,8 m x 2,1 m </t>
        </is>
      </c>
      <c r="E920" s="199" t="n">
        <v>1</v>
      </c>
    </row>
    <row r="921">
      <c r="C921" s="357" t="inlineStr">
        <is>
          <t xml:space="preserve">P8 </t>
        </is>
      </c>
      <c r="D921" s="199" t="inlineStr">
        <is>
          <t>0,80 m x 2,1 m</t>
        </is>
      </c>
      <c r="E921" s="199" t="n">
        <v>1</v>
      </c>
    </row>
    <row r="922">
      <c r="C922" s="206" t="inlineStr">
        <is>
          <t xml:space="preserve">TOTAL </t>
        </is>
      </c>
      <c r="D922" s="206" t="n"/>
      <c r="E922" s="206">
        <f>SUM(E914:E921)</f>
        <v/>
      </c>
      <c r="F922" t="inlineStr">
        <is>
          <t xml:space="preserve">un </t>
        </is>
      </c>
    </row>
    <row r="942">
      <c r="C942" s="131" t="inlineStr">
        <is>
          <t xml:space="preserve">RODAPIE </t>
        </is>
      </c>
    </row>
    <row r="943">
      <c r="G943" s="434" t="inlineStr">
        <is>
          <t>Formato de piezas (metros)</t>
        </is>
      </c>
      <c r="H943" s="199" t="n">
        <v>1</v>
      </c>
    </row>
    <row r="944">
      <c r="G944" s="434" t="inlineStr">
        <is>
          <t>Cantidad de piezas</t>
        </is>
      </c>
      <c r="H944" s="199">
        <f>+ROUNDUP(D946*1.07/H943,0)</f>
        <v/>
      </c>
    </row>
    <row r="945">
      <c r="C945" s="199" t="inlineStr">
        <is>
          <t xml:space="preserve">LARGO </t>
        </is>
      </c>
      <c r="D945" s="199">
        <f>(50.46-1-8)</f>
        <v/>
      </c>
      <c r="E945" s="199" t="inlineStr">
        <is>
          <t xml:space="preserve">m </t>
        </is>
      </c>
    </row>
    <row r="946">
      <c r="C946" s="199" t="inlineStr">
        <is>
          <t xml:space="preserve">TOTAL </t>
        </is>
      </c>
      <c r="D946" s="206">
        <f>SUM(D945:D945)</f>
        <v/>
      </c>
      <c r="E946" s="199" t="inlineStr">
        <is>
          <t xml:space="preserve">m </t>
        </is>
      </c>
    </row>
    <row r="949">
      <c r="D949" s="742" t="inlineStr">
        <is>
          <t xml:space="preserve">COMPARACION SISTEMA </t>
        </is>
      </c>
      <c r="E949" s="462" t="n"/>
      <c r="F949" s="461" t="n"/>
    </row>
    <row r="950">
      <c r="D950" s="199" t="inlineStr">
        <is>
          <t xml:space="preserve">Horas </t>
        </is>
      </c>
      <c r="E950" s="129" t="n">
        <v>54</v>
      </c>
      <c r="F950" s="129" t="inlineStr">
        <is>
          <t>Costo Total</t>
        </is>
      </c>
    </row>
    <row r="951">
      <c r="C951" s="246" t="inlineStr">
        <is>
          <t xml:space="preserve">PUERTAS Y RODAPIE </t>
        </is>
      </c>
      <c r="D951" s="199" t="n">
        <v>44</v>
      </c>
      <c r="E951" s="687" t="n">
        <v>1700</v>
      </c>
      <c r="F951" s="687">
        <f>D951*E951</f>
        <v/>
      </c>
    </row>
    <row r="952">
      <c r="D952" s="199" t="n"/>
      <c r="E952" s="129" t="n"/>
      <c r="F952" s="746">
        <f>SUM(F951:F951)</f>
        <v/>
      </c>
    </row>
    <row r="956" ht="21" customHeight="1">
      <c r="C956" s="351" t="n">
        <v>18</v>
      </c>
      <c r="D956" s="351" t="inlineStr">
        <is>
          <t xml:space="preserve">ZACATE </t>
        </is>
      </c>
    </row>
    <row r="960">
      <c r="C960" s="131" t="inlineStr">
        <is>
          <t xml:space="preserve">ZACATE </t>
        </is>
      </c>
    </row>
    <row r="963">
      <c r="C963" s="199" t="inlineStr">
        <is>
          <t xml:space="preserve">ÁREA </t>
        </is>
      </c>
      <c r="D963" s="199">
        <f>20.93+1.09</f>
        <v/>
      </c>
      <c r="E963" s="199" t="inlineStr">
        <is>
          <t xml:space="preserve">m2 </t>
        </is>
      </c>
    </row>
    <row r="964">
      <c r="C964" s="199" t="n"/>
      <c r="D964" s="348">
        <f>SUM(D963:D963)*1.05</f>
        <v/>
      </c>
      <c r="E964" s="199" t="inlineStr">
        <is>
          <t xml:space="preserve">m2 </t>
        </is>
      </c>
    </row>
    <row r="967">
      <c r="C967" s="139" t="inlineStr">
        <is>
          <t xml:space="preserve">Plastico negro </t>
        </is>
      </c>
      <c r="D967" s="140">
        <f>D964</f>
        <v/>
      </c>
      <c r="E967" s="139" t="inlineStr">
        <is>
          <t xml:space="preserve">m2 </t>
        </is>
      </c>
    </row>
    <row r="969">
      <c r="C969" s="139" t="inlineStr">
        <is>
          <t xml:space="preserve">Piedra cuartilla </t>
        </is>
      </c>
      <c r="D969" s="140">
        <f>D964*0.05*1.3</f>
        <v/>
      </c>
      <c r="E969" s="139" t="inlineStr">
        <is>
          <t xml:space="preserve">m3 </t>
        </is>
      </c>
    </row>
    <row r="972">
      <c r="D972" s="742" t="inlineStr">
        <is>
          <t xml:space="preserve">COMPARACION SISTEMA </t>
        </is>
      </c>
      <c r="E972" s="462" t="n"/>
      <c r="F972" s="461" t="n"/>
    </row>
    <row r="973">
      <c r="D973" s="199" t="inlineStr">
        <is>
          <t xml:space="preserve">Horas </t>
        </is>
      </c>
      <c r="E973" s="129" t="n">
        <v>54</v>
      </c>
      <c r="F973" s="129" t="inlineStr">
        <is>
          <t>Costo Total</t>
        </is>
      </c>
    </row>
    <row r="974">
      <c r="C974" s="246" t="inlineStr">
        <is>
          <t xml:space="preserve">RELLENO DE PATIO </t>
        </is>
      </c>
      <c r="D974" s="199" t="n">
        <v>10</v>
      </c>
      <c r="E974" s="687" t="n">
        <v>1700</v>
      </c>
      <c r="F974" s="687">
        <f>D974*E974</f>
        <v/>
      </c>
    </row>
    <row r="975">
      <c r="C975" s="246" t="inlineStr">
        <is>
          <t xml:space="preserve">COLOCACION DE ZACATE </t>
        </is>
      </c>
      <c r="D975" s="199" t="n">
        <v>20</v>
      </c>
      <c r="E975" s="687" t="n">
        <v>1700</v>
      </c>
      <c r="F975" s="687">
        <f>D975*E975</f>
        <v/>
      </c>
      <c r="G975" s="71" t="inlineStr">
        <is>
          <t xml:space="preserve">Costo/m2 </t>
        </is>
      </c>
    </row>
    <row r="976">
      <c r="D976" s="199" t="n"/>
      <c r="E976" s="129" t="n"/>
      <c r="F976" s="746">
        <f>SUM(F974:F975)</f>
        <v/>
      </c>
      <c r="G976" s="753">
        <f>F976/D964</f>
        <v/>
      </c>
    </row>
    <row r="982" ht="21" customHeight="1">
      <c r="C982" s="351" t="n">
        <v>19</v>
      </c>
      <c r="D982" s="351" t="inlineStr">
        <is>
          <t xml:space="preserve">TAPIAS PREFABRICADAS </t>
        </is>
      </c>
    </row>
    <row r="985">
      <c r="C985" s="139" t="inlineStr">
        <is>
          <t xml:space="preserve">Largo de tapia </t>
        </is>
      </c>
      <c r="D985" s="140" t="n">
        <v>10</v>
      </c>
      <c r="E985" s="139" t="inlineStr">
        <is>
          <t xml:space="preserve">m </t>
        </is>
      </c>
    </row>
    <row r="986">
      <c r="C986" s="139" t="inlineStr">
        <is>
          <t xml:space="preserve">Perling 3 x 2 x 15 mm </t>
        </is>
      </c>
      <c r="D986" s="140" t="n">
        <v>2</v>
      </c>
      <c r="E986" s="139" t="inlineStr">
        <is>
          <t xml:space="preserve">un </t>
        </is>
      </c>
    </row>
    <row r="988">
      <c r="C988" s="434" t="n"/>
      <c r="D988" s="434" t="inlineStr">
        <is>
          <t xml:space="preserve">CANTIDAD </t>
        </is>
      </c>
      <c r="E988" s="434" t="inlineStr">
        <is>
          <t>P UNITARIO</t>
        </is>
      </c>
      <c r="F988" s="434" t="inlineStr">
        <is>
          <t xml:space="preserve">P TOTAL </t>
        </is>
      </c>
    </row>
    <row r="989">
      <c r="C989" s="199" t="inlineStr">
        <is>
          <t xml:space="preserve">Columna L </t>
        </is>
      </c>
      <c r="D989" s="432" t="n">
        <v>1</v>
      </c>
      <c r="E989" s="754">
        <f>14042.48*1.13</f>
        <v/>
      </c>
      <c r="F989" s="754">
        <f>D989*E989</f>
        <v/>
      </c>
    </row>
    <row r="990">
      <c r="C990" s="199" t="inlineStr">
        <is>
          <t>Columna C o E</t>
        </is>
      </c>
      <c r="D990" s="199" t="n">
        <v>6</v>
      </c>
      <c r="E990" s="754">
        <f>15482.3*1.13</f>
        <v/>
      </c>
      <c r="F990" s="754">
        <f>D990*E990</f>
        <v/>
      </c>
    </row>
    <row r="991">
      <c r="C991" s="199" t="inlineStr">
        <is>
          <t xml:space="preserve">Baldosa lisa 2 m ancho </t>
        </is>
      </c>
      <c r="D991" s="199">
        <f>(3/0.5)*5</f>
        <v/>
      </c>
      <c r="E991" s="754">
        <f>6457.52*1.13</f>
        <v/>
      </c>
      <c r="F991" s="754">
        <f>D991*E991</f>
        <v/>
      </c>
      <c r="G991" s="71" t="inlineStr">
        <is>
          <t xml:space="preserve">Costo /m </t>
        </is>
      </c>
    </row>
    <row r="992">
      <c r="E992" s="199" t="inlineStr">
        <is>
          <t xml:space="preserve">Total </t>
        </is>
      </c>
      <c r="F992" s="754">
        <f>SUM(F989:F991)</f>
        <v/>
      </c>
      <c r="G992" s="755">
        <f>F992/10</f>
        <v/>
      </c>
    </row>
    <row r="996">
      <c r="D996" s="742" t="inlineStr">
        <is>
          <t xml:space="preserve">COMPARACION SISTEMA </t>
        </is>
      </c>
      <c r="E996" s="462" t="n"/>
      <c r="F996" s="461" t="n"/>
    </row>
    <row r="997">
      <c r="D997" s="199" t="inlineStr">
        <is>
          <t xml:space="preserve">Horas </t>
        </is>
      </c>
      <c r="E997" s="129" t="n">
        <v>54</v>
      </c>
      <c r="F997" s="129" t="inlineStr">
        <is>
          <t>Costo Total</t>
        </is>
      </c>
    </row>
    <row r="998">
      <c r="C998" s="246" t="inlineStr">
        <is>
          <t xml:space="preserve">TAPIA </t>
        </is>
      </c>
      <c r="D998" s="199" t="n">
        <v>30</v>
      </c>
      <c r="E998" s="687" t="n">
        <v>1700</v>
      </c>
      <c r="F998" s="687">
        <f>D998*E998</f>
        <v/>
      </c>
    </row>
    <row r="999">
      <c r="C999" s="246" t="inlineStr">
        <is>
          <t xml:space="preserve">PERLING DE TAPIA </t>
        </is>
      </c>
      <c r="D999" s="199" t="n">
        <v>6</v>
      </c>
      <c r="E999" s="687" t="n">
        <v>1700</v>
      </c>
      <c r="F999" s="687">
        <f>D999*E999</f>
        <v/>
      </c>
      <c r="G999" s="71" t="inlineStr">
        <is>
          <t xml:space="preserve">Costo/m </t>
        </is>
      </c>
    </row>
    <row r="1000">
      <c r="D1000" s="199" t="n"/>
      <c r="E1000" s="129" t="n"/>
      <c r="F1000" s="746">
        <f>SUM(F998:F999)</f>
        <v/>
      </c>
      <c r="G1000" s="755">
        <f>F1000/10</f>
        <v/>
      </c>
    </row>
    <row r="1005" ht="21" customHeight="1">
      <c r="C1005" s="351" t="n">
        <v>20</v>
      </c>
      <c r="D1005" s="351" t="inlineStr">
        <is>
          <t xml:space="preserve">ACERAS </t>
        </is>
      </c>
    </row>
    <row r="1009">
      <c r="C1009" s="139" t="inlineStr">
        <is>
          <t xml:space="preserve">Area de acera </t>
        </is>
      </c>
      <c r="D1009" s="140" t="n">
        <v>11.78</v>
      </c>
      <c r="E1009" s="139" t="inlineStr">
        <is>
          <t xml:space="preserve">m2 </t>
        </is>
      </c>
    </row>
    <row r="1010">
      <c r="C1010" s="139" t="inlineStr">
        <is>
          <t xml:space="preserve">Area de geocelda </t>
        </is>
      </c>
      <c r="D1010" s="140" t="n">
        <v>5.78</v>
      </c>
      <c r="E1010" s="139" t="inlineStr">
        <is>
          <t xml:space="preserve">m2 </t>
        </is>
      </c>
    </row>
    <row r="1012">
      <c r="C1012" s="347" t="inlineStr">
        <is>
          <t># Geocelda (56 x 56)</t>
        </is>
      </c>
      <c r="D1012" s="348">
        <f>(D1010/(0.56*0.56))*1.05</f>
        <v/>
      </c>
      <c r="E1012" s="347" t="inlineStr">
        <is>
          <t xml:space="preserve">un </t>
        </is>
      </c>
    </row>
    <row r="1013">
      <c r="C1013" s="347" t="inlineStr">
        <is>
          <t xml:space="preserve">Piedra quintilla </t>
        </is>
      </c>
      <c r="D1013" s="348">
        <f>D1010*0.05*1.3</f>
        <v/>
      </c>
      <c r="E1013" s="347" t="inlineStr">
        <is>
          <t xml:space="preserve">m3 </t>
        </is>
      </c>
    </row>
    <row r="1015">
      <c r="C1015" s="466" t="inlineStr">
        <is>
          <t xml:space="preserve">Espesor de la acera </t>
        </is>
      </c>
      <c r="D1015" s="474" t="n">
        <v>0.1</v>
      </c>
      <c r="E1015" t="inlineStr">
        <is>
          <t xml:space="preserve"> m </t>
        </is>
      </c>
    </row>
    <row r="1018">
      <c r="C1018" s="347" t="inlineStr">
        <is>
          <t xml:space="preserve">Concreto </t>
        </is>
      </c>
      <c r="D1018" s="348">
        <f>D1009*D1015*1.05</f>
        <v/>
      </c>
      <c r="E1018" s="347" t="inlineStr">
        <is>
          <t xml:space="preserve">m3 </t>
        </is>
      </c>
    </row>
    <row r="1021">
      <c r="C1021" s="247" t="inlineStr">
        <is>
          <t xml:space="preserve">CANTIDADES DOSIFICACION ADELANTE (DIEGO - JARDEL) </t>
        </is>
      </c>
      <c r="D1021" s="247" t="n"/>
      <c r="E1021" s="247" t="n"/>
    </row>
    <row r="1022">
      <c r="C1022" s="139" t="inlineStr">
        <is>
          <t xml:space="preserve">Cemento </t>
        </is>
      </c>
      <c r="D1022" s="140">
        <f>D1018*333</f>
        <v/>
      </c>
      <c r="E1022" s="139" t="inlineStr">
        <is>
          <t xml:space="preserve">kilos </t>
        </is>
      </c>
    </row>
    <row r="1023">
      <c r="C1023" s="139" t="inlineStr">
        <is>
          <t xml:space="preserve">Arena </t>
        </is>
      </c>
      <c r="D1023" s="140">
        <f>D1018*0.59</f>
        <v/>
      </c>
      <c r="E1023" s="139" t="inlineStr">
        <is>
          <t>m3</t>
        </is>
      </c>
    </row>
    <row r="1024">
      <c r="C1024" s="139" t="inlineStr">
        <is>
          <t xml:space="preserve">Piedra </t>
        </is>
      </c>
      <c r="D1024" s="140">
        <f>D1018*0.67</f>
        <v/>
      </c>
      <c r="E1024" s="139" t="inlineStr">
        <is>
          <t>m3</t>
        </is>
      </c>
    </row>
    <row r="1028">
      <c r="D1028" s="742" t="inlineStr">
        <is>
          <t xml:space="preserve">COMPARACION SISTEMA </t>
        </is>
      </c>
      <c r="E1028" s="462" t="n"/>
      <c r="F1028" s="461" t="n"/>
    </row>
    <row r="1029">
      <c r="D1029" s="199" t="inlineStr">
        <is>
          <t xml:space="preserve">Horas </t>
        </is>
      </c>
      <c r="E1029" s="129" t="n"/>
      <c r="F1029" s="129" t="inlineStr">
        <is>
          <t>Costo Total</t>
        </is>
      </c>
    </row>
    <row r="1030">
      <c r="C1030" s="246" t="inlineStr">
        <is>
          <t xml:space="preserve">RAMPA DE ACCESO </t>
        </is>
      </c>
      <c r="D1030" s="199" t="n">
        <v>6</v>
      </c>
      <c r="E1030" s="687" t="n">
        <v>1700</v>
      </c>
      <c r="F1030" s="687">
        <f>D1030*E1030</f>
        <v/>
      </c>
    </row>
    <row r="1031">
      <c r="C1031" s="246" t="inlineStr">
        <is>
          <t xml:space="preserve">ACERA </t>
        </is>
      </c>
      <c r="D1031" s="199" t="n">
        <v>20</v>
      </c>
      <c r="E1031" s="687" t="n">
        <v>1700</v>
      </c>
      <c r="F1031" s="687">
        <f>D1031*E1031</f>
        <v/>
      </c>
      <c r="G1031" s="71" t="inlineStr">
        <is>
          <t xml:space="preserve">Costo/m2 </t>
        </is>
      </c>
    </row>
    <row r="1032">
      <c r="D1032" s="199" t="n"/>
      <c r="E1032" s="129" t="n"/>
      <c r="F1032" s="746">
        <f>SUM(F1030:F1031)</f>
        <v/>
      </c>
      <c r="G1032" s="755">
        <f>F1032/(D1009+D1010)</f>
        <v/>
      </c>
    </row>
  </sheetData>
  <mergeCells count="26">
    <mergeCell ref="D639:F639"/>
    <mergeCell ref="F87:G87"/>
    <mergeCell ref="C465:C470"/>
    <mergeCell ref="D996:F996"/>
    <mergeCell ref="B833:B841"/>
    <mergeCell ref="P836:P837"/>
    <mergeCell ref="D876:F876"/>
    <mergeCell ref="D398:F398"/>
    <mergeCell ref="D292:F292"/>
    <mergeCell ref="D901:F901"/>
    <mergeCell ref="G14:I14"/>
    <mergeCell ref="D972:F972"/>
    <mergeCell ref="D608:F608"/>
    <mergeCell ref="G154:I154"/>
    <mergeCell ref="B843:B848"/>
    <mergeCell ref="Q836:Q837"/>
    <mergeCell ref="D710:F710"/>
    <mergeCell ref="D686:F686"/>
    <mergeCell ref="D760:F760"/>
    <mergeCell ref="D949:F949"/>
    <mergeCell ref="D653:F653"/>
    <mergeCell ref="D738:G738"/>
    <mergeCell ref="D448:F448"/>
    <mergeCell ref="G42:I42"/>
    <mergeCell ref="D1028:F1028"/>
    <mergeCell ref="D552:F552"/>
  </mergeCell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C31" sqref="C31"/>
    </sheetView>
  </sheetViews>
  <sheetFormatPr baseColWidth="8" defaultColWidth="11.43359375" defaultRowHeight="15"/>
  <cols>
    <col width="16.140625" bestFit="1" customWidth="1" min="2" max="2"/>
    <col width="95.51171875" bestFit="1" customWidth="1" min="3" max="3"/>
    <col width="15.87109375" customWidth="1" min="4" max="4"/>
    <col width="14.52734375" customWidth="1" min="5" max="5"/>
    <col width="15.33203125" customWidth="1" min="7" max="7"/>
    <col width="13.98828125" bestFit="1" customWidth="1" min="9" max="9"/>
  </cols>
  <sheetData>
    <row r="1">
      <c r="I1" t="inlineStr">
        <is>
          <t xml:space="preserve">VERIFICACION </t>
        </is>
      </c>
      <c r="J1" s="685">
        <f>D4-'IKARIA TECHO'!N10</f>
        <v/>
      </c>
    </row>
    <row r="3" ht="30" customHeight="1">
      <c r="A3" s="511" t="inlineStr">
        <is>
          <t xml:space="preserve">CODIGO </t>
        </is>
      </c>
      <c r="B3" s="512" t="inlineStr">
        <is>
          <t>N°</t>
        </is>
      </c>
      <c r="C3" s="512" t="inlineStr">
        <is>
          <t>Descripcion actividad</t>
        </is>
      </c>
      <c r="D3" s="513" t="inlineStr">
        <is>
          <t xml:space="preserve">Total Directo Colones </t>
        </is>
      </c>
      <c r="E3" s="513" t="inlineStr">
        <is>
          <t xml:space="preserve">porcentaje de avance </t>
        </is>
      </c>
      <c r="F3" s="513" t="inlineStr">
        <is>
          <t xml:space="preserve">monto </t>
        </is>
      </c>
      <c r="G3" s="513" t="inlineStr">
        <is>
          <t xml:space="preserve">Monto faltante por gastar </t>
        </is>
      </c>
    </row>
    <row r="4">
      <c r="A4" s="514" t="n"/>
      <c r="B4" s="515" t="n"/>
      <c r="C4" s="516" t="inlineStr">
        <is>
          <t>TOTAL PRESUPUESTO</t>
        </is>
      </c>
      <c r="D4" s="756">
        <f>SUM(D5:D69)/2</f>
        <v/>
      </c>
      <c r="E4" s="129" t="n"/>
      <c r="F4" s="129" t="n"/>
      <c r="G4" s="129" t="n"/>
    </row>
    <row r="5">
      <c r="A5" s="518" t="inlineStr">
        <is>
          <t>01</t>
        </is>
      </c>
      <c r="B5" s="519" t="n">
        <v>1</v>
      </c>
      <c r="C5" s="520" t="inlineStr">
        <is>
          <t xml:space="preserve">FUNDACIONES </t>
        </is>
      </c>
      <c r="D5" s="757">
        <f>'IKARIA TECHO'!N11</f>
        <v/>
      </c>
      <c r="E5" s="130" t="n">
        <v>0.1</v>
      </c>
      <c r="F5" s="687">
        <f>D5*E5</f>
        <v/>
      </c>
      <c r="G5" s="687">
        <f>D5-F5</f>
        <v/>
      </c>
    </row>
    <row r="6">
      <c r="A6" s="518" t="inlineStr">
        <is>
          <t>01-01</t>
        </is>
      </c>
      <c r="B6" s="522" t="inlineStr">
        <is>
          <t xml:space="preserve">1.1 </t>
        </is>
      </c>
      <c r="C6" s="523" t="inlineStr">
        <is>
          <t xml:space="preserve">OBRAS PRELIMINARES Y RELLENOS </t>
        </is>
      </c>
      <c r="D6" s="758">
        <f>'IKARIA TECHO'!N12</f>
        <v/>
      </c>
      <c r="E6" s="130" t="n"/>
      <c r="F6" s="687">
        <f>D6*E6</f>
        <v/>
      </c>
      <c r="G6" s="687">
        <f>D6-F6</f>
        <v/>
      </c>
    </row>
    <row r="7">
      <c r="A7" s="518" t="inlineStr">
        <is>
          <t>01-02</t>
        </is>
      </c>
      <c r="B7" s="522" t="inlineStr">
        <is>
          <t>1.2</t>
        </is>
      </c>
      <c r="C7" s="523" t="inlineStr">
        <is>
          <t xml:space="preserve">EXCAVACIÓN Y TUBERÍAS MECÁNICAS </t>
        </is>
      </c>
      <c r="D7" s="758">
        <f>'IKARIA TECHO'!N21</f>
        <v/>
      </c>
      <c r="E7" s="130" t="n"/>
      <c r="F7" s="687">
        <f>D7*E7</f>
        <v/>
      </c>
      <c r="G7" s="687">
        <f>D7-F7</f>
        <v/>
      </c>
    </row>
    <row r="8">
      <c r="A8" s="518" t="inlineStr">
        <is>
          <t>01-03</t>
        </is>
      </c>
      <c r="B8" s="522" t="inlineStr">
        <is>
          <t>1.3</t>
        </is>
      </c>
      <c r="C8" s="523" t="inlineStr">
        <is>
          <t xml:space="preserve">SELLO DE CONCRETO </t>
        </is>
      </c>
      <c r="D8" s="758">
        <f>'IKARIA TECHO'!N58</f>
        <v/>
      </c>
      <c r="E8" s="130" t="n"/>
      <c r="F8" s="687">
        <f>D8*E8</f>
        <v/>
      </c>
      <c r="G8" s="687">
        <f>D8-F8</f>
        <v/>
      </c>
    </row>
    <row r="9">
      <c r="A9" s="518" t="inlineStr">
        <is>
          <t>01-04</t>
        </is>
      </c>
      <c r="B9" s="522" t="inlineStr">
        <is>
          <t>1.4</t>
        </is>
      </c>
      <c r="C9" s="523" t="inlineStr">
        <is>
          <t xml:space="preserve">LOSA FLOTANTE (ACERO, ELECTROMECANICOS, CONCRETO) </t>
        </is>
      </c>
      <c r="D9" s="758">
        <f>'IKARIA TECHO'!N69</f>
        <v/>
      </c>
      <c r="E9" s="130" t="n"/>
      <c r="F9" s="687">
        <f>D9*E9</f>
        <v/>
      </c>
      <c r="G9" s="687">
        <f>D9-F9</f>
        <v/>
      </c>
    </row>
    <row r="10">
      <c r="A10" s="518" t="inlineStr">
        <is>
          <t>02</t>
        </is>
      </c>
      <c r="B10" s="519" t="n">
        <v>2</v>
      </c>
      <c r="C10" s="520" t="inlineStr">
        <is>
          <t xml:space="preserve">SUPERESTRUCTURA PRIMER NIVEL </t>
        </is>
      </c>
      <c r="D10" s="757">
        <f>'IKARIA TECHO'!N123</f>
        <v/>
      </c>
      <c r="E10" s="130" t="n"/>
      <c r="F10" s="687">
        <f>D10*E10</f>
        <v/>
      </c>
      <c r="G10" s="687">
        <f>D10-F10</f>
        <v/>
      </c>
    </row>
    <row r="11">
      <c r="A11" s="518" t="inlineStr">
        <is>
          <t>02-01</t>
        </is>
      </c>
      <c r="B11" s="522" t="inlineStr">
        <is>
          <t xml:space="preserve">2.1 </t>
        </is>
      </c>
      <c r="C11" s="523" t="inlineStr">
        <is>
          <t>ACERO EN PAREDES MUROS N1 (ELECTROMECANICO)</t>
        </is>
      </c>
      <c r="D11" s="758">
        <f>'IKARIA TECHO'!N124</f>
        <v/>
      </c>
      <c r="E11" s="130" t="n"/>
      <c r="F11" s="687">
        <f>D11*E11</f>
        <v/>
      </c>
      <c r="G11" s="687">
        <f>D11-F11</f>
        <v/>
      </c>
    </row>
    <row r="12">
      <c r="A12" s="518" t="inlineStr">
        <is>
          <t>02-02</t>
        </is>
      </c>
      <c r="B12" s="522" t="inlineStr">
        <is>
          <t>2.2</t>
        </is>
      </c>
      <c r="C12" s="523" t="inlineStr">
        <is>
          <t>PAREDES, MUROS, ENTREPISO N1 (FORMALETA, CONCRETO, DESENCOFRADO)</t>
        </is>
      </c>
      <c r="D12" s="758">
        <f>'IKARIA TECHO'!N154</f>
        <v/>
      </c>
      <c r="E12" s="130" t="n"/>
      <c r="F12" s="687">
        <f>D12*E12</f>
        <v/>
      </c>
      <c r="G12" s="687">
        <f>D12-F12</f>
        <v/>
      </c>
    </row>
    <row r="13">
      <c r="A13" s="518" t="inlineStr">
        <is>
          <t>02-03</t>
        </is>
      </c>
      <c r="B13" s="522" t="inlineStr">
        <is>
          <t xml:space="preserve">2.3 </t>
        </is>
      </c>
      <c r="C13" s="523" t="inlineStr">
        <is>
          <t xml:space="preserve">MAMPOSTERIA </t>
        </is>
      </c>
      <c r="D13" s="758">
        <f>'IKARIA TECHO'!N169</f>
        <v/>
      </c>
      <c r="E13" s="130" t="n"/>
      <c r="F13" s="687">
        <f>D13*E13</f>
        <v/>
      </c>
      <c r="G13" s="687">
        <f>D13-F13</f>
        <v/>
      </c>
    </row>
    <row r="14">
      <c r="A14" s="518" t="inlineStr">
        <is>
          <t>03</t>
        </is>
      </c>
      <c r="B14" s="519" t="n">
        <v>3</v>
      </c>
      <c r="C14" s="520" t="inlineStr">
        <is>
          <t xml:space="preserve">SUPERESTRUCTURA SEGUNDO NIVEL </t>
        </is>
      </c>
      <c r="D14" s="757">
        <f>'IKARIA TECHO'!N182</f>
        <v/>
      </c>
      <c r="E14" s="130" t="n"/>
      <c r="F14" s="687">
        <f>D14*E14</f>
        <v/>
      </c>
      <c r="G14" s="687">
        <f>D14-F14</f>
        <v/>
      </c>
    </row>
    <row r="15">
      <c r="A15" s="518" t="inlineStr">
        <is>
          <t>03-01</t>
        </is>
      </c>
      <c r="B15" s="522" t="inlineStr">
        <is>
          <t xml:space="preserve">3.1 </t>
        </is>
      </c>
      <c r="C15" s="523" t="inlineStr">
        <is>
          <t>ACERO EN PAREDES MUROS N2 (ELECTROMECANICO)</t>
        </is>
      </c>
      <c r="D15" s="758">
        <f>'IKARIA TECHO'!N183</f>
        <v/>
      </c>
      <c r="E15" s="130" t="n"/>
      <c r="F15" s="687">
        <f>D15*E15</f>
        <v/>
      </c>
      <c r="G15" s="687">
        <f>D15-F15</f>
        <v/>
      </c>
    </row>
    <row r="16">
      <c r="A16" s="518" t="inlineStr">
        <is>
          <t>03-02</t>
        </is>
      </c>
      <c r="B16" s="522" t="inlineStr">
        <is>
          <t>3.2</t>
        </is>
      </c>
      <c r="C16" s="523" t="inlineStr">
        <is>
          <t>PAREDES, MUROS, ENTREPISO N2 (FORMALETA, CONCRETO, DESENCOFRADO)</t>
        </is>
      </c>
      <c r="D16" s="758">
        <f>'IKARIA TECHO'!N201</f>
        <v/>
      </c>
      <c r="E16" s="130" t="n"/>
      <c r="F16" s="687">
        <f>D16*E16</f>
        <v/>
      </c>
      <c r="G16" s="687">
        <f>D16-F16</f>
        <v/>
      </c>
    </row>
    <row r="17">
      <c r="A17" s="518" t="inlineStr">
        <is>
          <t>04</t>
        </is>
      </c>
      <c r="B17" s="519" t="n">
        <v>4</v>
      </c>
      <c r="C17" s="520" t="inlineStr">
        <is>
          <t xml:space="preserve">OTROS GRIS </t>
        </is>
      </c>
      <c r="D17" s="757">
        <f>'IKARIA TECHO'!N214</f>
        <v/>
      </c>
      <c r="E17" s="130" t="n"/>
      <c r="F17" s="687">
        <f>D17*E17</f>
        <v/>
      </c>
      <c r="G17" s="687">
        <f>D17-F17</f>
        <v/>
      </c>
    </row>
    <row r="18">
      <c r="A18" s="518" t="inlineStr">
        <is>
          <t>04-01</t>
        </is>
      </c>
      <c r="B18" s="522" t="inlineStr">
        <is>
          <t xml:space="preserve">4.1 </t>
        </is>
      </c>
      <c r="C18" s="523" t="inlineStr">
        <is>
          <t xml:space="preserve">GRADAS EN CONCRETO </t>
        </is>
      </c>
      <c r="D18" s="758">
        <f>'IKARIA TECHO'!N215</f>
        <v/>
      </c>
      <c r="E18" s="130" t="n"/>
      <c r="F18" s="687">
        <f>D18*E18</f>
        <v/>
      </c>
      <c r="G18" s="687">
        <f>D18-F18</f>
        <v/>
      </c>
    </row>
    <row r="19">
      <c r="A19" s="518" t="inlineStr">
        <is>
          <t>04-02</t>
        </is>
      </c>
      <c r="B19" s="522" t="inlineStr">
        <is>
          <t>4.2</t>
        </is>
      </c>
      <c r="C19" s="523" t="inlineStr">
        <is>
          <t>COLUMNAS (MEDIDOR)</t>
        </is>
      </c>
      <c r="D19" s="758">
        <f>'IKARIA TECHO'!N253</f>
        <v/>
      </c>
      <c r="E19" s="130" t="n"/>
      <c r="F19" s="687">
        <f>D19*E19</f>
        <v/>
      </c>
      <c r="G19" s="687">
        <f>D19-F19</f>
        <v/>
      </c>
    </row>
    <row r="20">
      <c r="A20" s="518" t="inlineStr">
        <is>
          <t>04-03</t>
        </is>
      </c>
      <c r="B20" s="522" t="inlineStr">
        <is>
          <t>4.3</t>
        </is>
      </c>
      <c r="C20" s="523" t="inlineStr">
        <is>
          <t xml:space="preserve">CHORREA DE COCHERAS Y PILAS </t>
        </is>
      </c>
      <c r="D20" s="758">
        <f>'IKARIA TECHO'!N288</f>
        <v/>
      </c>
      <c r="E20" s="130" t="n"/>
      <c r="F20" s="687">
        <f>D20*E20</f>
        <v/>
      </c>
      <c r="G20" s="687">
        <f>D20-F20</f>
        <v/>
      </c>
    </row>
    <row r="21">
      <c r="A21" s="518" t="inlineStr">
        <is>
          <t>05</t>
        </is>
      </c>
      <c r="B21" s="519" t="n">
        <v>5</v>
      </c>
      <c r="C21" s="520" t="inlineStr">
        <is>
          <t xml:space="preserve">ESTRUCTURA METÁLICA Y CUBIERTAS </t>
        </is>
      </c>
      <c r="D21" s="757">
        <f>'IKARIA TECHO'!N309</f>
        <v/>
      </c>
      <c r="E21" s="130" t="n"/>
      <c r="F21" s="687">
        <f>D21*E21</f>
        <v/>
      </c>
      <c r="G21" s="687">
        <f>D21-F21</f>
        <v/>
      </c>
    </row>
    <row r="22">
      <c r="A22" s="518" t="inlineStr">
        <is>
          <t>05-01</t>
        </is>
      </c>
      <c r="B22" s="522" t="inlineStr">
        <is>
          <t>5.1</t>
        </is>
      </c>
      <c r="C22" s="523" t="inlineStr">
        <is>
          <t xml:space="preserve">ESTRUCTURA TECHO CASA </t>
        </is>
      </c>
      <c r="D22" s="758">
        <f>'IKARIA TECHO'!N310</f>
        <v/>
      </c>
      <c r="E22" s="130" t="n"/>
      <c r="F22" s="687">
        <f>D22*E22</f>
        <v/>
      </c>
      <c r="G22" s="687">
        <f>D22-F22</f>
        <v/>
      </c>
    </row>
    <row r="23">
      <c r="A23" s="518" t="inlineStr">
        <is>
          <t>05-02</t>
        </is>
      </c>
      <c r="B23" s="522" t="inlineStr">
        <is>
          <t>5.2</t>
        </is>
      </c>
      <c r="C23" s="523" t="inlineStr">
        <is>
          <t xml:space="preserve">ESTRUCTURA TECHO COCHERA </t>
        </is>
      </c>
      <c r="D23" s="758">
        <f>'IKARIA TECHO'!N327</f>
        <v/>
      </c>
      <c r="E23" s="130" t="n"/>
      <c r="F23" s="687">
        <f>D23*E23</f>
        <v/>
      </c>
      <c r="G23" s="687">
        <f>D23-F23</f>
        <v/>
      </c>
    </row>
    <row r="24">
      <c r="A24" s="518" t="inlineStr">
        <is>
          <t>05-03</t>
        </is>
      </c>
      <c r="B24" s="525" t="inlineStr">
        <is>
          <t>5.3</t>
        </is>
      </c>
      <c r="C24" s="523" t="inlineStr">
        <is>
          <t xml:space="preserve">CUBIERTA TECHO CASA </t>
        </is>
      </c>
      <c r="D24" s="758">
        <f>'IKARIA TECHO'!N348</f>
        <v/>
      </c>
      <c r="E24" s="130" t="n"/>
      <c r="F24" s="687">
        <f>D24*E24</f>
        <v/>
      </c>
      <c r="G24" s="687">
        <f>D24-F24</f>
        <v/>
      </c>
    </row>
    <row r="25">
      <c r="A25" s="518" t="inlineStr">
        <is>
          <t>05-04</t>
        </is>
      </c>
      <c r="B25" s="525" t="inlineStr">
        <is>
          <t>5.4</t>
        </is>
      </c>
      <c r="C25" s="523" t="inlineStr">
        <is>
          <t xml:space="preserve">CUBIERTA TECHO COCHERA </t>
        </is>
      </c>
      <c r="D25" s="758">
        <f>'IKARIA TECHO'!N356</f>
        <v/>
      </c>
      <c r="E25" s="130" t="n"/>
      <c r="F25" s="687">
        <f>D25*E25</f>
        <v/>
      </c>
      <c r="G25" s="687">
        <f>D25-F25</f>
        <v/>
      </c>
    </row>
    <row r="26">
      <c r="A26" s="518" t="inlineStr">
        <is>
          <t>05-05</t>
        </is>
      </c>
      <c r="B26" s="522" t="inlineStr">
        <is>
          <t>5.5</t>
        </is>
      </c>
      <c r="C26" s="523" t="inlineStr">
        <is>
          <t xml:space="preserve">HOJALATERIA Y CANOAS </t>
        </is>
      </c>
      <c r="D26" s="758">
        <f>'IKARIA TECHO'!N368</f>
        <v/>
      </c>
      <c r="E26" s="130" t="n"/>
      <c r="F26" s="687">
        <f>D26*E26</f>
        <v/>
      </c>
      <c r="G26" s="687">
        <f>D26-F26</f>
        <v/>
      </c>
    </row>
    <row r="27">
      <c r="A27" s="518" t="inlineStr">
        <is>
          <t>05-06</t>
        </is>
      </c>
      <c r="B27" s="522" t="inlineStr">
        <is>
          <t>5.6</t>
        </is>
      </c>
      <c r="C27" s="523" t="inlineStr">
        <is>
          <t xml:space="preserve">GRADAS ESTRUCTURA, PINTADO Y ACABADO </t>
        </is>
      </c>
      <c r="D27" s="758">
        <f>'IKARIA TECHO'!N380</f>
        <v/>
      </c>
      <c r="E27" s="130" t="n"/>
      <c r="F27" s="687">
        <f>D27*E27</f>
        <v/>
      </c>
      <c r="G27" s="687">
        <f>D27-F27</f>
        <v/>
      </c>
    </row>
    <row r="28">
      <c r="A28" s="518" t="inlineStr">
        <is>
          <t>05-07</t>
        </is>
      </c>
      <c r="B28" s="525" t="inlineStr">
        <is>
          <t>5.7</t>
        </is>
      </c>
      <c r="C28" s="523" t="inlineStr">
        <is>
          <t xml:space="preserve">BARANDA DE GRADAS (N2) </t>
        </is>
      </c>
      <c r="D28" s="758">
        <f>'IKARIA TECHO'!N394</f>
        <v/>
      </c>
      <c r="E28" s="130" t="n"/>
      <c r="F28" s="687">
        <f>D28*E28</f>
        <v/>
      </c>
      <c r="G28" s="687">
        <f>D28-F28</f>
        <v/>
      </c>
    </row>
    <row r="29">
      <c r="A29" s="518" t="inlineStr">
        <is>
          <t>05-08</t>
        </is>
      </c>
      <c r="B29" s="525" t="inlineStr">
        <is>
          <t>5.8</t>
        </is>
      </c>
      <c r="C29" s="523" t="inlineStr">
        <is>
          <t xml:space="preserve">ESTRUCTURA METÁLICA INTERNA </t>
        </is>
      </c>
      <c r="D29" s="758">
        <f>'IKARIA TECHO'!N408</f>
        <v/>
      </c>
      <c r="E29" s="130" t="n"/>
      <c r="F29" s="687">
        <f>D29*E29</f>
        <v/>
      </c>
      <c r="G29" s="687">
        <f>D29-F29</f>
        <v/>
      </c>
    </row>
    <row r="30">
      <c r="A30" s="518" t="inlineStr">
        <is>
          <t>06</t>
        </is>
      </c>
      <c r="B30" s="519" t="n">
        <v>6</v>
      </c>
      <c r="C30" s="520" t="inlineStr">
        <is>
          <t xml:space="preserve">LIVIANO </t>
        </is>
      </c>
      <c r="D30" s="757">
        <f>'IKARIA TECHO'!N422</f>
        <v/>
      </c>
      <c r="E30" s="130" t="n"/>
      <c r="F30" s="687">
        <f>D30*E30</f>
        <v/>
      </c>
      <c r="G30" s="687">
        <f>D30-F30</f>
        <v/>
      </c>
    </row>
    <row r="31">
      <c r="A31" s="518" t="inlineStr">
        <is>
          <t>06-01</t>
        </is>
      </c>
      <c r="B31" s="522" t="inlineStr">
        <is>
          <t xml:space="preserve">6.1 </t>
        </is>
      </c>
      <c r="C31" s="523" t="inlineStr">
        <is>
          <t xml:space="preserve">LIVIANO EXTERIORES </t>
        </is>
      </c>
      <c r="D31" s="758">
        <f>'IKARIA TECHO'!N423</f>
        <v/>
      </c>
      <c r="E31" s="130" t="n"/>
      <c r="F31" s="687">
        <f>D31*E31</f>
        <v/>
      </c>
      <c r="G31" s="687">
        <f>D31-F31</f>
        <v/>
      </c>
    </row>
    <row r="32">
      <c r="A32" s="518" t="inlineStr">
        <is>
          <t>06-02</t>
        </is>
      </c>
      <c r="B32" s="522" t="inlineStr">
        <is>
          <t>6.2</t>
        </is>
      </c>
      <c r="C32" s="523" t="inlineStr">
        <is>
          <t>LIVIANO INTERIORES ( PAREDES LIVIANAS Y CIELOS)</t>
        </is>
      </c>
      <c r="D32" s="758">
        <f>'IKARIA TECHO'!N455</f>
        <v/>
      </c>
      <c r="E32" s="130" t="n"/>
      <c r="F32" s="687">
        <f>D32*E32</f>
        <v/>
      </c>
      <c r="G32" s="687">
        <f>D32-F32</f>
        <v/>
      </c>
    </row>
    <row r="33">
      <c r="A33" s="518" t="inlineStr">
        <is>
          <t>07</t>
        </is>
      </c>
      <c r="B33" s="519" t="n">
        <v>7</v>
      </c>
      <c r="C33" s="520" t="inlineStr">
        <is>
          <t xml:space="preserve">REPELLOS </t>
        </is>
      </c>
      <c r="D33" s="757">
        <f>'IKARIA TECHO'!N504</f>
        <v/>
      </c>
      <c r="E33" s="130" t="n"/>
      <c r="F33" s="687">
        <f>D33*E33</f>
        <v/>
      </c>
      <c r="G33" s="687">
        <f>D33-F33</f>
        <v/>
      </c>
    </row>
    <row r="34">
      <c r="A34" s="518" t="inlineStr">
        <is>
          <t>07-01</t>
        </is>
      </c>
      <c r="B34" s="522" t="inlineStr">
        <is>
          <t xml:space="preserve">7.1 </t>
        </is>
      </c>
      <c r="C34" s="523" t="inlineStr">
        <is>
          <t xml:space="preserve">REPELLOS INTERNO Y EXTERNO </t>
        </is>
      </c>
      <c r="D34" s="758">
        <f>'IKARIA TECHO'!N505</f>
        <v/>
      </c>
      <c r="E34" s="130" t="n"/>
      <c r="F34" s="687">
        <f>D34*E34</f>
        <v/>
      </c>
      <c r="G34" s="687">
        <f>D34-F34</f>
        <v/>
      </c>
    </row>
    <row r="35">
      <c r="A35" s="518" t="inlineStr">
        <is>
          <t>07-02</t>
        </is>
      </c>
      <c r="B35" s="522" t="inlineStr">
        <is>
          <t>7.2</t>
        </is>
      </c>
      <c r="C35" s="523" t="inlineStr">
        <is>
          <t xml:space="preserve">EMPASTE </t>
        </is>
      </c>
      <c r="D35" s="758">
        <f>'IKARIA TECHO'!N521</f>
        <v/>
      </c>
      <c r="E35" s="130" t="n"/>
      <c r="F35" s="687">
        <f>D35*E35</f>
        <v/>
      </c>
      <c r="G35" s="687">
        <f>D35-F35</f>
        <v/>
      </c>
    </row>
    <row r="36">
      <c r="A36" s="518" t="inlineStr">
        <is>
          <t>08</t>
        </is>
      </c>
      <c r="B36" s="519" t="n">
        <v>8</v>
      </c>
      <c r="C36" s="520" t="inlineStr">
        <is>
          <t xml:space="preserve">ENCHAPES </t>
        </is>
      </c>
      <c r="D36" s="757">
        <f>'IKARIA TECHO'!N528</f>
        <v/>
      </c>
      <c r="E36" s="130" t="n"/>
      <c r="F36" s="687">
        <f>D36*E36</f>
        <v/>
      </c>
      <c r="G36" s="687">
        <f>D36-F36</f>
        <v/>
      </c>
    </row>
    <row r="37">
      <c r="A37" s="518" t="inlineStr">
        <is>
          <t>08-01</t>
        </is>
      </c>
      <c r="B37" s="522" t="inlineStr">
        <is>
          <t xml:space="preserve">8.1 </t>
        </is>
      </c>
      <c r="C37" s="523" t="inlineStr">
        <is>
          <t>ENCHAPES (INTERNO Y EXTERNO)</t>
        </is>
      </c>
      <c r="D37" s="758">
        <f>'IKARIA TECHO'!N529</f>
        <v/>
      </c>
      <c r="E37" s="130" t="n"/>
      <c r="F37" s="687">
        <f>D37*E37</f>
        <v/>
      </c>
      <c r="G37" s="687">
        <f>D37-F37</f>
        <v/>
      </c>
    </row>
    <row r="38">
      <c r="A38" s="518" t="inlineStr">
        <is>
          <t>09</t>
        </is>
      </c>
      <c r="B38" s="519" t="n">
        <v>9</v>
      </c>
      <c r="C38" s="520" t="inlineStr">
        <is>
          <t xml:space="preserve">MUEBLES Y PUERTAS </t>
        </is>
      </c>
      <c r="D38" s="757">
        <f>'IKARIA TECHO'!N560</f>
        <v/>
      </c>
      <c r="E38" s="130" t="n"/>
      <c r="F38" s="687">
        <f>D38*E38</f>
        <v/>
      </c>
      <c r="G38" s="687">
        <f>D38-F38</f>
        <v/>
      </c>
    </row>
    <row r="39">
      <c r="A39" s="518" t="inlineStr">
        <is>
          <t>09-01</t>
        </is>
      </c>
      <c r="B39" s="522" t="inlineStr">
        <is>
          <t>9.1</t>
        </is>
      </c>
      <c r="C39" s="523" t="inlineStr">
        <is>
          <t xml:space="preserve">MUEBLES </t>
        </is>
      </c>
      <c r="D39" s="758">
        <f>'IKARIA TECHO'!N561</f>
        <v/>
      </c>
      <c r="E39" s="130" t="n"/>
      <c r="F39" s="687">
        <f>D39*E39</f>
        <v/>
      </c>
      <c r="G39" s="687">
        <f>D39-F39</f>
        <v/>
      </c>
    </row>
    <row r="40">
      <c r="A40" s="518" t="inlineStr">
        <is>
          <t>09-02</t>
        </is>
      </c>
      <c r="B40" s="522" t="inlineStr">
        <is>
          <t>9.2</t>
        </is>
      </c>
      <c r="C40" s="523" t="inlineStr">
        <is>
          <t xml:space="preserve">PUERTAS Y RODAPIE </t>
        </is>
      </c>
      <c r="D40" s="758">
        <f>'IKARIA TECHO'!N626</f>
        <v/>
      </c>
      <c r="E40" s="130" t="n"/>
      <c r="F40" s="687">
        <f>D40*E40</f>
        <v/>
      </c>
      <c r="G40" s="687">
        <f>D40-F40</f>
        <v/>
      </c>
    </row>
    <row r="41">
      <c r="A41" s="518" t="inlineStr">
        <is>
          <t>10</t>
        </is>
      </c>
      <c r="B41" s="519" t="n">
        <v>10</v>
      </c>
      <c r="C41" s="520" t="inlineStr">
        <is>
          <t xml:space="preserve">OBRAS ADICIONALES </t>
        </is>
      </c>
      <c r="D41" s="757">
        <f>'IKARIA TECHO'!N638</f>
        <v/>
      </c>
      <c r="E41" s="130" t="n"/>
      <c r="F41" s="687">
        <f>D41*E41</f>
        <v/>
      </c>
      <c r="G41" s="687">
        <f>D41-F41</f>
        <v/>
      </c>
    </row>
    <row r="42">
      <c r="A42" s="518" t="inlineStr">
        <is>
          <t>10-01</t>
        </is>
      </c>
      <c r="B42" s="522" t="inlineStr">
        <is>
          <t>10.1</t>
        </is>
      </c>
      <c r="C42" s="523" t="inlineStr">
        <is>
          <t xml:space="preserve">ZACATE </t>
        </is>
      </c>
      <c r="D42" s="758">
        <f>'IKARIA TECHO'!N639</f>
        <v/>
      </c>
      <c r="E42" s="130" t="n"/>
      <c r="F42" s="687">
        <f>D42*E42</f>
        <v/>
      </c>
      <c r="G42" s="687">
        <f>D42-F42</f>
        <v/>
      </c>
    </row>
    <row r="43">
      <c r="A43" s="518" t="inlineStr">
        <is>
          <t>10-02</t>
        </is>
      </c>
      <c r="B43" s="522" t="inlineStr">
        <is>
          <t>10.2</t>
        </is>
      </c>
      <c r="C43" s="523" t="inlineStr">
        <is>
          <t xml:space="preserve">TAPIAS PREFABRICADAS </t>
        </is>
      </c>
      <c r="D43" s="758">
        <f>'IKARIA TECHO'!N647</f>
        <v/>
      </c>
      <c r="E43" s="130" t="n"/>
      <c r="F43" s="687">
        <f>D43*E43</f>
        <v/>
      </c>
      <c r="G43" s="687">
        <f>D43-F43</f>
        <v/>
      </c>
    </row>
    <row r="44">
      <c r="A44" s="518" t="inlineStr">
        <is>
          <t>10-03</t>
        </is>
      </c>
      <c r="B44" s="522" t="inlineStr">
        <is>
          <t>10.3</t>
        </is>
      </c>
      <c r="C44" s="523" t="inlineStr">
        <is>
          <t>ACERAS</t>
        </is>
      </c>
      <c r="D44" s="758">
        <f>'IKARIA TECHO'!N657</f>
        <v/>
      </c>
      <c r="E44" s="130" t="n"/>
      <c r="F44" s="687">
        <f>D44*E44</f>
        <v/>
      </c>
      <c r="G44" s="687">
        <f>D44-F44</f>
        <v/>
      </c>
    </row>
    <row r="45">
      <c r="A45" s="518" t="inlineStr">
        <is>
          <t>11</t>
        </is>
      </c>
      <c r="B45" s="519" t="n">
        <v>11</v>
      </c>
      <c r="C45" s="520" t="inlineStr">
        <is>
          <t xml:space="preserve">ACABADOS </t>
        </is>
      </c>
      <c r="D45" s="757">
        <f>'IKARIA TECHO'!N667</f>
        <v/>
      </c>
      <c r="E45" s="130" t="n"/>
      <c r="F45" s="687">
        <f>D45*E45</f>
        <v/>
      </c>
      <c r="G45" s="687">
        <f>D45-F45</f>
        <v/>
      </c>
    </row>
    <row r="46">
      <c r="A46" s="518" t="inlineStr">
        <is>
          <t>11-01</t>
        </is>
      </c>
      <c r="B46" s="522" t="inlineStr">
        <is>
          <t>11.1</t>
        </is>
      </c>
      <c r="C46" s="526" t="inlineStr">
        <is>
          <t xml:space="preserve">PINTURA </t>
        </is>
      </c>
      <c r="D46" s="758">
        <f>'IKARIA TECHO'!N668</f>
        <v/>
      </c>
      <c r="E46" s="130" t="n"/>
      <c r="F46" s="687">
        <f>D46*E46</f>
        <v/>
      </c>
      <c r="G46" s="687">
        <f>D46-F46</f>
        <v/>
      </c>
    </row>
    <row r="47">
      <c r="A47" s="518" t="inlineStr">
        <is>
          <t>11-02</t>
        </is>
      </c>
      <c r="B47" s="522" t="inlineStr">
        <is>
          <t>11.2</t>
        </is>
      </c>
      <c r="C47" s="523" t="inlineStr">
        <is>
          <t>LOSA SANITARIA, GRIFERIA</t>
        </is>
      </c>
      <c r="D47" s="758">
        <f>'IKARIA TECHO'!N697</f>
        <v/>
      </c>
      <c r="E47" s="130" t="n"/>
      <c r="F47" s="687">
        <f>D47*E47</f>
        <v/>
      </c>
      <c r="G47" s="687">
        <f>D47-F47</f>
        <v/>
      </c>
    </row>
    <row r="48">
      <c r="A48" s="518" t="inlineStr">
        <is>
          <t>11-03</t>
        </is>
      </c>
      <c r="B48" s="522" t="inlineStr">
        <is>
          <t>11.3</t>
        </is>
      </c>
      <c r="C48" s="523" t="inlineStr">
        <is>
          <t>ACABADOS DE AZOTEA</t>
        </is>
      </c>
      <c r="D48" s="758">
        <f>'IKARIA TECHO'!N717</f>
        <v/>
      </c>
      <c r="E48" s="130" t="n"/>
      <c r="F48" s="687">
        <f>D48*E48</f>
        <v/>
      </c>
      <c r="G48" s="687">
        <f>D48-F48</f>
        <v/>
      </c>
    </row>
    <row r="49">
      <c r="A49" s="518" t="inlineStr">
        <is>
          <t>11-04</t>
        </is>
      </c>
      <c r="B49" s="522" t="inlineStr">
        <is>
          <t>11.4</t>
        </is>
      </c>
      <c r="C49" s="523" t="inlineStr">
        <is>
          <t xml:space="preserve">PONCHEO FINAL </t>
        </is>
      </c>
      <c r="D49" s="758">
        <f>'IKARIA TECHO'!N731</f>
        <v/>
      </c>
      <c r="E49" s="130" t="n"/>
      <c r="F49" s="687">
        <f>D49*E49</f>
        <v/>
      </c>
      <c r="G49" s="687">
        <f>D49-F49</f>
        <v/>
      </c>
    </row>
    <row r="50">
      <c r="A50" s="518" t="inlineStr">
        <is>
          <t>12</t>
        </is>
      </c>
      <c r="B50" s="519" t="n">
        <v>12</v>
      </c>
      <c r="C50" s="520" t="inlineStr">
        <is>
          <t xml:space="preserve">VENTANERIA </t>
        </is>
      </c>
      <c r="D50" s="757">
        <f>'IKARIA TECHO'!N738</f>
        <v/>
      </c>
      <c r="E50" s="130" t="n"/>
      <c r="F50" s="687">
        <f>D50*E50</f>
        <v/>
      </c>
      <c r="G50" s="687">
        <f>D50-F50</f>
        <v/>
      </c>
    </row>
    <row r="51">
      <c r="A51" s="518" t="inlineStr">
        <is>
          <t>12-01</t>
        </is>
      </c>
      <c r="B51" s="522" t="inlineStr">
        <is>
          <t>12.1</t>
        </is>
      </c>
      <c r="C51" s="526" t="inlineStr">
        <is>
          <t xml:space="preserve">VENTANERIA </t>
        </is>
      </c>
      <c r="D51" s="758">
        <f>'IKARIA TECHO'!N739</f>
        <v/>
      </c>
      <c r="E51" s="130" t="n"/>
      <c r="F51" s="687">
        <f>D51*E51</f>
        <v/>
      </c>
      <c r="G51" s="687">
        <f>D51-F51</f>
        <v/>
      </c>
    </row>
    <row r="52">
      <c r="A52" s="518" t="n"/>
      <c r="B52" s="519" t="n">
        <v>13</v>
      </c>
      <c r="C52" s="520" t="inlineStr">
        <is>
          <t xml:space="preserve">ELÉCTRICO </t>
        </is>
      </c>
      <c r="D52" s="757">
        <f>'IKARIA TECHO'!N743</f>
        <v/>
      </c>
      <c r="E52" s="130" t="n"/>
      <c r="F52" s="687">
        <f>D52*E52</f>
        <v/>
      </c>
      <c r="G52" s="687">
        <f>D52-F52</f>
        <v/>
      </c>
    </row>
    <row r="53">
      <c r="A53" s="518" t="inlineStr">
        <is>
          <t>13-01</t>
        </is>
      </c>
      <c r="B53" s="522" t="inlineStr">
        <is>
          <t>13.01</t>
        </is>
      </c>
      <c r="C53" s="526" t="inlineStr">
        <is>
          <t>ACOMETIDA</t>
        </is>
      </c>
      <c r="D53" s="758">
        <f>'IKARIA TECHO'!N744</f>
        <v/>
      </c>
      <c r="E53" s="130" t="n"/>
      <c r="F53" s="687">
        <f>D53*E53</f>
        <v/>
      </c>
      <c r="G53" s="687">
        <f>D53-F53</f>
        <v/>
      </c>
    </row>
    <row r="54">
      <c r="A54" s="518" t="inlineStr">
        <is>
          <t>13-02</t>
        </is>
      </c>
      <c r="B54" s="522" t="inlineStr">
        <is>
          <t>13.02</t>
        </is>
      </c>
      <c r="C54" s="526" t="inlineStr">
        <is>
          <t xml:space="preserve">ELÉCTRICO LOSA </t>
        </is>
      </c>
      <c r="D54" s="758">
        <f>'IKARIA TECHO'!N748</f>
        <v/>
      </c>
      <c r="E54" s="130" t="n"/>
      <c r="F54" s="687">
        <f>D54*E54</f>
        <v/>
      </c>
      <c r="G54" s="687">
        <f>D54-F54</f>
        <v/>
      </c>
    </row>
    <row r="55">
      <c r="A55" s="518" t="inlineStr">
        <is>
          <t>13-03</t>
        </is>
      </c>
      <c r="B55" s="522" t="inlineStr">
        <is>
          <t>13.03</t>
        </is>
      </c>
      <c r="C55" s="526" t="inlineStr">
        <is>
          <t xml:space="preserve">ELÉCTRICO MUROS </t>
        </is>
      </c>
      <c r="D55" s="758">
        <f>'IKARIA TECHO'!N752</f>
        <v/>
      </c>
      <c r="E55" s="130" t="n"/>
      <c r="F55" s="687">
        <f>D55*E55</f>
        <v/>
      </c>
      <c r="G55" s="687">
        <f>D55-F55</f>
        <v/>
      </c>
    </row>
    <row r="56">
      <c r="A56" s="518" t="inlineStr">
        <is>
          <t>13-04</t>
        </is>
      </c>
      <c r="B56" s="522" t="inlineStr">
        <is>
          <t>13.04</t>
        </is>
      </c>
      <c r="C56" s="526" t="inlineStr">
        <is>
          <t xml:space="preserve">BASE MEDIDOR </t>
        </is>
      </c>
      <c r="D56" s="758">
        <f>'IKARIA TECHO'!N756</f>
        <v/>
      </c>
      <c r="E56" s="130" t="n"/>
      <c r="F56" s="687">
        <f>D56*E56</f>
        <v/>
      </c>
      <c r="G56" s="687">
        <f>D56-F56</f>
        <v/>
      </c>
    </row>
    <row r="57">
      <c r="A57" s="518" t="inlineStr">
        <is>
          <t>13-05</t>
        </is>
      </c>
      <c r="B57" s="522" t="inlineStr">
        <is>
          <t>13.05</t>
        </is>
      </c>
      <c r="C57" s="526" t="inlineStr">
        <is>
          <t xml:space="preserve">ELÉCTRICO ILUMINACIÓN </t>
        </is>
      </c>
      <c r="D57" s="758">
        <f>'IKARIA TECHO'!N762</f>
        <v/>
      </c>
      <c r="E57" s="130" t="n"/>
      <c r="F57" s="687">
        <f>D57*E57</f>
        <v/>
      </c>
      <c r="G57" s="687">
        <f>D57-F57</f>
        <v/>
      </c>
    </row>
    <row r="58">
      <c r="A58" s="518" t="inlineStr">
        <is>
          <t>13-06</t>
        </is>
      </c>
      <c r="B58" s="522" t="inlineStr">
        <is>
          <t>13.06</t>
        </is>
      </c>
      <c r="C58" s="526" t="inlineStr">
        <is>
          <t xml:space="preserve">TABLERO ELÉCTRICO </t>
        </is>
      </c>
      <c r="D58" s="758">
        <f>'IKARIA TECHO'!N771</f>
        <v/>
      </c>
      <c r="E58" s="130" t="n"/>
      <c r="F58" s="687">
        <f>D58*E58</f>
        <v/>
      </c>
      <c r="G58" s="687">
        <f>D58-F58</f>
        <v/>
      </c>
    </row>
    <row r="59">
      <c r="A59" s="518" t="inlineStr">
        <is>
          <t>13-07</t>
        </is>
      </c>
      <c r="B59" s="522" t="inlineStr">
        <is>
          <t>13.07</t>
        </is>
      </c>
      <c r="C59" s="526" t="inlineStr">
        <is>
          <t xml:space="preserve">CABLEADO ELÉCTRICO </t>
        </is>
      </c>
      <c r="D59" s="758">
        <f>'IKARIA TECHO'!N781</f>
        <v/>
      </c>
      <c r="E59" s="130" t="n"/>
      <c r="F59" s="687">
        <f>D59*E59</f>
        <v/>
      </c>
      <c r="G59" s="687">
        <f>D59-F59</f>
        <v/>
      </c>
    </row>
    <row r="60">
      <c r="A60" s="518" t="inlineStr">
        <is>
          <t>13-08</t>
        </is>
      </c>
      <c r="B60" s="522" t="inlineStr">
        <is>
          <t>13.08</t>
        </is>
      </c>
      <c r="C60" s="526" t="inlineStr">
        <is>
          <t xml:space="preserve">PLAQUERIA </t>
        </is>
      </c>
      <c r="D60" s="758">
        <f>'IKARIA TECHO'!N813</f>
        <v/>
      </c>
      <c r="E60" s="130" t="n"/>
      <c r="F60" s="687">
        <f>D60*E60</f>
        <v/>
      </c>
      <c r="G60" s="687">
        <f>D60-F60</f>
        <v/>
      </c>
    </row>
    <row r="61">
      <c r="A61" s="518" t="inlineStr">
        <is>
          <t>13-09</t>
        </is>
      </c>
      <c r="B61" s="522" t="inlineStr">
        <is>
          <t>13.09</t>
        </is>
      </c>
      <c r="C61" s="526" t="inlineStr">
        <is>
          <t>ACABADOS FINALES Y BREAKERS</t>
        </is>
      </c>
      <c r="D61" s="758">
        <f>'IKARIA TECHO'!N822</f>
        <v/>
      </c>
      <c r="E61" s="130" t="n"/>
      <c r="F61" s="687">
        <f>D61*E61</f>
        <v/>
      </c>
      <c r="G61" s="687">
        <f>D61-F61</f>
        <v/>
      </c>
    </row>
    <row r="62">
      <c r="A62" s="518" t="n"/>
      <c r="B62" s="519" t="n">
        <v>14</v>
      </c>
      <c r="C62" s="520" t="inlineStr">
        <is>
          <t xml:space="preserve">MECÁNICO </t>
        </is>
      </c>
      <c r="D62" s="757">
        <f>'IKARIA TECHO'!N834</f>
        <v/>
      </c>
      <c r="E62" s="130" t="n"/>
      <c r="F62" s="687">
        <f>D62*E62</f>
        <v/>
      </c>
      <c r="G62" s="687">
        <f>D62-F62</f>
        <v/>
      </c>
    </row>
    <row r="63">
      <c r="A63" s="518" t="inlineStr">
        <is>
          <t>14-03</t>
        </is>
      </c>
      <c r="B63" s="522" t="inlineStr">
        <is>
          <t>14.03</t>
        </is>
      </c>
      <c r="C63" s="526" t="inlineStr">
        <is>
          <t xml:space="preserve">CAJAS Y TUBERIAS MECÁNICAS </t>
        </is>
      </c>
      <c r="D63" s="758">
        <f>'IKARIA TECHO'!N835</f>
        <v/>
      </c>
      <c r="E63" s="130" t="n"/>
      <c r="F63" s="687">
        <f>D63*E63</f>
        <v/>
      </c>
      <c r="G63" s="687">
        <f>D63-F63</f>
        <v/>
      </c>
    </row>
    <row r="64">
      <c r="A64" s="518" t="inlineStr">
        <is>
          <t>14-04</t>
        </is>
      </c>
      <c r="B64" s="522" t="inlineStr">
        <is>
          <t>14.04</t>
        </is>
      </c>
      <c r="C64" s="526" t="inlineStr">
        <is>
          <t xml:space="preserve">BAJANTES </t>
        </is>
      </c>
      <c r="D64" s="758">
        <f>'IKARIA TECHO'!N851</f>
        <v/>
      </c>
      <c r="E64" s="130" t="n"/>
      <c r="F64" s="687">
        <f>D64*E64</f>
        <v/>
      </c>
      <c r="G64" s="687">
        <f>D64-F64</f>
        <v/>
      </c>
    </row>
    <row r="65">
      <c r="A65" s="518" t="inlineStr">
        <is>
          <t>14-05</t>
        </is>
      </c>
      <c r="B65" s="522" t="inlineStr">
        <is>
          <t>14.05</t>
        </is>
      </c>
      <c r="C65" s="526" t="inlineStr">
        <is>
          <t xml:space="preserve">ACABADOS MECÁNICOS </t>
        </is>
      </c>
      <c r="D65" s="758">
        <f>'IKARIA TECHO'!N857</f>
        <v/>
      </c>
      <c r="E65" s="130" t="n"/>
      <c r="F65" s="687">
        <f>D65*E65</f>
        <v/>
      </c>
      <c r="G65" s="687">
        <f>D65-F65</f>
        <v/>
      </c>
    </row>
    <row r="66">
      <c r="A66" s="518" t="inlineStr">
        <is>
          <t>15</t>
        </is>
      </c>
      <c r="B66" s="519" t="n">
        <v>15</v>
      </c>
      <c r="C66" s="520" t="inlineStr">
        <is>
          <t>ALQUILERES</t>
        </is>
      </c>
      <c r="D66" s="757">
        <f>'IKARIA TECHO'!N886</f>
        <v/>
      </c>
      <c r="E66" s="130" t="n"/>
      <c r="F66" s="687">
        <f>D66*E66</f>
        <v/>
      </c>
      <c r="G66" s="687">
        <f>D66-F66</f>
        <v/>
      </c>
    </row>
    <row r="67">
      <c r="A67" s="518" t="inlineStr">
        <is>
          <t>15-01</t>
        </is>
      </c>
      <c r="B67" s="522" t="inlineStr">
        <is>
          <t>15.1</t>
        </is>
      </c>
      <c r="C67" s="523" t="inlineStr">
        <is>
          <t xml:space="preserve">ALQUILERES </t>
        </is>
      </c>
      <c r="D67" s="758">
        <f>'IKARIA TECHO'!N887</f>
        <v/>
      </c>
      <c r="E67" s="130" t="n"/>
      <c r="F67" s="687">
        <f>D67*E67</f>
        <v/>
      </c>
      <c r="G67" s="687">
        <f>D67-F67</f>
        <v/>
      </c>
    </row>
    <row r="68">
      <c r="A68" s="518" t="inlineStr">
        <is>
          <t>16</t>
        </is>
      </c>
      <c r="B68" s="519" t="n">
        <v>16</v>
      </c>
      <c r="C68" s="520" t="inlineStr">
        <is>
          <t xml:space="preserve">MANO DE OBRA </t>
        </is>
      </c>
      <c r="D68" s="757">
        <f>'IKARIA TECHO'!N905</f>
        <v/>
      </c>
      <c r="E68" s="130" t="n"/>
      <c r="F68" s="687">
        <f>D68*E68</f>
        <v/>
      </c>
      <c r="G68" s="687">
        <f>D68-F68</f>
        <v/>
      </c>
    </row>
    <row r="69">
      <c r="A69" s="518" t="inlineStr">
        <is>
          <t>16-01</t>
        </is>
      </c>
      <c r="B69" s="522" t="inlineStr">
        <is>
          <t>16.1</t>
        </is>
      </c>
      <c r="C69" s="523" t="inlineStr">
        <is>
          <t xml:space="preserve">MANO DE OBRA </t>
        </is>
      </c>
      <c r="D69" s="758">
        <f>'IKARIA TECHO'!N906</f>
        <v/>
      </c>
      <c r="E69" s="130" t="n"/>
      <c r="F69" s="687">
        <f>D69*E69</f>
        <v/>
      </c>
      <c r="G69" s="687">
        <f>D69-F69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C47"/>
  <sheetViews>
    <sheetView topLeftCell="A7" zoomScaleNormal="100" workbookViewId="0">
      <selection activeCell="F14" sqref="F14"/>
    </sheetView>
  </sheetViews>
  <sheetFormatPr baseColWidth="8" defaultColWidth="11.1640625" defaultRowHeight="15"/>
  <cols>
    <col width="4.16796875" customWidth="1" min="1" max="1"/>
    <col width="10.4921875" customWidth="1" min="2" max="2"/>
    <col width="32.8203125" customWidth="1" min="3" max="3"/>
    <col width="16.54296875" customWidth="1" min="4" max="4"/>
    <col width="13.71875" customWidth="1" min="5" max="7"/>
    <col width="16.54296875" customWidth="1" min="8" max="8"/>
    <col width="18.5625" customWidth="1" min="9" max="9"/>
    <col width="16.94921875" customWidth="1" min="10" max="10"/>
    <col width="16.54296875" customWidth="1" min="11" max="11"/>
    <col width="20.17578125" customWidth="1" min="12" max="12"/>
    <col width="18.83203125" customWidth="1" min="13" max="13"/>
    <col width="9.55078125" customWidth="1" min="14" max="14"/>
    <col width="9.01171875" customWidth="1" min="15" max="15"/>
    <col width="12.64453125" bestFit="1" customWidth="1" min="16" max="16"/>
  </cols>
  <sheetData>
    <row r="1">
      <c r="A1" s="63" t="n"/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  <c r="Z1" s="63" t="n"/>
      <c r="AA1" s="63" t="n"/>
      <c r="AB1" s="63" t="n"/>
      <c r="AC1" s="63" t="n"/>
      <c r="AD1" s="63" t="n"/>
      <c r="AE1" s="63" t="n"/>
      <c r="AF1" s="63" t="n"/>
      <c r="AG1" s="63" t="n"/>
      <c r="AH1" s="63" t="n"/>
      <c r="AI1" s="63" t="n"/>
      <c r="AJ1" s="63" t="n"/>
      <c r="AK1" s="63" t="n"/>
      <c r="AL1" s="63" t="n"/>
    </row>
    <row r="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  <c r="Z2" s="63" t="n"/>
      <c r="AA2" s="63" t="n"/>
      <c r="AB2" s="63" t="n"/>
      <c r="AC2" s="63" t="n"/>
      <c r="AD2" s="63" t="n"/>
      <c r="AE2" s="63" t="n"/>
      <c r="AF2" s="63" t="n"/>
      <c r="AG2" s="63" t="n"/>
      <c r="AH2" s="63" t="n"/>
      <c r="AI2" s="63" t="n"/>
      <c r="AJ2" s="63" t="n"/>
      <c r="AK2" s="63" t="n"/>
      <c r="AL2" s="63" t="n"/>
    </row>
    <row r="3" ht="20.1" customHeight="1">
      <c r="A3" s="63" t="n"/>
      <c r="B3" s="63" t="n"/>
      <c r="C3" s="120" t="inlineStr">
        <is>
          <t>SALARIO POR HORA APROBADO POR GERENCIA</t>
        </is>
      </c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  <c r="Z3" s="63" t="n"/>
      <c r="AA3" s="63" t="n"/>
      <c r="AB3" s="63" t="n"/>
      <c r="AC3" s="63" t="n"/>
      <c r="AD3" s="63" t="n"/>
      <c r="AE3" s="63" t="n"/>
      <c r="AF3" s="63" t="n"/>
      <c r="AG3" s="63" t="n"/>
      <c r="AH3" s="63" t="n"/>
      <c r="AI3" s="63" t="n"/>
      <c r="AJ3" s="63" t="n"/>
      <c r="AK3" s="63" t="n"/>
      <c r="AL3" s="63" t="n"/>
    </row>
    <row r="4" ht="21" customHeight="1">
      <c r="A4" s="63" t="n"/>
      <c r="B4" s="63" t="n"/>
      <c r="C4" s="120" t="inlineStr">
        <is>
          <t>Fecha de aprobación: 08/02/2022</t>
        </is>
      </c>
      <c r="D4" s="63" t="n"/>
      <c r="E4" s="63" t="n"/>
      <c r="F4" s="63" t="n"/>
      <c r="G4" s="63" t="n"/>
      <c r="H4" s="63" t="n"/>
      <c r="I4" s="63" t="n"/>
      <c r="J4" s="63" t="n"/>
      <c r="K4" s="63" t="n"/>
      <c r="L4" s="63" t="n"/>
      <c r="M4" s="63" t="n"/>
      <c r="N4" s="63" t="n"/>
      <c r="O4" s="63" t="n"/>
      <c r="P4" s="63" t="n"/>
      <c r="Q4" s="63" t="n"/>
      <c r="R4" s="63" t="n"/>
      <c r="S4" s="63" t="n"/>
      <c r="T4" s="63" t="n"/>
      <c r="U4" s="63" t="n"/>
      <c r="V4" s="63" t="n"/>
      <c r="W4" s="63" t="n"/>
      <c r="X4" s="63" t="n"/>
      <c r="Y4" s="63" t="n"/>
      <c r="Z4" s="63" t="n"/>
      <c r="AA4" s="63" t="n"/>
      <c r="AB4" s="63" t="n"/>
      <c r="AC4" s="63" t="n"/>
      <c r="AD4" s="63" t="n"/>
      <c r="AE4" s="63" t="n"/>
      <c r="AF4" s="63" t="n"/>
      <c r="AG4" s="63" t="n"/>
      <c r="AH4" s="63" t="n"/>
      <c r="AI4" s="63" t="n"/>
      <c r="AJ4" s="63" t="n"/>
      <c r="AK4" s="63" t="n"/>
      <c r="AL4" s="63" t="n"/>
      <c r="AM4" s="63" t="n"/>
      <c r="AN4" s="63" t="n"/>
      <c r="AO4" s="63" t="n"/>
      <c r="AP4" s="63" t="n"/>
      <c r="AQ4" s="63" t="n"/>
      <c r="AR4" s="63" t="n"/>
      <c r="AS4" s="63" t="n"/>
      <c r="AT4" s="63" t="n"/>
      <c r="AU4" s="63" t="n"/>
      <c r="AV4" s="63" t="n"/>
      <c r="AW4" s="63" t="n"/>
    </row>
    <row r="5" ht="18" customHeight="1">
      <c r="A5" s="63" t="n"/>
      <c r="B5" s="63" t="n"/>
      <c r="C5" s="119" t="inlineStr">
        <is>
          <t>Vigente desde: 08/02/2022</t>
        </is>
      </c>
      <c r="D5" s="63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63" t="n"/>
      <c r="AO5" s="63" t="n"/>
      <c r="AP5" s="63" t="n"/>
      <c r="AQ5" s="63" t="n"/>
      <c r="AR5" s="63" t="n"/>
      <c r="AS5" s="63" t="n"/>
      <c r="AT5" s="63" t="n"/>
      <c r="AU5" s="63" t="n"/>
      <c r="AV5" s="63" t="n"/>
      <c r="AW5" s="63" t="n"/>
    </row>
    <row r="6">
      <c r="A6" s="63" t="n"/>
      <c r="B6" s="63" t="n"/>
      <c r="C6" s="119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n"/>
      <c r="AF6" s="63" t="n"/>
      <c r="AG6" s="63" t="n"/>
      <c r="AH6" s="63" t="n"/>
      <c r="AI6" s="63" t="n"/>
      <c r="AJ6" s="63" t="n"/>
      <c r="AK6" s="63" t="n"/>
      <c r="AL6" s="63" t="n"/>
      <c r="AM6" s="63" t="n"/>
      <c r="AN6" s="63" t="n"/>
      <c r="AO6" s="63" t="n"/>
      <c r="AP6" s="63" t="n"/>
      <c r="AQ6" s="63" t="n"/>
      <c r="AR6" s="63" t="n"/>
      <c r="AS6" s="63" t="n"/>
      <c r="AT6" s="63" t="n"/>
      <c r="AU6" s="63" t="n"/>
      <c r="AV6" s="63" t="n"/>
      <c r="AW6" s="63" t="n"/>
    </row>
    <row r="7">
      <c r="A7" s="63" t="n"/>
      <c r="B7" s="63" t="n"/>
      <c r="C7" s="63" t="n"/>
      <c r="D7" s="63" t="n"/>
      <c r="E7" s="63" t="n"/>
      <c r="F7" s="63" t="n"/>
      <c r="G7" s="118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3" t="n"/>
      <c r="AM7" s="63" t="n"/>
      <c r="AN7" s="63" t="n"/>
      <c r="AO7" s="63" t="n"/>
      <c r="AP7" s="63" t="n"/>
      <c r="AQ7" s="63" t="n"/>
      <c r="AR7" s="63" t="n"/>
      <c r="AS7" s="63" t="n"/>
      <c r="AT7" s="63" t="n"/>
      <c r="AU7" s="63" t="n"/>
      <c r="AV7" s="63" t="n"/>
      <c r="AW7" s="63" t="n"/>
    </row>
    <row r="8" ht="25.5" customHeight="1">
      <c r="A8" s="63" t="n"/>
      <c r="B8" s="63" t="n"/>
      <c r="C8" s="424" t="inlineStr">
        <is>
          <t>Descripción de Puesto</t>
        </is>
      </c>
      <c r="D8" s="424" t="inlineStr">
        <is>
          <t>Salario x Hora</t>
        </is>
      </c>
      <c r="E8" s="424" t="inlineStr">
        <is>
          <t>Bono</t>
        </is>
      </c>
      <c r="F8" s="424" t="n"/>
      <c r="G8" s="424" t="inlineStr">
        <is>
          <t>cargas sociales</t>
        </is>
      </c>
      <c r="H8" s="424" t="inlineStr">
        <is>
          <t>48 Horas semanales</t>
        </is>
      </c>
      <c r="I8" s="424" t="inlineStr">
        <is>
          <t>Horas Extra Por Semana</t>
        </is>
      </c>
      <c r="J8" s="424" t="inlineStr">
        <is>
          <t>Costo Por Semana</t>
        </is>
      </c>
      <c r="K8" s="424" t="inlineStr">
        <is>
          <t>Cargas Sociales</t>
        </is>
      </c>
      <c r="L8" s="424" t="inlineStr">
        <is>
          <t>Total a Pagar x Semana</t>
        </is>
      </c>
      <c r="M8" s="424" t="inlineStr">
        <is>
          <t>Total a Pagar x Mes</t>
        </is>
      </c>
      <c r="N8" s="63" t="n"/>
      <c r="O8" s="63" t="n"/>
      <c r="P8" s="63" t="n"/>
      <c r="Q8" s="63" t="n"/>
      <c r="R8" s="63" t="n"/>
      <c r="S8" s="63" t="n"/>
      <c r="T8" s="63" t="n"/>
      <c r="U8" s="63" t="n"/>
      <c r="V8" s="63" t="n"/>
      <c r="W8" s="63" t="n"/>
      <c r="X8" s="63" t="n"/>
      <c r="Y8" s="63" t="n"/>
      <c r="Z8" s="63" t="n"/>
      <c r="AA8" s="63" t="n"/>
      <c r="AB8" s="63" t="n"/>
      <c r="AC8" s="63" t="n"/>
      <c r="AD8" s="63" t="n"/>
      <c r="AE8" s="63" t="n"/>
      <c r="AF8" s="63" t="n"/>
      <c r="AG8" s="63" t="n"/>
      <c r="AH8" s="63" t="n"/>
      <c r="AI8" s="63" t="n"/>
      <c r="AJ8" s="63" t="n"/>
      <c r="AK8" s="63" t="n"/>
      <c r="AL8" s="63" t="n"/>
      <c r="AM8" s="63" t="n"/>
      <c r="AN8" s="63" t="n"/>
      <c r="AO8" s="63" t="n"/>
      <c r="AP8" s="63" t="n"/>
      <c r="AQ8" s="63" t="n"/>
      <c r="AR8" s="63" t="n"/>
      <c r="AS8" s="63" t="n"/>
      <c r="AT8" s="63" t="n"/>
      <c r="AU8" s="63" t="n"/>
      <c r="AV8" s="63" t="n"/>
      <c r="AW8" s="63" t="n"/>
    </row>
    <row r="9" ht="3" customHeight="1">
      <c r="C9" s="117" t="n"/>
      <c r="D9" s="116" t="n"/>
      <c r="E9" s="116" t="n"/>
      <c r="F9" s="116" t="n"/>
      <c r="G9" s="116" t="n"/>
      <c r="H9" s="116" t="n"/>
      <c r="I9" s="116" t="n"/>
      <c r="J9" s="116" t="n"/>
      <c r="K9" s="116" t="n"/>
      <c r="L9" s="116" t="n"/>
      <c r="M9" s="116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3" t="n"/>
      <c r="AK9" s="63" t="n"/>
      <c r="AL9" s="63" t="n"/>
      <c r="AM9" s="63" t="n"/>
      <c r="AN9" s="63" t="n"/>
      <c r="AO9" s="63" t="n"/>
      <c r="AP9" s="63" t="n"/>
      <c r="AQ9" s="63" t="n"/>
      <c r="AR9" s="63" t="n"/>
      <c r="AS9" s="63" t="n"/>
      <c r="AT9" s="63" t="n"/>
      <c r="AU9" s="63" t="n"/>
      <c r="AV9" s="63" t="n"/>
      <c r="AW9" s="63" t="n"/>
    </row>
    <row r="10" customFormat="1" s="63">
      <c r="B10" s="63" t="inlineStr">
        <is>
          <t>MO-01-01</t>
        </is>
      </c>
      <c r="C10" s="425" t="inlineStr">
        <is>
          <t>Encargado Plus</t>
        </is>
      </c>
      <c r="D10" s="759" t="n">
        <v>2000</v>
      </c>
      <c r="E10" s="759" t="n">
        <v>500</v>
      </c>
      <c r="F10" s="759">
        <f>SUM(D10:E10)</f>
        <v/>
      </c>
      <c r="G10" s="759">
        <f>+F10*1.5</f>
        <v/>
      </c>
      <c r="H10" s="759">
        <f>+(D10+E10)*48</f>
        <v/>
      </c>
      <c r="I10" s="760">
        <f>+(D10+E10)*7*1.5</f>
        <v/>
      </c>
      <c r="J10" s="761">
        <f>+I10+H10</f>
        <v/>
      </c>
      <c r="K10" s="760">
        <f>+J10*0.5</f>
        <v/>
      </c>
      <c r="L10" s="760">
        <f>+K10+J10</f>
        <v/>
      </c>
      <c r="M10" s="760">
        <f>+L10*4.32</f>
        <v/>
      </c>
    </row>
    <row r="11" customFormat="1" s="63">
      <c r="B11" s="63" t="inlineStr">
        <is>
          <t>MO-01-02</t>
        </is>
      </c>
      <c r="C11" s="425" t="inlineStr">
        <is>
          <t>Encargado Avanzado</t>
        </is>
      </c>
      <c r="D11" s="759" t="n">
        <v>2000</v>
      </c>
      <c r="E11" s="759" t="n">
        <v>300</v>
      </c>
      <c r="F11" s="759">
        <f>SUM(D11:E11)</f>
        <v/>
      </c>
      <c r="G11" s="759">
        <f>+F11*1.5</f>
        <v/>
      </c>
      <c r="H11" s="759">
        <f>+(D11+E11)*48</f>
        <v/>
      </c>
      <c r="I11" s="760">
        <f>+(D11+E11)*7*1.5</f>
        <v/>
      </c>
      <c r="J11" s="761">
        <f>+I11+H11</f>
        <v/>
      </c>
      <c r="K11" s="760">
        <f>+J11*0.5</f>
        <v/>
      </c>
      <c r="L11" s="760">
        <f>+K11+J11</f>
        <v/>
      </c>
      <c r="M11" s="760">
        <f>+L11*4.32</f>
        <v/>
      </c>
    </row>
    <row r="12" customFormat="1" s="63">
      <c r="B12" s="63" t="inlineStr">
        <is>
          <t>MO-01-03</t>
        </is>
      </c>
      <c r="C12" s="425" t="inlineStr">
        <is>
          <t>Encargado</t>
        </is>
      </c>
      <c r="D12" s="759" t="n">
        <v>2000</v>
      </c>
      <c r="E12" s="759" t="n">
        <v>200</v>
      </c>
      <c r="F12" s="759">
        <f>SUM(D12:E12)</f>
        <v/>
      </c>
      <c r="G12" s="759">
        <f>+F12*1.5</f>
        <v/>
      </c>
      <c r="H12" s="759">
        <f>+(D12+E12)*48</f>
        <v/>
      </c>
      <c r="I12" s="760">
        <f>+(D12+E12)*7*1.5</f>
        <v/>
      </c>
      <c r="J12" s="761">
        <f>+I12+H12</f>
        <v/>
      </c>
      <c r="K12" s="760">
        <f>+J12*0.5</f>
        <v/>
      </c>
      <c r="L12" s="760">
        <f>+K12+J12</f>
        <v/>
      </c>
      <c r="M12" s="760">
        <f>+L12*4.32</f>
        <v/>
      </c>
    </row>
    <row r="13" customFormat="1" s="63">
      <c r="C13" s="114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2" t="n"/>
    </row>
    <row r="14" customFormat="1" s="63">
      <c r="B14" s="63" t="inlineStr">
        <is>
          <t>MO-02-01</t>
        </is>
      </c>
      <c r="C14" s="425" t="inlineStr">
        <is>
          <t>Operario calificado Plus</t>
        </is>
      </c>
      <c r="D14" s="759" t="n">
        <v>2000</v>
      </c>
      <c r="E14" s="759" t="n"/>
      <c r="F14" s="759">
        <f>SUM(D14:E14)</f>
        <v/>
      </c>
      <c r="G14" s="759">
        <f>+F14*1.5</f>
        <v/>
      </c>
      <c r="H14" s="759">
        <f>+(D14+E14)*48</f>
        <v/>
      </c>
      <c r="I14" s="760">
        <f>+(D14+E14)*7*1.5</f>
        <v/>
      </c>
      <c r="J14" s="761">
        <f>+I14+H14</f>
        <v/>
      </c>
      <c r="K14" s="760">
        <f>+J14*0.5</f>
        <v/>
      </c>
      <c r="L14" s="760">
        <f>+K14+J14</f>
        <v/>
      </c>
      <c r="M14" s="760">
        <f>+L14*4.32</f>
        <v/>
      </c>
    </row>
    <row r="15" customFormat="1" s="63">
      <c r="B15" s="63" t="inlineStr">
        <is>
          <t>MO-02-02</t>
        </is>
      </c>
      <c r="C15" s="425" t="inlineStr">
        <is>
          <t>Operario calificado Avanzado</t>
        </is>
      </c>
      <c r="D15" s="759" t="n">
        <v>1900</v>
      </c>
      <c r="E15" s="759" t="n"/>
      <c r="F15" s="759">
        <f>SUM(D15:E15)</f>
        <v/>
      </c>
      <c r="G15" s="759">
        <f>+F15*1.5</f>
        <v/>
      </c>
      <c r="H15" s="759">
        <f>+(D15+E15)*48</f>
        <v/>
      </c>
      <c r="I15" s="760">
        <f>+(D15+E15)*7*1.5</f>
        <v/>
      </c>
      <c r="J15" s="761">
        <f>+I15+H15</f>
        <v/>
      </c>
      <c r="K15" s="760">
        <f>+J15*0.5</f>
        <v/>
      </c>
      <c r="L15" s="760">
        <f>+K15+J15</f>
        <v/>
      </c>
      <c r="M15" s="760">
        <f>+L15*4.32</f>
        <v/>
      </c>
    </row>
    <row r="16" customFormat="1" s="63">
      <c r="C16" s="425" t="inlineStr">
        <is>
          <t>Operario calificado (nuevo ingreso)</t>
        </is>
      </c>
      <c r="D16" s="759" t="n">
        <v>1700</v>
      </c>
      <c r="E16" s="759" t="n"/>
      <c r="F16" s="759">
        <f>SUM(D16:E16)</f>
        <v/>
      </c>
      <c r="G16" s="759">
        <f>+F16*1.5</f>
        <v/>
      </c>
      <c r="H16" s="759">
        <f>+(D16+E16)*48</f>
        <v/>
      </c>
      <c r="I16" s="760">
        <f>+(D16+E16)*7*1.5</f>
        <v/>
      </c>
      <c r="J16" s="761">
        <f>+I16+H16</f>
        <v/>
      </c>
      <c r="K16" s="760">
        <f>+J16*0.5</f>
        <v/>
      </c>
      <c r="L16" s="760">
        <f>+K16+J16</f>
        <v/>
      </c>
      <c r="M16" s="760">
        <f>+L16*4.32</f>
        <v/>
      </c>
    </row>
    <row r="17" customFormat="1" s="63">
      <c r="C17" s="114" t="n"/>
      <c r="D17" s="113" t="n"/>
      <c r="E17" s="113" t="n"/>
      <c r="F17" s="113" t="n"/>
      <c r="G17" s="113" t="n"/>
      <c r="H17" s="113" t="n"/>
      <c r="I17" s="113" t="n"/>
      <c r="J17" s="113" t="n"/>
      <c r="K17" s="113" t="n"/>
      <c r="L17" s="113" t="n"/>
      <c r="M17" s="112" t="n"/>
    </row>
    <row r="18" customFormat="1" s="63">
      <c r="B18" s="63" t="inlineStr">
        <is>
          <t>MO-03-01</t>
        </is>
      </c>
      <c r="C18" s="425" t="inlineStr">
        <is>
          <t>Operario Plus</t>
        </is>
      </c>
      <c r="D18" s="759" t="n">
        <v>1900</v>
      </c>
      <c r="E18" s="759" t="n"/>
      <c r="F18" s="759">
        <f>SUM(D18:E18)</f>
        <v/>
      </c>
      <c r="G18" s="759">
        <f>+F18*1.5</f>
        <v/>
      </c>
      <c r="H18" s="759">
        <f>+(D18+E18)*48</f>
        <v/>
      </c>
      <c r="I18" s="760">
        <f>+(D18+E18)*7*1.5</f>
        <v/>
      </c>
      <c r="J18" s="761">
        <f>+I18+H18</f>
        <v/>
      </c>
      <c r="K18" s="760">
        <f>+J18*0.5</f>
        <v/>
      </c>
      <c r="L18" s="760">
        <f>+K18+J18</f>
        <v/>
      </c>
      <c r="M18" s="760">
        <f>+L18*4.32</f>
        <v/>
      </c>
    </row>
    <row r="19" customFormat="1" s="63">
      <c r="B19" s="63" t="inlineStr">
        <is>
          <t>MO-03-02</t>
        </is>
      </c>
      <c r="C19" s="425" t="inlineStr">
        <is>
          <t>Operario Avanzado</t>
        </is>
      </c>
      <c r="D19" s="759" t="n">
        <v>1800</v>
      </c>
      <c r="E19" s="759" t="n"/>
      <c r="F19" s="759">
        <f>SUM(D19:E19)</f>
        <v/>
      </c>
      <c r="G19" s="759">
        <f>+F19*1.5</f>
        <v/>
      </c>
      <c r="H19" s="759">
        <f>+(D19+E19)*48</f>
        <v/>
      </c>
      <c r="I19" s="760">
        <f>+(D19+E19)*7*1.5</f>
        <v/>
      </c>
      <c r="J19" s="761">
        <f>+I19+H19</f>
        <v/>
      </c>
      <c r="K19" s="760">
        <f>+J19*0.5</f>
        <v/>
      </c>
      <c r="L19" s="760">
        <f>+K19+J19</f>
        <v/>
      </c>
      <c r="M19" s="760">
        <f>+L19*4.32</f>
        <v/>
      </c>
      <c r="P19" s="762" t="n"/>
    </row>
    <row r="20" customFormat="1" s="63">
      <c r="B20" s="63" t="inlineStr">
        <is>
          <t>MO-03-03</t>
        </is>
      </c>
      <c r="C20" s="425" t="inlineStr">
        <is>
          <t>Operario (nuevo ingreso)</t>
        </is>
      </c>
      <c r="D20" s="759" t="n">
        <v>1600</v>
      </c>
      <c r="E20" s="759" t="n"/>
      <c r="F20" s="759">
        <f>SUM(D20:E20)</f>
        <v/>
      </c>
      <c r="G20" s="759">
        <f>+F20*1.5</f>
        <v/>
      </c>
      <c r="H20" s="759">
        <f>+(D20+E20)*48</f>
        <v/>
      </c>
      <c r="I20" s="760">
        <f>+(D20+E20)*7*1.5</f>
        <v/>
      </c>
      <c r="J20" s="761">
        <f>+I20+H20</f>
        <v/>
      </c>
      <c r="K20" s="760">
        <f>+J20*0.5</f>
        <v/>
      </c>
      <c r="L20" s="760">
        <f>+K20+J20</f>
        <v/>
      </c>
      <c r="M20" s="760">
        <f>+L20*4.32</f>
        <v/>
      </c>
      <c r="P20" s="762" t="n"/>
    </row>
    <row r="21">
      <c r="A21" s="63" t="n"/>
      <c r="B21" s="63" t="n"/>
      <c r="C21" s="114" t="n"/>
      <c r="D21" s="113" t="n"/>
      <c r="E21" s="113" t="n"/>
      <c r="F21" s="113" t="n"/>
      <c r="G21" s="113" t="n"/>
      <c r="H21" s="113" t="n"/>
      <c r="I21" s="113" t="n"/>
      <c r="J21" s="113" t="n"/>
      <c r="K21" s="113" t="n"/>
      <c r="L21" s="113" t="n"/>
      <c r="M21" s="112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  <c r="AC21" s="63" t="n"/>
      <c r="AD21" s="63" t="n"/>
      <c r="AE21" s="63" t="n"/>
      <c r="AF21" s="63" t="n"/>
      <c r="AG21" s="63" t="n"/>
      <c r="AH21" s="63" t="n"/>
      <c r="AI21" s="63" t="n"/>
      <c r="AJ21" s="63" t="n"/>
      <c r="AK21" s="63" t="n"/>
      <c r="AL21" s="63" t="n"/>
      <c r="AM21" s="63" t="n"/>
      <c r="AN21" s="63" t="n"/>
      <c r="AO21" s="63" t="n"/>
      <c r="AP21" s="63" t="n"/>
      <c r="AQ21" s="63" t="n"/>
      <c r="AR21" s="63" t="n"/>
      <c r="AS21" s="63" t="n"/>
      <c r="AT21" s="63" t="n"/>
      <c r="AU21" s="63" t="n"/>
      <c r="AV21" s="63" t="n"/>
      <c r="AW21" s="63" t="n"/>
      <c r="AX21" s="63" t="n"/>
      <c r="AY21" s="63" t="n"/>
      <c r="AZ21" s="63" t="n"/>
      <c r="BA21" s="63" t="n"/>
      <c r="BB21" s="63" t="n"/>
      <c r="BC21" s="63" t="n"/>
    </row>
    <row r="22">
      <c r="A22" s="63" t="n"/>
      <c r="B22" s="63" t="inlineStr">
        <is>
          <t>MO-04-01</t>
        </is>
      </c>
      <c r="C22" s="425" t="inlineStr">
        <is>
          <t>Ayudante Plus</t>
        </is>
      </c>
      <c r="D22" s="759" t="n">
        <v>1550</v>
      </c>
      <c r="E22" s="759" t="n"/>
      <c r="F22" s="759">
        <f>SUM(D22:E22)</f>
        <v/>
      </c>
      <c r="G22" s="759">
        <f>+F22*1.5</f>
        <v/>
      </c>
      <c r="H22" s="759">
        <f>+(D22+E22)*48</f>
        <v/>
      </c>
      <c r="I22" s="760">
        <f>+(D22+E22)*7*1.5</f>
        <v/>
      </c>
      <c r="J22" s="761">
        <f>+I22+H22</f>
        <v/>
      </c>
      <c r="K22" s="760">
        <f>+J22*0.5</f>
        <v/>
      </c>
      <c r="L22" s="760">
        <f>+K22+J22</f>
        <v/>
      </c>
      <c r="M22" s="760">
        <f>+L22*4.32</f>
        <v/>
      </c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63" t="n"/>
      <c r="AE22" s="63" t="n"/>
      <c r="AF22" s="63" t="n"/>
      <c r="AG22" s="63" t="n"/>
      <c r="AH22" s="63" t="n"/>
      <c r="AI22" s="63" t="n"/>
      <c r="AJ22" s="63" t="n"/>
      <c r="AK22" s="63" t="n"/>
      <c r="AL22" s="63" t="n"/>
      <c r="AM22" s="63" t="n"/>
      <c r="AN22" s="63" t="n"/>
      <c r="AO22" s="63" t="n"/>
      <c r="AP22" s="63" t="n"/>
      <c r="AQ22" s="63" t="n"/>
      <c r="AR22" s="63" t="n"/>
      <c r="AS22" s="63" t="n"/>
      <c r="AT22" s="63" t="n"/>
      <c r="AU22" s="63" t="n"/>
      <c r="AV22" s="63" t="n"/>
      <c r="AW22" s="63" t="n"/>
      <c r="AX22" s="63" t="n"/>
      <c r="AY22" s="63" t="n"/>
      <c r="AZ22" s="63" t="n"/>
      <c r="BA22" s="63" t="n"/>
      <c r="BB22" s="63" t="n"/>
      <c r="BC22" s="63" t="n"/>
    </row>
    <row r="23">
      <c r="A23" s="63" t="n"/>
      <c r="B23" s="63" t="inlineStr">
        <is>
          <t>MO-04-02</t>
        </is>
      </c>
      <c r="C23" s="425" t="inlineStr">
        <is>
          <t>Ayudante Avanzado</t>
        </is>
      </c>
      <c r="D23" s="759" t="n">
        <v>1450</v>
      </c>
      <c r="E23" s="759" t="n"/>
      <c r="F23" s="759">
        <f>SUM(D23:E23)</f>
        <v/>
      </c>
      <c r="G23" s="759">
        <f>+F23*1.5</f>
        <v/>
      </c>
      <c r="H23" s="759">
        <f>+(D23+E23)*48</f>
        <v/>
      </c>
      <c r="I23" s="760">
        <f>+(D23+E23)*7*1.5</f>
        <v/>
      </c>
      <c r="J23" s="761">
        <f>+I23+H23</f>
        <v/>
      </c>
      <c r="K23" s="760">
        <f>+J23*0.5</f>
        <v/>
      </c>
      <c r="L23" s="760">
        <f>+K23+J23</f>
        <v/>
      </c>
      <c r="M23" s="760">
        <f>+L23*4.32</f>
        <v/>
      </c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  <c r="AS23" s="63" t="n"/>
      <c r="AT23" s="63" t="n"/>
      <c r="AU23" s="63" t="n"/>
      <c r="AV23" s="63" t="n"/>
      <c r="AW23" s="63" t="n"/>
      <c r="AX23" s="63" t="n"/>
      <c r="AY23" s="63" t="n"/>
      <c r="AZ23" s="63" t="n"/>
      <c r="BA23" s="63" t="n"/>
      <c r="BB23" s="63" t="n"/>
      <c r="BC23" s="63" t="n"/>
    </row>
    <row r="24">
      <c r="A24" s="63" t="n"/>
      <c r="B24" s="63" t="inlineStr">
        <is>
          <t>MO-04-03</t>
        </is>
      </c>
      <c r="C24" s="425" t="inlineStr">
        <is>
          <t>Ayudante (nuevo ingreso)</t>
        </is>
      </c>
      <c r="D24" s="759" t="n">
        <v>1360</v>
      </c>
      <c r="E24" s="759" t="n"/>
      <c r="F24" s="759">
        <f>SUM(D24:E24)</f>
        <v/>
      </c>
      <c r="G24" s="759">
        <f>+F24*1.5</f>
        <v/>
      </c>
      <c r="H24" s="759">
        <f>+(D24+E24)*48</f>
        <v/>
      </c>
      <c r="I24" s="760">
        <f>+(D24+E24)*7*1.5</f>
        <v/>
      </c>
      <c r="J24" s="761">
        <f>+I24+H24</f>
        <v/>
      </c>
      <c r="K24" s="760">
        <f>+J24*0.5</f>
        <v/>
      </c>
      <c r="L24" s="760">
        <f>+K24+J24</f>
        <v/>
      </c>
      <c r="M24" s="760">
        <f>+L24*4.32</f>
        <v/>
      </c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63" t="n"/>
      <c r="AE24" s="63" t="n"/>
      <c r="AF24" s="63" t="n"/>
      <c r="AG24" s="63" t="n"/>
      <c r="AH24" s="63" t="n"/>
      <c r="AI24" s="63" t="n"/>
      <c r="AJ24" s="63" t="n"/>
      <c r="AK24" s="63" t="n"/>
      <c r="AL24" s="63" t="n"/>
      <c r="AM24" s="63" t="n"/>
      <c r="AN24" s="63" t="n"/>
      <c r="AO24" s="63" t="n"/>
      <c r="AP24" s="63" t="n"/>
      <c r="AQ24" s="63" t="n"/>
      <c r="AR24" s="63" t="n"/>
      <c r="AS24" s="63" t="n"/>
      <c r="AT24" s="63" t="n"/>
      <c r="AU24" s="63" t="n"/>
      <c r="AV24" s="63" t="n"/>
      <c r="AW24" s="63" t="n"/>
      <c r="AX24" s="63" t="n"/>
      <c r="AY24" s="63" t="n"/>
      <c r="AZ24" s="63" t="n"/>
      <c r="BA24" s="63" t="n"/>
      <c r="BB24" s="63" t="n"/>
      <c r="BC24" s="63" t="n"/>
    </row>
    <row r="25">
      <c r="A25" s="63" t="n"/>
      <c r="B25" s="63" t="n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3" t="n"/>
      <c r="AF25" s="63" t="n"/>
      <c r="AG25" s="63" t="n"/>
      <c r="AH25" s="63" t="n"/>
      <c r="AI25" s="63" t="n"/>
      <c r="AJ25" s="63" t="n"/>
      <c r="AK25" s="63" t="n"/>
      <c r="AL25" s="63" t="n"/>
      <c r="AM25" s="63" t="n"/>
      <c r="AN25" s="63" t="n"/>
      <c r="AO25" s="63" t="n"/>
      <c r="AP25" s="63" t="n"/>
      <c r="AQ25" s="63" t="n"/>
      <c r="AR25" s="63" t="n"/>
      <c r="AS25" s="63" t="n"/>
      <c r="AT25" s="63" t="n"/>
      <c r="AU25" s="63" t="n"/>
      <c r="AV25" s="63" t="n"/>
      <c r="AW25" s="63" t="n"/>
      <c r="AX25" s="63" t="n"/>
      <c r="AY25" s="63" t="n"/>
      <c r="AZ25" s="63" t="n"/>
      <c r="BA25" s="63" t="n"/>
      <c r="BB25" s="63" t="n"/>
      <c r="BC25" s="63" t="n"/>
    </row>
    <row r="26">
      <c r="A26" s="63" t="n"/>
      <c r="B26" s="63" t="n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  <c r="AC26" s="63" t="n"/>
      <c r="AD26" s="63" t="n"/>
      <c r="AE26" s="63" t="n"/>
      <c r="AF26" s="63" t="n"/>
      <c r="AG26" s="63" t="n"/>
      <c r="AH26" s="63" t="n"/>
      <c r="AI26" s="63" t="n"/>
      <c r="AJ26" s="63" t="n"/>
      <c r="AK26" s="63" t="n"/>
      <c r="AL26" s="63" t="n"/>
      <c r="AM26" s="63" t="n"/>
      <c r="AN26" s="63" t="n"/>
      <c r="AO26" s="63" t="n"/>
      <c r="AP26" s="63" t="n"/>
      <c r="AQ26" s="63" t="n"/>
      <c r="AR26" s="63" t="n"/>
      <c r="AS26" s="63" t="n"/>
      <c r="AT26" s="63" t="n"/>
      <c r="AU26" s="63" t="n"/>
      <c r="AV26" s="63" t="n"/>
      <c r="AW26" s="63" t="n"/>
      <c r="AX26" s="63" t="n"/>
      <c r="AY26" s="63" t="n"/>
      <c r="AZ26" s="63" t="n"/>
      <c r="BA26" s="63" t="n"/>
      <c r="BB26" s="63" t="n"/>
      <c r="BC26" s="63" t="n"/>
    </row>
    <row r="27">
      <c r="A27" s="63" t="n"/>
      <c r="B27" s="63" t="n"/>
      <c r="C27" s="111" t="inlineStr">
        <is>
          <t>NOTAS:</t>
        </is>
      </c>
      <c r="D27" s="63" t="n"/>
      <c r="E27" s="63" t="n"/>
      <c r="F27" s="63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  <c r="U27" s="63" t="n"/>
      <c r="V27" s="63" t="n"/>
      <c r="W27" s="63" t="n"/>
      <c r="X27" s="63" t="n"/>
      <c r="Y27" s="63" t="n"/>
      <c r="Z27" s="63" t="n"/>
      <c r="AA27" s="63" t="n"/>
      <c r="AB27" s="63" t="n"/>
      <c r="AC27" s="63" t="n"/>
      <c r="AD27" s="63" t="n"/>
      <c r="AE27" s="63" t="n"/>
      <c r="AF27" s="63" t="n"/>
      <c r="AG27" s="63" t="n"/>
      <c r="AH27" s="63" t="n"/>
      <c r="AI27" s="63" t="n"/>
      <c r="AJ27" s="63" t="n"/>
      <c r="AK27" s="63" t="n"/>
      <c r="AL27" s="63" t="n"/>
      <c r="AM27" s="63" t="n"/>
      <c r="AN27" s="63" t="n"/>
      <c r="AO27" s="63" t="n"/>
      <c r="AP27" s="63" t="n"/>
      <c r="AQ27" s="63" t="n"/>
      <c r="AR27" s="63" t="n"/>
      <c r="AS27" s="63" t="n"/>
      <c r="AT27" s="63" t="n"/>
      <c r="AU27" s="63" t="n"/>
      <c r="AV27" s="63" t="n"/>
      <c r="AW27" s="63" t="n"/>
      <c r="AX27" s="63" t="n"/>
      <c r="AY27" s="63" t="n"/>
      <c r="AZ27" s="63" t="n"/>
      <c r="BA27" s="63" t="n"/>
      <c r="BB27" s="63" t="n"/>
      <c r="BC27" s="63" t="n"/>
    </row>
    <row r="28">
      <c r="A28" s="63" t="n"/>
      <c r="B28" s="63" t="n"/>
      <c r="C28" s="63" t="inlineStr">
        <is>
          <t>Operario Calificado:  Soldadores y Ebanistas</t>
        </is>
      </c>
      <c r="D28" s="63" t="n"/>
      <c r="E28" s="63" t="n"/>
      <c r="F28" s="63" t="n"/>
      <c r="G28" s="63" t="n"/>
      <c r="H28" s="63" t="n"/>
      <c r="I28" s="63" t="n"/>
      <c r="J28" s="63" t="n"/>
      <c r="K28" s="63" t="n"/>
      <c r="L28" s="63" t="n"/>
      <c r="M28" s="63" t="n"/>
      <c r="N28" s="63" t="n"/>
      <c r="O28" s="63" t="n"/>
      <c r="P28" s="63" t="n"/>
      <c r="Q28" s="63" t="n"/>
      <c r="R28" s="63" t="n"/>
      <c r="S28" s="63" t="n"/>
      <c r="T28" s="63" t="n"/>
      <c r="U28" s="63" t="n"/>
      <c r="V28" s="63" t="n"/>
      <c r="W28" s="63" t="n"/>
      <c r="X28" s="63" t="n"/>
      <c r="Y28" s="63" t="n"/>
      <c r="Z28" s="63" t="n"/>
      <c r="AA28" s="63" t="n"/>
      <c r="AB28" s="63" t="n"/>
      <c r="AC28" s="63" t="n"/>
      <c r="AD28" s="63" t="n"/>
      <c r="AE28" s="63" t="n"/>
      <c r="AF28" s="63" t="n"/>
      <c r="AG28" s="63" t="n"/>
      <c r="AH28" s="63" t="n"/>
      <c r="AI28" s="63" t="n"/>
      <c r="AJ28" s="63" t="n"/>
      <c r="AK28" s="63" t="n"/>
      <c r="AL28" s="63" t="n"/>
      <c r="AM28" s="63" t="n"/>
      <c r="AN28" s="63" t="n"/>
      <c r="AO28" s="63" t="n"/>
      <c r="AP28" s="63" t="n"/>
      <c r="AQ28" s="63" t="n"/>
      <c r="AR28" s="63" t="n"/>
      <c r="AS28" s="63" t="n"/>
      <c r="AT28" s="63" t="n"/>
      <c r="AU28" s="63" t="n"/>
      <c r="AV28" s="63" t="n"/>
      <c r="AW28" s="63" t="n"/>
      <c r="AX28" s="63" t="n"/>
      <c r="AY28" s="63" t="n"/>
      <c r="AZ28" s="63" t="n"/>
      <c r="BA28" s="63" t="n"/>
      <c r="BB28" s="63" t="n"/>
      <c r="BC28" s="63" t="n"/>
    </row>
    <row r="29">
      <c r="A29" s="63" t="n"/>
      <c r="B29" s="63" t="n"/>
      <c r="C29" s="63" t="inlineStr">
        <is>
          <t>Operario: Repellos, Enchapes, Pasta, Armadura, Formaleta, Fontaneros, Obras Complementarias</t>
        </is>
      </c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  <c r="AJ29" s="63" t="n"/>
      <c r="AK29" s="63" t="n"/>
      <c r="AL29" s="63" t="n"/>
      <c r="AM29" s="63" t="n"/>
      <c r="AN29" s="63" t="n"/>
      <c r="AO29" s="63" t="n"/>
      <c r="AP29" s="63" t="n"/>
      <c r="AQ29" s="63" t="n"/>
      <c r="AR29" s="63" t="n"/>
      <c r="AS29" s="63" t="n"/>
      <c r="AT29" s="63" t="n"/>
      <c r="AU29" s="63" t="n"/>
      <c r="AV29" s="63" t="n"/>
      <c r="AW29" s="63" t="n"/>
      <c r="AX29" s="63" t="n"/>
      <c r="AY29" s="63" t="n"/>
      <c r="AZ29" s="63" t="n"/>
      <c r="BA29" s="63" t="n"/>
      <c r="BB29" s="63" t="n"/>
      <c r="BC29" s="63" t="n"/>
    </row>
    <row r="30">
      <c r="A30" s="63" t="n"/>
      <c r="B30" s="63" t="n"/>
      <c r="C30" s="63" t="n"/>
      <c r="D30" s="63" t="n"/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  <c r="AC30" s="63" t="n"/>
      <c r="AD30" s="63" t="n"/>
      <c r="AE30" s="63" t="n"/>
      <c r="AF30" s="63" t="n"/>
      <c r="AG30" s="63" t="n"/>
      <c r="AH30" s="63" t="n"/>
      <c r="AI30" s="63" t="n"/>
      <c r="AJ30" s="63" t="n"/>
      <c r="AK30" s="63" t="n"/>
      <c r="AL30" s="63" t="n"/>
      <c r="AM30" s="63" t="n"/>
      <c r="AN30" s="63" t="n"/>
      <c r="AO30" s="63" t="n"/>
      <c r="AP30" s="63" t="n"/>
      <c r="AQ30" s="63" t="n"/>
      <c r="AR30" s="63" t="n"/>
      <c r="AS30" s="63" t="n"/>
      <c r="AT30" s="63" t="n"/>
      <c r="AU30" s="63" t="n"/>
      <c r="AV30" s="63" t="n"/>
      <c r="AW30" s="63" t="n"/>
      <c r="AX30" s="63" t="n"/>
      <c r="AY30" s="63" t="n"/>
      <c r="AZ30" s="63" t="n"/>
      <c r="BA30" s="63" t="n"/>
      <c r="BB30" s="63" t="n"/>
      <c r="BC30" s="63" t="n"/>
    </row>
    <row r="31">
      <c r="A31" s="63" t="n"/>
      <c r="B31" s="63" t="n"/>
      <c r="C31" s="111" t="inlineStr">
        <is>
          <t>ACLARACIONES:</t>
        </is>
      </c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  <c r="AS31" s="63" t="n"/>
      <c r="AT31" s="63" t="n"/>
      <c r="AU31" s="63" t="n"/>
      <c r="AV31" s="63" t="n"/>
      <c r="AW31" s="63" t="n"/>
      <c r="AX31" s="63" t="n"/>
      <c r="AY31" s="63" t="n"/>
      <c r="AZ31" s="63" t="n"/>
      <c r="BA31" s="63" t="n"/>
      <c r="BB31" s="63" t="n"/>
      <c r="BC31" s="63" t="n"/>
    </row>
    <row r="32">
      <c r="A32" s="63" t="n"/>
      <c r="B32" s="63" t="n"/>
      <c r="C32" s="63" t="inlineStr">
        <is>
          <t xml:space="preserve"> - Los ingresos se harán con Los parámetros indicados</t>
        </is>
      </c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63" t="n"/>
      <c r="AE32" s="63" t="n"/>
      <c r="AF32" s="63" t="n"/>
      <c r="AG32" s="63" t="n"/>
      <c r="AH32" s="63" t="n"/>
      <c r="AI32" s="63" t="n"/>
      <c r="AJ32" s="63" t="n"/>
      <c r="AK32" s="63" t="n"/>
      <c r="AL32" s="63" t="n"/>
      <c r="AM32" s="63" t="n"/>
      <c r="AN32" s="63" t="n"/>
      <c r="AO32" s="63" t="n"/>
      <c r="AP32" s="63" t="n"/>
      <c r="AQ32" s="63" t="n"/>
      <c r="AR32" s="63" t="n"/>
      <c r="AS32" s="63" t="n"/>
      <c r="AT32" s="63" t="n"/>
      <c r="AU32" s="63" t="n"/>
      <c r="AV32" s="63" t="n"/>
      <c r="AW32" s="63" t="n"/>
      <c r="AX32" s="63" t="n"/>
      <c r="AY32" s="63" t="n"/>
      <c r="AZ32" s="63" t="n"/>
      <c r="BA32" s="63" t="n"/>
      <c r="BB32" s="63" t="n"/>
      <c r="BC32" s="63" t="n"/>
    </row>
    <row r="33">
      <c r="A33" s="63" t="n"/>
      <c r="B33" s="63" t="n"/>
      <c r="C33" s="63" t="inlineStr">
        <is>
          <t xml:space="preserve"> - Para ingresar en Rango de avanzado debe contar como mínimo 1 mes de laborar en la empresa demostrando que es merecedor de la mejora salarial. (Este lo revisara el maestro de Obras)</t>
        </is>
      </c>
      <c r="D33" s="63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63" t="n"/>
      <c r="AE33" s="63" t="n"/>
      <c r="AF33" s="63" t="n"/>
      <c r="AG33" s="63" t="n"/>
      <c r="AH33" s="63" t="n"/>
      <c r="AI33" s="63" t="n"/>
      <c r="AJ33" s="63" t="n"/>
      <c r="AK33" s="63" t="n"/>
      <c r="AL33" s="63" t="n"/>
      <c r="AM33" s="63" t="n"/>
      <c r="AN33" s="63" t="n"/>
      <c r="AO33" s="63" t="n"/>
      <c r="AP33" s="63" t="n"/>
      <c r="AQ33" s="63" t="n"/>
      <c r="AR33" s="63" t="n"/>
      <c r="AS33" s="63" t="n"/>
      <c r="AT33" s="63" t="n"/>
      <c r="AU33" s="63" t="n"/>
      <c r="AV33" s="63" t="n"/>
      <c r="AW33" s="63" t="n"/>
      <c r="AX33" s="63" t="n"/>
      <c r="AY33" s="63" t="n"/>
      <c r="AZ33" s="63" t="n"/>
      <c r="BA33" s="63" t="n"/>
      <c r="BB33" s="63" t="n"/>
      <c r="BC33" s="63" t="n"/>
    </row>
    <row r="34">
      <c r="A34" s="63" t="n"/>
      <c r="B34" s="63" t="n"/>
      <c r="C34" s="63" t="inlineStr">
        <is>
          <t xml:space="preserve"> - Para ingresar en Rango de Plus debe contar como mínimo 6 mes de laborar en la empresa demostrando que es merecedor de la mejora salarial. (Este lo revisara el maestro de Obras)</t>
        </is>
      </c>
      <c r="D34" s="63" t="n"/>
      <c r="E34" s="63" t="n"/>
      <c r="F34" s="63" t="n"/>
      <c r="G34" s="63" t="n"/>
      <c r="H34" s="63" t="n"/>
      <c r="I34" s="63" t="n"/>
      <c r="J34" s="63" t="n"/>
      <c r="K34" s="63" t="n"/>
      <c r="L34" s="63" t="n"/>
      <c r="M34" s="63" t="n"/>
      <c r="N34" s="63" t="n"/>
      <c r="O34" s="63" t="n"/>
      <c r="P34" s="63" t="n"/>
      <c r="Q34" s="63" t="n"/>
      <c r="R34" s="63" t="n"/>
      <c r="S34" s="63" t="n"/>
      <c r="T34" s="63" t="n"/>
      <c r="U34" s="63" t="n"/>
      <c r="V34" s="63" t="n"/>
      <c r="W34" s="63" t="n"/>
      <c r="X34" s="63" t="n"/>
      <c r="Y34" s="63" t="n"/>
      <c r="Z34" s="63" t="n"/>
      <c r="AA34" s="63" t="n"/>
      <c r="AB34" s="63" t="n"/>
      <c r="AC34" s="63" t="n"/>
      <c r="AD34" s="63" t="n"/>
      <c r="AE34" s="63" t="n"/>
      <c r="AF34" s="63" t="n"/>
      <c r="AG34" s="63" t="n"/>
      <c r="AH34" s="63" t="n"/>
      <c r="AI34" s="63" t="n"/>
      <c r="AJ34" s="63" t="n"/>
      <c r="AK34" s="63" t="n"/>
      <c r="AL34" s="63" t="n"/>
      <c r="AM34" s="63" t="n"/>
      <c r="AN34" s="63" t="n"/>
      <c r="AO34" s="63" t="n"/>
      <c r="AP34" s="63" t="n"/>
      <c r="AQ34" s="63" t="n"/>
      <c r="AR34" s="63" t="n"/>
      <c r="AS34" s="63" t="n"/>
      <c r="AT34" s="63" t="n"/>
      <c r="AU34" s="63" t="n"/>
      <c r="AV34" s="63" t="n"/>
      <c r="AW34" s="63" t="n"/>
      <c r="AX34" s="63" t="n"/>
      <c r="AY34" s="63" t="n"/>
      <c r="AZ34" s="63" t="n"/>
      <c r="BA34" s="63" t="n"/>
      <c r="BB34" s="63" t="n"/>
      <c r="BC34" s="63" t="n"/>
    </row>
    <row r="35">
      <c r="A35" s="63" t="n"/>
      <c r="B35" s="63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63" t="n"/>
      <c r="AE35" s="63" t="n"/>
      <c r="AF35" s="63" t="n"/>
      <c r="AG35" s="63" t="n"/>
      <c r="AH35" s="63" t="n"/>
      <c r="AI35" s="63" t="n"/>
      <c r="AJ35" s="63" t="n"/>
      <c r="AK35" s="63" t="n"/>
      <c r="AL35" s="63" t="n"/>
      <c r="AM35" s="63" t="n"/>
      <c r="AN35" s="63" t="n"/>
      <c r="AO35" s="63" t="n"/>
      <c r="AP35" s="63" t="n"/>
      <c r="AQ35" s="63" t="n"/>
      <c r="AR35" s="63" t="n"/>
      <c r="AS35" s="63" t="n"/>
      <c r="AT35" s="63" t="n"/>
      <c r="AU35" s="63" t="n"/>
      <c r="AV35" s="63" t="n"/>
      <c r="AW35" s="63" t="n"/>
      <c r="AX35" s="63" t="n"/>
      <c r="AY35" s="63" t="n"/>
      <c r="AZ35" s="63" t="n"/>
      <c r="BA35" s="63" t="n"/>
      <c r="BB35" s="63" t="n"/>
      <c r="BC35" s="63" t="n"/>
    </row>
    <row r="36">
      <c r="A36" s="63" t="n"/>
      <c r="B36" s="63" t="n"/>
    </row>
    <row r="37">
      <c r="A37" s="63" t="n"/>
      <c r="B37" s="63" t="n"/>
    </row>
    <row r="38">
      <c r="A38" s="63" t="n"/>
      <c r="B38" s="63" t="n"/>
    </row>
    <row r="39">
      <c r="A39" s="63" t="n"/>
      <c r="B39" s="63" t="n"/>
    </row>
    <row r="40">
      <c r="A40" s="63" t="n"/>
      <c r="B40" s="63" t="n"/>
    </row>
    <row r="41">
      <c r="A41" s="63" t="n"/>
      <c r="B41" s="63" t="n"/>
    </row>
    <row r="42">
      <c r="A42" s="63" t="n"/>
      <c r="B42" s="63" t="n"/>
    </row>
    <row r="43">
      <c r="A43" s="63" t="n"/>
      <c r="B43" s="63" t="n"/>
    </row>
    <row r="44">
      <c r="A44" s="63" t="n"/>
      <c r="B44" s="63" t="n"/>
    </row>
    <row r="45">
      <c r="A45" s="63" t="n"/>
      <c r="B45" s="63" t="n"/>
    </row>
    <row r="46">
      <c r="A46" s="63" t="n"/>
      <c r="B46" s="63" t="n"/>
    </row>
    <row r="47">
      <c r="A47" s="63" t="n"/>
      <c r="B47" s="63" t="n"/>
    </row>
  </sheetData>
  <pageMargins left="0.7" right="0.7" top="0.75" bottom="0.75" header="0.3" footer="0.3"/>
  <pageSetup orientation="landscape" scale="66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1">
    <outlinePr summaryBelow="1" summaryRight="1"/>
    <pageSetUpPr/>
  </sheetPr>
  <dimension ref="A1:D484"/>
  <sheetViews>
    <sheetView workbookViewId="0">
      <selection activeCell="C70" sqref="C70"/>
    </sheetView>
  </sheetViews>
  <sheetFormatPr baseColWidth="8" defaultColWidth="11.43359375" defaultRowHeight="15"/>
  <cols>
    <col width="10.625" customWidth="1" style="413" min="2" max="2"/>
    <col width="46.9453125" customWidth="1" style="129" min="3" max="3"/>
    <col width="13.44921875" bestFit="1" customWidth="1" style="71" min="4" max="4"/>
  </cols>
  <sheetData>
    <row r="1">
      <c r="A1" t="inlineStr">
        <is>
          <t>Nivel</t>
        </is>
      </c>
      <c r="B1" s="587" t="inlineStr">
        <is>
          <t xml:space="preserve">CODIGO </t>
        </is>
      </c>
      <c r="C1" s="434" t="inlineStr">
        <is>
          <t xml:space="preserve">DESCRIPCION </t>
        </is>
      </c>
      <c r="D1" s="434" t="inlineStr">
        <is>
          <t xml:space="preserve">TOTAL HORAS </t>
        </is>
      </c>
    </row>
    <row r="2" hidden="1">
      <c r="A2" t="n">
        <v>1</v>
      </c>
      <c r="B2" s="372" t="inlineStr">
        <is>
          <t>01</t>
        </is>
      </c>
      <c r="C2" s="373" t="inlineStr">
        <is>
          <t>FUNDACIONES</t>
        </is>
      </c>
      <c r="D2" s="373" t="n"/>
    </row>
    <row r="3">
      <c r="A3" t="n">
        <v>2</v>
      </c>
      <c r="B3" s="307" t="inlineStr">
        <is>
          <t>01-01</t>
        </is>
      </c>
      <c r="C3" s="308" t="inlineStr">
        <is>
          <t>OBRAS PRELIMINARES Y RELLENOS</t>
        </is>
      </c>
      <c r="D3" s="308" t="n"/>
    </row>
    <row r="4" hidden="1">
      <c r="A4" t="n">
        <v>3</v>
      </c>
      <c r="B4" s="586" t="inlineStr">
        <is>
          <t>01-01-01</t>
        </is>
      </c>
      <c r="C4" s="129" t="inlineStr">
        <is>
          <t>TRAZO LASTRE Y COMPACTACION</t>
        </is>
      </c>
      <c r="D4" s="199">
        <f>SUMIF('IKARIA TECHO'!B:B,'HORAS MANO DE OBRA'!B4,'IKARIA TECHO'!F:F)</f>
        <v/>
      </c>
    </row>
    <row r="5">
      <c r="A5" t="n">
        <v>2</v>
      </c>
      <c r="B5" s="307" t="inlineStr">
        <is>
          <t>01-02</t>
        </is>
      </c>
      <c r="C5" s="308" t="inlineStr">
        <is>
          <t xml:space="preserve">EXCAVACION </t>
        </is>
      </c>
      <c r="D5" s="308" t="n"/>
    </row>
    <row r="6" hidden="1">
      <c r="A6" t="n">
        <v>3</v>
      </c>
      <c r="B6" s="586" t="inlineStr">
        <is>
          <t>01-02-01</t>
        </is>
      </c>
      <c r="C6" s="129" t="inlineStr">
        <is>
          <t>ZANJEO</t>
        </is>
      </c>
      <c r="D6" s="199">
        <f>SUMIF('IKARIA TECHO'!B:B,'HORAS MANO DE OBRA'!B6,'IKARIA TECHO'!F:F)</f>
        <v/>
      </c>
    </row>
    <row r="7">
      <c r="A7" t="n">
        <v>2</v>
      </c>
      <c r="B7" s="307" t="inlineStr">
        <is>
          <t>01-03</t>
        </is>
      </c>
      <c r="C7" s="308" t="inlineStr">
        <is>
          <t>SELLO DE CONCRETO</t>
        </is>
      </c>
      <c r="D7" s="308" t="n"/>
    </row>
    <row r="8" hidden="1">
      <c r="A8" t="n">
        <v>3</v>
      </c>
      <c r="B8" s="586" t="inlineStr">
        <is>
          <t>01-03-01</t>
        </is>
      </c>
      <c r="C8" s="129" t="inlineStr">
        <is>
          <t>SELLO</t>
        </is>
      </c>
      <c r="D8" s="199">
        <f>SUMIF('IKARIA TECHO'!B:B,'HORAS MANO DE OBRA'!B8,'IKARIA TECHO'!F:F)</f>
        <v/>
      </c>
    </row>
    <row r="9">
      <c r="A9" t="n">
        <v>2</v>
      </c>
      <c r="B9" s="307" t="inlineStr">
        <is>
          <t>01-04</t>
        </is>
      </c>
      <c r="C9" s="308" t="inlineStr">
        <is>
          <t>LOSA FLOTANTE (ACERO, MECANICO, CONCRETO)</t>
        </is>
      </c>
      <c r="D9" s="308" t="n"/>
    </row>
    <row r="10" hidden="1">
      <c r="A10" t="n">
        <v>3</v>
      </c>
      <c r="B10" s="586" t="inlineStr">
        <is>
          <t>01-04-01</t>
        </is>
      </c>
      <c r="C10" s="129" t="inlineStr">
        <is>
          <t>ACERO LOSA</t>
        </is>
      </c>
      <c r="D10" s="199">
        <f>SUMIF('IKARIA TECHO'!B:B,'HORAS MANO DE OBRA'!B10,'IKARIA TECHO'!F:F)</f>
        <v/>
      </c>
    </row>
    <row r="11" hidden="1">
      <c r="A11" t="n">
        <v>3</v>
      </c>
      <c r="B11" s="586" t="inlineStr">
        <is>
          <t>01-04-02</t>
        </is>
      </c>
      <c r="C11" s="129" t="inlineStr">
        <is>
          <t>FORMALETA LOSA</t>
        </is>
      </c>
      <c r="D11" s="199">
        <f>SUMIF('IKARIA TECHO'!B:B,'HORAS MANO DE OBRA'!B11,'IKARIA TECHO'!F:F)</f>
        <v/>
      </c>
    </row>
    <row r="12" hidden="1">
      <c r="A12" t="n">
        <v>3</v>
      </c>
      <c r="B12" s="586" t="inlineStr">
        <is>
          <t>01-04-03</t>
        </is>
      </c>
      <c r="C12" s="129" t="inlineStr">
        <is>
          <t>COLADO LOSA</t>
        </is>
      </c>
      <c r="D12" s="199">
        <f>SUMIF('IKARIA TECHO'!B:B,'HORAS MANO DE OBRA'!B12,'IKARIA TECHO'!F:F)</f>
        <v/>
      </c>
    </row>
    <row r="13" hidden="1">
      <c r="A13" t="n">
        <v>3</v>
      </c>
      <c r="B13" s="586" t="inlineStr">
        <is>
          <t>01-04-04</t>
        </is>
      </c>
      <c r="C13" s="129" t="inlineStr">
        <is>
          <t>INSTALACION MECANICA LOSAS</t>
        </is>
      </c>
      <c r="D13" s="199">
        <f>SUMIF('IKARIA TECHO'!B:B,'HORAS MANO DE OBRA'!B13,'IKARIA TECHO'!F:F)</f>
        <v/>
      </c>
    </row>
    <row r="14" hidden="1">
      <c r="A14" t="n">
        <v>3</v>
      </c>
      <c r="B14" s="586" t="inlineStr">
        <is>
          <t>01-04-05</t>
        </is>
      </c>
      <c r="C14" s="129" t="inlineStr">
        <is>
          <t>POTABLE LOSA</t>
        </is>
      </c>
      <c r="D14" s="199">
        <f>SUMIF('IKARIA TECHO'!B:B,'HORAS MANO DE OBRA'!B14,'IKARIA TECHO'!F:F)</f>
        <v/>
      </c>
    </row>
    <row r="15" hidden="1">
      <c r="A15" t="n">
        <v>1</v>
      </c>
      <c r="B15" s="372" t="inlineStr">
        <is>
          <t>02</t>
        </is>
      </c>
      <c r="C15" s="373" t="inlineStr">
        <is>
          <t>SUPERESTRUCTURAS NI</t>
        </is>
      </c>
      <c r="D15" s="373" t="n"/>
    </row>
    <row r="16">
      <c r="A16" t="n">
        <v>2</v>
      </c>
      <c r="B16" s="307" t="inlineStr">
        <is>
          <t>02-01</t>
        </is>
      </c>
      <c r="C16" s="308" t="inlineStr">
        <is>
          <t>ACERO Y MECANICO MUROS N1</t>
        </is>
      </c>
      <c r="D16" s="308" t="n"/>
    </row>
    <row r="17" hidden="1">
      <c r="A17" t="n">
        <v>3</v>
      </c>
      <c r="B17" s="586" t="inlineStr">
        <is>
          <t>02-01-01</t>
        </is>
      </c>
      <c r="C17" s="129" t="inlineStr">
        <is>
          <t>ACERO MUROS N1</t>
        </is>
      </c>
      <c r="D17" s="199">
        <f>SUMIF('IKARIA TECHO'!B:B,'HORAS MANO DE OBRA'!B17,'IKARIA TECHO'!F:F)</f>
        <v/>
      </c>
    </row>
    <row r="18" hidden="1">
      <c r="A18" t="n">
        <v>3</v>
      </c>
      <c r="B18" s="586" t="inlineStr">
        <is>
          <t>02-01-02</t>
        </is>
      </c>
      <c r="C18" s="129" t="inlineStr">
        <is>
          <t>FORMALETA N1</t>
        </is>
      </c>
      <c r="D18" s="199">
        <f>SUMIF('IKARIA TECHO'!B:B,'HORAS MANO DE OBRA'!B18,'IKARIA TECHO'!F:F)</f>
        <v/>
      </c>
    </row>
    <row r="19" hidden="1">
      <c r="A19" t="n">
        <v>3</v>
      </c>
      <c r="B19" s="586" t="inlineStr">
        <is>
          <t>02-01-03</t>
        </is>
      </c>
      <c r="C19" s="129" t="inlineStr">
        <is>
          <t>INSTALACION MECANICA MUROS N1</t>
        </is>
      </c>
      <c r="D19" s="199">
        <f>SUMIF('IKARIA TECHO'!B:B,'HORAS MANO DE OBRA'!B19,'IKARIA TECHO'!F:F)</f>
        <v/>
      </c>
    </row>
    <row r="20">
      <c r="A20" t="n">
        <v>2</v>
      </c>
      <c r="B20" s="307" t="inlineStr">
        <is>
          <t>02-02</t>
        </is>
      </c>
      <c r="C20" s="308" t="inlineStr">
        <is>
          <t>COLADO MUROS N1</t>
        </is>
      </c>
      <c r="D20" s="308" t="n"/>
    </row>
    <row r="21" hidden="1">
      <c r="A21" t="n">
        <v>3</v>
      </c>
      <c r="B21" s="586" t="inlineStr">
        <is>
          <t>02-02-01</t>
        </is>
      </c>
      <c r="C21" s="129" t="inlineStr">
        <is>
          <t>COLADO MUROS N1</t>
        </is>
      </c>
      <c r="D21" s="199">
        <f>SUMIF('IKARIA TECHO'!B:B,'HORAS MANO DE OBRA'!B21,'IKARIA TECHO'!F:F)</f>
        <v/>
      </c>
    </row>
    <row r="22" hidden="1">
      <c r="A22" t="n">
        <v>3</v>
      </c>
      <c r="B22" s="586" t="inlineStr">
        <is>
          <t>02-02-02</t>
        </is>
      </c>
      <c r="C22" s="129" t="inlineStr">
        <is>
          <t>TRAZO FORMALETA N1</t>
        </is>
      </c>
      <c r="D22" s="199">
        <f>SUMIF('IKARIA TECHO'!B:B,'HORAS MANO DE OBRA'!B22,'IKARIA TECHO'!F:F)</f>
        <v/>
      </c>
    </row>
    <row r="23" hidden="1">
      <c r="A23" t="n">
        <v>3</v>
      </c>
      <c r="B23" s="586" t="inlineStr">
        <is>
          <t>02-02-03</t>
        </is>
      </c>
      <c r="C23" s="129" t="inlineStr">
        <is>
          <t>DESENCOFRE MUROS N1</t>
        </is>
      </c>
      <c r="D23" s="199">
        <f>SUMIF('IKARIA TECHO'!B:B,'HORAS MANO DE OBRA'!B23,'IKARIA TECHO'!F:F)</f>
        <v/>
      </c>
    </row>
    <row r="24">
      <c r="A24" t="n">
        <v>2</v>
      </c>
      <c r="B24" s="307" t="inlineStr">
        <is>
          <t>02-03</t>
        </is>
      </c>
      <c r="C24" s="308" t="inlineStr">
        <is>
          <t>MAMPOSTERIA</t>
        </is>
      </c>
      <c r="D24" s="308" t="n"/>
    </row>
    <row r="25" hidden="1">
      <c r="A25" t="n">
        <v>3</v>
      </c>
      <c r="B25" s="586" t="inlineStr">
        <is>
          <t>02-03-01</t>
        </is>
      </c>
      <c r="C25" s="129" t="inlineStr">
        <is>
          <t>MAMPOSTERIA</t>
        </is>
      </c>
      <c r="D25" s="199">
        <f>SUMIF('IKARIA TECHO'!B:B,'HORAS MANO DE OBRA'!B25,'IKARIA TECHO'!F:F)</f>
        <v/>
      </c>
    </row>
    <row r="26" hidden="1">
      <c r="A26" t="n">
        <v>1</v>
      </c>
      <c r="B26" s="372" t="inlineStr">
        <is>
          <t>03</t>
        </is>
      </c>
      <c r="C26" s="373" t="inlineStr">
        <is>
          <t>SUPERESTRUCTURAS N2</t>
        </is>
      </c>
      <c r="D26" s="373" t="n"/>
    </row>
    <row r="27">
      <c r="A27" t="n">
        <v>2</v>
      </c>
      <c r="B27" s="307" t="inlineStr">
        <is>
          <t>03-01</t>
        </is>
      </c>
      <c r="C27" s="308" t="inlineStr">
        <is>
          <t>ACERO MUROS N2</t>
        </is>
      </c>
      <c r="D27" s="308" t="n"/>
    </row>
    <row r="28" hidden="1">
      <c r="A28" t="n">
        <v>3</v>
      </c>
      <c r="B28" s="586" t="inlineStr">
        <is>
          <t>03-01-01</t>
        </is>
      </c>
      <c r="C28" s="129" t="inlineStr">
        <is>
          <t>ACERO MUROS N2</t>
        </is>
      </c>
      <c r="D28" s="199">
        <f>SUMIF('IKARIA TECHO'!B:B,'HORAS MANO DE OBRA'!B28,'IKARIA TECHO'!F:F)</f>
        <v/>
      </c>
    </row>
    <row r="29" hidden="1">
      <c r="A29" t="n">
        <v>3</v>
      </c>
      <c r="B29" s="586" t="inlineStr">
        <is>
          <t>03-01-02</t>
        </is>
      </c>
      <c r="C29" s="129" t="inlineStr">
        <is>
          <t>FORMALETA N2</t>
        </is>
      </c>
      <c r="D29" s="199">
        <f>SUMIF('IKARIA TECHO'!B:B,'HORAS MANO DE OBRA'!B29,'IKARIA TECHO'!F:F)</f>
        <v/>
      </c>
    </row>
    <row r="30" hidden="1">
      <c r="A30" t="n">
        <v>3</v>
      </c>
      <c r="B30" s="586" t="inlineStr">
        <is>
          <t>03-01-03</t>
        </is>
      </c>
      <c r="C30" s="129" t="inlineStr">
        <is>
          <t>INSTALACION MECANICA MUROS N2</t>
        </is>
      </c>
      <c r="D30" s="199">
        <f>SUMIF('IKARIA TECHO'!B:B,'HORAS MANO DE OBRA'!B30,'IKARIA TECHO'!F:F)</f>
        <v/>
      </c>
    </row>
    <row r="31">
      <c r="A31" t="n">
        <v>2</v>
      </c>
      <c r="B31" s="307" t="inlineStr">
        <is>
          <t>03-02</t>
        </is>
      </c>
      <c r="C31" s="308" t="inlineStr">
        <is>
          <t>COLADO MUROS N2</t>
        </is>
      </c>
      <c r="D31" s="308" t="n"/>
    </row>
    <row r="32" hidden="1">
      <c r="A32" t="n">
        <v>3</v>
      </c>
      <c r="B32" s="586" t="inlineStr">
        <is>
          <t>03-02-01</t>
        </is>
      </c>
      <c r="C32" s="129" t="inlineStr">
        <is>
          <t>COLADO MUROS N2</t>
        </is>
      </c>
      <c r="D32" s="199">
        <f>SUMIF('IKARIA TECHO'!B:B,'HORAS MANO DE OBRA'!B32,'IKARIA TECHO'!F:F)</f>
        <v/>
      </c>
    </row>
    <row r="33" hidden="1">
      <c r="A33" t="n">
        <v>3</v>
      </c>
      <c r="B33" s="586" t="inlineStr">
        <is>
          <t>03-02-02</t>
        </is>
      </c>
      <c r="C33" s="129" t="inlineStr">
        <is>
          <t>TRAZO FORMALETA N2</t>
        </is>
      </c>
      <c r="D33" s="199">
        <f>SUMIF('IKARIA TECHO'!B:B,'HORAS MANO DE OBRA'!B33,'IKARIA TECHO'!F:F)</f>
        <v/>
      </c>
    </row>
    <row r="34" hidden="1">
      <c r="A34" t="n">
        <v>3</v>
      </c>
      <c r="B34" s="586" t="inlineStr">
        <is>
          <t>03-02-03</t>
        </is>
      </c>
      <c r="C34" s="129" t="inlineStr">
        <is>
          <t>DESENCOFRE MUROS N2</t>
        </is>
      </c>
      <c r="D34" s="199">
        <f>SUMIF('IKARIA TECHO'!B:B,'HORAS MANO DE OBRA'!B34,'IKARIA TECHO'!F:F)</f>
        <v/>
      </c>
    </row>
    <row r="35" hidden="1">
      <c r="A35" t="n">
        <v>1</v>
      </c>
      <c r="B35" s="372" t="inlineStr">
        <is>
          <t>04</t>
        </is>
      </c>
      <c r="C35" s="373" t="inlineStr">
        <is>
          <t>OTROS GRIS</t>
        </is>
      </c>
      <c r="D35" s="373" t="n"/>
    </row>
    <row r="36">
      <c r="A36" t="n">
        <v>2</v>
      </c>
      <c r="B36" s="307" t="inlineStr">
        <is>
          <t>04-01</t>
        </is>
      </c>
      <c r="C36" s="308" t="inlineStr">
        <is>
          <t>GRADAS CONCRETO</t>
        </is>
      </c>
      <c r="D36" s="308" t="n"/>
    </row>
    <row r="37" hidden="1">
      <c r="A37" t="n">
        <v>3</v>
      </c>
      <c r="B37" s="586" t="inlineStr">
        <is>
          <t>04-01-01</t>
        </is>
      </c>
      <c r="C37" s="129" t="inlineStr">
        <is>
          <t>ACERO GRADAS N1</t>
        </is>
      </c>
      <c r="D37" s="199">
        <f>SUMIF('IKARIA TECHO'!B:B,'HORAS MANO DE OBRA'!B37,'IKARIA TECHO'!F:F)</f>
        <v/>
      </c>
    </row>
    <row r="38" hidden="1">
      <c r="A38" t="n">
        <v>3</v>
      </c>
      <c r="B38" s="586" t="inlineStr">
        <is>
          <t>04-01-02</t>
        </is>
      </c>
      <c r="C38" s="129" t="inlineStr">
        <is>
          <t>FORMALETA GRADAS N1</t>
        </is>
      </c>
      <c r="D38" s="199">
        <f>SUMIF('IKARIA TECHO'!B:B,'HORAS MANO DE OBRA'!B38,'IKARIA TECHO'!F:F)</f>
        <v/>
      </c>
    </row>
    <row r="39" hidden="1">
      <c r="A39" t="n">
        <v>3</v>
      </c>
      <c r="B39" s="586" t="inlineStr">
        <is>
          <t>04-01-03</t>
        </is>
      </c>
      <c r="C39" s="129" t="inlineStr">
        <is>
          <t>COLADO GRADAS N1</t>
        </is>
      </c>
      <c r="D39" s="199">
        <f>SUMIF('IKARIA TECHO'!B:B,'HORAS MANO DE OBRA'!B39,'IKARIA TECHO'!F:F)</f>
        <v/>
      </c>
    </row>
    <row r="40" hidden="1">
      <c r="A40" t="n">
        <v>3</v>
      </c>
      <c r="B40" s="586" t="inlineStr">
        <is>
          <t>04-01-04</t>
        </is>
      </c>
      <c r="C40" s="129" t="inlineStr">
        <is>
          <t>DESENCOFRE GRADAS N1</t>
        </is>
      </c>
      <c r="D40" s="199">
        <f>SUMIF('IKARIA TECHO'!B:B,'HORAS MANO DE OBRA'!B40,'IKARIA TECHO'!F:F)</f>
        <v/>
      </c>
    </row>
    <row r="41" hidden="1">
      <c r="A41" t="n">
        <v>3</v>
      </c>
      <c r="B41" s="586" t="inlineStr">
        <is>
          <t>04-01-05</t>
        </is>
      </c>
      <c r="C41" s="129" t="inlineStr">
        <is>
          <t>ACERO GRADAS N2</t>
        </is>
      </c>
      <c r="D41" s="199">
        <f>SUMIF('IKARIA TECHO'!B:B,'HORAS MANO DE OBRA'!B41,'IKARIA TECHO'!F:F)</f>
        <v/>
      </c>
    </row>
    <row r="42" hidden="1">
      <c r="A42" t="n">
        <v>3</v>
      </c>
      <c r="B42" s="586" t="inlineStr">
        <is>
          <t>04-01-06</t>
        </is>
      </c>
      <c r="C42" s="129" t="inlineStr">
        <is>
          <t>FORMALETA GRADAS N2</t>
        </is>
      </c>
      <c r="D42" s="199">
        <f>SUMIF('IKARIA TECHO'!B:B,'HORAS MANO DE OBRA'!B42,'IKARIA TECHO'!F:F)</f>
        <v/>
      </c>
    </row>
    <row r="43" hidden="1">
      <c r="A43" t="n">
        <v>3</v>
      </c>
      <c r="B43" s="586" t="inlineStr">
        <is>
          <t>04-01-07</t>
        </is>
      </c>
      <c r="C43" s="129" t="inlineStr">
        <is>
          <t>COLADO GRADAS N2</t>
        </is>
      </c>
      <c r="D43" s="199">
        <f>SUMIF('IKARIA TECHO'!B:B,'HORAS MANO DE OBRA'!B43,'IKARIA TECHO'!F:F)</f>
        <v/>
      </c>
    </row>
    <row r="44" hidden="1">
      <c r="A44" t="n">
        <v>3</v>
      </c>
      <c r="B44" s="586" t="inlineStr">
        <is>
          <t>04-01-08</t>
        </is>
      </c>
      <c r="C44" s="129" t="inlineStr">
        <is>
          <t>DESENCOFRE GRADAS N2</t>
        </is>
      </c>
      <c r="D44" s="199">
        <f>SUMIF('IKARIA TECHO'!B:B,'HORAS MANO DE OBRA'!B44,'IKARIA TECHO'!F:F)</f>
        <v/>
      </c>
    </row>
    <row r="45">
      <c r="A45" t="n">
        <v>2</v>
      </c>
      <c r="B45" s="307" t="inlineStr">
        <is>
          <t>04-02</t>
        </is>
      </c>
      <c r="C45" s="308" t="inlineStr">
        <is>
          <t>COLUMNAS</t>
        </is>
      </c>
      <c r="D45" s="308" t="n"/>
    </row>
    <row r="46" hidden="1">
      <c r="A46" t="n">
        <v>3</v>
      </c>
      <c r="B46" s="586" t="inlineStr">
        <is>
          <t>04-02-01</t>
        </is>
      </c>
      <c r="C46" s="129" t="inlineStr">
        <is>
          <t>COLUMNA COCHERA</t>
        </is>
      </c>
      <c r="D46" s="199">
        <f>SUMIF('IKARIA TECHO'!B:B,'HORAS MANO DE OBRA'!B46,'IKARIA TECHO'!F:F)</f>
        <v/>
      </c>
    </row>
    <row r="47" hidden="1">
      <c r="A47" t="n">
        <v>3</v>
      </c>
      <c r="B47" s="586" t="inlineStr">
        <is>
          <t>04-02-02</t>
        </is>
      </c>
      <c r="C47" s="129" t="inlineStr">
        <is>
          <t>COLUMNA MEDIDOR</t>
        </is>
      </c>
      <c r="D47" s="199">
        <f>SUMIF('IKARIA TECHO'!B:B,'HORAS MANO DE OBRA'!B47,'IKARIA TECHO'!F:F)</f>
        <v/>
      </c>
    </row>
    <row r="48">
      <c r="A48" t="n">
        <v>2</v>
      </c>
      <c r="B48" s="307" t="inlineStr">
        <is>
          <t>04-03</t>
        </is>
      </c>
      <c r="C48" s="308" t="inlineStr">
        <is>
          <t>LOSA COCHERA Y PILAS</t>
        </is>
      </c>
      <c r="D48" s="308" t="n"/>
    </row>
    <row r="49" hidden="1">
      <c r="A49" t="n">
        <v>3</v>
      </c>
      <c r="B49" s="586" t="inlineStr">
        <is>
          <t>04-03-01</t>
        </is>
      </c>
      <c r="C49" s="129" t="inlineStr">
        <is>
          <t>LASTRE Y COMPACTACION COCHERA</t>
        </is>
      </c>
      <c r="D49" s="199">
        <f>SUMIF('IKARIA TECHO'!B:B,'HORAS MANO DE OBRA'!B49,'IKARIA TECHO'!F:F)</f>
        <v/>
      </c>
    </row>
    <row r="50" hidden="1">
      <c r="A50" t="n">
        <v>3</v>
      </c>
      <c r="B50" s="586" t="inlineStr">
        <is>
          <t>04-03-02</t>
        </is>
      </c>
      <c r="C50" s="129" t="inlineStr">
        <is>
          <t>COLADO LOSA COCHERA</t>
        </is>
      </c>
      <c r="D50" s="199">
        <f>SUMIF('IKARIA TECHO'!B:B,'HORAS MANO DE OBRA'!B50,'IKARIA TECHO'!F:F)</f>
        <v/>
      </c>
    </row>
    <row r="51" hidden="1">
      <c r="A51" t="n">
        <v>3</v>
      </c>
      <c r="B51" s="586" t="inlineStr">
        <is>
          <t>04-03-03</t>
        </is>
      </c>
      <c r="C51" s="129" t="inlineStr">
        <is>
          <t>ACABADO LAVADO COCHERA</t>
        </is>
      </c>
      <c r="D51" s="199">
        <f>SUMIF('IKARIA TECHO'!B:B,'HORAS MANO DE OBRA'!B51,'IKARIA TECHO'!F:F)</f>
        <v/>
      </c>
    </row>
    <row r="52" hidden="1">
      <c r="A52" t="n">
        <v>3</v>
      </c>
      <c r="B52" s="586" t="inlineStr">
        <is>
          <t>04-03-04</t>
        </is>
      </c>
      <c r="C52" s="129" t="inlineStr">
        <is>
          <t>LASTRE Y COMPACTACION TERRAZA</t>
        </is>
      </c>
      <c r="D52" s="199">
        <f>SUMIF('IKARIA TECHO'!B:B,'HORAS MANO DE OBRA'!B52,'IKARIA TECHO'!F:F)</f>
        <v/>
      </c>
    </row>
    <row r="53" hidden="1">
      <c r="A53" t="n">
        <v>3</v>
      </c>
      <c r="B53" s="586" t="inlineStr">
        <is>
          <t>04-03-05</t>
        </is>
      </c>
      <c r="C53" s="129" t="inlineStr">
        <is>
          <t>COLADO LOSA TERRAZA</t>
        </is>
      </c>
      <c r="D53" s="199">
        <f>SUMIF('IKARIA TECHO'!B:B,'HORAS MANO DE OBRA'!B53,'IKARIA TECHO'!F:F)</f>
        <v/>
      </c>
    </row>
    <row r="54" hidden="1">
      <c r="A54" t="n">
        <v>3</v>
      </c>
      <c r="B54" s="586" t="inlineStr">
        <is>
          <t>04-03-06</t>
        </is>
      </c>
      <c r="C54" s="129" t="inlineStr">
        <is>
          <t>ACABADO LAVADO TERRAZA</t>
        </is>
      </c>
      <c r="D54" s="199">
        <f>SUMIF('IKARIA TECHO'!B:B,'HORAS MANO DE OBRA'!B54,'IKARIA TECHO'!F:F)</f>
        <v/>
      </c>
    </row>
    <row r="55" hidden="1">
      <c r="A55" t="n">
        <v>1</v>
      </c>
      <c r="B55" s="372" t="inlineStr">
        <is>
          <t>05</t>
        </is>
      </c>
      <c r="C55" s="373" t="inlineStr">
        <is>
          <t>ESTRUCTURAS METALICAS</t>
        </is>
      </c>
      <c r="D55" s="373" t="n"/>
    </row>
    <row r="56">
      <c r="A56" t="n">
        <v>2</v>
      </c>
      <c r="B56" s="307" t="inlineStr">
        <is>
          <t>05-01</t>
        </is>
      </c>
      <c r="C56" s="308" t="inlineStr">
        <is>
          <t>ESTRUCTURA DE TECHO DE CASA</t>
        </is>
      </c>
      <c r="D56" s="308" t="n"/>
    </row>
    <row r="57" hidden="1">
      <c r="A57" t="n">
        <v>3</v>
      </c>
      <c r="B57" s="586" t="inlineStr">
        <is>
          <t>05-01-01</t>
        </is>
      </c>
      <c r="C57" s="129" t="inlineStr">
        <is>
          <t>ESTRUCTURA METALICA TECHO</t>
        </is>
      </c>
      <c r="D57" s="199">
        <f>SUMIF('IKARIA TECHO'!B:B,'HORAS MANO DE OBRA'!B57,'IKARIA TECHO'!F:F)</f>
        <v/>
      </c>
    </row>
    <row r="58" hidden="1">
      <c r="A58" t="n">
        <v>3</v>
      </c>
      <c r="B58" s="586" t="inlineStr">
        <is>
          <t>05-01-02</t>
        </is>
      </c>
      <c r="C58" s="588" t="inlineStr">
        <is>
          <t>M.O. ESTRUCTURA TECHO PINTURA</t>
        </is>
      </c>
      <c r="D58" s="199">
        <f>SUMIF('IKARIA TECHO'!B:B,'HORAS MANO DE OBRA'!B58,'IKARIA TECHO'!F:F)</f>
        <v/>
      </c>
    </row>
    <row r="59">
      <c r="A59" t="n">
        <v>2</v>
      </c>
      <c r="B59" s="307" t="inlineStr">
        <is>
          <t>05-02</t>
        </is>
      </c>
      <c r="C59" s="308" t="inlineStr">
        <is>
          <t>ESTRUCTURA DE TECHO COCHERA</t>
        </is>
      </c>
      <c r="D59" s="308" t="n"/>
    </row>
    <row r="60" hidden="1">
      <c r="A60" t="n">
        <v>3</v>
      </c>
      <c r="B60" s="586" t="inlineStr">
        <is>
          <t>05-02-01</t>
        </is>
      </c>
      <c r="C60" s="129" t="inlineStr">
        <is>
          <t>ESTRUCTURA METALICA COCHERA</t>
        </is>
      </c>
      <c r="D60" s="199">
        <f>SUMIF('IKARIA TECHO'!B:B,'HORAS MANO DE OBRA'!B60,'IKARIA TECHO'!F:F)</f>
        <v/>
      </c>
    </row>
    <row r="61" hidden="1">
      <c r="A61" t="n">
        <v>3</v>
      </c>
      <c r="B61" s="586" t="inlineStr">
        <is>
          <t>05-02-02</t>
        </is>
      </c>
      <c r="C61" s="588" t="inlineStr">
        <is>
          <t>M.O. ESTRUCTURA TECHO COCHERA PINTURA</t>
        </is>
      </c>
      <c r="D61" s="199">
        <f>SUMIF('IKARIA TECHO'!B:B,'HORAS MANO DE OBRA'!B61,'IKARIA TECHO'!F:F)</f>
        <v/>
      </c>
    </row>
    <row r="62">
      <c r="A62" t="n">
        <v>2</v>
      </c>
      <c r="B62" s="307" t="inlineStr">
        <is>
          <t>05-03</t>
        </is>
      </c>
      <c r="C62" s="308" t="inlineStr">
        <is>
          <t>CUBIERTA TECHO CASA</t>
        </is>
      </c>
      <c r="D62" s="308" t="n"/>
    </row>
    <row r="63" hidden="1">
      <c r="A63" t="n">
        <v>3</v>
      </c>
      <c r="B63" s="586" t="inlineStr">
        <is>
          <t>05-03-01</t>
        </is>
      </c>
      <c r="C63" s="129" t="inlineStr">
        <is>
          <t>CUBIERTA TECHO</t>
        </is>
      </c>
      <c r="D63" s="199">
        <f>SUMIF('IKARIA TECHO'!B:B,'HORAS MANO DE OBRA'!B63,'IKARIA TECHO'!F:F)</f>
        <v/>
      </c>
    </row>
    <row r="64">
      <c r="A64" t="n">
        <v>2</v>
      </c>
      <c r="B64" s="307" t="inlineStr">
        <is>
          <t>05-04</t>
        </is>
      </c>
      <c r="C64" s="308" t="inlineStr">
        <is>
          <t>CUBIERTA TECHO CASA</t>
        </is>
      </c>
      <c r="D64" s="308" t="n"/>
    </row>
    <row r="65" hidden="1">
      <c r="A65" t="n">
        <v>3</v>
      </c>
      <c r="B65" s="586" t="inlineStr">
        <is>
          <t>05-04-01</t>
        </is>
      </c>
      <c r="C65" s="129" t="inlineStr">
        <is>
          <t>CUBIERTA COCHERA</t>
        </is>
      </c>
      <c r="D65" s="199">
        <f>SUMIF('IKARIA TECHO'!B:B,'HORAS MANO DE OBRA'!B65,'IKARIA TECHO'!F:F)</f>
        <v/>
      </c>
    </row>
    <row r="66">
      <c r="A66" t="n">
        <v>2</v>
      </c>
      <c r="B66" s="307" t="inlineStr">
        <is>
          <t>05-05</t>
        </is>
      </c>
      <c r="C66" s="308" t="inlineStr">
        <is>
          <t>HOJALATERÍA Y CANOAS</t>
        </is>
      </c>
      <c r="D66" s="308" t="n"/>
    </row>
    <row r="67" hidden="1">
      <c r="A67" t="n">
        <v>3</v>
      </c>
      <c r="B67" s="586" t="inlineStr">
        <is>
          <t>05-05-01</t>
        </is>
      </c>
      <c r="C67" s="129" t="inlineStr">
        <is>
          <t>HOJALATERIA GENERAL</t>
        </is>
      </c>
      <c r="D67" s="199">
        <f>SUMIF('IKARIA TECHO'!B:B,'HORAS MANO DE OBRA'!B67,'IKARIA TECHO'!F:F)</f>
        <v/>
      </c>
    </row>
    <row r="68" hidden="1">
      <c r="A68" t="n">
        <v>3</v>
      </c>
      <c r="B68" s="586" t="inlineStr">
        <is>
          <t>05-05-02</t>
        </is>
      </c>
      <c r="C68" s="129" t="inlineStr">
        <is>
          <t>TALLER DE FABRICACIÓN</t>
        </is>
      </c>
      <c r="D68" s="199">
        <f>SUMIF('IKARIA TECHO'!B:B,'HORAS MANO DE OBRA'!B68,'IKARIA TECHO'!F:F)</f>
        <v/>
      </c>
    </row>
    <row r="69" hidden="1">
      <c r="A69" t="n">
        <v>3</v>
      </c>
      <c r="B69" s="586" t="inlineStr">
        <is>
          <t>05-05-03</t>
        </is>
      </c>
      <c r="C69" s="129" t="inlineStr">
        <is>
          <t>INSTALACIÓN DE HOJALATERÍA</t>
        </is>
      </c>
      <c r="D69" s="199">
        <f>SUMIF('IKARIA TECHO'!B:B,'HORAS MANO DE OBRA'!B69,'IKARIA TECHO'!F:F)</f>
        <v/>
      </c>
    </row>
    <row r="70">
      <c r="A70" t="n">
        <v>2</v>
      </c>
      <c r="B70" s="307" t="inlineStr">
        <is>
          <t>05-06</t>
        </is>
      </c>
      <c r="C70" s="308" t="inlineStr">
        <is>
          <t xml:space="preserve">GRADAS </t>
        </is>
      </c>
      <c r="D70" s="308" t="n"/>
    </row>
    <row r="71" hidden="1">
      <c r="A71" t="n">
        <v>3</v>
      </c>
      <c r="B71" s="586" t="inlineStr">
        <is>
          <t>05-06-01</t>
        </is>
      </c>
      <c r="C71" s="129" t="inlineStr">
        <is>
          <t>MO DE PINTURA DE GRADAS</t>
        </is>
      </c>
      <c r="D71" s="199">
        <f>SUMIF('IKARIA TECHO'!B:B,'HORAS MANO DE OBRA'!B71,'IKARIA TECHO'!F:F)</f>
        <v/>
      </c>
    </row>
    <row r="72" hidden="1">
      <c r="A72" t="n">
        <v>3</v>
      </c>
      <c r="B72" s="586" t="inlineStr">
        <is>
          <t>05-06-02</t>
        </is>
      </c>
      <c r="C72" s="129" t="inlineStr">
        <is>
          <t>MO COLADO DE GRADAS METALICAS</t>
        </is>
      </c>
      <c r="D72" s="199">
        <f>SUMIF('IKARIA TECHO'!B:B,'HORAS MANO DE OBRA'!B72,'IKARIA TECHO'!F:F)</f>
        <v/>
      </c>
    </row>
    <row r="73" hidden="1">
      <c r="A73" t="n">
        <v>3</v>
      </c>
      <c r="B73" s="586" t="inlineStr">
        <is>
          <t>05-06-03</t>
        </is>
      </c>
      <c r="C73" s="129" t="inlineStr">
        <is>
          <t>PASAMANOS DE GRADAS</t>
        </is>
      </c>
      <c r="D73" s="199">
        <f>SUMIF('IKARIA TECHO'!B:B,'HORAS MANO DE OBRA'!B73,'IKARIA TECHO'!F:F)</f>
        <v/>
      </c>
    </row>
    <row r="74" hidden="1">
      <c r="A74" t="n">
        <v>3</v>
      </c>
      <c r="B74" s="586" t="inlineStr">
        <is>
          <t>05-06-04</t>
        </is>
      </c>
      <c r="C74" s="129" t="inlineStr">
        <is>
          <t>ESTRUCTURA METALICA GRADAS Y BARANDAS</t>
        </is>
      </c>
      <c r="D74" s="199">
        <f>SUMIF('IKARIA TECHO'!B:B,'HORAS MANO DE OBRA'!B74,'IKARIA TECHO'!F:F)</f>
        <v/>
      </c>
    </row>
    <row r="75">
      <c r="A75" t="n">
        <v>2</v>
      </c>
      <c r="B75" s="307" t="inlineStr">
        <is>
          <t>05-07</t>
        </is>
      </c>
      <c r="C75" s="308" t="inlineStr">
        <is>
          <t xml:space="preserve">BARANDA DE GRADAS (N2) </t>
        </is>
      </c>
      <c r="D75" s="308" t="n"/>
    </row>
    <row r="76" hidden="1">
      <c r="A76" t="n">
        <v>3</v>
      </c>
      <c r="B76" s="586" t="inlineStr">
        <is>
          <t>05-07-01</t>
        </is>
      </c>
      <c r="C76" s="129" t="inlineStr">
        <is>
          <t>BARANDAS N2</t>
        </is>
      </c>
      <c r="D76" s="199">
        <f>SUMIF('IKARIA TECHO'!B:B,'HORAS MANO DE OBRA'!B76,'IKARIA TECHO'!F:F)</f>
        <v/>
      </c>
    </row>
    <row r="77">
      <c r="A77" t="n">
        <v>2</v>
      </c>
      <c r="B77" s="307" t="inlineStr">
        <is>
          <t>05-08</t>
        </is>
      </c>
      <c r="C77" s="308" t="inlineStr">
        <is>
          <t>ESTRUCTURA METALICA INTERNA</t>
        </is>
      </c>
      <c r="D77" s="308" t="n"/>
    </row>
    <row r="78" hidden="1">
      <c r="A78" t="n">
        <v>3</v>
      </c>
      <c r="B78" s="586" t="inlineStr">
        <is>
          <t>05-08-01</t>
        </is>
      </c>
      <c r="C78" s="129" t="inlineStr">
        <is>
          <t>ESTRUCTURA METALICA INTERNA</t>
        </is>
      </c>
      <c r="D78" s="199">
        <f>SUMIF('IKARIA TECHO'!B:B,'HORAS MANO DE OBRA'!B78,'IKARIA TECHO'!F:F)</f>
        <v/>
      </c>
    </row>
    <row r="79" hidden="1">
      <c r="A79" t="n">
        <v>3</v>
      </c>
      <c r="B79" s="586" t="inlineStr">
        <is>
          <t>05-08-02</t>
        </is>
      </c>
      <c r="C79" s="129" t="inlineStr">
        <is>
          <t>ESTRUCTURA METALICA DUCTO</t>
        </is>
      </c>
      <c r="D79" s="199">
        <f>SUMIF('IKARIA TECHO'!B:B,'HORAS MANO DE OBRA'!B79,'IKARIA TECHO'!F:F)</f>
        <v/>
      </c>
    </row>
    <row r="80" hidden="1">
      <c r="A80" t="n">
        <v>1</v>
      </c>
      <c r="B80" s="372" t="inlineStr">
        <is>
          <t>06</t>
        </is>
      </c>
      <c r="C80" s="373" t="inlineStr">
        <is>
          <t>LIVIANO</t>
        </is>
      </c>
      <c r="D80" s="373" t="n"/>
    </row>
    <row r="81">
      <c r="A81" t="n">
        <v>2</v>
      </c>
      <c r="B81" s="307" t="inlineStr">
        <is>
          <t>06-01</t>
        </is>
      </c>
      <c r="C81" s="308" t="inlineStr">
        <is>
          <t>LIVIANO EXTERIORES</t>
        </is>
      </c>
      <c r="D81" s="308" t="n"/>
    </row>
    <row r="82" hidden="1">
      <c r="A82" t="n">
        <v>3</v>
      </c>
      <c r="B82" s="586" t="inlineStr">
        <is>
          <t>06-01-01</t>
        </is>
      </c>
      <c r="C82" s="129" t="inlineStr">
        <is>
          <t>ESTRUCTURA LIVIANA DE TAPICHELES</t>
        </is>
      </c>
      <c r="D82" s="199">
        <f>SUMIF('IKARIA TECHO'!B:B,'HORAS MANO DE OBRA'!B82,'IKARIA TECHO'!F:F)</f>
        <v/>
      </c>
    </row>
    <row r="83" hidden="1">
      <c r="A83" t="n">
        <v>3</v>
      </c>
      <c r="B83" s="586" t="inlineStr">
        <is>
          <t>06-01-02</t>
        </is>
      </c>
      <c r="C83" s="129" t="inlineStr">
        <is>
          <t>FORRO DE TAPICHELES</t>
        </is>
      </c>
      <c r="D83" s="199">
        <f>SUMIF('IKARIA TECHO'!B:B,'HORAS MANO DE OBRA'!B83,'IKARIA TECHO'!F:F)</f>
        <v/>
      </c>
    </row>
    <row r="84">
      <c r="A84" t="n">
        <v>2</v>
      </c>
      <c r="B84" s="307" t="inlineStr">
        <is>
          <t>06-02</t>
        </is>
      </c>
      <c r="C84" s="308" t="inlineStr">
        <is>
          <t>LIVIANO INTERNO</t>
        </is>
      </c>
      <c r="D84" s="308" t="n"/>
    </row>
    <row r="85" hidden="1">
      <c r="A85" t="n">
        <v>3</v>
      </c>
      <c r="B85" s="586" t="inlineStr">
        <is>
          <t>06-02-01</t>
        </is>
      </c>
      <c r="C85" s="129" t="inlineStr">
        <is>
          <t>ESTRUCTURA LIVIANA INTERNA</t>
        </is>
      </c>
      <c r="D85" s="199">
        <f>SUMIF('IKARIA TECHO'!B:B,'HORAS MANO DE OBRA'!B85,'IKARIA TECHO'!F:F)</f>
        <v/>
      </c>
    </row>
    <row r="86" hidden="1">
      <c r="A86" t="n">
        <v>3</v>
      </c>
      <c r="B86" s="586" t="inlineStr">
        <is>
          <t>06-02-02</t>
        </is>
      </c>
      <c r="C86" s="129" t="inlineStr">
        <is>
          <t>FORRO LIVIANO INTERNO</t>
        </is>
      </c>
      <c r="D86" s="199">
        <f>SUMIF('IKARIA TECHO'!B:B,'HORAS MANO DE OBRA'!B86,'IKARIA TECHO'!F:F)</f>
        <v/>
      </c>
    </row>
    <row r="87" hidden="1">
      <c r="A87" t="n">
        <v>3</v>
      </c>
      <c r="B87" s="586" t="inlineStr">
        <is>
          <t>06-02-03</t>
        </is>
      </c>
      <c r="C87" s="129" t="inlineStr">
        <is>
          <t>FORRO ALEROS Y TABLILLA</t>
        </is>
      </c>
      <c r="D87" s="199">
        <f>SUMIF('IKARIA TECHO'!B:B,'HORAS MANO DE OBRA'!B87,'IKARIA TECHO'!F:F)</f>
        <v/>
      </c>
    </row>
    <row r="88" hidden="1">
      <c r="A88" t="n">
        <v>3</v>
      </c>
      <c r="B88" s="586" t="inlineStr">
        <is>
          <t>06-02-04</t>
        </is>
      </c>
      <c r="C88" s="129" t="inlineStr">
        <is>
          <t>ESTRUCTURA Y FORRO PILA</t>
        </is>
      </c>
      <c r="D88" s="199">
        <f>SUMIF('IKARIA TECHO'!B:B,'HORAS MANO DE OBRA'!B88,'IKARIA TECHO'!F:F)</f>
        <v/>
      </c>
    </row>
    <row r="89" hidden="1">
      <c r="A89" t="n">
        <v>3</v>
      </c>
      <c r="B89" s="586" t="inlineStr">
        <is>
          <t>06-02-05</t>
        </is>
      </c>
      <c r="C89" s="129" t="inlineStr">
        <is>
          <t>FORRO DE DUCTOS MECANICOS</t>
        </is>
      </c>
      <c r="D89" s="199">
        <f>SUMIF('IKARIA TECHO'!B:B,'HORAS MANO DE OBRA'!B89,'IKARIA TECHO'!F:F)</f>
        <v/>
      </c>
    </row>
    <row r="90" hidden="1">
      <c r="A90" t="n">
        <v>3</v>
      </c>
      <c r="B90" s="586" t="inlineStr">
        <is>
          <t>06-02-06</t>
        </is>
      </c>
      <c r="C90" s="129" t="inlineStr">
        <is>
          <t>ESTRUCTURA LIVIANA DUCTO DE ESCALERA</t>
        </is>
      </c>
      <c r="D90" s="199">
        <f>SUMIF('IKARIA TECHO'!B:B,'HORAS MANO DE OBRA'!B90,'IKARIA TECHO'!F:F)</f>
        <v/>
      </c>
    </row>
    <row r="91" hidden="1">
      <c r="A91" t="n">
        <v>3</v>
      </c>
      <c r="B91" s="586" t="inlineStr">
        <is>
          <t>06-02-07</t>
        </is>
      </c>
      <c r="C91" s="129" t="inlineStr">
        <is>
          <t>FORRO DUCTO DE ESCALERAS</t>
        </is>
      </c>
      <c r="D91" s="199">
        <f>SUMIF('IKARIA TECHO'!B:B,'HORAS MANO DE OBRA'!B91,'IKARIA TECHO'!F:F)</f>
        <v/>
      </c>
    </row>
    <row r="92" hidden="1">
      <c r="A92" t="n">
        <v>1</v>
      </c>
      <c r="B92" s="372" t="inlineStr">
        <is>
          <t>07</t>
        </is>
      </c>
      <c r="C92" s="373" t="inlineStr">
        <is>
          <t>REPELLOS</t>
        </is>
      </c>
      <c r="D92" s="373" t="n"/>
    </row>
    <row r="93">
      <c r="A93" t="n">
        <v>2</v>
      </c>
      <c r="B93" s="307" t="inlineStr">
        <is>
          <t>07-01</t>
        </is>
      </c>
      <c r="C93" s="308" t="inlineStr">
        <is>
          <t>REPELLO INTERNO Y EXTERNO</t>
        </is>
      </c>
      <c r="D93" s="308" t="n"/>
    </row>
    <row r="94" hidden="1">
      <c r="A94" t="n">
        <v>3</v>
      </c>
      <c r="B94" s="586" t="inlineStr">
        <is>
          <t>07-01-01</t>
        </is>
      </c>
      <c r="C94" s="129" t="inlineStr">
        <is>
          <t xml:space="preserve">RELLENO DE CORBATAS </t>
        </is>
      </c>
      <c r="D94" s="199">
        <f>SUMIF('IKARIA TECHO'!B:B,'HORAS MANO DE OBRA'!B94,'IKARIA TECHO'!F:F)</f>
        <v/>
      </c>
    </row>
    <row r="95" hidden="1">
      <c r="A95" t="n">
        <v>3</v>
      </c>
      <c r="B95" s="586" t="inlineStr">
        <is>
          <t>07-01-02</t>
        </is>
      </c>
      <c r="C95" s="129" t="inlineStr">
        <is>
          <t>CODALES VENTANAS</t>
        </is>
      </c>
      <c r="D95" s="199">
        <f>SUMIF('IKARIA TECHO'!B:B,'HORAS MANO DE OBRA'!B95,'IKARIA TECHO'!F:F)</f>
        <v/>
      </c>
    </row>
    <row r="96" hidden="1">
      <c r="A96" t="n">
        <v>3</v>
      </c>
      <c r="B96" s="586" t="inlineStr">
        <is>
          <t>07-01-03</t>
        </is>
      </c>
      <c r="C96" s="129" t="inlineStr">
        <is>
          <t>MURO SECO INTERIOR</t>
        </is>
      </c>
      <c r="D96" s="199">
        <f>SUMIF('IKARIA TECHO'!B:B,'HORAS MANO DE OBRA'!B96,'IKARIA TECHO'!F:F)</f>
        <v/>
      </c>
    </row>
    <row r="97" hidden="1">
      <c r="A97" t="n">
        <v>3</v>
      </c>
      <c r="B97" s="586" t="inlineStr">
        <is>
          <t>07-01-04</t>
        </is>
      </c>
      <c r="C97" s="129" t="inlineStr">
        <is>
          <t>MURO SECO EXT</t>
        </is>
      </c>
      <c r="D97" s="199">
        <f>SUMIF('IKARIA TECHO'!B:B,'HORAS MANO DE OBRA'!B97,'IKARIA TECHO'!F:F)</f>
        <v/>
      </c>
    </row>
    <row r="98" hidden="1">
      <c r="A98" t="n">
        <v>3</v>
      </c>
      <c r="B98" s="586" t="inlineStr">
        <is>
          <t>07-01-05</t>
        </is>
      </c>
      <c r="C98" s="129" t="inlineStr">
        <is>
          <t>REPELLO TAPIA</t>
        </is>
      </c>
      <c r="D98" s="199">
        <f>SUMIF('IKARIA TECHO'!B:B,'HORAS MANO DE OBRA'!B98,'IKARIA TECHO'!F:F)</f>
        <v/>
      </c>
    </row>
    <row r="99" hidden="1">
      <c r="A99" t="n">
        <v>3</v>
      </c>
      <c r="B99" s="586" t="inlineStr">
        <is>
          <t>07-01-06</t>
        </is>
      </c>
      <c r="C99" s="129" t="inlineStr">
        <is>
          <t>REPELLO DE CIELOS</t>
        </is>
      </c>
      <c r="D99" s="199">
        <f>SUMIF('IKARIA TECHO'!B:B,'HORAS MANO DE OBRA'!B99,'IKARIA TECHO'!F:F)</f>
        <v/>
      </c>
    </row>
    <row r="100">
      <c r="A100" t="n">
        <v>2</v>
      </c>
      <c r="B100" s="307" t="inlineStr">
        <is>
          <t>07-02</t>
        </is>
      </c>
      <c r="C100" s="308" t="inlineStr">
        <is>
          <t>EMPASTES</t>
        </is>
      </c>
      <c r="D100" s="308" t="n"/>
    </row>
    <row r="101" hidden="1">
      <c r="A101" t="n">
        <v>3</v>
      </c>
      <c r="B101" s="586" t="inlineStr">
        <is>
          <t>07-02-01</t>
        </is>
      </c>
      <c r="C101" s="129" t="inlineStr">
        <is>
          <t>EMPASTE CEMENTICIO</t>
        </is>
      </c>
      <c r="D101" s="199">
        <f>SUMIF('IKARIA TECHO'!B:B,'HORAS MANO DE OBRA'!B101,'IKARIA TECHO'!F:F)</f>
        <v/>
      </c>
    </row>
    <row r="102" hidden="1">
      <c r="A102" t="n">
        <v>1</v>
      </c>
      <c r="B102" s="372" t="inlineStr">
        <is>
          <t>08</t>
        </is>
      </c>
      <c r="C102" s="373" t="inlineStr">
        <is>
          <t>ENCHAPES</t>
        </is>
      </c>
      <c r="D102" s="373" t="n"/>
    </row>
    <row r="103">
      <c r="A103" t="n">
        <v>2</v>
      </c>
      <c r="B103" s="586" t="inlineStr">
        <is>
          <t>08-01</t>
        </is>
      </c>
      <c r="C103" s="429" t="inlineStr">
        <is>
          <t>ENCHAPE INTERNO Y EXTERNO</t>
        </is>
      </c>
      <c r="D103" s="199">
        <f>SUMIF('IKARIA TECHO'!B:B,'HORAS MANO DE OBRA'!B103,'IKARIA TECHO'!F:F)</f>
        <v/>
      </c>
    </row>
    <row r="104" hidden="1">
      <c r="A104" t="n">
        <v>3</v>
      </c>
      <c r="B104" s="586" t="inlineStr">
        <is>
          <t>08-01-01</t>
        </is>
      </c>
      <c r="C104" s="129" t="inlineStr">
        <is>
          <t>ENCHAPE PISO</t>
        </is>
      </c>
      <c r="D104" s="199">
        <f>SUMIF('IKARIA TECHO'!B:B,'HORAS MANO DE OBRA'!B104,'IKARIA TECHO'!F:F)</f>
        <v/>
      </c>
    </row>
    <row r="105" hidden="1">
      <c r="A105" t="n">
        <v>3</v>
      </c>
      <c r="B105" s="586" t="inlineStr">
        <is>
          <t>08-01-02</t>
        </is>
      </c>
      <c r="C105" s="129" t="inlineStr">
        <is>
          <t>ENCHAPE FACHADA</t>
        </is>
      </c>
      <c r="D105" s="199">
        <f>SUMIF('IKARIA TECHO'!B:B,'HORAS MANO DE OBRA'!B105,'IKARIA TECHO'!F:F)</f>
        <v/>
      </c>
    </row>
    <row r="106" hidden="1">
      <c r="A106" t="n">
        <v>3</v>
      </c>
      <c r="B106" s="586" t="inlineStr">
        <is>
          <t>08-01-03</t>
        </is>
      </c>
      <c r="C106" s="129" t="inlineStr">
        <is>
          <t>ENCHAPE BAÑO</t>
        </is>
      </c>
      <c r="D106" s="199">
        <f>SUMIF('IKARIA TECHO'!B:B,'HORAS MANO DE OBRA'!B106,'IKARIA TECHO'!F:F)</f>
        <v/>
      </c>
    </row>
    <row r="107" hidden="1">
      <c r="A107" t="n">
        <v>3</v>
      </c>
      <c r="B107" s="586" t="inlineStr">
        <is>
          <t>08-01-04</t>
        </is>
      </c>
      <c r="C107" s="129" t="inlineStr">
        <is>
          <t>ENCHAPE DE LOSA CENITAL</t>
        </is>
      </c>
      <c r="D107" s="199">
        <f>SUMIF('IKARIA TECHO'!B:B,'HORAS MANO DE OBRA'!B107,'IKARIA TECHO'!F:F)</f>
        <v/>
      </c>
    </row>
    <row r="108" hidden="1">
      <c r="A108" t="n">
        <v>3</v>
      </c>
      <c r="B108" s="586" t="inlineStr">
        <is>
          <t>08-01-05</t>
        </is>
      </c>
      <c r="C108" s="129" t="inlineStr">
        <is>
          <t>ENCHAPE DE GRADAS</t>
        </is>
      </c>
      <c r="D108" s="199">
        <f>SUMIF('IKARIA TECHO'!B:B,'HORAS MANO DE OBRA'!B108,'IKARIA TECHO'!F:F)</f>
        <v/>
      </c>
    </row>
    <row r="109" hidden="1">
      <c r="A109" t="n">
        <v>3</v>
      </c>
      <c r="B109" s="586" t="inlineStr">
        <is>
          <t>08-01-06</t>
        </is>
      </c>
      <c r="C109" s="129" t="inlineStr">
        <is>
          <t>BOCEL GRADAS</t>
        </is>
      </c>
      <c r="D109" s="199">
        <f>SUMIF('IKARIA TECHO'!B:B,'HORAS MANO DE OBRA'!B109,'IKARIA TECHO'!F:F)</f>
        <v/>
      </c>
    </row>
    <row r="110" hidden="1">
      <c r="A110" t="n">
        <v>1</v>
      </c>
      <c r="B110" s="372" t="inlineStr">
        <is>
          <t>09</t>
        </is>
      </c>
      <c r="C110" s="373" t="inlineStr">
        <is>
          <t>MUEBLES Y PUERTAS</t>
        </is>
      </c>
      <c r="D110" s="373" t="n"/>
    </row>
    <row r="111">
      <c r="A111" t="n">
        <v>2</v>
      </c>
      <c r="B111" s="586" t="inlineStr">
        <is>
          <t>09-01</t>
        </is>
      </c>
      <c r="C111" s="429" t="inlineStr">
        <is>
          <t>MUEBLES</t>
        </is>
      </c>
      <c r="D111" s="199">
        <f>SUMIF('IKARIA TECHO'!B:B,'HORAS MANO DE OBRA'!B111,'IKARIA TECHO'!F:F)</f>
        <v/>
      </c>
    </row>
    <row r="112" hidden="1">
      <c r="A112" t="n">
        <v>3</v>
      </c>
      <c r="B112" s="586" t="inlineStr">
        <is>
          <t>09-01-01</t>
        </is>
      </c>
      <c r="C112" s="129" t="inlineStr">
        <is>
          <t>MUEBLE DE COCINA Y CLOSET</t>
        </is>
      </c>
      <c r="D112" s="199">
        <f>SUMIF('IKARIA TECHO'!B:B,'HORAS MANO DE OBRA'!B112,'IKARIA TECHO'!F:F)</f>
        <v/>
      </c>
    </row>
    <row r="113" hidden="1">
      <c r="A113" t="n">
        <v>3</v>
      </c>
      <c r="B113" s="586" t="inlineStr">
        <is>
          <t>09-01-02</t>
        </is>
      </c>
      <c r="C113" s="129" t="inlineStr">
        <is>
          <t>SOBRE DE GRANITO</t>
        </is>
      </c>
      <c r="D113" s="199">
        <f>SUMIF('IKARIA TECHO'!B:B,'HORAS MANO DE OBRA'!B113,'IKARIA TECHO'!F:F)</f>
        <v/>
      </c>
    </row>
    <row r="114">
      <c r="A114" t="n">
        <v>2</v>
      </c>
      <c r="B114" s="586" t="inlineStr">
        <is>
          <t>09-02</t>
        </is>
      </c>
      <c r="C114" s="429" t="inlineStr">
        <is>
          <t>PUERTAS Y RODAPIE</t>
        </is>
      </c>
      <c r="D114" s="199">
        <f>SUMIF('IKARIA TECHO'!B:B,'HORAS MANO DE OBRA'!B114,'IKARIA TECHO'!F:F)</f>
        <v/>
      </c>
    </row>
    <row r="115" hidden="1">
      <c r="A115" t="n">
        <v>3</v>
      </c>
      <c r="B115" s="586" t="inlineStr">
        <is>
          <t>09-02-01</t>
        </is>
      </c>
      <c r="C115" s="129" t="inlineStr">
        <is>
          <t>PUERTAS Y RODAPIE</t>
        </is>
      </c>
      <c r="D115" s="199">
        <f>SUMIF('IKARIA TECHO'!B:B,'HORAS MANO DE OBRA'!B115,'IKARIA TECHO'!F:F)</f>
        <v/>
      </c>
    </row>
    <row r="116" hidden="1">
      <c r="A116" t="n">
        <v>1</v>
      </c>
      <c r="B116" s="372" t="inlineStr">
        <is>
          <t>10</t>
        </is>
      </c>
      <c r="C116" s="373" t="inlineStr">
        <is>
          <t>OBRAS ADICIONALES</t>
        </is>
      </c>
      <c r="D116" s="373" t="n"/>
    </row>
    <row r="117">
      <c r="A117" t="n">
        <v>2</v>
      </c>
      <c r="B117" s="307" t="inlineStr">
        <is>
          <t>10-01</t>
        </is>
      </c>
      <c r="C117" s="308" t="inlineStr">
        <is>
          <t>ZACATE</t>
        </is>
      </c>
      <c r="D117" s="308" t="n"/>
    </row>
    <row r="118" hidden="1">
      <c r="A118" t="n">
        <v>3</v>
      </c>
      <c r="B118" s="586" t="inlineStr">
        <is>
          <t>10-01-01</t>
        </is>
      </c>
      <c r="C118" s="129" t="inlineStr">
        <is>
          <t>RELLENO PATIO</t>
        </is>
      </c>
      <c r="D118" s="199">
        <f>SUMIF('IKARIA TECHO'!B:B,'HORAS MANO DE OBRA'!B118,'IKARIA TECHO'!F:F)</f>
        <v/>
      </c>
    </row>
    <row r="119" hidden="1">
      <c r="A119" t="n">
        <v>3</v>
      </c>
      <c r="B119" s="586" t="inlineStr">
        <is>
          <t>10-01-02</t>
        </is>
      </c>
      <c r="C119" s="129" t="inlineStr">
        <is>
          <t>COLOCACION ZACATE</t>
        </is>
      </c>
      <c r="D119" s="199">
        <f>SUMIF('IKARIA TECHO'!B:B,'HORAS MANO DE OBRA'!B119,'IKARIA TECHO'!F:F)</f>
        <v/>
      </c>
    </row>
    <row r="120">
      <c r="A120" t="n">
        <v>2</v>
      </c>
      <c r="B120" s="307" t="inlineStr">
        <is>
          <t>10-02</t>
        </is>
      </c>
      <c r="C120" s="308" t="inlineStr">
        <is>
          <t>TAPIA PREFABRICADA</t>
        </is>
      </c>
      <c r="D120" s="308" t="n"/>
    </row>
    <row r="121" hidden="1">
      <c r="A121" t="n">
        <v>3</v>
      </c>
      <c r="B121" s="586" t="inlineStr">
        <is>
          <t>10-02-01</t>
        </is>
      </c>
      <c r="C121" s="129" t="inlineStr">
        <is>
          <t>TAPIA</t>
        </is>
      </c>
      <c r="D121" s="199">
        <f>SUMIF('IKARIA TECHO'!B:B,'HORAS MANO DE OBRA'!B121,'IKARIA TECHO'!F:F)</f>
        <v/>
      </c>
    </row>
    <row r="122" hidden="1">
      <c r="A122" t="n">
        <v>3</v>
      </c>
      <c r="B122" s="586" t="inlineStr">
        <is>
          <t>10-02-02</t>
        </is>
      </c>
      <c r="C122" s="129" t="inlineStr">
        <is>
          <t>PERLIN DE TAPIA</t>
        </is>
      </c>
      <c r="D122" s="199">
        <f>SUMIF('IKARIA TECHO'!B:B,'HORAS MANO DE OBRA'!B122,'IKARIA TECHO'!F:F)</f>
        <v/>
      </c>
    </row>
    <row r="123">
      <c r="A123" t="n">
        <v>2</v>
      </c>
      <c r="B123" s="307" t="inlineStr">
        <is>
          <t>10-03</t>
        </is>
      </c>
      <c r="C123" s="308" t="inlineStr">
        <is>
          <t>ACERA</t>
        </is>
      </c>
      <c r="D123" s="308" t="n"/>
    </row>
    <row r="124" hidden="1">
      <c r="A124" t="n">
        <v>3</v>
      </c>
      <c r="B124" s="586" t="inlineStr">
        <is>
          <t>10-03-01</t>
        </is>
      </c>
      <c r="C124" s="129" t="inlineStr">
        <is>
          <t>RAMPA DE ACCESO</t>
        </is>
      </c>
      <c r="D124" s="199">
        <f>SUMIF('IKARIA TECHO'!B:B,'HORAS MANO DE OBRA'!B124,'IKARIA TECHO'!F:F)</f>
        <v/>
      </c>
    </row>
    <row r="125" hidden="1">
      <c r="A125" t="n">
        <v>3</v>
      </c>
      <c r="B125" s="586" t="inlineStr">
        <is>
          <t>10-03-02</t>
        </is>
      </c>
      <c r="C125" s="129" t="inlineStr">
        <is>
          <t>ACERA</t>
        </is>
      </c>
      <c r="D125" s="199">
        <f>SUMIF('IKARIA TECHO'!B:B,'HORAS MANO DE OBRA'!B125,'IKARIA TECHO'!F:F)</f>
        <v/>
      </c>
    </row>
    <row r="126" hidden="1">
      <c r="A126" t="n">
        <v>1</v>
      </c>
      <c r="B126" s="372" t="inlineStr">
        <is>
          <t>11</t>
        </is>
      </c>
      <c r="C126" s="373" t="inlineStr">
        <is>
          <t>ACABADOS</t>
        </is>
      </c>
      <c r="D126" s="373" t="n"/>
    </row>
    <row r="127">
      <c r="A127" t="n">
        <v>2</v>
      </c>
      <c r="B127" s="307" t="inlineStr">
        <is>
          <t>11-01</t>
        </is>
      </c>
      <c r="C127" s="308" t="inlineStr">
        <is>
          <t>PINTURA</t>
        </is>
      </c>
      <c r="D127" s="308" t="n"/>
    </row>
    <row r="128" hidden="1">
      <c r="A128" t="n">
        <v>3</v>
      </c>
      <c r="B128" s="586" t="inlineStr">
        <is>
          <t>11-01-01</t>
        </is>
      </c>
      <c r="C128" s="129" t="inlineStr">
        <is>
          <t>LIJADO DE CIELOS Y PAREDES</t>
        </is>
      </c>
      <c r="D128" s="199">
        <f>SUMIF('IKARIA TECHO'!B:B,'HORAS MANO DE OBRA'!B128,'IKARIA TECHO'!F:F)</f>
        <v/>
      </c>
    </row>
    <row r="129" hidden="1">
      <c r="A129" t="n">
        <v>3</v>
      </c>
      <c r="B129" s="586" t="inlineStr">
        <is>
          <t>11-01-02</t>
        </is>
      </c>
      <c r="C129" s="129" t="inlineStr">
        <is>
          <t>REPARACION DE GRIETAS</t>
        </is>
      </c>
      <c r="D129" s="199">
        <f>SUMIF('IKARIA TECHO'!B:B,'HORAS MANO DE OBRA'!B129,'IKARIA TECHO'!F:F)</f>
        <v/>
      </c>
    </row>
    <row r="130" hidden="1">
      <c r="A130" t="n">
        <v>3</v>
      </c>
      <c r="B130" s="586" t="inlineStr">
        <is>
          <t>11-01-03</t>
        </is>
      </c>
      <c r="C130" s="129" t="inlineStr">
        <is>
          <t>ALISTAR PARA PINTAR CASA</t>
        </is>
      </c>
      <c r="D130" s="199">
        <f>SUMIF('IKARIA TECHO'!B:B,'HORAS MANO DE OBRA'!B130,'IKARIA TECHO'!F:F)</f>
        <v/>
      </c>
    </row>
    <row r="131" hidden="1">
      <c r="A131" t="n">
        <v>3</v>
      </c>
      <c r="B131" s="586" t="inlineStr">
        <is>
          <t>11-01-04</t>
        </is>
      </c>
      <c r="C131" s="129" t="inlineStr">
        <is>
          <t>PRIMER MANO DE PINTURA</t>
        </is>
      </c>
      <c r="D131" s="199">
        <f>SUMIF('IKARIA TECHO'!B:B,'HORAS MANO DE OBRA'!B131,'IKARIA TECHO'!F:F)</f>
        <v/>
      </c>
    </row>
    <row r="132" hidden="1">
      <c r="A132" t="n">
        <v>3</v>
      </c>
      <c r="B132" s="586" t="inlineStr">
        <is>
          <t>11-01-05</t>
        </is>
      </c>
      <c r="C132" s="129" t="inlineStr">
        <is>
          <t>MANO FINAL PINTURA</t>
        </is>
      </c>
      <c r="D132" s="199">
        <f>SUMIF('IKARIA TECHO'!B:B,'HORAS MANO DE OBRA'!B132,'IKARIA TECHO'!F:F)</f>
        <v/>
      </c>
    </row>
    <row r="133" hidden="1">
      <c r="A133" t="n">
        <v>3</v>
      </c>
      <c r="B133" s="586" t="inlineStr">
        <is>
          <t>11-01-06</t>
        </is>
      </c>
      <c r="C133" s="129" t="inlineStr">
        <is>
          <t>PINTURA EXTERNA TAPIA</t>
        </is>
      </c>
      <c r="D133" s="199">
        <f>SUMIF('IKARIA TECHO'!B:B,'HORAS MANO DE OBRA'!B133,'IKARIA TECHO'!F:F)</f>
        <v/>
      </c>
    </row>
    <row r="134">
      <c r="A134" t="n">
        <v>2</v>
      </c>
      <c r="B134" s="307" t="inlineStr">
        <is>
          <t>11-02</t>
        </is>
      </c>
      <c r="C134" s="308" t="inlineStr">
        <is>
          <t>LOSA SANITARIA Y GRIFERIA</t>
        </is>
      </c>
      <c r="D134" s="308" t="n"/>
    </row>
    <row r="135" hidden="1">
      <c r="A135" t="n">
        <v>3</v>
      </c>
      <c r="B135" s="586" t="inlineStr">
        <is>
          <t>11-02-01</t>
        </is>
      </c>
      <c r="C135" s="129" t="inlineStr">
        <is>
          <t>LOSA SANITARIA</t>
        </is>
      </c>
      <c r="D135" s="199">
        <f>SUMIF('IKARIA TECHO'!B:B,'HORAS MANO DE OBRA'!B135,'IKARIA TECHO'!F:F)</f>
        <v/>
      </c>
    </row>
    <row r="136" hidden="1">
      <c r="A136" t="n">
        <v>3</v>
      </c>
      <c r="B136" s="586" t="inlineStr">
        <is>
          <t>11-02-02</t>
        </is>
      </c>
      <c r="C136" s="129" t="inlineStr">
        <is>
          <t>COLOCACION DE GRIFERIA</t>
        </is>
      </c>
      <c r="D136" s="199">
        <f>SUMIF('IKARIA TECHO'!B:B,'HORAS MANO DE OBRA'!B136,'IKARIA TECHO'!F:F)</f>
        <v/>
      </c>
    </row>
    <row r="137">
      <c r="A137" t="n">
        <v>2</v>
      </c>
      <c r="B137" s="307" t="inlineStr">
        <is>
          <t>11-03</t>
        </is>
      </c>
      <c r="C137" s="308" t="inlineStr">
        <is>
          <t>ACABADO DE AZOTEA</t>
        </is>
      </c>
      <c r="D137" s="308" t="n"/>
    </row>
    <row r="138" hidden="1">
      <c r="A138" t="n">
        <v>3</v>
      </c>
      <c r="B138" s="586" t="inlineStr">
        <is>
          <t>11-03-01</t>
        </is>
      </c>
      <c r="C138" s="129" t="inlineStr">
        <is>
          <t>OCHADO PRETIL</t>
        </is>
      </c>
      <c r="D138" s="199">
        <f>SUMIF('IKARIA TECHO'!B:B,'HORAS MANO DE OBRA'!B138,'IKARIA TECHO'!F:F)</f>
        <v/>
      </c>
    </row>
    <row r="139" hidden="1">
      <c r="A139" t="n">
        <v>3</v>
      </c>
      <c r="B139" s="586" t="inlineStr">
        <is>
          <t>11-03-02</t>
        </is>
      </c>
      <c r="C139" s="129" t="inlineStr">
        <is>
          <t>PREPARACION AZOTEA</t>
        </is>
      </c>
      <c r="D139" s="199">
        <f>SUMIF('IKARIA TECHO'!B:B,'HORAS MANO DE OBRA'!B139,'IKARIA TECHO'!F:F)</f>
        <v/>
      </c>
    </row>
    <row r="140" hidden="1">
      <c r="A140" t="n">
        <v>3</v>
      </c>
      <c r="B140" s="586" t="inlineStr">
        <is>
          <t>11-03-03</t>
        </is>
      </c>
      <c r="C140" s="129" t="inlineStr">
        <is>
          <t>IMPERMEABILIZACION AZOTEA</t>
        </is>
      </c>
      <c r="D140" s="199">
        <f>SUMIF('IKARIA TECHO'!B:B,'HORAS MANO DE OBRA'!B140,'IKARIA TECHO'!F:F)</f>
        <v/>
      </c>
    </row>
    <row r="141">
      <c r="A141" t="n">
        <v>2</v>
      </c>
      <c r="B141" s="307" t="inlineStr">
        <is>
          <t>11-04</t>
        </is>
      </c>
      <c r="C141" s="308" t="inlineStr">
        <is>
          <t>PONCHEO FINAL</t>
        </is>
      </c>
      <c r="D141" s="308" t="n"/>
    </row>
    <row r="142" hidden="1">
      <c r="A142" t="n">
        <v>3</v>
      </c>
      <c r="B142" s="586" t="inlineStr">
        <is>
          <t>11-04-01</t>
        </is>
      </c>
      <c r="C142" s="129" t="inlineStr">
        <is>
          <t xml:space="preserve">PONCHEO </t>
        </is>
      </c>
      <c r="D142" s="199">
        <f>SUMIF('IKARIA TECHO'!B:B,'HORAS MANO DE OBRA'!B142,'IKARIA TECHO'!F:F)</f>
        <v/>
      </c>
    </row>
    <row r="143" hidden="1">
      <c r="A143" t="n">
        <v>3</v>
      </c>
      <c r="B143" s="586" t="inlineStr">
        <is>
          <t>11-04-02</t>
        </is>
      </c>
      <c r="C143" s="129" t="inlineStr">
        <is>
          <t>LIMPIEZA PARA ENTREGA</t>
        </is>
      </c>
      <c r="D143" s="199">
        <f>SUMIF('IKARIA TECHO'!B:B,'HORAS MANO DE OBRA'!B143,'IKARIA TECHO'!F:F)</f>
        <v/>
      </c>
    </row>
    <row r="144" hidden="1">
      <c r="A144" t="n">
        <v>3</v>
      </c>
      <c r="B144" s="586" t="inlineStr">
        <is>
          <t>11-04-03</t>
        </is>
      </c>
      <c r="C144" s="129" t="inlineStr">
        <is>
          <t>LAVADO DE COCHERA, TERRAZA Y SELLADOR</t>
        </is>
      </c>
      <c r="D144" s="199">
        <f>SUMIF('IKARIA TECHO'!B:B,'HORAS MANO DE OBRA'!B144,'IKARIA TECHO'!F:F)</f>
        <v/>
      </c>
    </row>
    <row r="145" hidden="1">
      <c r="A145" t="n">
        <v>1</v>
      </c>
      <c r="B145" s="372" t="inlineStr">
        <is>
          <t>12</t>
        </is>
      </c>
      <c r="C145" s="373" t="inlineStr">
        <is>
          <t>VENTANERÍA</t>
        </is>
      </c>
      <c r="D145" s="373" t="n"/>
    </row>
    <row r="146">
      <c r="A146" t="n">
        <v>2</v>
      </c>
      <c r="B146" s="307" t="inlineStr">
        <is>
          <t>12-01</t>
        </is>
      </c>
      <c r="C146" s="308" t="inlineStr">
        <is>
          <t>VENTANERÍA</t>
        </is>
      </c>
      <c r="D146" s="308" t="n"/>
    </row>
    <row r="147" hidden="1">
      <c r="A147" t="n">
        <v>3</v>
      </c>
      <c r="B147" s="586" t="inlineStr">
        <is>
          <t>12-01-01</t>
        </is>
      </c>
      <c r="C147" s="129" t="inlineStr">
        <is>
          <t>VENTANERÍA</t>
        </is>
      </c>
      <c r="D147" s="199">
        <f>SUMIF('IKARIA TECHO'!B:B,'HORAS MANO DE OBRA'!B147,'IKARIA TECHO'!F:F)</f>
        <v/>
      </c>
    </row>
    <row r="148" hidden="1">
      <c r="A148" t="n">
        <v>1</v>
      </c>
      <c r="B148" s="372" t="inlineStr">
        <is>
          <t>13</t>
        </is>
      </c>
      <c r="C148" s="373" t="inlineStr">
        <is>
          <t>ELECTRICO</t>
        </is>
      </c>
      <c r="D148" s="373" t="n"/>
    </row>
    <row r="149">
      <c r="A149" t="n">
        <v>2</v>
      </c>
      <c r="B149" s="307" t="inlineStr">
        <is>
          <t>13-01</t>
        </is>
      </c>
      <c r="C149" s="308" t="inlineStr">
        <is>
          <t>ACOMETIDA</t>
        </is>
      </c>
      <c r="D149" s="308" t="n"/>
    </row>
    <row r="150" hidden="1">
      <c r="A150" t="n">
        <v>3</v>
      </c>
      <c r="B150" s="586" t="inlineStr">
        <is>
          <t>13-01-01</t>
        </is>
      </c>
      <c r="C150" s="129" t="inlineStr">
        <is>
          <t>ACOMETIDA</t>
        </is>
      </c>
      <c r="D150" s="199">
        <f>SUMIF('IKARIA TECHO'!B:B,'HORAS MANO DE OBRA'!B150,'IKARIA TECHO'!F:F)</f>
        <v/>
      </c>
    </row>
    <row r="151">
      <c r="A151" t="n">
        <v>2</v>
      </c>
      <c r="B151" s="307" t="inlineStr">
        <is>
          <t>13-02</t>
        </is>
      </c>
      <c r="C151" s="308" t="inlineStr">
        <is>
          <t>ELECTRICO LOSA</t>
        </is>
      </c>
      <c r="D151" s="308" t="n"/>
    </row>
    <row r="152" hidden="1">
      <c r="A152" t="n">
        <v>3</v>
      </c>
      <c r="B152" s="586" t="inlineStr">
        <is>
          <t>13-02-01</t>
        </is>
      </c>
      <c r="C152" s="129" t="inlineStr">
        <is>
          <t>TUBERIA ELECTRICA LOSA</t>
        </is>
      </c>
      <c r="D152" s="199">
        <f>SUMIF('IKARIA TECHO'!B:B,'HORAS MANO DE OBRA'!B152,'IKARIA TECHO'!F:F)</f>
        <v/>
      </c>
    </row>
    <row r="153">
      <c r="A153" t="n">
        <v>2</v>
      </c>
      <c r="B153" s="307" t="inlineStr">
        <is>
          <t>13-03</t>
        </is>
      </c>
      <c r="C153" s="308" t="inlineStr">
        <is>
          <t>ELECTRICO MUROS</t>
        </is>
      </c>
      <c r="D153" s="308" t="n"/>
    </row>
    <row r="154" hidden="1">
      <c r="A154" t="n">
        <v>3</v>
      </c>
      <c r="B154" s="586" t="inlineStr">
        <is>
          <t>13-03-01</t>
        </is>
      </c>
      <c r="C154" s="129" t="inlineStr">
        <is>
          <t>TUBERIA ELECTRICA MUROS N1</t>
        </is>
      </c>
      <c r="D154" s="199">
        <f>SUMIF('IKARIA TECHO'!B:B,'HORAS MANO DE OBRA'!B154,'IKARIA TECHO'!F:F)</f>
        <v/>
      </c>
    </row>
    <row r="155">
      <c r="A155" t="n">
        <v>2</v>
      </c>
      <c r="B155" s="307" t="inlineStr">
        <is>
          <t>13-04</t>
        </is>
      </c>
      <c r="C155" s="308" t="inlineStr">
        <is>
          <t>BASE DE MEDIDOR</t>
        </is>
      </c>
      <c r="D155" s="308" t="n"/>
    </row>
    <row r="156" hidden="1">
      <c r="A156" t="n">
        <v>3</v>
      </c>
      <c r="B156" s="586" t="inlineStr">
        <is>
          <t>13-04-01</t>
        </is>
      </c>
      <c r="C156" s="129" t="inlineStr">
        <is>
          <t>BASE DE MEDIDOR</t>
        </is>
      </c>
      <c r="D156" s="199">
        <f>SUMIF('IKARIA TECHO'!B:B,'HORAS MANO DE OBRA'!B156,'IKARIA TECHO'!F:F)</f>
        <v/>
      </c>
    </row>
    <row r="157" hidden="1">
      <c r="A157" t="n">
        <v>3</v>
      </c>
      <c r="B157" s="586" t="inlineStr">
        <is>
          <t>13-04-02</t>
        </is>
      </c>
      <c r="C157" s="129" t="inlineStr">
        <is>
          <t>INSTALACION ELECTRICA CIELOS Y CENTRO DE CARGA</t>
        </is>
      </c>
      <c r="D157" s="199">
        <f>SUMIF('IKARIA TECHO'!B:B,'HORAS MANO DE OBRA'!B157,'IKARIA TECHO'!F:F)</f>
        <v/>
      </c>
    </row>
    <row r="158">
      <c r="A158" t="n">
        <v>2</v>
      </c>
      <c r="B158" s="307" t="inlineStr">
        <is>
          <t>13-05</t>
        </is>
      </c>
      <c r="C158" s="308" t="inlineStr">
        <is>
          <t>ELECTRICO ILUMINACIÓN</t>
        </is>
      </c>
      <c r="D158" s="308" t="n"/>
    </row>
    <row r="159" hidden="1">
      <c r="A159" t="n">
        <v>3</v>
      </c>
      <c r="B159" s="586" t="inlineStr">
        <is>
          <t>13-05-01</t>
        </is>
      </c>
      <c r="C159" s="129" t="inlineStr">
        <is>
          <t>INSTALACIÓN DE PLAFONES</t>
        </is>
      </c>
      <c r="D159" s="199">
        <f>SUMIF('IKARIA TECHO'!B:B,'HORAS MANO DE OBRA'!B159,'IKARIA TECHO'!F:F)</f>
        <v/>
      </c>
    </row>
    <row r="160">
      <c r="A160" t="n">
        <v>2</v>
      </c>
      <c r="B160" s="307" t="inlineStr">
        <is>
          <t>13-06</t>
        </is>
      </c>
      <c r="C160" s="308" t="inlineStr">
        <is>
          <t>TABLERO ELECTRICO</t>
        </is>
      </c>
      <c r="D160" s="308" t="n"/>
    </row>
    <row r="161" hidden="1">
      <c r="A161" t="n">
        <v>3</v>
      </c>
      <c r="B161" s="586" t="inlineStr">
        <is>
          <t>13-06-01</t>
        </is>
      </c>
      <c r="C161" s="129" t="inlineStr">
        <is>
          <t>ARMADO CAJA DE BREAKER</t>
        </is>
      </c>
      <c r="D161" s="199">
        <f>SUMIF('IKARIA TECHO'!B:B,'HORAS MANO DE OBRA'!B161,'IKARIA TECHO'!F:F)</f>
        <v/>
      </c>
    </row>
    <row r="162">
      <c r="A162" t="n">
        <v>2</v>
      </c>
      <c r="B162" s="307" t="inlineStr">
        <is>
          <t>13-07</t>
        </is>
      </c>
      <c r="C162" s="308" t="inlineStr">
        <is>
          <t>CABLEADO ELECTRICO</t>
        </is>
      </c>
      <c r="D162" s="308" t="n"/>
    </row>
    <row r="163" hidden="1">
      <c r="A163" t="n">
        <v>3</v>
      </c>
      <c r="B163" s="586" t="inlineStr">
        <is>
          <t>13-07-01</t>
        </is>
      </c>
      <c r="C163" s="129" t="inlineStr">
        <is>
          <t>CABLEADO MUROS Y ARMADO CENTRO DE CARGA</t>
        </is>
      </c>
      <c r="D163" s="199">
        <f>SUMIF('IKARIA TECHO'!B:B,'HORAS MANO DE OBRA'!B163,'IKARIA TECHO'!F:F)</f>
        <v/>
      </c>
    </row>
    <row r="164">
      <c r="A164" t="n">
        <v>2</v>
      </c>
      <c r="B164" s="307" t="inlineStr">
        <is>
          <t>13-08</t>
        </is>
      </c>
      <c r="C164" s="308" t="inlineStr">
        <is>
          <t>PLAQUERIA</t>
        </is>
      </c>
      <c r="D164" s="308" t="n"/>
    </row>
    <row r="165" hidden="1">
      <c r="A165" t="n">
        <v>3</v>
      </c>
      <c r="B165" s="586" t="inlineStr">
        <is>
          <t>13-08-01</t>
        </is>
      </c>
      <c r="C165" s="129" t="inlineStr">
        <is>
          <t>PLAQUERIA Y LUMINARIAS</t>
        </is>
      </c>
      <c r="D165" s="199">
        <f>SUMIF('IKARIA TECHO'!B:B,'HORAS MANO DE OBRA'!B165,'IKARIA TECHO'!F:F)</f>
        <v/>
      </c>
    </row>
    <row r="166">
      <c r="A166" t="n">
        <v>2</v>
      </c>
      <c r="B166" s="307" t="inlineStr">
        <is>
          <t>13-09</t>
        </is>
      </c>
      <c r="C166" s="308" t="inlineStr">
        <is>
          <t>ACABADOS FINALES Y BREAKERS</t>
        </is>
      </c>
      <c r="D166" s="308" t="n"/>
    </row>
    <row r="167" hidden="1">
      <c r="A167" t="n">
        <v>3</v>
      </c>
      <c r="B167" s="586" t="inlineStr">
        <is>
          <t>13-09-01</t>
        </is>
      </c>
      <c r="C167" s="129" t="inlineStr">
        <is>
          <t>COLOCACIÓN DE BREAKERS</t>
        </is>
      </c>
      <c r="D167" s="199">
        <f>SUMIF('IKARIA TECHO'!B:B,'HORAS MANO DE OBRA'!B167,'IKARIA TECHO'!F:F)</f>
        <v/>
      </c>
    </row>
    <row r="168" hidden="1">
      <c r="A168" t="n">
        <v>3</v>
      </c>
      <c r="B168" s="586" t="inlineStr">
        <is>
          <t>13-09-02</t>
        </is>
      </c>
      <c r="C168" s="129" t="inlineStr">
        <is>
          <t>COLOCACIÓN DEBOMBILLOS Y AJUSTES</t>
        </is>
      </c>
      <c r="D168" s="199">
        <f>SUMIF('IKARIA TECHO'!B:B,'HORAS MANO DE OBRA'!B168,'IKARIA TECHO'!F:F)</f>
        <v/>
      </c>
    </row>
    <row r="169" hidden="1">
      <c r="A169" t="n">
        <v>1</v>
      </c>
      <c r="B169" s="372" t="inlineStr">
        <is>
          <t>14</t>
        </is>
      </c>
      <c r="C169" s="373" t="inlineStr">
        <is>
          <t>MECANICO</t>
        </is>
      </c>
      <c r="D169" s="373" t="n"/>
    </row>
    <row r="170">
      <c r="A170" t="n">
        <v>2</v>
      </c>
      <c r="B170" s="307" t="inlineStr">
        <is>
          <t>14-03</t>
        </is>
      </c>
      <c r="C170" s="308" t="inlineStr">
        <is>
          <t xml:space="preserve">CAJAS Y TUBERIAS MECANICAS </t>
        </is>
      </c>
      <c r="D170" s="308" t="n"/>
    </row>
    <row r="171" hidden="1">
      <c r="A171" t="n">
        <v>3</v>
      </c>
      <c r="B171" s="586" t="inlineStr">
        <is>
          <t>14-03-01</t>
        </is>
      </c>
      <c r="C171" s="129" t="inlineStr">
        <is>
          <t>INSTALACION MECANICA EXTERIOR Y CAJAS REGISTROS</t>
        </is>
      </c>
      <c r="D171" s="199">
        <f>SUMIF('IKARIA TECHO'!B:B,'HORAS MANO DE OBRA'!B171,'IKARIA TECHO'!F:F)</f>
        <v/>
      </c>
    </row>
    <row r="172" hidden="1">
      <c r="A172" t="n">
        <v>3</v>
      </c>
      <c r="B172" s="586" t="inlineStr">
        <is>
          <t>14-03-02</t>
        </is>
      </c>
      <c r="C172" s="129" t="inlineStr">
        <is>
          <t>TAPAS METALICAS</t>
        </is>
      </c>
      <c r="D172" s="199">
        <f>SUMIF('IKARIA TECHO'!B:B,'HORAS MANO DE OBRA'!B172,'IKARIA TECHO'!F:F)</f>
        <v/>
      </c>
    </row>
    <row r="173" hidden="1">
      <c r="A173" t="n">
        <v>3</v>
      </c>
      <c r="B173" s="586" t="inlineStr">
        <is>
          <t>14-03-03</t>
        </is>
      </c>
      <c r="C173" s="129" t="inlineStr">
        <is>
          <t>CAJA LAVADORA</t>
        </is>
      </c>
      <c r="D173" s="199">
        <f>SUMIF('IKARIA TECHO'!B:B,'HORAS MANO DE OBRA'!B173,'IKARIA TECHO'!F:F)</f>
        <v/>
      </c>
    </row>
    <row r="174">
      <c r="A174" t="n">
        <v>2</v>
      </c>
      <c r="B174" s="307" t="inlineStr">
        <is>
          <t>14-04</t>
        </is>
      </c>
      <c r="C174" s="308" t="inlineStr">
        <is>
          <t xml:space="preserve">BAJANTES </t>
        </is>
      </c>
      <c r="D174" s="308" t="n"/>
    </row>
    <row r="175" hidden="1">
      <c r="A175" t="n">
        <v>3</v>
      </c>
      <c r="B175" s="586" t="inlineStr">
        <is>
          <t>14-04-01</t>
        </is>
      </c>
      <c r="C175" s="129" t="inlineStr">
        <is>
          <t>BAJANTES</t>
        </is>
      </c>
      <c r="D175" s="199">
        <f>SUMIF('IKARIA TECHO'!B:B,'HORAS MANO DE OBRA'!B175,'IKARIA TECHO'!F:F)</f>
        <v/>
      </c>
    </row>
    <row r="176">
      <c r="A176" t="n">
        <v>2</v>
      </c>
      <c r="B176" s="307" t="inlineStr">
        <is>
          <t>14-05</t>
        </is>
      </c>
      <c r="C176" s="308" t="inlineStr">
        <is>
          <t>ACABADOS MECANICOS</t>
        </is>
      </c>
      <c r="D176" s="308" t="n"/>
    </row>
    <row r="177" hidden="1">
      <c r="A177" t="n">
        <v>3</v>
      </c>
      <c r="B177" s="586" t="inlineStr">
        <is>
          <t>14-05-01</t>
        </is>
      </c>
      <c r="C177" s="129" t="inlineStr">
        <is>
          <t>MONTAJE DE MONOMANDOS</t>
        </is>
      </c>
      <c r="D177" s="199">
        <f>SUMIF('IKARIA TECHO'!B:B,'HORAS MANO DE OBRA'!B177,'IKARIA TECHO'!F:F)</f>
        <v/>
      </c>
    </row>
    <row r="178" hidden="1">
      <c r="A178" t="n">
        <v>3</v>
      </c>
      <c r="B178" s="586" t="inlineStr">
        <is>
          <t>14-05-02</t>
        </is>
      </c>
      <c r="C178" s="129" t="inlineStr">
        <is>
          <t>COLOCACION DE GRIFERIA</t>
        </is>
      </c>
      <c r="D178" s="199">
        <f>SUMIF('IKARIA TECHO'!B:B,'HORAS MANO DE OBRA'!B178,'IKARIA TECHO'!F:F)</f>
        <v/>
      </c>
    </row>
    <row r="179" hidden="1">
      <c r="A179" t="n">
        <v>3</v>
      </c>
      <c r="B179" s="586" t="inlineStr">
        <is>
          <t>14-05-03</t>
        </is>
      </c>
      <c r="C179" s="129" t="inlineStr">
        <is>
          <t>COLOCACION DE LLAVES DE CHORRO</t>
        </is>
      </c>
      <c r="D179" s="199">
        <f>SUMIF('IKARIA TECHO'!B:B,'HORAS MANO DE OBRA'!B179,'IKARIA TECHO'!F:F)</f>
        <v/>
      </c>
    </row>
    <row r="180" hidden="1">
      <c r="A180" t="n">
        <v>3</v>
      </c>
      <c r="B180" s="586" t="inlineStr">
        <is>
          <t>14-05-04</t>
        </is>
      </c>
      <c r="C180" s="129" t="inlineStr">
        <is>
          <t>MEDIDOR AGUA</t>
        </is>
      </c>
      <c r="D180" s="199">
        <f>SUMIF('IKARIA TECHO'!B:B,'HORAS MANO DE OBRA'!B180,'IKARIA TECHO'!F:F)</f>
        <v/>
      </c>
    </row>
    <row r="181" hidden="1">
      <c r="A181" t="n">
        <v>3</v>
      </c>
      <c r="B181" s="586" t="inlineStr">
        <is>
          <t>14-05-05</t>
        </is>
      </c>
      <c r="C181" s="129" t="inlineStr">
        <is>
          <t>LLAVES DE CONTROL</t>
        </is>
      </c>
      <c r="D181" s="199">
        <f>SUMIF('IKARIA TECHO'!B:B,'HORAS MANO DE OBRA'!B181,'IKARIA TECHO'!F:F)</f>
        <v/>
      </c>
    </row>
    <row r="182" hidden="1">
      <c r="A182" t="n">
        <v>3</v>
      </c>
      <c r="B182" s="586" t="inlineStr">
        <is>
          <t>14-05-06</t>
        </is>
      </c>
      <c r="C182" s="129" t="inlineStr">
        <is>
          <t>INSTALACION DE PILA</t>
        </is>
      </c>
      <c r="D182" s="199">
        <f>SUMIF('IKARIA TECHO'!B:B,'HORAS MANO DE OBRA'!B182,'IKARIA TECHO'!F:F)</f>
        <v/>
      </c>
    </row>
    <row r="183" hidden="1">
      <c r="A183" t="n">
        <v>3</v>
      </c>
      <c r="B183" s="586" t="inlineStr">
        <is>
          <t>14-05-07</t>
        </is>
      </c>
      <c r="C183" s="129" t="inlineStr">
        <is>
          <t>INSTALACION MECANICA DUCTOS</t>
        </is>
      </c>
      <c r="D183" s="199">
        <f>SUMIF('IKARIA TECHO'!B:B,'HORAS MANO DE OBRA'!B183,'IKARIA TECHO'!F:F)</f>
        <v/>
      </c>
    </row>
    <row r="184" hidden="1">
      <c r="A184" t="n">
        <v>1</v>
      </c>
      <c r="B184" s="372" t="inlineStr">
        <is>
          <t>15</t>
        </is>
      </c>
      <c r="C184" s="373" t="inlineStr">
        <is>
          <t>ALQUILERES</t>
        </is>
      </c>
      <c r="D184" s="373" t="n"/>
    </row>
    <row r="185">
      <c r="A185" t="n">
        <v>2</v>
      </c>
      <c r="B185" s="307" t="inlineStr">
        <is>
          <t>15-01</t>
        </is>
      </c>
      <c r="C185" s="308" t="inlineStr">
        <is>
          <t>ALQUILER EQUIPO</t>
        </is>
      </c>
      <c r="D185" s="308" t="n"/>
    </row>
    <row r="186" hidden="1">
      <c r="A186" t="n">
        <v>3</v>
      </c>
      <c r="B186" s="586" t="inlineStr">
        <is>
          <t>15-01-01</t>
        </is>
      </c>
      <c r="C186" s="129" t="inlineStr">
        <is>
          <t>ALQUILER EQUIPO</t>
        </is>
      </c>
      <c r="D186" s="199">
        <f>SUMIF('IKARIA TECHO'!B:B,'HORAS MANO DE OBRA'!B186,'IKARIA TECHO'!F:F)</f>
        <v/>
      </c>
    </row>
    <row r="187" hidden="1">
      <c r="A187" t="n">
        <v>3</v>
      </c>
      <c r="B187" s="586" t="inlineStr">
        <is>
          <t>15-02-01</t>
        </is>
      </c>
      <c r="C187" s="129" t="inlineStr">
        <is>
          <t>ALQUILER FORMALETA</t>
        </is>
      </c>
      <c r="D187" s="199">
        <f>SUMIF('IKARIA TECHO'!B:B,'HORAS MANO DE OBRA'!B187,'IKARIA TECHO'!F:F)</f>
        <v/>
      </c>
    </row>
    <row r="188" hidden="1">
      <c r="A188" t="n">
        <v>1</v>
      </c>
      <c r="B188" s="372" t="inlineStr">
        <is>
          <t>16</t>
        </is>
      </c>
      <c r="C188" s="373" t="inlineStr">
        <is>
          <t xml:space="preserve">MANO DE OBRA </t>
        </is>
      </c>
      <c r="D188" s="373" t="n"/>
    </row>
    <row r="189" hidden="1">
      <c r="A189" t="n">
        <v>3</v>
      </c>
      <c r="B189" s="586" t="inlineStr">
        <is>
          <t>16-01-01</t>
        </is>
      </c>
      <c r="C189" s="359" t="inlineStr">
        <is>
          <t xml:space="preserve">MANO DE OBRA </t>
        </is>
      </c>
      <c r="D189" s="199">
        <f>SUMIF('IKARIA TECHO'!B:B,'HORAS MANO DE OBRA'!B189,'IKARIA TECHO'!F:F)</f>
        <v/>
      </c>
    </row>
    <row r="481">
      <c r="B481" s="88" t="n"/>
      <c r="C481" s="88" t="n"/>
    </row>
    <row r="482">
      <c r="B482" s="129" t="n"/>
    </row>
    <row r="483">
      <c r="B483" s="129" t="n"/>
    </row>
    <row r="484">
      <c r="B484" s="129" t="n"/>
    </row>
  </sheetData>
  <autoFilter ref="A1:D484">
    <filterColumn colId="0" hiddenButton="0" showButton="1">
      <filters blank="1">
        <filter val="2"/>
      </filters>
    </filterColumn>
  </autoFilter>
  <conditionalFormatting sqref="B1 B4 B6 B8 B10:B14 B17:B19 B21:B23 B25 B28:B30 B32:B34 B37:B44 B46:B47 B49:B54 B57:B58 B60:B61 B63 B65 B67:B69 B71:B74 B76 B78:B79 B82:B83 B85:B91 B94:B99 B101 B103:B109 B111:B115 B118:B119 B121:B122 B124:B125 B128:B133 B135:B136 B138:B140 B142:B144 B147 B150 B152 B154 B156:B157 B159 B161 B163 B165 B167:B168 B171:B173 B175 B177:B183 B186:B187 B189:B190 B485:B1048576">
    <cfRule type="duplicateValues" priority="1" dxfId="0"/>
  </conditionalFormatting>
  <dataValidations disablePrompts="1" count="1">
    <dataValidation sqref="C2" showDropDown="0" showInputMessage="1" showErrorMessage="1" allowBlank="1" errorTitle="Cost Code Level 1" error="When creating a new Cost Code Level 1, enter a value on a row and leave all of the other columns on that row blank as shown here. 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H293"/>
  <sheetViews>
    <sheetView topLeftCell="A270" workbookViewId="0">
      <selection activeCell="B7" sqref="B7"/>
    </sheetView>
  </sheetViews>
  <sheetFormatPr baseColWidth="8" defaultColWidth="11.43359375" defaultRowHeight="15"/>
  <cols>
    <col width="19.7734375" bestFit="1" customWidth="1" min="2" max="2"/>
    <col width="30.265625" bestFit="1" customWidth="1" min="3" max="3"/>
    <col width="65.64453125" bestFit="1" customWidth="1" min="4" max="4"/>
    <col width="17.21875" bestFit="1" customWidth="1" style="151" min="6" max="6"/>
    <col width="13.85546875" bestFit="1" customWidth="1" style="129" min="7" max="7"/>
    <col width="14.390625" bestFit="1" customWidth="1" min="8" max="8"/>
    <col width="13.44921875" bestFit="1" customWidth="1" min="9" max="9"/>
  </cols>
  <sheetData>
    <row r="1">
      <c r="B1" s="145" t="inlineStr">
        <is>
          <t>CODIGO ACUMATICA</t>
        </is>
      </c>
      <c r="C1" s="434" t="inlineStr">
        <is>
          <t xml:space="preserve">CODIGO </t>
        </is>
      </c>
      <c r="D1" s="429" t="inlineStr">
        <is>
          <t xml:space="preserve">DESCRIPCION </t>
        </is>
      </c>
      <c r="E1" s="581" t="inlineStr">
        <is>
          <t xml:space="preserve">CANTIDAD </t>
        </is>
      </c>
      <c r="F1" s="581" t="inlineStr">
        <is>
          <t xml:space="preserve">PRECIO UNITARIO </t>
        </is>
      </c>
      <c r="G1" s="429" t="inlineStr">
        <is>
          <t xml:space="preserve">PRECIO TOTAL </t>
        </is>
      </c>
      <c r="H1" s="429" t="inlineStr">
        <is>
          <t>% PORCENTAJE</t>
        </is>
      </c>
    </row>
    <row r="2">
      <c r="B2" s="199">
        <f>_xlfn.XLOOKUP(C2,'INSUMOS MAT '!B:B,'INSUMOS MAT '!C:C,"ERROR",0)</f>
        <v/>
      </c>
      <c r="C2" s="284" t="inlineStr">
        <is>
          <t>MAT03-0014</t>
        </is>
      </c>
      <c r="D2" s="88">
        <f>_xlfn.XLOOKUP(C2,'IKARIA TECHO'!D:D,'IKARIA TECHO'!E:E,"ERROR",0)</f>
        <v/>
      </c>
      <c r="E2" s="535">
        <f>SUMIF('IKARIA TECHO'!D:D,ANALISIS!C2,'IKARIA TECHO'!F:F)</f>
        <v/>
      </c>
      <c r="F2" s="735">
        <f>_xlfn.XLOOKUP(C2,'IKARIA TECHO'!D:D,'IKARIA TECHO'!H:H,"ERROR",0)</f>
        <v/>
      </c>
      <c r="G2" s="687">
        <f>E2*F2</f>
        <v/>
      </c>
      <c r="H2" s="538">
        <f>G2/$G$289</f>
        <v/>
      </c>
    </row>
    <row r="3">
      <c r="B3" s="199">
        <f>_xlfn.XLOOKUP(C3,'INSUMOS MAT '!B:B,'INSUMOS MAT '!C:C,"ERROR",0)</f>
        <v/>
      </c>
      <c r="C3" s="284" t="inlineStr">
        <is>
          <t>MAT08-0017</t>
        </is>
      </c>
      <c r="D3" s="129">
        <f>_xlfn.XLOOKUP(C3,'IKARIA TECHO'!D:D,'IKARIA TECHO'!E:E,"ERROR",0)</f>
        <v/>
      </c>
      <c r="E3" s="535">
        <f>SUMIF('IKARIA TECHO'!D:D,ANALISIS!C3,'IKARIA TECHO'!F:F)</f>
        <v/>
      </c>
      <c r="F3" s="735">
        <f>_xlfn.XLOOKUP(C3,'IKARIA TECHO'!D:D,'IKARIA TECHO'!H:H,"ERROR",0)</f>
        <v/>
      </c>
      <c r="G3" s="687">
        <f>E3*F3</f>
        <v/>
      </c>
      <c r="H3" s="538">
        <f>G3/$G$289</f>
        <v/>
      </c>
    </row>
    <row r="4">
      <c r="B4" s="199">
        <f>_xlfn.XLOOKUP(C4,'INSUMOS MAT '!B:B,'INSUMOS MAT '!C:C,"ERROR",0)</f>
        <v/>
      </c>
      <c r="C4" s="285" t="inlineStr">
        <is>
          <t>MAT08-0029</t>
        </is>
      </c>
      <c r="D4" s="129">
        <f>_xlfn.XLOOKUP(C4,'IKARIA TECHO'!D:D,'IKARIA TECHO'!E:E,"ERROR",0)</f>
        <v/>
      </c>
      <c r="E4" s="535">
        <f>SUMIF('IKARIA TECHO'!D:D,ANALISIS!C4,'IKARIA TECHO'!F:F)</f>
        <v/>
      </c>
      <c r="F4" s="735">
        <f>_xlfn.XLOOKUP(C4,'IKARIA TECHO'!D:D,'IKARIA TECHO'!H:H,"ERROR",0)</f>
        <v/>
      </c>
      <c r="G4" s="687">
        <f>E4*F4</f>
        <v/>
      </c>
      <c r="H4" s="538">
        <f>G4/$G$289</f>
        <v/>
      </c>
    </row>
    <row r="5">
      <c r="B5" s="199">
        <f>_xlfn.XLOOKUP(C5,'INSUMOS MAT '!B:B,'INSUMOS MAT '!C:C,"ERROR",0)</f>
        <v/>
      </c>
      <c r="C5" s="285" t="inlineStr">
        <is>
          <t>MAT08-0031</t>
        </is>
      </c>
      <c r="D5" s="129">
        <f>_xlfn.XLOOKUP(C5,'IKARIA TECHO'!D:D,'IKARIA TECHO'!E:E,"ERROR",0)</f>
        <v/>
      </c>
      <c r="E5" s="535">
        <f>SUMIF('IKARIA TECHO'!D:D,ANALISIS!C5,'IKARIA TECHO'!F:F)</f>
        <v/>
      </c>
      <c r="F5" s="735">
        <f>_xlfn.XLOOKUP(C5,'IKARIA TECHO'!D:D,'IKARIA TECHO'!H:H,"ERROR",0)</f>
        <v/>
      </c>
      <c r="G5" s="687">
        <f>E5*F5</f>
        <v/>
      </c>
      <c r="H5" s="538">
        <f>G5/$G$289</f>
        <v/>
      </c>
    </row>
    <row r="6">
      <c r="B6" s="199">
        <f>_xlfn.XLOOKUP(C6,'INSUMOS MAT '!B:B,'INSUMOS MAT '!C:C,"ERROR",0)</f>
        <v/>
      </c>
      <c r="C6" s="305" t="inlineStr">
        <is>
          <t>MAT19-0100</t>
        </is>
      </c>
      <c r="D6" s="129">
        <f>_xlfn.XLOOKUP(C6,'IKARIA TECHO'!D:D,'IKARIA TECHO'!E:E,"ERROR",0)</f>
        <v/>
      </c>
      <c r="E6" s="535">
        <f>SUMIF('IKARIA TECHO'!D:D,ANALISIS!C6,'IKARIA TECHO'!F:F)</f>
        <v/>
      </c>
      <c r="F6" s="735">
        <f>_xlfn.XLOOKUP(C6,'IKARIA TECHO'!D:D,'IKARIA TECHO'!H:H,"ERROR",0)</f>
        <v/>
      </c>
      <c r="G6" s="687">
        <f>E6*F6</f>
        <v/>
      </c>
      <c r="H6" s="538">
        <f>G6/$G$289</f>
        <v/>
      </c>
    </row>
    <row r="7">
      <c r="B7" s="199">
        <f>_xlfn.XLOOKUP(C7,'INSUMOS MAT '!B:B,'INSUMOS MAT '!C:C,"ERROR",0)</f>
        <v/>
      </c>
      <c r="C7" s="305" t="inlineStr">
        <is>
          <t>MAT19-0095</t>
        </is>
      </c>
      <c r="D7" s="129">
        <f>_xlfn.XLOOKUP(C7,'IKARIA TECHO'!D:D,'IKARIA TECHO'!E:E,"ERROR",0)</f>
        <v/>
      </c>
      <c r="E7" s="535">
        <f>SUMIF('IKARIA TECHO'!D:D,ANALISIS!C7,'IKARIA TECHO'!F:F)</f>
        <v/>
      </c>
      <c r="F7" s="735">
        <f>_xlfn.XLOOKUP(C7,'IKARIA TECHO'!D:D,'IKARIA TECHO'!H:H,"ERROR",0)</f>
        <v/>
      </c>
      <c r="G7" s="687">
        <f>E7*F7</f>
        <v/>
      </c>
      <c r="H7" s="538">
        <f>G7/$G$289</f>
        <v/>
      </c>
    </row>
    <row r="8">
      <c r="B8" s="199">
        <f>_xlfn.XLOOKUP(C8,'INSUMOS MAT '!B:B,'INSUMOS MAT '!C:C,"ERROR",0)</f>
        <v/>
      </c>
      <c r="C8" s="305" t="inlineStr">
        <is>
          <t>MAT19-0094</t>
        </is>
      </c>
      <c r="D8" s="129">
        <f>_xlfn.XLOOKUP(C8,'IKARIA TECHO'!D:D,'IKARIA TECHO'!E:E,"ERROR",0)</f>
        <v/>
      </c>
      <c r="E8" s="535">
        <f>SUMIF('IKARIA TECHO'!D:D,ANALISIS!C8,'IKARIA TECHO'!F:F)</f>
        <v/>
      </c>
      <c r="F8" s="735">
        <f>_xlfn.XLOOKUP(C8,'IKARIA TECHO'!D:D,'IKARIA TECHO'!H:H,"ERROR",0)</f>
        <v/>
      </c>
      <c r="G8" s="687">
        <f>E8*F8</f>
        <v/>
      </c>
      <c r="H8" s="538">
        <f>G8/$G$289</f>
        <v/>
      </c>
    </row>
    <row r="9">
      <c r="B9" s="199">
        <f>_xlfn.XLOOKUP(C9,'INSUMOS MAT '!B:B,'INSUMOS MAT '!C:C,"ERROR",0)</f>
        <v/>
      </c>
      <c r="C9" s="305" t="inlineStr">
        <is>
          <t>MAT19-0081</t>
        </is>
      </c>
      <c r="D9" s="129">
        <f>_xlfn.XLOOKUP(C9,'IKARIA TECHO'!D:D,'IKARIA TECHO'!E:E,"ERROR",0)</f>
        <v/>
      </c>
      <c r="E9" s="535">
        <f>SUMIF('IKARIA TECHO'!D:D,ANALISIS!C9,'IKARIA TECHO'!F:F)</f>
        <v/>
      </c>
      <c r="F9" s="735">
        <f>_xlfn.XLOOKUP(C9,'IKARIA TECHO'!D:D,'IKARIA TECHO'!H:H,"ERROR",0)</f>
        <v/>
      </c>
      <c r="G9" s="687">
        <f>E9*F9</f>
        <v/>
      </c>
      <c r="H9" s="538">
        <f>G9/$G$289</f>
        <v/>
      </c>
    </row>
    <row r="10">
      <c r="B10" s="199">
        <f>_xlfn.XLOOKUP(C10,'INSUMOS MAT '!B:B,'INSUMOS MAT '!C:C,"ERROR",0)</f>
        <v/>
      </c>
      <c r="C10" s="305" t="inlineStr">
        <is>
          <t>MAT19-0044</t>
        </is>
      </c>
      <c r="D10" s="129">
        <f>_xlfn.XLOOKUP(C10,'IKARIA TECHO'!D:D,'IKARIA TECHO'!E:E,"ERROR",0)</f>
        <v/>
      </c>
      <c r="E10" s="535">
        <f>SUMIF('IKARIA TECHO'!D:D,ANALISIS!C10,'IKARIA TECHO'!F:F)</f>
        <v/>
      </c>
      <c r="F10" s="735">
        <f>_xlfn.XLOOKUP(C10,'IKARIA TECHO'!D:D,'IKARIA TECHO'!H:H,"ERROR",0)</f>
        <v/>
      </c>
      <c r="G10" s="687">
        <f>E10*F10</f>
        <v/>
      </c>
      <c r="H10" s="538">
        <f>G10/$G$289</f>
        <v/>
      </c>
    </row>
    <row r="11">
      <c r="B11" s="199">
        <f>_xlfn.XLOOKUP(C11,'INSUMOS MAT '!B:B,'INSUMOS MAT '!C:C,"ERROR",0)</f>
        <v/>
      </c>
      <c r="C11" s="305" t="inlineStr">
        <is>
          <t>MAT19-0118</t>
        </is>
      </c>
      <c r="D11" s="129">
        <f>_xlfn.XLOOKUP(C11,'IKARIA TECHO'!D:D,'IKARIA TECHO'!E:E,"ERROR",0)</f>
        <v/>
      </c>
      <c r="E11" s="535">
        <f>SUMIF('IKARIA TECHO'!D:D,ANALISIS!C11,'IKARIA TECHO'!F:F)</f>
        <v/>
      </c>
      <c r="F11" s="735">
        <f>_xlfn.XLOOKUP(C11,'IKARIA TECHO'!D:D,'IKARIA TECHO'!H:H,"ERROR",0)</f>
        <v/>
      </c>
      <c r="G11" s="687">
        <f>E11*F11</f>
        <v/>
      </c>
      <c r="H11" s="538">
        <f>G11/$G$289</f>
        <v/>
      </c>
    </row>
    <row r="12">
      <c r="B12" s="199">
        <f>_xlfn.XLOOKUP(C12,'INSUMOS MAT '!B:B,'INSUMOS MAT '!C:C,"ERROR",0)</f>
        <v/>
      </c>
      <c r="C12" s="305" t="inlineStr">
        <is>
          <t>MAT19-0024</t>
        </is>
      </c>
      <c r="D12" s="129">
        <f>_xlfn.XLOOKUP(C12,'IKARIA TECHO'!D:D,'IKARIA TECHO'!E:E,"ERROR",0)</f>
        <v/>
      </c>
      <c r="E12" s="535">
        <f>SUMIF('IKARIA TECHO'!D:D,ANALISIS!C12,'IKARIA TECHO'!F:F)</f>
        <v/>
      </c>
      <c r="F12" s="735">
        <f>_xlfn.XLOOKUP(C12,'IKARIA TECHO'!D:D,'IKARIA TECHO'!H:H,"ERROR",0)</f>
        <v/>
      </c>
      <c r="G12" s="687">
        <f>E12*F12</f>
        <v/>
      </c>
      <c r="H12" s="538">
        <f>G12/$G$289</f>
        <v/>
      </c>
    </row>
    <row r="13">
      <c r="B13" s="199">
        <f>_xlfn.XLOOKUP(C13,'INSUMOS MAT '!B:B,'INSUMOS MAT '!C:C,"ERROR",0)</f>
        <v/>
      </c>
      <c r="C13" s="305" t="inlineStr">
        <is>
          <t>MAT19-0049</t>
        </is>
      </c>
      <c r="D13" s="129">
        <f>_xlfn.XLOOKUP(C13,'IKARIA TECHO'!D:D,'IKARIA TECHO'!E:E,"ERROR",0)</f>
        <v/>
      </c>
      <c r="E13" s="535">
        <f>SUMIF('IKARIA TECHO'!D:D,ANALISIS!C13,'IKARIA TECHO'!F:F)</f>
        <v/>
      </c>
      <c r="F13" s="735">
        <f>_xlfn.XLOOKUP(C13,'IKARIA TECHO'!D:D,'IKARIA TECHO'!H:H,"ERROR",0)</f>
        <v/>
      </c>
      <c r="G13" s="687">
        <f>E13*F13</f>
        <v/>
      </c>
      <c r="H13" s="538">
        <f>G13/$G$289</f>
        <v/>
      </c>
    </row>
    <row r="14">
      <c r="B14" s="199">
        <f>_xlfn.XLOOKUP(C14,'INSUMOS MAT '!B:B,'INSUMOS MAT '!C:C,"ERROR",0)</f>
        <v/>
      </c>
      <c r="C14" s="305" t="inlineStr">
        <is>
          <t>MAT19-0055</t>
        </is>
      </c>
      <c r="D14" s="129">
        <f>_xlfn.XLOOKUP(C14,'IKARIA TECHO'!D:D,'IKARIA TECHO'!E:E,"ERROR",0)</f>
        <v/>
      </c>
      <c r="E14" s="535">
        <f>SUMIF('IKARIA TECHO'!D:D,ANALISIS!C14,'IKARIA TECHO'!F:F)</f>
        <v/>
      </c>
      <c r="F14" s="735">
        <f>_xlfn.XLOOKUP(C14,'IKARIA TECHO'!D:D,'IKARIA TECHO'!H:H,"ERROR",0)</f>
        <v/>
      </c>
      <c r="G14" s="687">
        <f>E14*F14</f>
        <v/>
      </c>
      <c r="H14" s="538">
        <f>G14/$G$289</f>
        <v/>
      </c>
    </row>
    <row r="15">
      <c r="B15" s="199">
        <f>_xlfn.XLOOKUP(C15,'INSUMOS MAT '!B:B,'INSUMOS MAT '!C:C,"ERROR",0)</f>
        <v/>
      </c>
      <c r="C15" s="305" t="inlineStr">
        <is>
          <t>MAT19-0112</t>
        </is>
      </c>
      <c r="D15" s="129">
        <f>_xlfn.XLOOKUP(C15,'IKARIA TECHO'!D:D,'IKARIA TECHO'!E:E,"ERROR",0)</f>
        <v/>
      </c>
      <c r="E15" s="535">
        <f>SUMIF('IKARIA TECHO'!D:D,ANALISIS!C15,'IKARIA TECHO'!F:F)</f>
        <v/>
      </c>
      <c r="F15" s="735">
        <f>_xlfn.XLOOKUP(C15,'IKARIA TECHO'!D:D,'IKARIA TECHO'!H:H,"ERROR",0)</f>
        <v/>
      </c>
      <c r="G15" s="687">
        <f>E15*F15</f>
        <v/>
      </c>
      <c r="H15" s="538">
        <f>G15/$G$289</f>
        <v/>
      </c>
    </row>
    <row r="16">
      <c r="B16" s="199">
        <f>_xlfn.XLOOKUP(C16,'INSUMOS MAT '!B:B,'INSUMOS MAT '!C:C,"ERROR",0)</f>
        <v/>
      </c>
      <c r="C16" s="305" t="inlineStr">
        <is>
          <t>MAT19-0126</t>
        </is>
      </c>
      <c r="D16" s="129">
        <f>_xlfn.XLOOKUP(C16,'IKARIA TECHO'!D:D,'IKARIA TECHO'!E:E,"ERROR",0)</f>
        <v/>
      </c>
      <c r="E16" s="535">
        <f>SUMIF('IKARIA TECHO'!D:D,ANALISIS!C16,'IKARIA TECHO'!F:F)</f>
        <v/>
      </c>
      <c r="F16" s="735">
        <f>_xlfn.XLOOKUP(C16,'IKARIA TECHO'!D:D,'IKARIA TECHO'!H:H,"ERROR",0)</f>
        <v/>
      </c>
      <c r="G16" s="687">
        <f>E16*F16</f>
        <v/>
      </c>
      <c r="H16" s="538">
        <f>G16/$G$289</f>
        <v/>
      </c>
    </row>
    <row r="17">
      <c r="B17" s="199">
        <f>_xlfn.XLOOKUP(C17,'INSUMOS MAT '!B:B,'INSUMOS MAT '!C:C,"ERROR",0)</f>
        <v/>
      </c>
      <c r="C17" s="305" t="inlineStr">
        <is>
          <t>MAT19-0063</t>
        </is>
      </c>
      <c r="D17" s="129">
        <f>_xlfn.XLOOKUP(C17,'IKARIA TECHO'!D:D,'IKARIA TECHO'!E:E,"ERROR",0)</f>
        <v/>
      </c>
      <c r="E17" s="535">
        <f>SUMIF('IKARIA TECHO'!D:D,ANALISIS!C17,'IKARIA TECHO'!F:F)</f>
        <v/>
      </c>
      <c r="F17" s="735">
        <f>_xlfn.XLOOKUP(C17,'IKARIA TECHO'!D:D,'IKARIA TECHO'!H:H,"ERROR",0)</f>
        <v/>
      </c>
      <c r="G17" s="687">
        <f>E17*F17</f>
        <v/>
      </c>
      <c r="H17" s="538">
        <f>G17/$G$289</f>
        <v/>
      </c>
    </row>
    <row r="18">
      <c r="B18" s="199">
        <f>_xlfn.XLOOKUP(C18,'INSUMOS MAT '!B:B,'INSUMOS MAT '!C:C,"ERROR",0)</f>
        <v/>
      </c>
      <c r="C18" s="305" t="inlineStr">
        <is>
          <t>MAT19-0124</t>
        </is>
      </c>
      <c r="D18" s="129">
        <f>_xlfn.XLOOKUP(C18,'IKARIA TECHO'!D:D,'IKARIA TECHO'!E:E,"ERROR",0)</f>
        <v/>
      </c>
      <c r="E18" s="535">
        <f>SUMIF('IKARIA TECHO'!D:D,ANALISIS!C18,'IKARIA TECHO'!F:F)</f>
        <v/>
      </c>
      <c r="F18" s="735">
        <f>_xlfn.XLOOKUP(C18,'IKARIA TECHO'!D:D,'IKARIA TECHO'!H:H,"ERROR",0)</f>
        <v/>
      </c>
      <c r="G18" s="687">
        <f>E18*F18</f>
        <v/>
      </c>
      <c r="H18" s="538">
        <f>G18/$G$289</f>
        <v/>
      </c>
    </row>
    <row r="19">
      <c r="B19" s="199">
        <f>_xlfn.XLOOKUP(C19,'INSUMOS MAT '!B:B,'INSUMOS MAT '!C:C,"ERROR",0)</f>
        <v/>
      </c>
      <c r="C19" s="305" t="inlineStr">
        <is>
          <t>MAT19-0041</t>
        </is>
      </c>
      <c r="D19" s="129">
        <f>_xlfn.XLOOKUP(C19,'IKARIA TECHO'!D:D,'IKARIA TECHO'!E:E,"ERROR",0)</f>
        <v/>
      </c>
      <c r="E19" s="535">
        <f>SUMIF('IKARIA TECHO'!D:D,ANALISIS!C19,'IKARIA TECHO'!F:F)</f>
        <v/>
      </c>
      <c r="F19" s="735">
        <f>_xlfn.XLOOKUP(C19,'IKARIA TECHO'!D:D,'IKARIA TECHO'!H:H,"ERROR",0)</f>
        <v/>
      </c>
      <c r="G19" s="687">
        <f>E19*F19</f>
        <v/>
      </c>
      <c r="H19" s="538">
        <f>G19/$G$289</f>
        <v/>
      </c>
    </row>
    <row r="20">
      <c r="B20" s="199">
        <f>_xlfn.XLOOKUP(C20,'INSUMOS MAT '!B:B,'INSUMOS MAT '!C:C,"ERROR",0)</f>
        <v/>
      </c>
      <c r="C20" s="305" t="inlineStr">
        <is>
          <t>MAT19-0017</t>
        </is>
      </c>
      <c r="D20" s="129">
        <f>_xlfn.XLOOKUP(C20,'IKARIA TECHO'!D:D,'IKARIA TECHO'!E:E,"ERROR",0)</f>
        <v/>
      </c>
      <c r="E20" s="535">
        <f>SUMIF('IKARIA TECHO'!D:D,ANALISIS!C20,'IKARIA TECHO'!F:F)</f>
        <v/>
      </c>
      <c r="F20" s="735">
        <f>_xlfn.XLOOKUP(C20,'IKARIA TECHO'!D:D,'IKARIA TECHO'!H:H,"ERROR",0)</f>
        <v/>
      </c>
      <c r="G20" s="687">
        <f>E20*F20</f>
        <v/>
      </c>
      <c r="H20" s="538">
        <f>G20/$G$289</f>
        <v/>
      </c>
    </row>
    <row r="21">
      <c r="B21" s="199">
        <f>_xlfn.XLOOKUP(C21,'INSUMOS MAT '!B:B,'INSUMOS MAT '!C:C,"ERROR",0)</f>
        <v/>
      </c>
      <c r="C21" s="305" t="inlineStr">
        <is>
          <t>MAT19-0096</t>
        </is>
      </c>
      <c r="D21" s="129">
        <f>_xlfn.XLOOKUP(C21,'IKARIA TECHO'!D:D,'IKARIA TECHO'!E:E,"ERROR",0)</f>
        <v/>
      </c>
      <c r="E21" s="535">
        <f>SUMIF('IKARIA TECHO'!D:D,ANALISIS!C21,'IKARIA TECHO'!F:F)</f>
        <v/>
      </c>
      <c r="F21" s="735">
        <f>_xlfn.XLOOKUP(C21,'IKARIA TECHO'!D:D,'IKARIA TECHO'!H:H,"ERROR",0)</f>
        <v/>
      </c>
      <c r="G21" s="687">
        <f>E21*F21</f>
        <v/>
      </c>
      <c r="H21" s="538">
        <f>G21/$G$289</f>
        <v/>
      </c>
    </row>
    <row r="22">
      <c r="B22" s="199">
        <f>_xlfn.XLOOKUP(C22,'INSUMOS MAT '!B:B,'INSUMOS MAT '!C:C,"ERROR",0)</f>
        <v/>
      </c>
      <c r="C22" s="305" t="inlineStr">
        <is>
          <t>MAT19-0125</t>
        </is>
      </c>
      <c r="D22" s="129">
        <f>_xlfn.XLOOKUP(C22,'IKARIA TECHO'!D:D,'IKARIA TECHO'!E:E,"ERROR",0)</f>
        <v/>
      </c>
      <c r="E22" s="535">
        <f>SUMIF('IKARIA TECHO'!D:D,ANALISIS!C22,'IKARIA TECHO'!F:F)</f>
        <v/>
      </c>
      <c r="F22" s="735">
        <f>_xlfn.XLOOKUP(C22,'IKARIA TECHO'!D:D,'IKARIA TECHO'!H:H,"ERROR",0)</f>
        <v/>
      </c>
      <c r="G22" s="687">
        <f>E22*F22</f>
        <v/>
      </c>
      <c r="H22" s="538">
        <f>G22/$G$289</f>
        <v/>
      </c>
    </row>
    <row r="23">
      <c r="B23" s="199">
        <f>_xlfn.XLOOKUP(C23,'INSUMOS MAT '!B:B,'INSUMOS MAT '!C:C,"ERROR",0)</f>
        <v/>
      </c>
      <c r="C23" s="305" t="inlineStr">
        <is>
          <t>MAT03-0002</t>
        </is>
      </c>
      <c r="D23" s="540">
        <f>_xlfn.XLOOKUP(C23,'IKARIA TECHO'!D:D,'IKARIA TECHO'!E:E,"ERROR",0)</f>
        <v/>
      </c>
      <c r="E23" s="541">
        <f>SUMIF('IKARIA TECHO'!D:D,ANALISIS!C23,'IKARIA TECHO'!F:F)</f>
        <v/>
      </c>
      <c r="F23" s="763">
        <f>_xlfn.XLOOKUP(C23,'IKARIA TECHO'!D:D,'IKARIA TECHO'!H:H,"ERROR",0)</f>
        <v/>
      </c>
      <c r="G23" s="764">
        <f>E23*F23</f>
        <v/>
      </c>
      <c r="H23" s="544">
        <f>G23/$G$289</f>
        <v/>
      </c>
    </row>
    <row r="24">
      <c r="B24" s="199">
        <f>_xlfn.XLOOKUP(C24,'INSUMOS MAT '!B:B,'INSUMOS MAT '!C:C,"ERROR",0)</f>
        <v/>
      </c>
      <c r="C24" s="305" t="inlineStr">
        <is>
          <t>MAT08-0091</t>
        </is>
      </c>
      <c r="D24" s="129">
        <f>_xlfn.XLOOKUP(C24,'IKARIA TECHO'!D:D,'IKARIA TECHO'!E:E,"ERROR",0)</f>
        <v/>
      </c>
      <c r="E24" s="535">
        <f>SUMIF('IKARIA TECHO'!D:D,ANALISIS!C24,'IKARIA TECHO'!F:F)</f>
        <v/>
      </c>
      <c r="F24" s="735">
        <f>_xlfn.XLOOKUP(C24,'IKARIA TECHO'!D:D,'IKARIA TECHO'!H:H,"ERROR",0)</f>
        <v/>
      </c>
      <c r="G24" s="687">
        <f>E24*F24</f>
        <v/>
      </c>
      <c r="H24" s="538">
        <f>G24/$G$289</f>
        <v/>
      </c>
    </row>
    <row r="25">
      <c r="B25" s="199">
        <f>_xlfn.XLOOKUP(C25,'INSUMOS MAT '!B:B,'INSUMOS MAT '!C:C,"ERROR",0)</f>
        <v/>
      </c>
      <c r="C25" s="305" t="inlineStr">
        <is>
          <t>MAT08-0034</t>
        </is>
      </c>
      <c r="D25" s="129">
        <f>_xlfn.XLOOKUP(C25,'IKARIA TECHO'!D:D,'IKARIA TECHO'!E:E,"ERROR",0)</f>
        <v/>
      </c>
      <c r="E25" s="535">
        <f>SUMIF('IKARIA TECHO'!D:D,ANALISIS!C25,'IKARIA TECHO'!F:F)</f>
        <v/>
      </c>
      <c r="F25" s="735">
        <f>_xlfn.XLOOKUP(C25,'IKARIA TECHO'!D:D,'IKARIA TECHO'!H:H,"ERROR",0)</f>
        <v/>
      </c>
      <c r="G25" s="687">
        <f>E25*F25</f>
        <v/>
      </c>
      <c r="H25" s="538">
        <f>G25/$G$289</f>
        <v/>
      </c>
    </row>
    <row r="26">
      <c r="B26" s="199">
        <f>_xlfn.XLOOKUP(C26,'INSUMOS MAT '!B:B,'INSUMOS MAT '!C:C,"ERROR",0)</f>
        <v/>
      </c>
      <c r="C26" s="305" t="inlineStr">
        <is>
          <t>MAT08-0003</t>
        </is>
      </c>
      <c r="D26" s="129">
        <f>_xlfn.XLOOKUP(C26,'IKARIA TECHO'!D:D,'IKARIA TECHO'!E:E,"ERROR",0)</f>
        <v/>
      </c>
      <c r="E26" s="535">
        <f>SUMIF('IKARIA TECHO'!D:D,ANALISIS!C26,'IKARIA TECHO'!F:F)</f>
        <v/>
      </c>
      <c r="F26" s="735">
        <f>_xlfn.XLOOKUP(C26,'IKARIA TECHO'!D:D,'IKARIA TECHO'!H:H,"ERROR",0)</f>
        <v/>
      </c>
      <c r="G26" s="687">
        <f>E26*F26</f>
        <v/>
      </c>
      <c r="H26" s="538">
        <f>G26/$G$289</f>
        <v/>
      </c>
    </row>
    <row r="27">
      <c r="B27" s="199">
        <f>_xlfn.XLOOKUP(C27,'INSUMOS MAT '!B:B,'INSUMOS MAT '!C:C,"ERROR",0)</f>
        <v/>
      </c>
      <c r="C27" s="305" t="inlineStr">
        <is>
          <t>MAT19-0084</t>
        </is>
      </c>
      <c r="D27" s="129">
        <f>_xlfn.XLOOKUP(C27,'IKARIA TECHO'!D:D,'IKARIA TECHO'!E:E,"ERROR",0)</f>
        <v/>
      </c>
      <c r="E27" s="535">
        <f>SUMIF('IKARIA TECHO'!D:D,ANALISIS!C27,'IKARIA TECHO'!F:F)</f>
        <v/>
      </c>
      <c r="F27" s="735">
        <f>_xlfn.XLOOKUP(C27,'IKARIA TECHO'!D:D,'IKARIA TECHO'!H:H,"ERROR",0)</f>
        <v/>
      </c>
      <c r="G27" s="687">
        <f>E27*F27</f>
        <v/>
      </c>
      <c r="H27" s="538">
        <f>G27/$G$289</f>
        <v/>
      </c>
    </row>
    <row r="28">
      <c r="B28" s="199">
        <f>_xlfn.XLOOKUP(C28,'INSUMOS MAT '!B:B,'INSUMOS MAT '!C:C,"ERROR",0)</f>
        <v/>
      </c>
      <c r="C28" s="305" t="inlineStr">
        <is>
          <t>MAT19-0085</t>
        </is>
      </c>
      <c r="D28" s="129">
        <f>_xlfn.XLOOKUP(C28,'IKARIA TECHO'!D:D,'IKARIA TECHO'!E:E,"ERROR",0)</f>
        <v/>
      </c>
      <c r="E28" s="535">
        <f>SUMIF('IKARIA TECHO'!D:D,ANALISIS!C28,'IKARIA TECHO'!F:F)</f>
        <v/>
      </c>
      <c r="F28" s="735">
        <f>_xlfn.XLOOKUP(C28,'IKARIA TECHO'!D:D,'IKARIA TECHO'!H:H,"ERROR",0)</f>
        <v/>
      </c>
      <c r="G28" s="687">
        <f>E28*F28</f>
        <v/>
      </c>
      <c r="H28" s="538">
        <f>G28/$G$289</f>
        <v/>
      </c>
    </row>
    <row r="29">
      <c r="B29" s="199">
        <f>_xlfn.XLOOKUP(C29,'INSUMOS MAT '!B:B,'INSUMOS MAT '!C:C,"ERROR",0)</f>
        <v/>
      </c>
      <c r="C29" s="305" t="inlineStr">
        <is>
          <t>MAT19-0031</t>
        </is>
      </c>
      <c r="D29" s="129">
        <f>_xlfn.XLOOKUP(C29,'IKARIA TECHO'!D:D,'IKARIA TECHO'!E:E,"ERROR",0)</f>
        <v/>
      </c>
      <c r="E29" s="535">
        <f>SUMIF('IKARIA TECHO'!D:D,ANALISIS!C29,'IKARIA TECHO'!F:F)</f>
        <v/>
      </c>
      <c r="F29" s="735">
        <f>_xlfn.XLOOKUP(C29,'IKARIA TECHO'!D:D,'IKARIA TECHO'!H:H,"ERROR",0)</f>
        <v/>
      </c>
      <c r="G29" s="687">
        <f>E29*F29</f>
        <v/>
      </c>
      <c r="H29" s="538">
        <f>G29/$G$289</f>
        <v/>
      </c>
    </row>
    <row r="30">
      <c r="B30" s="199">
        <f>_xlfn.XLOOKUP(C30,'INSUMOS MAT '!B:B,'INSUMOS MAT '!C:C,"ERROR",0)</f>
        <v/>
      </c>
      <c r="C30" s="305" t="inlineStr">
        <is>
          <t>MAT19-0032</t>
        </is>
      </c>
      <c r="D30" s="129">
        <f>_xlfn.XLOOKUP(C30,'IKARIA TECHO'!D:D,'IKARIA TECHO'!E:E,"ERROR",0)</f>
        <v/>
      </c>
      <c r="E30" s="535">
        <f>SUMIF('IKARIA TECHO'!D:D,ANALISIS!C30,'IKARIA TECHO'!F:F)</f>
        <v/>
      </c>
      <c r="F30" s="735">
        <f>_xlfn.XLOOKUP(C30,'IKARIA TECHO'!D:D,'IKARIA TECHO'!H:H,"ERROR",0)</f>
        <v/>
      </c>
      <c r="G30" s="687">
        <f>E30*F30</f>
        <v/>
      </c>
      <c r="H30" s="538">
        <f>G30/$G$289</f>
        <v/>
      </c>
    </row>
    <row r="31">
      <c r="B31" s="199">
        <f>_xlfn.XLOOKUP(C31,'INSUMOS MAT '!B:B,'INSUMOS MAT '!C:C,"ERROR",0)</f>
        <v/>
      </c>
      <c r="C31" s="305" t="inlineStr">
        <is>
          <t>MAT19-0104</t>
        </is>
      </c>
      <c r="D31" s="129">
        <f>_xlfn.XLOOKUP(C31,'IKARIA TECHO'!D:D,'IKARIA TECHO'!E:E,"ERROR",0)</f>
        <v/>
      </c>
      <c r="E31" s="535">
        <f>SUMIF('IKARIA TECHO'!D:D,ANALISIS!C31,'IKARIA TECHO'!F:F)</f>
        <v/>
      </c>
      <c r="F31" s="735">
        <f>_xlfn.XLOOKUP(C31,'IKARIA TECHO'!D:D,'IKARIA TECHO'!H:H,"ERROR",0)</f>
        <v/>
      </c>
      <c r="G31" s="687">
        <f>E31*F31</f>
        <v/>
      </c>
      <c r="H31" s="538">
        <f>G31/$G$289</f>
        <v/>
      </c>
    </row>
    <row r="32">
      <c r="B32" s="199">
        <f>_xlfn.XLOOKUP(C32,'INSUMOS MAT '!B:B,'INSUMOS MAT '!C:C,"ERROR",0)</f>
        <v/>
      </c>
      <c r="C32" s="305" t="inlineStr">
        <is>
          <t>MAT19-0105</t>
        </is>
      </c>
      <c r="D32" s="129">
        <f>_xlfn.XLOOKUP(C32,'IKARIA TECHO'!D:D,'IKARIA TECHO'!E:E,"ERROR",0)</f>
        <v/>
      </c>
      <c r="E32" s="535">
        <f>SUMIF('IKARIA TECHO'!D:D,ANALISIS!C32,'IKARIA TECHO'!F:F)</f>
        <v/>
      </c>
      <c r="F32" s="735">
        <f>_xlfn.XLOOKUP(C32,'IKARIA TECHO'!D:D,'IKARIA TECHO'!H:H,"ERROR",0)</f>
        <v/>
      </c>
      <c r="G32" s="687">
        <f>E32*F32</f>
        <v/>
      </c>
      <c r="H32" s="538">
        <f>G32/$G$289</f>
        <v/>
      </c>
    </row>
    <row r="33">
      <c r="B33" s="199">
        <f>_xlfn.XLOOKUP(C33,'INSUMOS MAT '!B:B,'INSUMOS MAT '!C:C,"ERROR",0)</f>
        <v/>
      </c>
      <c r="C33" s="305" t="inlineStr">
        <is>
          <t>MAT21-0009</t>
        </is>
      </c>
      <c r="D33" s="129">
        <f>_xlfn.XLOOKUP(C33,'IKARIA TECHO'!D:D,'IKARIA TECHO'!E:E,"ERROR",0)</f>
        <v/>
      </c>
      <c r="E33" s="535">
        <f>SUMIF('IKARIA TECHO'!D:D,ANALISIS!C33,'IKARIA TECHO'!F:F)</f>
        <v/>
      </c>
      <c r="F33" s="735">
        <f>_xlfn.XLOOKUP(C33,'IKARIA TECHO'!D:D,'IKARIA TECHO'!H:H,"ERROR",0)</f>
        <v/>
      </c>
      <c r="G33" s="687">
        <f>E33*F33</f>
        <v/>
      </c>
      <c r="H33" s="538">
        <f>G33/$G$289</f>
        <v/>
      </c>
    </row>
    <row r="34">
      <c r="B34" s="199">
        <f>_xlfn.XLOOKUP(C34,'INSUMOS MAT '!B:B,'INSUMOS MAT '!C:C,"ERROR",0)</f>
        <v/>
      </c>
      <c r="C34" s="305" t="inlineStr">
        <is>
          <t>MAT08-0018</t>
        </is>
      </c>
      <c r="D34" s="129">
        <f>_xlfn.XLOOKUP(C34,'IKARIA TECHO'!D:D,'IKARIA TECHO'!E:E,"ERROR",0)</f>
        <v/>
      </c>
      <c r="E34" s="535">
        <f>SUMIF('IKARIA TECHO'!D:D,ANALISIS!C34,'IKARIA TECHO'!F:F)</f>
        <v/>
      </c>
      <c r="F34" s="735">
        <f>_xlfn.XLOOKUP(C34,'IKARIA TECHO'!D:D,'IKARIA TECHO'!H:H,"ERROR",0)</f>
        <v/>
      </c>
      <c r="G34" s="687">
        <f>E34*F34</f>
        <v/>
      </c>
      <c r="H34" s="538">
        <f>G34/$G$289</f>
        <v/>
      </c>
    </row>
    <row r="35">
      <c r="B35" s="199">
        <f>_xlfn.XLOOKUP(C35,'INSUMOS MAT '!B:B,'INSUMOS MAT '!C:C,"ERROR",0)</f>
        <v/>
      </c>
      <c r="C35" s="305" t="inlineStr">
        <is>
          <t>MAT04-0062</t>
        </is>
      </c>
      <c r="D35" s="540">
        <f>_xlfn.XLOOKUP(C35,'IKARIA TECHO'!D:D,'IKARIA TECHO'!E:E,"ERROR",0)</f>
        <v/>
      </c>
      <c r="E35" s="541">
        <f>SUMIF('IKARIA TECHO'!D:D,ANALISIS!C35,'IKARIA TECHO'!F:F)</f>
        <v/>
      </c>
      <c r="F35" s="763">
        <f>_xlfn.XLOOKUP(C35,'IKARIA TECHO'!D:D,'IKARIA TECHO'!H:H,"ERROR",0)</f>
        <v/>
      </c>
      <c r="G35" s="764">
        <f>E35*F35</f>
        <v/>
      </c>
      <c r="H35" s="544">
        <f>G35/$G$289</f>
        <v/>
      </c>
    </row>
    <row r="36">
      <c r="B36" s="199">
        <f>_xlfn.XLOOKUP(C36,'INSUMOS MAT '!B:B,'INSUMOS MAT '!C:C,"ERROR",0)</f>
        <v/>
      </c>
      <c r="C36" s="305" t="inlineStr">
        <is>
          <t>MAT03-0006</t>
        </is>
      </c>
      <c r="D36" s="540">
        <f>_xlfn.XLOOKUP(C36,'IKARIA TECHO'!D:D,'IKARIA TECHO'!E:E,"ERROR",0)</f>
        <v/>
      </c>
      <c r="E36" s="541">
        <f>SUMIF('IKARIA TECHO'!D:D,ANALISIS!C36,'IKARIA TECHO'!F:F)</f>
        <v/>
      </c>
      <c r="F36" s="763">
        <f>_xlfn.XLOOKUP(C36,'IKARIA TECHO'!D:D,'IKARIA TECHO'!H:H,"ERROR",0)</f>
        <v/>
      </c>
      <c r="G36" s="764">
        <f>E36*F36</f>
        <v/>
      </c>
      <c r="H36" s="544">
        <f>G36/$G$289</f>
        <v/>
      </c>
    </row>
    <row r="37">
      <c r="B37" s="199">
        <f>_xlfn.XLOOKUP(C37,'INSUMOS MAT '!B:B,'INSUMOS MAT '!C:C,"ERROR",0)</f>
        <v/>
      </c>
      <c r="C37" s="305" t="inlineStr">
        <is>
          <t>MAT02-0017</t>
        </is>
      </c>
      <c r="D37" s="129">
        <f>_xlfn.XLOOKUP(C37,'IKARIA TECHO'!D:D,'IKARIA TECHO'!E:E,"ERROR",0)</f>
        <v/>
      </c>
      <c r="E37" s="535">
        <f>SUMIF('IKARIA TECHO'!D:D,ANALISIS!C37,'IKARIA TECHO'!F:F)</f>
        <v/>
      </c>
      <c r="F37" s="735">
        <f>_xlfn.XLOOKUP(C37,'IKARIA TECHO'!D:D,'IKARIA TECHO'!H:H,"ERROR",0)</f>
        <v/>
      </c>
      <c r="G37" s="687">
        <f>E37*F37</f>
        <v/>
      </c>
      <c r="H37" s="538">
        <f>G37/$G$289</f>
        <v/>
      </c>
    </row>
    <row r="38">
      <c r="B38" s="199">
        <f>_xlfn.XLOOKUP(C38,'INSUMOS MAT '!B:B,'INSUMOS MAT '!C:C,"ERROR",0)</f>
        <v/>
      </c>
      <c r="C38" s="305" t="inlineStr">
        <is>
          <t>MAT02-0029</t>
        </is>
      </c>
      <c r="D38" s="540">
        <f>_xlfn.XLOOKUP(C38,'IKARIA TECHO'!D:D,'IKARIA TECHO'!E:E,"ERROR",0)</f>
        <v/>
      </c>
      <c r="E38" s="541">
        <f>SUMIF('IKARIA TECHO'!D:D,ANALISIS!C38,'IKARIA TECHO'!F:F)</f>
        <v/>
      </c>
      <c r="F38" s="763">
        <f>_xlfn.XLOOKUP(C38,'IKARIA TECHO'!D:D,'IKARIA TECHO'!H:H,"ERROR",0)</f>
        <v/>
      </c>
      <c r="G38" s="764">
        <f>E38*F38</f>
        <v/>
      </c>
      <c r="H38" s="544">
        <f>G38/$G$289</f>
        <v/>
      </c>
    </row>
    <row r="39">
      <c r="B39" s="199">
        <f>_xlfn.XLOOKUP(C39,'INSUMOS MAT '!B:B,'INSUMOS MAT '!C:C,"ERROR",0)</f>
        <v/>
      </c>
      <c r="C39" s="305" t="inlineStr">
        <is>
          <t>MAT08-0449</t>
        </is>
      </c>
      <c r="D39" s="129">
        <f>_xlfn.XLOOKUP(C39,'IKARIA TECHO'!D:D,'IKARIA TECHO'!E:E,"ERROR",0)</f>
        <v/>
      </c>
      <c r="E39" s="535">
        <f>SUMIF('IKARIA TECHO'!D:D,ANALISIS!C39,'IKARIA TECHO'!F:F)</f>
        <v/>
      </c>
      <c r="F39" s="735">
        <f>_xlfn.XLOOKUP(C39,'IKARIA TECHO'!D:D,'IKARIA TECHO'!H:H,"ERROR",0)</f>
        <v/>
      </c>
      <c r="G39" s="687">
        <f>E39*F39</f>
        <v/>
      </c>
      <c r="H39" s="538">
        <f>G39/$G$289</f>
        <v/>
      </c>
    </row>
    <row r="40">
      <c r="B40" s="199">
        <f>_xlfn.XLOOKUP(C40,'INSUMOS MAT '!B:B,'INSUMOS MAT '!C:C,"ERROR",0)</f>
        <v/>
      </c>
      <c r="C40" s="305" t="inlineStr">
        <is>
          <t>MAT21-0028</t>
        </is>
      </c>
      <c r="D40" s="129">
        <f>_xlfn.XLOOKUP(C40,'IKARIA TECHO'!D:D,'IKARIA TECHO'!E:E,"ERROR",0)</f>
        <v/>
      </c>
      <c r="E40" s="535">
        <f>SUMIF('IKARIA TECHO'!D:D,ANALISIS!C40,'IKARIA TECHO'!F:F)</f>
        <v/>
      </c>
      <c r="F40" s="735">
        <f>_xlfn.XLOOKUP(C40,'IKARIA TECHO'!D:D,'IKARIA TECHO'!H:H,"ERROR",0)</f>
        <v/>
      </c>
      <c r="G40" s="687">
        <f>E40*F40</f>
        <v/>
      </c>
      <c r="H40" s="538">
        <f>G40/$G$289</f>
        <v/>
      </c>
    </row>
    <row r="41">
      <c r="B41" s="199">
        <f>_xlfn.XLOOKUP(C41,'INSUMOS MAT '!B:B,'INSUMOS MAT '!C:C,"ERROR",0)</f>
        <v/>
      </c>
      <c r="C41" s="306" t="inlineStr">
        <is>
          <t>MAT02-0010</t>
        </is>
      </c>
      <c r="D41" s="540">
        <f>_xlfn.XLOOKUP(C41,'IKARIA TECHO'!D:D,'IKARIA TECHO'!E:E,"ERROR",0)</f>
        <v/>
      </c>
      <c r="E41" s="541">
        <f>SUMIF('IKARIA TECHO'!D:D,ANALISIS!C41,'IKARIA TECHO'!F:F)</f>
        <v/>
      </c>
      <c r="F41" s="763">
        <f>_xlfn.XLOOKUP(C41,'IKARIA TECHO'!D:D,'IKARIA TECHO'!H:H,"ERROR",0)</f>
        <v/>
      </c>
      <c r="G41" s="764">
        <f>E41*F41</f>
        <v/>
      </c>
      <c r="H41" s="544">
        <f>G41/$G$289</f>
        <v/>
      </c>
    </row>
    <row r="42">
      <c r="B42" s="199">
        <f>_xlfn.XLOOKUP(C42,'INSUMOS MAT '!B:B,'INSUMOS MAT '!C:C,"ERROR",0)</f>
        <v/>
      </c>
      <c r="C42" s="306" t="inlineStr">
        <is>
          <t>MAT02-0027</t>
        </is>
      </c>
      <c r="D42" s="540">
        <f>_xlfn.XLOOKUP(C42,'IKARIA TECHO'!D:D,'IKARIA TECHO'!E:E,"ERROR",0)</f>
        <v/>
      </c>
      <c r="E42" s="541">
        <f>SUMIF('IKARIA TECHO'!D:D,ANALISIS!C42,'IKARIA TECHO'!F:F)</f>
        <v/>
      </c>
      <c r="F42" s="763">
        <f>_xlfn.XLOOKUP(C42,'IKARIA TECHO'!D:D,'IKARIA TECHO'!H:H,"ERROR",0)</f>
        <v/>
      </c>
      <c r="G42" s="764">
        <f>E42*F42</f>
        <v/>
      </c>
      <c r="H42" s="544">
        <f>G42/$G$289</f>
        <v/>
      </c>
    </row>
    <row r="43">
      <c r="B43" s="199">
        <f>_xlfn.XLOOKUP(C43,'INSUMOS MAT '!B:B,'INSUMOS MAT '!C:C,"ERROR",0)</f>
        <v/>
      </c>
      <c r="C43" s="306" t="inlineStr">
        <is>
          <t>MAT02-0001</t>
        </is>
      </c>
      <c r="D43" s="129">
        <f>_xlfn.XLOOKUP(C43,'IKARIA TECHO'!D:D,'IKARIA TECHO'!E:E,"ERROR",0)</f>
        <v/>
      </c>
      <c r="E43" s="535">
        <f>SUMIF('IKARIA TECHO'!D:D,ANALISIS!C43,'IKARIA TECHO'!F:F)</f>
        <v/>
      </c>
      <c r="F43" s="735">
        <f>_xlfn.XLOOKUP(C43,'IKARIA TECHO'!D:D,'IKARIA TECHO'!H:H,"ERROR",0)</f>
        <v/>
      </c>
      <c r="G43" s="687">
        <f>E43*F43</f>
        <v/>
      </c>
      <c r="H43" s="538">
        <f>G43/$G$289</f>
        <v/>
      </c>
    </row>
    <row r="44">
      <c r="B44" s="199">
        <f>_xlfn.XLOOKUP(C44,'INSUMOS MAT '!B:B,'INSUMOS MAT '!C:C,"ERROR",0)</f>
        <v/>
      </c>
      <c r="C44" s="306" t="inlineStr">
        <is>
          <t>MAT08-0108</t>
        </is>
      </c>
      <c r="D44" s="129">
        <f>_xlfn.XLOOKUP(C44,'IKARIA TECHO'!D:D,'IKARIA TECHO'!E:E,"ERROR",0)</f>
        <v/>
      </c>
      <c r="E44" s="535">
        <f>SUMIF('IKARIA TECHO'!D:D,ANALISIS!C44,'IKARIA TECHO'!F:F)</f>
        <v/>
      </c>
      <c r="F44" s="735">
        <f>_xlfn.XLOOKUP(C44,'IKARIA TECHO'!D:D,'IKARIA TECHO'!H:H,"ERROR",0)</f>
        <v/>
      </c>
      <c r="G44" s="687">
        <f>E44*F44</f>
        <v/>
      </c>
      <c r="H44" s="538">
        <f>G44/$G$289</f>
        <v/>
      </c>
    </row>
    <row r="45">
      <c r="B45" s="199">
        <f>_xlfn.XLOOKUP(C45,'INSUMOS MAT '!B:B,'INSUMOS MAT '!C:C,"ERROR",0)</f>
        <v/>
      </c>
      <c r="C45" s="306" t="inlineStr">
        <is>
          <t>MAT08-0141</t>
        </is>
      </c>
      <c r="D45" s="129">
        <f>_xlfn.XLOOKUP(C45,'IKARIA TECHO'!D:D,'IKARIA TECHO'!E:E,"ERROR",0)</f>
        <v/>
      </c>
      <c r="E45" s="535">
        <f>SUMIF('IKARIA TECHO'!D:D,ANALISIS!C45,'IKARIA TECHO'!F:F)</f>
        <v/>
      </c>
      <c r="F45" s="735">
        <f>_xlfn.XLOOKUP(C45,'IKARIA TECHO'!D:D,'IKARIA TECHO'!H:H,"ERROR",0)</f>
        <v/>
      </c>
      <c r="G45" s="687">
        <f>E45*F45</f>
        <v/>
      </c>
      <c r="H45" s="538">
        <f>G45/$G$289</f>
        <v/>
      </c>
    </row>
    <row r="46">
      <c r="B46" s="199">
        <f>_xlfn.XLOOKUP(C46,'INSUMOS MAT '!B:B,'INSUMOS MAT '!C:C,"ERROR",0)</f>
        <v/>
      </c>
      <c r="C46" s="306" t="inlineStr">
        <is>
          <t>MAT08-0038</t>
        </is>
      </c>
      <c r="D46" s="129">
        <f>_xlfn.XLOOKUP(C46,'IKARIA TECHO'!D:D,'IKARIA TECHO'!E:E,"ERROR",0)</f>
        <v/>
      </c>
      <c r="E46" s="535">
        <f>SUMIF('IKARIA TECHO'!D:D,ANALISIS!C46,'IKARIA TECHO'!F:F)</f>
        <v/>
      </c>
      <c r="F46" s="735">
        <f>_xlfn.XLOOKUP(C46,'IKARIA TECHO'!D:D,'IKARIA TECHO'!H:H,"ERROR",0)</f>
        <v/>
      </c>
      <c r="G46" s="687">
        <f>E46*F46</f>
        <v/>
      </c>
      <c r="H46" s="538">
        <f>G46/$G$289</f>
        <v/>
      </c>
    </row>
    <row r="47">
      <c r="B47" s="199">
        <f>_xlfn.XLOOKUP(C47,'INSUMOS MAT '!B:B,'INSUMOS MAT '!C:C,"ERROR",0)</f>
        <v/>
      </c>
      <c r="C47" s="305" t="inlineStr">
        <is>
          <t>MAT19-0011</t>
        </is>
      </c>
      <c r="D47" s="129">
        <f>_xlfn.XLOOKUP(C47,'IKARIA TECHO'!D:D,'IKARIA TECHO'!E:E,"ERROR",0)</f>
        <v/>
      </c>
      <c r="E47" s="535">
        <f>SUMIF('IKARIA TECHO'!D:D,ANALISIS!C47,'IKARIA TECHO'!F:F)</f>
        <v/>
      </c>
      <c r="F47" s="735">
        <f>_xlfn.XLOOKUP(C47,'IKARIA TECHO'!D:D,'IKARIA TECHO'!H:H,"ERROR",0)</f>
        <v/>
      </c>
      <c r="G47" s="687">
        <f>E47*F47</f>
        <v/>
      </c>
      <c r="H47" s="538">
        <f>G47/$G$289</f>
        <v/>
      </c>
    </row>
    <row r="48">
      <c r="B48" s="199">
        <f>_xlfn.XLOOKUP(C48,'INSUMOS MAT '!B:B,'INSUMOS MAT '!C:C,"ERROR",0)</f>
        <v/>
      </c>
      <c r="C48" s="305" t="inlineStr">
        <is>
          <t>MAT08-0072</t>
        </is>
      </c>
      <c r="D48" s="129">
        <f>_xlfn.XLOOKUP(C48,'IKARIA TECHO'!D:D,'IKARIA TECHO'!E:E,"ERROR",0)</f>
        <v/>
      </c>
      <c r="E48" s="535">
        <f>SUMIF('IKARIA TECHO'!D:D,ANALISIS!C48,'IKARIA TECHO'!F:F)</f>
        <v/>
      </c>
      <c r="F48" s="735">
        <f>_xlfn.XLOOKUP(C48,'IKARIA TECHO'!D:D,'IKARIA TECHO'!H:H,"ERROR",0)</f>
        <v/>
      </c>
      <c r="G48" s="687">
        <f>E48*F48</f>
        <v/>
      </c>
      <c r="H48" s="538">
        <f>G48/$G$289</f>
        <v/>
      </c>
    </row>
    <row r="49">
      <c r="B49" s="199">
        <f>_xlfn.XLOOKUP(C49,'INSUMOS MAT '!B:B,'INSUMOS MAT '!C:C,"ERROR",0)</f>
        <v/>
      </c>
      <c r="C49" s="305" t="inlineStr">
        <is>
          <t>MAT19-0020</t>
        </is>
      </c>
      <c r="D49" s="129">
        <f>_xlfn.XLOOKUP(C49,'IKARIA TECHO'!D:D,'IKARIA TECHO'!E:E,"ERROR",0)</f>
        <v/>
      </c>
      <c r="E49" s="535">
        <f>SUMIF('IKARIA TECHO'!D:D,ANALISIS!C49,'IKARIA TECHO'!F:F)</f>
        <v/>
      </c>
      <c r="F49" s="735">
        <f>_xlfn.XLOOKUP(C49,'IKARIA TECHO'!D:D,'IKARIA TECHO'!H:H,"ERROR",0)</f>
        <v/>
      </c>
      <c r="G49" s="687">
        <f>E49*F49</f>
        <v/>
      </c>
      <c r="H49" s="538">
        <f>G49/$G$289</f>
        <v/>
      </c>
    </row>
    <row r="50">
      <c r="B50" s="199">
        <f>_xlfn.XLOOKUP(C50,'INSUMOS MAT '!B:B,'INSUMOS MAT '!C:C,"ERROR",0)</f>
        <v/>
      </c>
      <c r="C50" s="305" t="inlineStr">
        <is>
          <t>MAT19-0077</t>
        </is>
      </c>
      <c r="D50" s="129">
        <f>_xlfn.XLOOKUP(C50,'IKARIA TECHO'!D:D,'IKARIA TECHO'!E:E,"ERROR",0)</f>
        <v/>
      </c>
      <c r="E50" s="535">
        <f>SUMIF('IKARIA TECHO'!D:D,ANALISIS!C50,'IKARIA TECHO'!F:F)</f>
        <v/>
      </c>
      <c r="F50" s="735">
        <f>_xlfn.XLOOKUP(C50,'IKARIA TECHO'!D:D,'IKARIA TECHO'!H:H,"ERROR",0)</f>
        <v/>
      </c>
      <c r="G50" s="687">
        <f>E50*F50</f>
        <v/>
      </c>
      <c r="H50" s="538">
        <f>G50/$G$289</f>
        <v/>
      </c>
    </row>
    <row r="51">
      <c r="B51" s="199">
        <f>_xlfn.XLOOKUP(C51,'INSUMOS MAT '!B:B,'INSUMOS MAT '!C:C,"ERROR",0)</f>
        <v/>
      </c>
      <c r="C51" s="305" t="inlineStr">
        <is>
          <t>MAT19-0061</t>
        </is>
      </c>
      <c r="D51" s="129">
        <f>_xlfn.XLOOKUP(C51,'IKARIA TECHO'!D:D,'IKARIA TECHO'!E:E,"ERROR",0)</f>
        <v/>
      </c>
      <c r="E51" s="535">
        <f>SUMIF('IKARIA TECHO'!D:D,ANALISIS!C51,'IKARIA TECHO'!F:F)</f>
        <v/>
      </c>
      <c r="F51" s="735">
        <f>_xlfn.XLOOKUP(C51,'IKARIA TECHO'!D:D,'IKARIA TECHO'!H:H,"ERROR",0)</f>
        <v/>
      </c>
      <c r="G51" s="687">
        <f>E51*F51</f>
        <v/>
      </c>
      <c r="H51" s="538">
        <f>G51/$G$289</f>
        <v/>
      </c>
    </row>
    <row r="52">
      <c r="B52" s="199">
        <f>_xlfn.XLOOKUP(C52,'INSUMOS MAT '!B:B,'INSUMOS MAT '!C:C,"ERROR",0)</f>
        <v/>
      </c>
      <c r="C52" s="305" t="inlineStr">
        <is>
          <t>MAT19-0092</t>
        </is>
      </c>
      <c r="D52" s="129">
        <f>_xlfn.XLOOKUP(C52,'IKARIA TECHO'!D:D,'IKARIA TECHO'!E:E,"ERROR",0)</f>
        <v/>
      </c>
      <c r="E52" s="535">
        <f>SUMIF('IKARIA TECHO'!D:D,ANALISIS!C52,'IKARIA TECHO'!F:F)</f>
        <v/>
      </c>
      <c r="F52" s="735">
        <f>_xlfn.XLOOKUP(C52,'IKARIA TECHO'!D:D,'IKARIA TECHO'!H:H,"ERROR",0)</f>
        <v/>
      </c>
      <c r="G52" s="687">
        <f>E52*F52</f>
        <v/>
      </c>
      <c r="H52" s="538">
        <f>G52/$G$289</f>
        <v/>
      </c>
    </row>
    <row r="53">
      <c r="B53" s="199">
        <f>_xlfn.XLOOKUP(C53,'INSUMOS MAT '!B:B,'INSUMOS MAT '!C:C,"ERROR",0)</f>
        <v/>
      </c>
      <c r="C53" s="305" t="inlineStr">
        <is>
          <t>MAT19-0075</t>
        </is>
      </c>
      <c r="D53" s="129">
        <f>_xlfn.XLOOKUP(C53,'IKARIA TECHO'!D:D,'IKARIA TECHO'!E:E,"ERROR",0)</f>
        <v/>
      </c>
      <c r="E53" s="535">
        <f>SUMIF('IKARIA TECHO'!D:D,ANALISIS!C53,'IKARIA TECHO'!F:F)</f>
        <v/>
      </c>
      <c r="F53" s="735">
        <f>_xlfn.XLOOKUP(C53,'IKARIA TECHO'!D:D,'IKARIA TECHO'!H:H,"ERROR",0)</f>
        <v/>
      </c>
      <c r="G53" s="687">
        <f>E53*F53</f>
        <v/>
      </c>
      <c r="H53" s="538">
        <f>G53/$G$289</f>
        <v/>
      </c>
    </row>
    <row r="54">
      <c r="B54" s="199">
        <f>_xlfn.XLOOKUP(C54,'INSUMOS MAT '!B:B,'INSUMOS MAT '!C:C,"ERROR",0)</f>
        <v/>
      </c>
      <c r="C54" s="305" t="inlineStr">
        <is>
          <t>MAT19-0021</t>
        </is>
      </c>
      <c r="D54" s="129">
        <f>_xlfn.XLOOKUP(C54,'IKARIA TECHO'!D:D,'IKARIA TECHO'!E:E,"ERROR",0)</f>
        <v/>
      </c>
      <c r="E54" s="535">
        <f>SUMIF('IKARIA TECHO'!D:D,ANALISIS!C54,'IKARIA TECHO'!F:F)</f>
        <v/>
      </c>
      <c r="F54" s="735">
        <f>_xlfn.XLOOKUP(C54,'IKARIA TECHO'!D:D,'IKARIA TECHO'!H:H,"ERROR",0)</f>
        <v/>
      </c>
      <c r="G54" s="687">
        <f>E54*F54</f>
        <v/>
      </c>
      <c r="H54" s="538">
        <f>G54/$G$289</f>
        <v/>
      </c>
    </row>
    <row r="55">
      <c r="B55" s="199">
        <f>_xlfn.XLOOKUP(C55,'INSUMOS MAT '!B:B,'INSUMOS MAT '!C:C,"ERROR",0)</f>
        <v/>
      </c>
      <c r="C55" s="305" t="inlineStr">
        <is>
          <t>MAT19-0088</t>
        </is>
      </c>
      <c r="D55" s="129">
        <f>_xlfn.XLOOKUP(C55,'IKARIA TECHO'!D:D,'IKARIA TECHO'!E:E,"ERROR",0)</f>
        <v/>
      </c>
      <c r="E55" s="535">
        <f>SUMIF('IKARIA TECHO'!D:D,ANALISIS!C55,'IKARIA TECHO'!F:F)</f>
        <v/>
      </c>
      <c r="F55" s="735">
        <f>_xlfn.XLOOKUP(C55,'IKARIA TECHO'!D:D,'IKARIA TECHO'!H:H,"ERROR",0)</f>
        <v/>
      </c>
      <c r="G55" s="687">
        <f>E55*F55</f>
        <v/>
      </c>
      <c r="H55" s="538">
        <f>G55/$G$289</f>
        <v/>
      </c>
    </row>
    <row r="56">
      <c r="B56" s="199">
        <f>_xlfn.XLOOKUP(C56,'INSUMOS MAT '!B:B,'INSUMOS MAT '!C:C,"ERROR",0)</f>
        <v/>
      </c>
      <c r="C56" s="305" t="inlineStr">
        <is>
          <t>MAT19-0009</t>
        </is>
      </c>
      <c r="D56" s="129">
        <f>_xlfn.XLOOKUP(C56,'IKARIA TECHO'!D:D,'IKARIA TECHO'!E:E,"ERROR",0)</f>
        <v/>
      </c>
      <c r="E56" s="535">
        <f>SUMIF('IKARIA TECHO'!D:D,ANALISIS!C56,'IKARIA TECHO'!F:F)</f>
        <v/>
      </c>
      <c r="F56" s="735">
        <f>_xlfn.XLOOKUP(C56,'IKARIA TECHO'!D:D,'IKARIA TECHO'!H:H,"ERROR",0)</f>
        <v/>
      </c>
      <c r="G56" s="687">
        <f>E56*F56</f>
        <v/>
      </c>
      <c r="H56" s="538">
        <f>G56/$G$289</f>
        <v/>
      </c>
    </row>
    <row r="57">
      <c r="B57" s="199">
        <f>_xlfn.XLOOKUP(C57,'INSUMOS MAT '!B:B,'INSUMOS MAT '!C:C,"ERROR",0)</f>
        <v/>
      </c>
      <c r="C57" s="305" t="inlineStr">
        <is>
          <t>MAT19-0066</t>
        </is>
      </c>
      <c r="D57" s="129">
        <f>_xlfn.XLOOKUP(C57,'IKARIA TECHO'!D:D,'IKARIA TECHO'!E:E,"ERROR",0)</f>
        <v/>
      </c>
      <c r="E57" s="535">
        <f>SUMIF('IKARIA TECHO'!D:D,ANALISIS!C57,'IKARIA TECHO'!F:F)</f>
        <v/>
      </c>
      <c r="F57" s="735">
        <f>_xlfn.XLOOKUP(C57,'IKARIA TECHO'!D:D,'IKARIA TECHO'!H:H,"ERROR",0)</f>
        <v/>
      </c>
      <c r="G57" s="687">
        <f>E57*F57</f>
        <v/>
      </c>
      <c r="H57" s="538">
        <f>G57/$G$289</f>
        <v/>
      </c>
    </row>
    <row r="58">
      <c r="B58" s="199">
        <f>_xlfn.XLOOKUP(C58,'INSUMOS MAT '!B:B,'INSUMOS MAT '!C:C,"ERROR",0)</f>
        <v/>
      </c>
      <c r="C58" s="305" t="inlineStr">
        <is>
          <t>MAT19-0023</t>
        </is>
      </c>
      <c r="D58" s="129">
        <f>_xlfn.XLOOKUP(C58,'IKARIA TECHO'!D:D,'IKARIA TECHO'!E:E,"ERROR",0)</f>
        <v/>
      </c>
      <c r="E58" s="535">
        <f>SUMIF('IKARIA TECHO'!D:D,ANALISIS!C58,'IKARIA TECHO'!F:F)</f>
        <v/>
      </c>
      <c r="F58" s="735">
        <f>_xlfn.XLOOKUP(C58,'IKARIA TECHO'!D:D,'IKARIA TECHO'!H:H,"ERROR",0)</f>
        <v/>
      </c>
      <c r="G58" s="687">
        <f>E58*F58</f>
        <v/>
      </c>
      <c r="H58" s="538">
        <f>G58/$G$289</f>
        <v/>
      </c>
    </row>
    <row r="59">
      <c r="B59" s="199">
        <f>_xlfn.XLOOKUP(C59,'INSUMOS MAT '!B:B,'INSUMOS MAT '!C:C,"ERROR",0)</f>
        <v/>
      </c>
      <c r="C59" s="305" t="inlineStr">
        <is>
          <t>MAT19-0038</t>
        </is>
      </c>
      <c r="D59" s="129">
        <f>_xlfn.XLOOKUP(C59,'IKARIA TECHO'!D:D,'IKARIA TECHO'!E:E,"ERROR",0)</f>
        <v/>
      </c>
      <c r="E59" s="535">
        <f>SUMIF('IKARIA TECHO'!D:D,ANALISIS!C59,'IKARIA TECHO'!F:F)</f>
        <v/>
      </c>
      <c r="F59" s="735">
        <f>_xlfn.XLOOKUP(C59,'IKARIA TECHO'!D:D,'IKARIA TECHO'!H:H,"ERROR",0)</f>
        <v/>
      </c>
      <c r="G59" s="687">
        <f>E59*F59</f>
        <v/>
      </c>
      <c r="H59" s="538">
        <f>G59/$G$289</f>
        <v/>
      </c>
    </row>
    <row r="60">
      <c r="B60" s="199">
        <f>_xlfn.XLOOKUP(C60,'INSUMOS MAT '!B:B,'INSUMOS MAT '!C:C,"ERROR",0)</f>
        <v/>
      </c>
      <c r="C60" s="305" t="inlineStr">
        <is>
          <t>MAT19-0110</t>
        </is>
      </c>
      <c r="D60" s="129">
        <f>_xlfn.XLOOKUP(C60,'IKARIA TECHO'!D:D,'IKARIA TECHO'!E:E,"ERROR",0)</f>
        <v/>
      </c>
      <c r="E60" s="535">
        <f>SUMIF('IKARIA TECHO'!D:D,ANALISIS!C60,'IKARIA TECHO'!F:F)</f>
        <v/>
      </c>
      <c r="F60" s="735">
        <f>_xlfn.XLOOKUP(C60,'IKARIA TECHO'!D:D,'IKARIA TECHO'!H:H,"ERROR",0)</f>
        <v/>
      </c>
      <c r="G60" s="687">
        <f>E60*F60</f>
        <v/>
      </c>
      <c r="H60" s="538">
        <f>G60/$G$289</f>
        <v/>
      </c>
    </row>
    <row r="61">
      <c r="B61" s="199">
        <f>_xlfn.XLOOKUP(C61,'INSUMOS MAT '!B:B,'INSUMOS MAT '!C:C,"ERROR",0)</f>
        <v/>
      </c>
      <c r="C61" s="305" t="inlineStr">
        <is>
          <t>MAT19-0086</t>
        </is>
      </c>
      <c r="D61" s="129">
        <f>_xlfn.XLOOKUP(C61,'IKARIA TECHO'!D:D,'IKARIA TECHO'!E:E,"ERROR",0)</f>
        <v/>
      </c>
      <c r="E61" s="535">
        <f>SUMIF('IKARIA TECHO'!D:D,ANALISIS!C61,'IKARIA TECHO'!F:F)</f>
        <v/>
      </c>
      <c r="F61" s="735">
        <f>_xlfn.XLOOKUP(C61,'IKARIA TECHO'!D:D,'IKARIA TECHO'!H:H,"ERROR",0)</f>
        <v/>
      </c>
      <c r="G61" s="687">
        <f>E61*F61</f>
        <v/>
      </c>
      <c r="H61" s="538">
        <f>G61/$G$289</f>
        <v/>
      </c>
    </row>
    <row r="62">
      <c r="B62" s="199">
        <f>_xlfn.XLOOKUP(C62,'INSUMOS MAT '!B:B,'INSUMOS MAT '!C:C,"ERROR",0)</f>
        <v/>
      </c>
      <c r="C62" s="305" t="inlineStr">
        <is>
          <t>MAT19-0087</t>
        </is>
      </c>
      <c r="D62" s="129">
        <f>_xlfn.XLOOKUP(C62,'IKARIA TECHO'!D:D,'IKARIA TECHO'!E:E,"ERROR",0)</f>
        <v/>
      </c>
      <c r="E62" s="535">
        <f>SUMIF('IKARIA TECHO'!D:D,ANALISIS!C62,'IKARIA TECHO'!F:F)</f>
        <v/>
      </c>
      <c r="F62" s="735">
        <f>_xlfn.XLOOKUP(C62,'IKARIA TECHO'!D:D,'IKARIA TECHO'!H:H,"ERROR",0)</f>
        <v/>
      </c>
      <c r="G62" s="687">
        <f>E62*F62</f>
        <v/>
      </c>
      <c r="H62" s="538">
        <f>G62/$G$289</f>
        <v/>
      </c>
    </row>
    <row r="63">
      <c r="B63" s="199">
        <f>_xlfn.XLOOKUP(C63,'INSUMOS MAT '!B:B,'INSUMOS MAT '!C:C,"ERROR",0)</f>
        <v/>
      </c>
      <c r="C63" s="305" t="inlineStr">
        <is>
          <t>MAT19-0033</t>
        </is>
      </c>
      <c r="D63" s="129">
        <f>_xlfn.XLOOKUP(C63,'IKARIA TECHO'!D:D,'IKARIA TECHO'!E:E,"ERROR",0)</f>
        <v/>
      </c>
      <c r="E63" s="535">
        <f>SUMIF('IKARIA TECHO'!D:D,ANALISIS!C63,'IKARIA TECHO'!F:F)</f>
        <v/>
      </c>
      <c r="F63" s="735">
        <f>_xlfn.XLOOKUP(C63,'IKARIA TECHO'!D:D,'IKARIA TECHO'!H:H,"ERROR",0)</f>
        <v/>
      </c>
      <c r="G63" s="687">
        <f>E63*F63</f>
        <v/>
      </c>
      <c r="H63" s="538">
        <f>G63/$G$289</f>
        <v/>
      </c>
    </row>
    <row r="64">
      <c r="B64" s="199">
        <f>_xlfn.XLOOKUP(C64,'INSUMOS MAT '!B:B,'INSUMOS MAT '!C:C,"ERROR",0)</f>
        <v/>
      </c>
      <c r="C64" s="305" t="inlineStr">
        <is>
          <t>MAT19-0034</t>
        </is>
      </c>
      <c r="D64" s="129">
        <f>_xlfn.XLOOKUP(C64,'IKARIA TECHO'!D:D,'IKARIA TECHO'!E:E,"ERROR",0)</f>
        <v/>
      </c>
      <c r="E64" s="535">
        <f>SUMIF('IKARIA TECHO'!D:D,ANALISIS!C64,'IKARIA TECHO'!F:F)</f>
        <v/>
      </c>
      <c r="F64" s="735">
        <f>_xlfn.XLOOKUP(C64,'IKARIA TECHO'!D:D,'IKARIA TECHO'!H:H,"ERROR",0)</f>
        <v/>
      </c>
      <c r="G64" s="687">
        <f>E64*F64</f>
        <v/>
      </c>
      <c r="H64" s="538">
        <f>G64/$G$289</f>
        <v/>
      </c>
    </row>
    <row r="65">
      <c r="B65" s="199">
        <f>_xlfn.XLOOKUP(C65,'INSUMOS MAT '!B:B,'INSUMOS MAT '!C:C,"ERROR",0)</f>
        <v/>
      </c>
      <c r="C65" s="305" t="inlineStr">
        <is>
          <t>MAT19-0030</t>
        </is>
      </c>
      <c r="D65" s="129">
        <f>_xlfn.XLOOKUP(C65,'IKARIA TECHO'!D:D,'IKARIA TECHO'!E:E,"ERROR",0)</f>
        <v/>
      </c>
      <c r="E65" s="535">
        <f>SUMIF('IKARIA TECHO'!D:D,ANALISIS!C65,'IKARIA TECHO'!F:F)</f>
        <v/>
      </c>
      <c r="F65" s="735">
        <f>_xlfn.XLOOKUP(C65,'IKARIA TECHO'!D:D,'IKARIA TECHO'!H:H,"ERROR",0)</f>
        <v/>
      </c>
      <c r="G65" s="687">
        <f>E65*F65</f>
        <v/>
      </c>
      <c r="H65" s="538">
        <f>G65/$G$289</f>
        <v/>
      </c>
    </row>
    <row r="66">
      <c r="B66" s="199">
        <f>_xlfn.XLOOKUP(C66,'INSUMOS MAT '!B:B,'INSUMOS MAT '!C:C,"ERROR",0)</f>
        <v/>
      </c>
      <c r="C66" s="305" t="inlineStr">
        <is>
          <t>MAT19-0107</t>
        </is>
      </c>
      <c r="D66" s="129">
        <f>_xlfn.XLOOKUP(C66,'IKARIA TECHO'!D:D,'IKARIA TECHO'!E:E,"ERROR",0)</f>
        <v/>
      </c>
      <c r="E66" s="535">
        <f>SUMIF('IKARIA TECHO'!D:D,ANALISIS!C66,'IKARIA TECHO'!F:F)</f>
        <v/>
      </c>
      <c r="F66" s="735">
        <f>_xlfn.XLOOKUP(C66,'IKARIA TECHO'!D:D,'IKARIA TECHO'!H:H,"ERROR",0)</f>
        <v/>
      </c>
      <c r="G66" s="687">
        <f>E66*F66</f>
        <v/>
      </c>
      <c r="H66" s="538">
        <f>G66/$G$289</f>
        <v/>
      </c>
    </row>
    <row r="67">
      <c r="B67" s="199">
        <f>_xlfn.XLOOKUP(C67,'INSUMOS MAT '!B:B,'INSUMOS MAT '!C:C,"ERROR",0)</f>
        <v/>
      </c>
      <c r="C67" s="305" t="inlineStr">
        <is>
          <t>MAT19-0106</t>
        </is>
      </c>
      <c r="D67" s="129">
        <f>_xlfn.XLOOKUP(C67,'IKARIA TECHO'!D:D,'IKARIA TECHO'!E:E,"ERROR",0)</f>
        <v/>
      </c>
      <c r="E67" s="535">
        <f>SUMIF('IKARIA TECHO'!D:D,ANALISIS!C67,'IKARIA TECHO'!F:F)</f>
        <v/>
      </c>
      <c r="F67" s="735">
        <f>_xlfn.XLOOKUP(C67,'IKARIA TECHO'!D:D,'IKARIA TECHO'!H:H,"ERROR",0)</f>
        <v/>
      </c>
      <c r="G67" s="687">
        <f>E67*F67</f>
        <v/>
      </c>
      <c r="H67" s="538">
        <f>G67/$G$289</f>
        <v/>
      </c>
    </row>
    <row r="68">
      <c r="B68" s="582" t="n"/>
      <c r="C68" s="305" t="inlineStr">
        <is>
          <t>EQU20-0005</t>
        </is>
      </c>
      <c r="D68" s="129">
        <f>_xlfn.XLOOKUP(C68,'IKARIA TECHO'!D:D,'IKARIA TECHO'!E:E,"ERROR",0)</f>
        <v/>
      </c>
      <c r="E68" s="535">
        <f>SUMIF('IKARIA TECHO'!D:D,ANALISIS!C68,'IKARIA TECHO'!F:F)</f>
        <v/>
      </c>
      <c r="F68" s="735">
        <f>_xlfn.XLOOKUP(C68,'IKARIA TECHO'!D:D,'IKARIA TECHO'!H:H,"ERROR",0)</f>
        <v/>
      </c>
      <c r="G68" s="687">
        <f>E68*F68</f>
        <v/>
      </c>
      <c r="H68" s="538">
        <f>G68/$G$289</f>
        <v/>
      </c>
    </row>
    <row r="69">
      <c r="B69" s="199">
        <f>_xlfn.XLOOKUP(C69,'INSUMOS MAT '!B:B,'INSUMOS MAT '!C:C,"ERROR",0)</f>
        <v/>
      </c>
      <c r="C69" s="306" t="inlineStr">
        <is>
          <t>MAT02-0025</t>
        </is>
      </c>
      <c r="D69" s="129">
        <f>_xlfn.XLOOKUP(C69,'IKARIA TECHO'!D:D,'IKARIA TECHO'!E:E,"ERROR",0)</f>
        <v/>
      </c>
      <c r="E69" s="535">
        <f>SUMIF('IKARIA TECHO'!D:D,ANALISIS!C69,'IKARIA TECHO'!F:F)</f>
        <v/>
      </c>
      <c r="F69" s="735">
        <f>_xlfn.XLOOKUP(C69,'IKARIA TECHO'!D:D,'IKARIA TECHO'!H:H,"ERROR",0)</f>
        <v/>
      </c>
      <c r="G69" s="687">
        <f>E69*F69</f>
        <v/>
      </c>
      <c r="H69" s="538">
        <f>G69/$G$289</f>
        <v/>
      </c>
    </row>
    <row r="70">
      <c r="B70" s="199">
        <f>_xlfn.XLOOKUP(C70,'INSUMOS MAT '!B:B,'INSUMOS MAT '!C:C,"ERROR",0)</f>
        <v/>
      </c>
      <c r="C70" s="306" t="inlineStr">
        <is>
          <t>MAT02-0026</t>
        </is>
      </c>
      <c r="D70" s="540">
        <f>_xlfn.XLOOKUP(C70,'IKARIA TECHO'!D:D,'IKARIA TECHO'!E:E,"ERROR",0)</f>
        <v/>
      </c>
      <c r="E70" s="541">
        <f>SUMIF('IKARIA TECHO'!D:D,ANALISIS!C70,'IKARIA TECHO'!F:F)</f>
        <v/>
      </c>
      <c r="F70" s="763">
        <f>_xlfn.XLOOKUP(C70,'IKARIA TECHO'!D:D,'IKARIA TECHO'!H:H,"ERROR",0)</f>
        <v/>
      </c>
      <c r="G70" s="764">
        <f>E70*F70</f>
        <v/>
      </c>
      <c r="H70" s="544">
        <f>G70/$G$289</f>
        <v/>
      </c>
    </row>
    <row r="71">
      <c r="B71" s="199">
        <f>_xlfn.XLOOKUP(C71,'INSUMOS MAT '!B:B,'INSUMOS MAT '!C:C,"ERROR",0)</f>
        <v/>
      </c>
      <c r="C71" s="306" t="inlineStr">
        <is>
          <t>MAT08-0446</t>
        </is>
      </c>
      <c r="D71" s="129">
        <f>_xlfn.XLOOKUP(C71,'IKARIA TECHO'!D:D,'IKARIA TECHO'!E:E,"ERROR",0)</f>
        <v/>
      </c>
      <c r="E71" s="535">
        <f>SUMIF('IKARIA TECHO'!D:D,ANALISIS!C71,'IKARIA TECHO'!F:F)</f>
        <v/>
      </c>
      <c r="F71" s="735">
        <f>_xlfn.XLOOKUP(C71,'IKARIA TECHO'!D:D,'IKARIA TECHO'!H:H,"ERROR",0)</f>
        <v/>
      </c>
      <c r="G71" s="687">
        <f>E71*F71</f>
        <v/>
      </c>
      <c r="H71" s="538">
        <f>G71/$G$289</f>
        <v/>
      </c>
    </row>
    <row r="72">
      <c r="B72" s="199">
        <f>_xlfn.XLOOKUP(C72,'INSUMOS MAT '!B:B,'INSUMOS MAT '!C:C,"ERROR",0)</f>
        <v/>
      </c>
      <c r="C72" s="306" t="inlineStr">
        <is>
          <t>MAT19-0073</t>
        </is>
      </c>
      <c r="D72" s="129">
        <f>_xlfn.XLOOKUP(C72,'IKARIA TECHO'!D:D,'IKARIA TECHO'!E:E,"ERROR",0)</f>
        <v/>
      </c>
      <c r="E72" s="535">
        <f>SUMIF('IKARIA TECHO'!D:D,ANALISIS!C72,'IKARIA TECHO'!F:F)</f>
        <v/>
      </c>
      <c r="F72" s="735">
        <f>_xlfn.XLOOKUP(C72,'IKARIA TECHO'!D:D,'IKARIA TECHO'!H:H,"ERROR",0)</f>
        <v/>
      </c>
      <c r="G72" s="687">
        <f>E72*F72</f>
        <v/>
      </c>
      <c r="H72" s="538">
        <f>G72/$G$289</f>
        <v/>
      </c>
    </row>
    <row r="73">
      <c r="B73" s="199">
        <f>_xlfn.XLOOKUP(C73,'INSUMOS MAT '!B:B,'INSUMOS MAT '!C:C,"ERROR",0)</f>
        <v/>
      </c>
      <c r="C73" s="306" t="inlineStr">
        <is>
          <t>MAT19-0072</t>
        </is>
      </c>
      <c r="D73" s="129">
        <f>_xlfn.XLOOKUP(C73,'IKARIA TECHO'!D:D,'IKARIA TECHO'!E:E,"ERROR",0)</f>
        <v/>
      </c>
      <c r="E73" s="535">
        <f>SUMIF('IKARIA TECHO'!D:D,ANALISIS!C73,'IKARIA TECHO'!F:F)</f>
        <v/>
      </c>
      <c r="F73" s="735">
        <f>_xlfn.XLOOKUP(C73,'IKARIA TECHO'!D:D,'IKARIA TECHO'!H:H,"ERROR",0)</f>
        <v/>
      </c>
      <c r="G73" s="687">
        <f>E73*F73</f>
        <v/>
      </c>
      <c r="H73" s="538">
        <f>G73/$G$289</f>
        <v/>
      </c>
    </row>
    <row r="74">
      <c r="B74" s="199">
        <f>_xlfn.XLOOKUP(C74,'INSUMOS MAT '!B:B,'INSUMOS MAT '!C:C,"ERROR",0)</f>
        <v/>
      </c>
      <c r="C74" s="314" t="inlineStr">
        <is>
          <t>MAT08-0065</t>
        </is>
      </c>
      <c r="D74" s="129">
        <f>_xlfn.XLOOKUP(C74,'IKARIA TECHO'!D:D,'IKARIA TECHO'!E:E,"ERROR",0)</f>
        <v/>
      </c>
      <c r="E74" s="535">
        <f>SUMIF('IKARIA TECHO'!D:D,ANALISIS!C74,'IKARIA TECHO'!F:F)</f>
        <v/>
      </c>
      <c r="F74" s="735">
        <f>_xlfn.XLOOKUP(C74,'IKARIA TECHO'!D:D,'IKARIA TECHO'!H:H,"ERROR",0)</f>
        <v/>
      </c>
      <c r="G74" s="687">
        <f>E74*F74</f>
        <v/>
      </c>
      <c r="H74" s="538">
        <f>G74/$G$289</f>
        <v/>
      </c>
    </row>
    <row r="75">
      <c r="B75" s="199">
        <f>_xlfn.XLOOKUP(C75,'INSUMOS MAT '!B:B,'INSUMOS MAT '!C:C,"ERROR",0)</f>
        <v/>
      </c>
      <c r="C75" s="314" t="inlineStr">
        <is>
          <t>MAT16-0005</t>
        </is>
      </c>
      <c r="D75" s="129">
        <f>_xlfn.XLOOKUP(C75,'IKARIA TECHO'!D:D,'IKARIA TECHO'!E:E,"ERROR",0)</f>
        <v/>
      </c>
      <c r="E75" s="535">
        <f>SUMIF('IKARIA TECHO'!D:D,ANALISIS!C75,'IKARIA TECHO'!F:F)</f>
        <v/>
      </c>
      <c r="F75" s="735">
        <f>_xlfn.XLOOKUP(C75,'IKARIA TECHO'!D:D,'IKARIA TECHO'!H:H,"ERROR",0)</f>
        <v/>
      </c>
      <c r="G75" s="687">
        <f>E75*F75</f>
        <v/>
      </c>
      <c r="H75" s="538">
        <f>G75/$G$289</f>
        <v/>
      </c>
    </row>
    <row r="76">
      <c r="B76" s="199">
        <f>_xlfn.XLOOKUP(C76,'INSUMOS MAT '!B:B,'INSUMOS MAT '!C:C,"ERROR",0)</f>
        <v/>
      </c>
      <c r="C76" s="314" t="inlineStr">
        <is>
          <t>MAT06-0110</t>
        </is>
      </c>
      <c r="D76" s="129">
        <f>_xlfn.XLOOKUP(C76,'IKARIA TECHO'!D:D,'IKARIA TECHO'!E:E,"ERROR",0)</f>
        <v/>
      </c>
      <c r="E76" s="535">
        <f>SUMIF('IKARIA TECHO'!D:D,ANALISIS!C76,'IKARIA TECHO'!F:F)</f>
        <v/>
      </c>
      <c r="F76" s="735">
        <f>_xlfn.XLOOKUP(C76,'IKARIA TECHO'!D:D,'IKARIA TECHO'!H:H,"ERROR",0)</f>
        <v/>
      </c>
      <c r="G76" s="687">
        <f>E76*F76</f>
        <v/>
      </c>
      <c r="H76" s="538">
        <f>G76/$G$289</f>
        <v/>
      </c>
    </row>
    <row r="77">
      <c r="B77" s="199">
        <f>_xlfn.XLOOKUP(C77,'INSUMOS MAT '!B:B,'INSUMOS MAT '!C:C,"ERROR",0)</f>
        <v/>
      </c>
      <c r="C77" s="314" t="inlineStr">
        <is>
          <t>MAT19-0029</t>
        </is>
      </c>
      <c r="D77" s="129">
        <f>_xlfn.XLOOKUP(C77,'IKARIA TECHO'!D:D,'IKARIA TECHO'!E:E,"ERROR",0)</f>
        <v/>
      </c>
      <c r="E77" s="535">
        <f>SUMIF('IKARIA TECHO'!D:D,ANALISIS!C77,'IKARIA TECHO'!F:F)</f>
        <v/>
      </c>
      <c r="F77" s="735">
        <f>_xlfn.XLOOKUP(C77,'IKARIA TECHO'!D:D,'IKARIA TECHO'!H:H,"ERROR",0)</f>
        <v/>
      </c>
      <c r="G77" s="687">
        <f>E77*F77</f>
        <v/>
      </c>
      <c r="H77" s="538">
        <f>G77/$G$289</f>
        <v/>
      </c>
    </row>
    <row r="78">
      <c r="B78" s="199">
        <f>_xlfn.XLOOKUP(C78,'INSUMOS MAT '!B:B,'INSUMOS MAT '!C:C,"ERROR",0)</f>
        <v/>
      </c>
      <c r="C78" s="305" t="inlineStr">
        <is>
          <t>MAT21-0029</t>
        </is>
      </c>
      <c r="D78" s="129">
        <f>_xlfn.XLOOKUP(C78,'IKARIA TECHO'!D:D,'IKARIA TECHO'!E:E,"ERROR",0)</f>
        <v/>
      </c>
      <c r="E78" s="535">
        <f>SUMIF('IKARIA TECHO'!D:D,ANALISIS!C78,'IKARIA TECHO'!F:F)</f>
        <v/>
      </c>
      <c r="F78" s="735">
        <f>_xlfn.XLOOKUP(C78,'IKARIA TECHO'!D:D,'IKARIA TECHO'!H:H,"ERROR",0)</f>
        <v/>
      </c>
      <c r="G78" s="687">
        <f>E78*F78</f>
        <v/>
      </c>
      <c r="H78" s="538">
        <f>G78/$G$289</f>
        <v/>
      </c>
    </row>
    <row r="79">
      <c r="B79" s="199">
        <f>_xlfn.XLOOKUP(C79,'INSUMOS MAT '!B:B,'INSUMOS MAT '!C:C,"ERROR",0)</f>
        <v/>
      </c>
      <c r="C79" s="305" t="inlineStr">
        <is>
          <t>MAT04-0061</t>
        </is>
      </c>
      <c r="D79" s="129">
        <f>_xlfn.XLOOKUP(C79,'IKARIA TECHO'!D:D,'IKARIA TECHO'!E:E,"ERROR",0)</f>
        <v/>
      </c>
      <c r="E79" s="535">
        <f>SUMIF('IKARIA TECHO'!D:D,ANALISIS!C79,'IKARIA TECHO'!F:F)</f>
        <v/>
      </c>
      <c r="F79" s="735">
        <f>_xlfn.XLOOKUP(C79,'IKARIA TECHO'!D:D,'IKARIA TECHO'!H:H,"ERROR",0)</f>
        <v/>
      </c>
      <c r="G79" s="687">
        <f>E79*F79</f>
        <v/>
      </c>
      <c r="H79" s="538">
        <f>G79/$G$289</f>
        <v/>
      </c>
    </row>
    <row r="80">
      <c r="B80" s="199">
        <f>_xlfn.XLOOKUP(C80,'INSUMOS MAT '!B:B,'INSUMOS MAT '!C:C,"ERROR",0)</f>
        <v/>
      </c>
      <c r="C80" s="305" t="inlineStr">
        <is>
          <t>MAT08-0046</t>
        </is>
      </c>
      <c r="D80" s="129">
        <f>_xlfn.XLOOKUP(C80,'IKARIA TECHO'!D:D,'IKARIA TECHO'!E:E,"ERROR",0)</f>
        <v/>
      </c>
      <c r="E80" s="535">
        <f>SUMIF('IKARIA TECHO'!D:D,ANALISIS!C80,'IKARIA TECHO'!F:F)</f>
        <v/>
      </c>
      <c r="F80" s="735">
        <f>_xlfn.XLOOKUP(C80,'IKARIA TECHO'!D:D,'IKARIA TECHO'!H:H,"ERROR",0)</f>
        <v/>
      </c>
      <c r="G80" s="687">
        <f>E80*F80</f>
        <v/>
      </c>
      <c r="H80" s="538">
        <f>G80/$G$289</f>
        <v/>
      </c>
    </row>
    <row r="81">
      <c r="B81" s="199">
        <f>_xlfn.XLOOKUP(C81,'INSUMOS MAT '!B:B,'INSUMOS MAT '!C:C,"ERROR",0)</f>
        <v/>
      </c>
      <c r="C81" s="306" t="inlineStr">
        <is>
          <t>MAT06-0055</t>
        </is>
      </c>
      <c r="D81" s="129">
        <f>_xlfn.XLOOKUP(C81,'IKARIA TECHO'!D:D,'IKARIA TECHO'!E:E,"ERROR",0)</f>
        <v/>
      </c>
      <c r="E81" s="535">
        <f>SUMIF('IKARIA TECHO'!D:D,ANALISIS!C81,'IKARIA TECHO'!F:F)</f>
        <v/>
      </c>
      <c r="F81" s="735">
        <f>_xlfn.XLOOKUP(C81,'IKARIA TECHO'!D:D,'IKARIA TECHO'!H:H,"ERROR",0)</f>
        <v/>
      </c>
      <c r="G81" s="687">
        <f>E81*F81</f>
        <v/>
      </c>
      <c r="H81" s="538">
        <f>G81/$G$289</f>
        <v/>
      </c>
    </row>
    <row r="82">
      <c r="B82" s="199">
        <f>_xlfn.XLOOKUP(C82,'INSUMOS MAT '!B:B,'INSUMOS MAT '!C:C,"ERROR",0)</f>
        <v/>
      </c>
      <c r="C82" s="306" t="inlineStr">
        <is>
          <t>MAT06-0056</t>
        </is>
      </c>
      <c r="D82" s="129">
        <f>_xlfn.XLOOKUP(C82,'IKARIA TECHO'!D:D,'IKARIA TECHO'!E:E,"ERROR",0)</f>
        <v/>
      </c>
      <c r="E82" s="535">
        <f>SUMIF('IKARIA TECHO'!D:D,ANALISIS!C82,'IKARIA TECHO'!F:F)</f>
        <v/>
      </c>
      <c r="F82" s="735">
        <f>_xlfn.XLOOKUP(C82,'IKARIA TECHO'!D:D,'IKARIA TECHO'!H:H,"ERROR",0)</f>
        <v/>
      </c>
      <c r="G82" s="687">
        <f>E82*F82</f>
        <v/>
      </c>
      <c r="H82" s="538">
        <f>G82/$G$289</f>
        <v/>
      </c>
    </row>
    <row r="83">
      <c r="B83" s="199">
        <f>_xlfn.XLOOKUP(C83,'INSUMOS MAT '!B:B,'INSUMOS MAT '!C:C,"ERROR",0)</f>
        <v/>
      </c>
      <c r="C83" s="306" t="inlineStr">
        <is>
          <t>MAT06-0120</t>
        </is>
      </c>
      <c r="D83" s="129">
        <f>_xlfn.XLOOKUP(C83,'IKARIA TECHO'!D:D,'IKARIA TECHO'!E:E,"ERROR",0)</f>
        <v/>
      </c>
      <c r="E83" s="535">
        <f>SUMIF('IKARIA TECHO'!D:D,ANALISIS!C83,'IKARIA TECHO'!F:F)</f>
        <v/>
      </c>
      <c r="F83" s="735">
        <f>_xlfn.XLOOKUP(C83,'IKARIA TECHO'!D:D,'IKARIA TECHO'!H:H,"ERROR",0)</f>
        <v/>
      </c>
      <c r="G83" s="687">
        <f>E83*F83</f>
        <v/>
      </c>
      <c r="H83" s="538">
        <f>G83/$G$289</f>
        <v/>
      </c>
    </row>
    <row r="84">
      <c r="B84" s="199">
        <f>_xlfn.XLOOKUP(C84,'INSUMOS MAT '!B:B,'INSUMOS MAT '!C:C,"ERROR",0)</f>
        <v/>
      </c>
      <c r="C84" s="306" t="inlineStr">
        <is>
          <t>MAT06-0098</t>
        </is>
      </c>
      <c r="D84" s="129">
        <f>_xlfn.XLOOKUP(C84,'IKARIA TECHO'!D:D,'IKARIA TECHO'!E:E,"ERROR",0)</f>
        <v/>
      </c>
      <c r="E84" s="535">
        <f>SUMIF('IKARIA TECHO'!D:D,ANALISIS!C84,'IKARIA TECHO'!F:F)</f>
        <v/>
      </c>
      <c r="F84" s="735">
        <f>_xlfn.XLOOKUP(C84,'IKARIA TECHO'!D:D,'IKARIA TECHO'!H:H,"ERROR",0)</f>
        <v/>
      </c>
      <c r="G84" s="687">
        <f>E84*F84</f>
        <v/>
      </c>
      <c r="H84" s="538">
        <f>G84/$G$289</f>
        <v/>
      </c>
    </row>
    <row r="85">
      <c r="B85" s="199">
        <f>_xlfn.XLOOKUP(C85,'INSUMOS MAT '!B:B,'INSUMOS MAT '!C:C,"ERROR",0)</f>
        <v/>
      </c>
      <c r="C85" s="306" t="inlineStr">
        <is>
          <t>MAT06-0119</t>
        </is>
      </c>
      <c r="D85" s="129">
        <f>_xlfn.XLOOKUP(C85,'IKARIA TECHO'!D:D,'IKARIA TECHO'!E:E,"ERROR",0)</f>
        <v/>
      </c>
      <c r="E85" s="535">
        <f>SUMIF('IKARIA TECHO'!D:D,ANALISIS!C85,'IKARIA TECHO'!F:F)</f>
        <v/>
      </c>
      <c r="F85" s="735">
        <f>_xlfn.XLOOKUP(C85,'IKARIA TECHO'!D:D,'IKARIA TECHO'!H:H,"ERROR",0)</f>
        <v/>
      </c>
      <c r="G85" s="687">
        <f>E85*F85</f>
        <v/>
      </c>
      <c r="H85" s="538">
        <f>G85/$G$289</f>
        <v/>
      </c>
    </row>
    <row r="86">
      <c r="B86" s="199">
        <f>_xlfn.XLOOKUP(C86,'INSUMOS MAT '!B:B,'INSUMOS MAT '!C:C,"ERROR",0)</f>
        <v/>
      </c>
      <c r="C86" s="306" t="inlineStr">
        <is>
          <t>MAT06-0069</t>
        </is>
      </c>
      <c r="D86" s="129">
        <f>_xlfn.XLOOKUP(C86,'IKARIA TECHO'!D:D,'IKARIA TECHO'!E:E,"ERROR",0)</f>
        <v/>
      </c>
      <c r="E86" s="535">
        <f>SUMIF('IKARIA TECHO'!D:D,ANALISIS!C86,'IKARIA TECHO'!F:F)</f>
        <v/>
      </c>
      <c r="F86" s="735">
        <f>_xlfn.XLOOKUP(C86,'IKARIA TECHO'!D:D,'IKARIA TECHO'!H:H,"ERROR",0)</f>
        <v/>
      </c>
      <c r="G86" s="687">
        <f>E86*F86</f>
        <v/>
      </c>
      <c r="H86" s="538">
        <f>G86/$G$289</f>
        <v/>
      </c>
    </row>
    <row r="87">
      <c r="B87" s="199">
        <f>_xlfn.XLOOKUP(C87,'INSUMOS MAT '!B:B,'INSUMOS MAT '!C:C,"ERROR",0)</f>
        <v/>
      </c>
      <c r="C87" s="306" t="inlineStr">
        <is>
          <t>MAT06-0017</t>
        </is>
      </c>
      <c r="D87" s="129">
        <f>_xlfn.XLOOKUP(C87,'IKARIA TECHO'!D:D,'IKARIA TECHO'!E:E,"ERROR",0)</f>
        <v/>
      </c>
      <c r="E87" s="535">
        <f>SUMIF('IKARIA TECHO'!D:D,ANALISIS!C87,'IKARIA TECHO'!F:F)</f>
        <v/>
      </c>
      <c r="F87" s="735">
        <f>_xlfn.XLOOKUP(C87,'IKARIA TECHO'!D:D,'IKARIA TECHO'!H:H,"ERROR",0)</f>
        <v/>
      </c>
      <c r="G87" s="687">
        <f>E87*F87</f>
        <v/>
      </c>
      <c r="H87" s="538">
        <f>G87/$G$289</f>
        <v/>
      </c>
    </row>
    <row r="88">
      <c r="B88" s="199">
        <f>_xlfn.XLOOKUP(C88,'INSUMOS MAT '!B:B,'INSUMOS MAT '!C:C,"ERROR",0)</f>
        <v/>
      </c>
      <c r="C88" s="306" t="inlineStr">
        <is>
          <t>MAT19-0027</t>
        </is>
      </c>
      <c r="D88" s="129">
        <f>_xlfn.XLOOKUP(C88,'IKARIA TECHO'!D:D,'IKARIA TECHO'!E:E,"ERROR",0)</f>
        <v/>
      </c>
      <c r="E88" s="535">
        <f>SUMIF('IKARIA TECHO'!D:D,ANALISIS!C88,'IKARIA TECHO'!F:F)</f>
        <v/>
      </c>
      <c r="F88" s="735">
        <f>_xlfn.XLOOKUP(C88,'IKARIA TECHO'!D:D,'IKARIA TECHO'!H:H,"ERROR",0)</f>
        <v/>
      </c>
      <c r="G88" s="687">
        <f>E88*F88</f>
        <v/>
      </c>
      <c r="H88" s="538">
        <f>G88/$G$289</f>
        <v/>
      </c>
    </row>
    <row r="89">
      <c r="B89" s="199">
        <f>_xlfn.XLOOKUP(C89,'INSUMOS MAT '!B:B,'INSUMOS MAT '!C:C,"ERROR",0)</f>
        <v/>
      </c>
      <c r="C89" s="306" t="inlineStr">
        <is>
          <t>MAT06-0104</t>
        </is>
      </c>
      <c r="D89" s="129">
        <f>_xlfn.XLOOKUP(C89,'IKARIA TECHO'!D:D,'IKARIA TECHO'!E:E,"ERROR",0)</f>
        <v/>
      </c>
      <c r="E89" s="535">
        <f>SUMIF('IKARIA TECHO'!D:D,ANALISIS!C89,'IKARIA TECHO'!F:F)</f>
        <v/>
      </c>
      <c r="F89" s="735">
        <f>_xlfn.XLOOKUP(C89,'IKARIA TECHO'!D:D,'IKARIA TECHO'!H:H,"ERROR",0)</f>
        <v/>
      </c>
      <c r="G89" s="687">
        <f>E89*F89</f>
        <v/>
      </c>
      <c r="H89" s="538">
        <f>G89/$G$289</f>
        <v/>
      </c>
    </row>
    <row r="90">
      <c r="B90" s="199">
        <f>_xlfn.XLOOKUP(C90,'INSUMOS MAT '!B:B,'INSUMOS MAT '!C:C,"ERROR",0)</f>
        <v/>
      </c>
      <c r="C90" s="306" t="inlineStr">
        <is>
          <t>MAT04-0002</t>
        </is>
      </c>
      <c r="D90" s="129">
        <f>_xlfn.XLOOKUP(C90,'IKARIA TECHO'!D:D,'IKARIA TECHO'!E:E,"ERROR",0)</f>
        <v/>
      </c>
      <c r="E90" s="535">
        <f>SUMIF('IKARIA TECHO'!D:D,ANALISIS!C90,'IKARIA TECHO'!F:F)</f>
        <v/>
      </c>
      <c r="F90" s="735">
        <f>_xlfn.XLOOKUP(C90,'IKARIA TECHO'!D:D,'IKARIA TECHO'!H:H,"ERROR",0)</f>
        <v/>
      </c>
      <c r="G90" s="687">
        <f>E90*F90</f>
        <v/>
      </c>
      <c r="H90" s="538">
        <f>G90/$G$289</f>
        <v/>
      </c>
    </row>
    <row r="91">
      <c r="B91" s="199">
        <f>_xlfn.XLOOKUP(C91,'INSUMOS MAT '!B:B,'INSUMOS MAT '!C:C,"ERROR",0)</f>
        <v/>
      </c>
      <c r="C91" s="306" t="inlineStr">
        <is>
          <t>MAT06-0077</t>
        </is>
      </c>
      <c r="D91" s="129">
        <f>_xlfn.XLOOKUP(C91,'IKARIA TECHO'!D:D,'IKARIA TECHO'!E:E,"ERROR",0)</f>
        <v/>
      </c>
      <c r="E91" s="535">
        <f>SUMIF('IKARIA TECHO'!D:D,ANALISIS!C91,'IKARIA TECHO'!F:F)</f>
        <v/>
      </c>
      <c r="F91" s="735">
        <f>_xlfn.XLOOKUP(C91,'IKARIA TECHO'!D:D,'IKARIA TECHO'!H:H,"ERROR",0)</f>
        <v/>
      </c>
      <c r="G91" s="687">
        <f>E91*F91</f>
        <v/>
      </c>
      <c r="H91" s="538">
        <f>G91/$G$289</f>
        <v/>
      </c>
    </row>
    <row r="92">
      <c r="B92" s="199">
        <f>_xlfn.XLOOKUP(C92,'INSUMOS MAT '!B:B,'INSUMOS MAT '!C:C,"ERROR",0)</f>
        <v/>
      </c>
      <c r="C92" s="306" t="inlineStr">
        <is>
          <t>MAT06-0040</t>
        </is>
      </c>
      <c r="D92" s="129">
        <f>_xlfn.XLOOKUP(C92,'IKARIA TECHO'!D:D,'IKARIA TECHO'!E:E,"ERROR",0)</f>
        <v/>
      </c>
      <c r="E92" s="535">
        <f>SUMIF('IKARIA TECHO'!D:D,ANALISIS!C92,'IKARIA TECHO'!F:F)</f>
        <v/>
      </c>
      <c r="F92" s="735">
        <f>_xlfn.XLOOKUP(C92,'IKARIA TECHO'!D:D,'IKARIA TECHO'!H:H,"ERROR",0)</f>
        <v/>
      </c>
      <c r="G92" s="687">
        <f>E92*F92</f>
        <v/>
      </c>
      <c r="H92" s="538">
        <f>G92/$G$289</f>
        <v/>
      </c>
    </row>
    <row r="93">
      <c r="B93" s="199">
        <f>_xlfn.XLOOKUP(C93,'INSUMOS MAT '!B:B,'INSUMOS MAT '!C:C,"ERROR",0)</f>
        <v/>
      </c>
      <c r="C93" s="306" t="inlineStr">
        <is>
          <t>MAT06-0090</t>
        </is>
      </c>
      <c r="D93" s="129">
        <f>_xlfn.XLOOKUP(C93,'IKARIA TECHO'!D:D,'IKARIA TECHO'!E:E,"ERROR",0)</f>
        <v/>
      </c>
      <c r="E93" s="535">
        <f>SUMIF('IKARIA TECHO'!D:D,ANALISIS!C93,'IKARIA TECHO'!F:F)</f>
        <v/>
      </c>
      <c r="F93" s="735">
        <f>_xlfn.XLOOKUP(C93,'IKARIA TECHO'!D:D,'IKARIA TECHO'!H:H,"ERROR",0)</f>
        <v/>
      </c>
      <c r="G93" s="687">
        <f>E93*F93</f>
        <v/>
      </c>
      <c r="H93" s="538">
        <f>G93/$G$289</f>
        <v/>
      </c>
    </row>
    <row r="94">
      <c r="B94" s="199">
        <f>_xlfn.XLOOKUP(C94,'INSUMOS MAT '!B:B,'INSUMOS MAT '!C:C,"ERROR",0)</f>
        <v/>
      </c>
      <c r="C94" s="306" t="inlineStr">
        <is>
          <t>MAT06-0039</t>
        </is>
      </c>
      <c r="D94" s="129">
        <f>_xlfn.XLOOKUP(C94,'IKARIA TECHO'!D:D,'IKARIA TECHO'!E:E,"ERROR",0)</f>
        <v/>
      </c>
      <c r="E94" s="535">
        <f>SUMIF('IKARIA TECHO'!D:D,ANALISIS!C94,'IKARIA TECHO'!F:F)</f>
        <v/>
      </c>
      <c r="F94" s="735">
        <f>_xlfn.XLOOKUP(C94,'IKARIA TECHO'!D:D,'IKARIA TECHO'!H:H,"ERROR",0)</f>
        <v/>
      </c>
      <c r="G94" s="687">
        <f>E94*F94</f>
        <v/>
      </c>
      <c r="H94" s="538">
        <f>G94/$G$289</f>
        <v/>
      </c>
    </row>
    <row r="95">
      <c r="B95" s="199">
        <f>_xlfn.XLOOKUP(C95,'INSUMOS MAT '!B:B,'INSUMOS MAT '!C:C,"ERROR",0)</f>
        <v/>
      </c>
      <c r="C95" s="306" t="inlineStr">
        <is>
          <t>MAT06-0060</t>
        </is>
      </c>
      <c r="D95" s="129">
        <f>_xlfn.XLOOKUP(C95,'IKARIA TECHO'!D:D,'IKARIA TECHO'!E:E,"ERROR",0)</f>
        <v/>
      </c>
      <c r="E95" s="535">
        <f>SUMIF('IKARIA TECHO'!D:D,ANALISIS!C95,'IKARIA TECHO'!F:F)</f>
        <v/>
      </c>
      <c r="F95" s="735">
        <f>_xlfn.XLOOKUP(C95,'IKARIA TECHO'!D:D,'IKARIA TECHO'!H:H,"ERROR",0)</f>
        <v/>
      </c>
      <c r="G95" s="687">
        <f>E95*F95</f>
        <v/>
      </c>
      <c r="H95" s="538">
        <f>G95/$G$289</f>
        <v/>
      </c>
    </row>
    <row r="96">
      <c r="B96" s="199">
        <f>_xlfn.XLOOKUP(C96,'INSUMOS MAT '!B:B,'INSUMOS MAT '!C:C,"ERROR",0)</f>
        <v/>
      </c>
      <c r="C96" s="306" t="inlineStr">
        <is>
          <t>MAT08-0099</t>
        </is>
      </c>
      <c r="D96" s="129">
        <f>_xlfn.XLOOKUP(C96,'IKARIA TECHO'!D:D,'IKARIA TECHO'!E:E,"ERROR",0)</f>
        <v/>
      </c>
      <c r="E96" s="535">
        <f>SUMIF('IKARIA TECHO'!D:D,ANALISIS!C96,'IKARIA TECHO'!F:F)</f>
        <v/>
      </c>
      <c r="F96" s="735">
        <f>_xlfn.XLOOKUP(C96,'IKARIA TECHO'!D:D,'IKARIA TECHO'!H:H,"ERROR",0)</f>
        <v/>
      </c>
      <c r="G96" s="687">
        <f>E96*F96</f>
        <v/>
      </c>
      <c r="H96" s="538">
        <f>G96/$G$289</f>
        <v/>
      </c>
    </row>
    <row r="97">
      <c r="B97" s="199">
        <f>_xlfn.XLOOKUP(C97,'INSUMOS MAT '!B:B,'INSUMOS MAT '!C:C,"ERROR",0)</f>
        <v/>
      </c>
      <c r="C97" s="305" t="inlineStr">
        <is>
          <t>MAT03-0012</t>
        </is>
      </c>
      <c r="D97" s="129">
        <f>_xlfn.XLOOKUP(C97,'IKARIA TECHO'!D:D,'IKARIA TECHO'!E:E,"ERROR",0)</f>
        <v/>
      </c>
      <c r="E97" s="535">
        <f>SUMIF('IKARIA TECHO'!D:D,ANALISIS!C97,'IKARIA TECHO'!F:F)</f>
        <v/>
      </c>
      <c r="F97" s="735">
        <f>_xlfn.XLOOKUP(C97,'IKARIA TECHO'!D:D,'IKARIA TECHO'!H:H,"ERROR",0)</f>
        <v/>
      </c>
      <c r="G97" s="687">
        <f>E97*F97</f>
        <v/>
      </c>
      <c r="H97" s="538">
        <f>G97/$G$289</f>
        <v/>
      </c>
    </row>
    <row r="98">
      <c r="B98" s="199">
        <f>_xlfn.XLOOKUP(C98,'INSUMOS MAT '!B:B,'INSUMOS MAT '!C:C,"ERROR",0)</f>
        <v/>
      </c>
      <c r="C98" s="305" t="inlineStr">
        <is>
          <t>MAT02-0125</t>
        </is>
      </c>
      <c r="D98" s="540">
        <f>_xlfn.XLOOKUP(C98,'IKARIA TECHO'!D:D,'IKARIA TECHO'!E:E,"ERROR",0)</f>
        <v/>
      </c>
      <c r="E98" s="541">
        <f>SUMIF('IKARIA TECHO'!D:D,ANALISIS!C98,'IKARIA TECHO'!F:F)</f>
        <v/>
      </c>
      <c r="F98" s="763">
        <f>_xlfn.XLOOKUP(C98,'IKARIA TECHO'!D:D,'IKARIA TECHO'!H:H,"ERROR",0)</f>
        <v/>
      </c>
      <c r="G98" s="764">
        <f>E98*F98</f>
        <v/>
      </c>
      <c r="H98" s="544">
        <f>G98/$G$289</f>
        <v/>
      </c>
    </row>
    <row r="99">
      <c r="B99" s="199">
        <f>_xlfn.XLOOKUP(C99,'INSUMOS MAT '!B:B,'INSUMOS MAT '!C:C,"ERROR",0)</f>
        <v/>
      </c>
      <c r="C99" s="305" t="inlineStr">
        <is>
          <t>MAT02-0124</t>
        </is>
      </c>
      <c r="D99" s="540">
        <f>_xlfn.XLOOKUP(C99,'IKARIA TECHO'!D:D,'IKARIA TECHO'!E:E,"ERROR",0)</f>
        <v/>
      </c>
      <c r="E99" s="541">
        <f>SUMIF('IKARIA TECHO'!D:D,ANALISIS!C99,'IKARIA TECHO'!F:F)</f>
        <v/>
      </c>
      <c r="F99" s="763">
        <f>_xlfn.XLOOKUP(C99,'IKARIA TECHO'!D:D,'IKARIA TECHO'!H:H,"ERROR",0)</f>
        <v/>
      </c>
      <c r="G99" s="764">
        <f>E99*F99</f>
        <v/>
      </c>
      <c r="H99" s="544">
        <f>G99/$G$289</f>
        <v/>
      </c>
    </row>
    <row r="100">
      <c r="B100" s="199">
        <f>_xlfn.XLOOKUP(C100,'INSUMOS MAT '!B:B,'INSUMOS MAT '!C:C,"ERROR",0)</f>
        <v/>
      </c>
      <c r="C100" s="305" t="inlineStr">
        <is>
          <t>MAT02-0123</t>
        </is>
      </c>
      <c r="D100" s="129">
        <f>_xlfn.XLOOKUP(C100,'IKARIA TECHO'!D:D,'IKARIA TECHO'!E:E,"ERROR",0)</f>
        <v/>
      </c>
      <c r="E100" s="535">
        <f>SUMIF('IKARIA TECHO'!D:D,ANALISIS!C100,'IKARIA TECHO'!F:F)</f>
        <v/>
      </c>
      <c r="F100" s="735">
        <f>_xlfn.XLOOKUP(C100,'IKARIA TECHO'!D:D,'IKARIA TECHO'!H:H,"ERROR",0)</f>
        <v/>
      </c>
      <c r="G100" s="687">
        <f>E100*F100</f>
        <v/>
      </c>
      <c r="H100" s="538">
        <f>G100/$G$289</f>
        <v/>
      </c>
    </row>
    <row r="101">
      <c r="B101" s="199">
        <f>_xlfn.XLOOKUP(C101,'INSUMOS MAT '!B:B,'INSUMOS MAT '!C:C,"ERROR",0)</f>
        <v/>
      </c>
      <c r="C101" s="305" t="inlineStr">
        <is>
          <t>MAT08-0013</t>
        </is>
      </c>
      <c r="D101" s="129">
        <f>_xlfn.XLOOKUP(C101,'IKARIA TECHO'!D:D,'IKARIA TECHO'!E:E,"ERROR",0)</f>
        <v/>
      </c>
      <c r="E101" s="535">
        <f>SUMIF('IKARIA TECHO'!D:D,ANALISIS!C101,'IKARIA TECHO'!F:F)</f>
        <v/>
      </c>
      <c r="F101" s="735">
        <f>_xlfn.XLOOKUP(C101,'IKARIA TECHO'!D:D,'IKARIA TECHO'!H:H,"ERROR",0)</f>
        <v/>
      </c>
      <c r="G101" s="687">
        <f>E101*F101</f>
        <v/>
      </c>
      <c r="H101" s="538">
        <f>G101/$G$289</f>
        <v/>
      </c>
    </row>
    <row r="102">
      <c r="B102" s="199">
        <f>_xlfn.XLOOKUP(C102,'INSUMOS MAT '!B:B,'INSUMOS MAT '!C:C,"ERROR",0)</f>
        <v/>
      </c>
      <c r="C102" s="305" t="inlineStr">
        <is>
          <t>MAT08-0040</t>
        </is>
      </c>
      <c r="D102" s="129">
        <f>_xlfn.XLOOKUP(C102,'IKARIA TECHO'!D:D,'IKARIA TECHO'!E:E,"ERROR",0)</f>
        <v/>
      </c>
      <c r="E102" s="535">
        <f>SUMIF('IKARIA TECHO'!D:D,ANALISIS!C102,'IKARIA TECHO'!F:F)</f>
        <v/>
      </c>
      <c r="F102" s="735">
        <f>_xlfn.XLOOKUP(C102,'IKARIA TECHO'!D:D,'IKARIA TECHO'!H:H,"ERROR",0)</f>
        <v/>
      </c>
      <c r="G102" s="687">
        <f>E102*F102</f>
        <v/>
      </c>
      <c r="H102" s="538">
        <f>G102/$G$289</f>
        <v/>
      </c>
    </row>
    <row r="103">
      <c r="B103" s="199">
        <f>_xlfn.XLOOKUP(C103,'INSUMOS MAT '!B:B,'INSUMOS MAT '!C:C,"ERROR",0)</f>
        <v/>
      </c>
      <c r="C103" s="305" t="inlineStr">
        <is>
          <t>MAT08-0042</t>
        </is>
      </c>
      <c r="D103" s="129">
        <f>_xlfn.XLOOKUP(C103,'IKARIA TECHO'!D:D,'IKARIA TECHO'!E:E,"ERROR",0)</f>
        <v/>
      </c>
      <c r="E103" s="535">
        <f>SUMIF('IKARIA TECHO'!D:D,ANALISIS!C103,'IKARIA TECHO'!F:F)</f>
        <v/>
      </c>
      <c r="F103" s="735">
        <f>_xlfn.XLOOKUP(C103,'IKARIA TECHO'!D:D,'IKARIA TECHO'!H:H,"ERROR",0)</f>
        <v/>
      </c>
      <c r="G103" s="687">
        <f>E103*F103</f>
        <v/>
      </c>
      <c r="H103" s="538">
        <f>G103/$G$289</f>
        <v/>
      </c>
    </row>
    <row r="104">
      <c r="B104" s="199">
        <f>_xlfn.XLOOKUP(C104,'INSUMOS MAT '!B:B,'INSUMOS MAT '!C:C,"ERROR",0)</f>
        <v/>
      </c>
      <c r="C104" s="305" t="inlineStr">
        <is>
          <t>MAT08-0116</t>
        </is>
      </c>
      <c r="D104" s="129">
        <f>_xlfn.XLOOKUP(C104,'IKARIA TECHO'!D:D,'IKARIA TECHO'!E:E,"ERROR",0)</f>
        <v/>
      </c>
      <c r="E104" s="535">
        <f>SUMIF('IKARIA TECHO'!D:D,ANALISIS!C104,'IKARIA TECHO'!F:F)</f>
        <v/>
      </c>
      <c r="F104" s="735">
        <f>_xlfn.XLOOKUP(C104,'IKARIA TECHO'!D:D,'IKARIA TECHO'!H:H,"ERROR",0)</f>
        <v/>
      </c>
      <c r="G104" s="687">
        <f>E104*F104</f>
        <v/>
      </c>
      <c r="H104" s="538">
        <f>G104/$G$289</f>
        <v/>
      </c>
    </row>
    <row r="105">
      <c r="B105" s="199">
        <f>_xlfn.XLOOKUP(C105,'INSUMOS MAT '!B:B,'INSUMOS MAT '!C:C,"ERROR",0)</f>
        <v/>
      </c>
      <c r="C105" s="305" t="inlineStr">
        <is>
          <t>MAT02-0012</t>
        </is>
      </c>
      <c r="D105" s="129">
        <f>_xlfn.XLOOKUP(C105,'IKARIA TECHO'!D:D,'IKARIA TECHO'!E:E,"ERROR",0)</f>
        <v/>
      </c>
      <c r="E105" s="535">
        <f>SUMIF('IKARIA TECHO'!D:D,ANALISIS!C105,'IKARIA TECHO'!F:F)</f>
        <v/>
      </c>
      <c r="F105" s="735">
        <f>_xlfn.XLOOKUP(C105,'IKARIA TECHO'!D:D,'IKARIA TECHO'!H:H,"ERROR",0)</f>
        <v/>
      </c>
      <c r="G105" s="687">
        <f>E105*F105</f>
        <v/>
      </c>
      <c r="H105" s="538">
        <f>G105/$G$289</f>
        <v/>
      </c>
    </row>
    <row r="106">
      <c r="B106" s="199">
        <f>_xlfn.XLOOKUP(C106,'INSUMOS MAT '!B:B,'INSUMOS MAT '!C:C,"ERROR",0)</f>
        <v/>
      </c>
      <c r="C106" s="305" t="inlineStr">
        <is>
          <t>MAT16-0001</t>
        </is>
      </c>
      <c r="D106" s="129">
        <f>_xlfn.XLOOKUP(C106,'IKARIA TECHO'!D:D,'IKARIA TECHO'!E:E,"ERROR",0)</f>
        <v/>
      </c>
      <c r="E106" s="535">
        <f>SUMIF('IKARIA TECHO'!D:D,ANALISIS!C106,'IKARIA TECHO'!F:F)</f>
        <v/>
      </c>
      <c r="F106" s="735">
        <f>_xlfn.XLOOKUP(C106,'IKARIA TECHO'!D:D,'IKARIA TECHO'!H:H,"ERROR",0)</f>
        <v/>
      </c>
      <c r="G106" s="687">
        <f>E106*F106</f>
        <v/>
      </c>
      <c r="H106" s="538">
        <f>G106/$G$289</f>
        <v/>
      </c>
    </row>
    <row r="107">
      <c r="B107" s="199">
        <f>_xlfn.XLOOKUP(C107,'INSUMOS MAT '!B:B,'INSUMOS MAT '!C:C,"ERROR",0)</f>
        <v/>
      </c>
      <c r="C107" s="305" t="inlineStr">
        <is>
          <t>MAT02-0021</t>
        </is>
      </c>
      <c r="D107" s="540">
        <f>_xlfn.XLOOKUP(C107,'IKARIA TECHO'!D:D,'IKARIA TECHO'!E:E,"ERROR",0)</f>
        <v/>
      </c>
      <c r="E107" s="541">
        <f>SUMIF('IKARIA TECHO'!D:D,ANALISIS!C107,'IKARIA TECHO'!F:F)</f>
        <v/>
      </c>
      <c r="F107" s="763">
        <f>_xlfn.XLOOKUP(C107,'IKARIA TECHO'!D:D,'IKARIA TECHO'!H:H,"ERROR",0)</f>
        <v/>
      </c>
      <c r="G107" s="764">
        <f>E107*F107</f>
        <v/>
      </c>
      <c r="H107" s="544">
        <f>G107/$G$289</f>
        <v/>
      </c>
    </row>
    <row r="108">
      <c r="B108" s="199">
        <f>_xlfn.XLOOKUP(C108,'INSUMOS MAT '!B:B,'INSUMOS MAT '!C:C,"ERROR",0)</f>
        <v/>
      </c>
      <c r="C108" s="305" t="inlineStr">
        <is>
          <t>MAT02-0019</t>
        </is>
      </c>
      <c r="D108" s="129">
        <f>_xlfn.XLOOKUP(C108,'IKARIA TECHO'!D:D,'IKARIA TECHO'!E:E,"ERROR",0)</f>
        <v/>
      </c>
      <c r="E108" s="535">
        <f>SUMIF('IKARIA TECHO'!D:D,ANALISIS!C108,'IKARIA TECHO'!F:F)</f>
        <v/>
      </c>
      <c r="F108" s="735">
        <f>_xlfn.XLOOKUP(C108,'IKARIA TECHO'!D:D,'IKARIA TECHO'!H:H,"ERROR",0)</f>
        <v/>
      </c>
      <c r="G108" s="687">
        <f>E108*F108</f>
        <v/>
      </c>
      <c r="H108" s="538">
        <f>G108/$G$289</f>
        <v/>
      </c>
    </row>
    <row r="109">
      <c r="B109" s="199">
        <f>_xlfn.XLOOKUP(C109,'INSUMOS MAT '!B:B,'INSUMOS MAT '!C:C,"ERROR",0)</f>
        <v/>
      </c>
      <c r="C109" s="305" t="inlineStr">
        <is>
          <t>MAT02-0023</t>
        </is>
      </c>
      <c r="D109" s="129">
        <f>_xlfn.XLOOKUP(C109,'IKARIA TECHO'!D:D,'IKARIA TECHO'!E:E,"ERROR",0)</f>
        <v/>
      </c>
      <c r="E109" s="535">
        <f>SUMIF('IKARIA TECHO'!D:D,ANALISIS!C109,'IKARIA TECHO'!F:F)</f>
        <v/>
      </c>
      <c r="F109" s="735">
        <f>_xlfn.XLOOKUP(C109,'IKARIA TECHO'!D:D,'IKARIA TECHO'!H:H,"ERROR",0)</f>
        <v/>
      </c>
      <c r="G109" s="687">
        <f>E109*F109</f>
        <v/>
      </c>
      <c r="H109" s="538">
        <f>G109/$G$289</f>
        <v/>
      </c>
    </row>
    <row r="110">
      <c r="B110" s="199">
        <f>_xlfn.XLOOKUP(C110,'INSUMOS MAT '!B:B,'INSUMOS MAT '!C:C,"ERROR",0)</f>
        <v/>
      </c>
      <c r="C110" s="305" t="inlineStr">
        <is>
          <t>MAT16-0002</t>
        </is>
      </c>
      <c r="D110" s="129">
        <f>_xlfn.XLOOKUP(C110,'IKARIA TECHO'!D:D,'IKARIA TECHO'!E:E,"ERROR",0)</f>
        <v/>
      </c>
      <c r="E110" s="535">
        <f>SUMIF('IKARIA TECHO'!D:D,ANALISIS!C110,'IKARIA TECHO'!F:F)</f>
        <v/>
      </c>
      <c r="F110" s="735">
        <f>_xlfn.XLOOKUP(C110,'IKARIA TECHO'!D:D,'IKARIA TECHO'!H:H,"ERROR",0)</f>
        <v/>
      </c>
      <c r="G110" s="687">
        <f>E110*F110</f>
        <v/>
      </c>
      <c r="H110" s="538">
        <f>G110/$G$289</f>
        <v/>
      </c>
    </row>
    <row r="111">
      <c r="B111" s="199">
        <f>_xlfn.XLOOKUP(C111,'INSUMOS MAT '!B:B,'INSUMOS MAT '!C:C,"ERROR",0)</f>
        <v/>
      </c>
      <c r="C111" s="305" t="inlineStr">
        <is>
          <t>MAT16-0056</t>
        </is>
      </c>
      <c r="D111" s="129">
        <f>_xlfn.XLOOKUP(C111,'IKARIA TECHO'!D:D,'IKARIA TECHO'!E:E,"ERROR",0)</f>
        <v/>
      </c>
      <c r="E111" s="535">
        <f>SUMIF('IKARIA TECHO'!D:D,ANALISIS!C111,'IKARIA TECHO'!F:F)</f>
        <v/>
      </c>
      <c r="F111" s="735">
        <f>_xlfn.XLOOKUP(C111,'IKARIA TECHO'!D:D,'IKARIA TECHO'!H:H,"ERROR",0)</f>
        <v/>
      </c>
      <c r="G111" s="687">
        <f>E111*F111</f>
        <v/>
      </c>
      <c r="H111" s="538">
        <f>G111/$G$289</f>
        <v/>
      </c>
    </row>
    <row r="112">
      <c r="B112" s="582" t="n"/>
      <c r="C112" s="305" t="inlineStr">
        <is>
          <t>MAT08-0089</t>
        </is>
      </c>
      <c r="D112" s="129">
        <f>_xlfn.XLOOKUP(C112,'IKARIA TECHO'!D:D,'IKARIA TECHO'!E:E,"ERROR",0)</f>
        <v/>
      </c>
      <c r="E112" s="535">
        <f>SUMIF('IKARIA TECHO'!D:D,ANALISIS!C112,'IKARIA TECHO'!F:F)</f>
        <v/>
      </c>
      <c r="F112" s="735">
        <f>_xlfn.XLOOKUP(C112,'IKARIA TECHO'!D:D,'IKARIA TECHO'!H:H,"ERROR",0)</f>
        <v/>
      </c>
      <c r="G112" s="687">
        <f>E112*F112</f>
        <v/>
      </c>
      <c r="H112" s="538">
        <f>G112/$G$289</f>
        <v/>
      </c>
    </row>
    <row r="113">
      <c r="B113" s="199">
        <f>_xlfn.XLOOKUP(C113,'INSUMOS MAT '!B:B,'INSUMOS MAT '!C:C,"ERROR",0)</f>
        <v/>
      </c>
      <c r="C113" s="305" t="inlineStr">
        <is>
          <t>MAT08-0092</t>
        </is>
      </c>
      <c r="D113" s="129">
        <f>_xlfn.XLOOKUP(C113,'IKARIA TECHO'!D:D,'IKARIA TECHO'!E:E,"ERROR",0)</f>
        <v/>
      </c>
      <c r="E113" s="535">
        <f>SUMIF('IKARIA TECHO'!D:D,ANALISIS!C113,'IKARIA TECHO'!F:F)</f>
        <v/>
      </c>
      <c r="F113" s="735">
        <f>_xlfn.XLOOKUP(C113,'IKARIA TECHO'!D:D,'IKARIA TECHO'!H:H,"ERROR",0)</f>
        <v/>
      </c>
      <c r="G113" s="687">
        <f>E113*F113</f>
        <v/>
      </c>
      <c r="H113" s="538">
        <f>G113/$G$289</f>
        <v/>
      </c>
    </row>
    <row r="114">
      <c r="B114" s="199">
        <f>_xlfn.XLOOKUP(C114,'INSUMOS MAT '!B:B,'INSUMOS MAT '!C:C,"ERROR",0)</f>
        <v/>
      </c>
      <c r="C114" s="305" t="inlineStr">
        <is>
          <t>MAT16-0018</t>
        </is>
      </c>
      <c r="D114" s="129">
        <f>_xlfn.XLOOKUP(C114,'IKARIA TECHO'!D:D,'IKARIA TECHO'!E:E,"ERROR",0)</f>
        <v/>
      </c>
      <c r="E114" s="535">
        <f>SUMIF('IKARIA TECHO'!D:D,ANALISIS!C114,'IKARIA TECHO'!F:F)</f>
        <v/>
      </c>
      <c r="F114" s="735">
        <f>_xlfn.XLOOKUP(C114,'IKARIA TECHO'!D:D,'IKARIA TECHO'!H:H,"ERROR",0)</f>
        <v/>
      </c>
      <c r="G114" s="687">
        <f>E114*F114</f>
        <v/>
      </c>
      <c r="H114" s="538">
        <f>G114/$G$289</f>
        <v/>
      </c>
    </row>
    <row r="115">
      <c r="B115" s="199">
        <f>_xlfn.XLOOKUP(C115,'INSUMOS MAT '!B:B,'INSUMOS MAT '!C:C,"ERROR",0)</f>
        <v/>
      </c>
      <c r="C115" s="305" t="inlineStr">
        <is>
          <t>MAT05-0063</t>
        </is>
      </c>
      <c r="D115" s="540">
        <f>_xlfn.XLOOKUP(C115,'IKARIA TECHO'!D:D,'IKARIA TECHO'!E:E,"ERROR",0)</f>
        <v/>
      </c>
      <c r="E115" s="541">
        <f>SUMIF('IKARIA TECHO'!D:D,ANALISIS!C115,'IKARIA TECHO'!F:F)</f>
        <v/>
      </c>
      <c r="F115" s="763">
        <f>_xlfn.XLOOKUP(C115,'IKARIA TECHO'!D:D,'IKARIA TECHO'!H:H,"ERROR",0)</f>
        <v/>
      </c>
      <c r="G115" s="764">
        <f>E115*F115</f>
        <v/>
      </c>
      <c r="H115" s="544">
        <f>G115/$G$289</f>
        <v/>
      </c>
    </row>
    <row r="116">
      <c r="B116" s="199">
        <f>_xlfn.XLOOKUP(C116,'INSUMOS MAT '!B:B,'INSUMOS MAT '!C:C,"ERROR",0)</f>
        <v/>
      </c>
      <c r="C116" s="305" t="inlineStr">
        <is>
          <t>MAT05-0079</t>
        </is>
      </c>
      <c r="D116" s="129">
        <f>_xlfn.XLOOKUP(C116,'IKARIA TECHO'!D:D,'IKARIA TECHO'!E:E,"ERROR",0)</f>
        <v/>
      </c>
      <c r="E116" s="535">
        <f>SUMIF('IKARIA TECHO'!D:D,ANALISIS!C116,'IKARIA TECHO'!F:F)</f>
        <v/>
      </c>
      <c r="F116" s="735">
        <f>_xlfn.XLOOKUP(C116,'IKARIA TECHO'!D:D,'IKARIA TECHO'!H:H,"ERROR",0)</f>
        <v/>
      </c>
      <c r="G116" s="687">
        <f>E116*F116</f>
        <v/>
      </c>
      <c r="H116" s="538">
        <f>G116/$G$289</f>
        <v/>
      </c>
    </row>
    <row r="117">
      <c r="B117" s="199">
        <f>_xlfn.XLOOKUP(C117,'INSUMOS MAT '!B:B,'INSUMOS MAT '!C:C,"ERROR",0)</f>
        <v/>
      </c>
      <c r="C117" s="305" t="inlineStr">
        <is>
          <t>MAT21-0005</t>
        </is>
      </c>
      <c r="D117" s="129">
        <f>_xlfn.XLOOKUP(C117,'IKARIA TECHO'!D:D,'IKARIA TECHO'!E:E,"ERROR",0)</f>
        <v/>
      </c>
      <c r="E117" s="535">
        <f>SUMIF('IKARIA TECHO'!D:D,ANALISIS!C117,'IKARIA TECHO'!F:F)</f>
        <v/>
      </c>
      <c r="F117" s="735">
        <f>_xlfn.XLOOKUP(C117,'IKARIA TECHO'!D:D,'IKARIA TECHO'!H:H,"ERROR",0)</f>
        <v/>
      </c>
      <c r="G117" s="687">
        <f>E117*F117</f>
        <v/>
      </c>
      <c r="H117" s="538">
        <f>G117/$G$289</f>
        <v/>
      </c>
    </row>
    <row r="118">
      <c r="B118" s="199">
        <f>_xlfn.XLOOKUP(C118,'INSUMOS MAT '!B:B,'INSUMOS MAT '!C:C,"ERROR",0)</f>
        <v/>
      </c>
      <c r="C118" s="305" t="inlineStr">
        <is>
          <t>MAT05-0080</t>
        </is>
      </c>
      <c r="D118" s="129">
        <f>_xlfn.XLOOKUP(C118,'IKARIA TECHO'!D:D,'IKARIA TECHO'!E:E,"ERROR",0)</f>
        <v/>
      </c>
      <c r="E118" s="535">
        <f>SUMIF('IKARIA TECHO'!D:D,ANALISIS!C118,'IKARIA TECHO'!F:F)</f>
        <v/>
      </c>
      <c r="F118" s="735">
        <f>_xlfn.XLOOKUP(C118,'IKARIA TECHO'!D:D,'IKARIA TECHO'!H:H,"ERROR",0)</f>
        <v/>
      </c>
      <c r="G118" s="687">
        <f>E118*F118</f>
        <v/>
      </c>
      <c r="H118" s="538">
        <f>G118/$G$289</f>
        <v/>
      </c>
    </row>
    <row r="119">
      <c r="B119" s="199">
        <f>_xlfn.XLOOKUP(C119,'INSUMOS MAT '!B:B,'INSUMOS MAT '!C:C,"ERROR",0)</f>
        <v/>
      </c>
      <c r="C119" s="305" t="inlineStr">
        <is>
          <t>MAT05-0032</t>
        </is>
      </c>
      <c r="D119" s="129">
        <f>_xlfn.XLOOKUP(C119,'IKARIA TECHO'!D:D,'IKARIA TECHO'!E:E,"ERROR",0)</f>
        <v/>
      </c>
      <c r="E119" s="535">
        <f>SUMIF('IKARIA TECHO'!D:D,ANALISIS!C119,'IKARIA TECHO'!F:F)</f>
        <v/>
      </c>
      <c r="F119" s="735">
        <f>_xlfn.XLOOKUP(C119,'IKARIA TECHO'!D:D,'IKARIA TECHO'!H:H,"ERROR",0)</f>
        <v/>
      </c>
      <c r="G119" s="687">
        <f>E119*F119</f>
        <v/>
      </c>
      <c r="H119" s="538">
        <f>G119/$G$289</f>
        <v/>
      </c>
    </row>
    <row r="120">
      <c r="B120" s="199">
        <f>_xlfn.XLOOKUP(C120,'INSUMOS MAT '!B:B,'INSUMOS MAT '!C:C,"ERROR",0)</f>
        <v/>
      </c>
      <c r="C120" s="305" t="inlineStr">
        <is>
          <t>MAT05-0046</t>
        </is>
      </c>
      <c r="D120" s="129">
        <f>_xlfn.XLOOKUP(C120,'IKARIA TECHO'!D:D,'IKARIA TECHO'!E:E,"ERROR",0)</f>
        <v/>
      </c>
      <c r="E120" s="535">
        <f>SUMIF('IKARIA TECHO'!D:D,ANALISIS!C120,'IKARIA TECHO'!F:F)</f>
        <v/>
      </c>
      <c r="F120" s="735">
        <f>_xlfn.XLOOKUP(C120,'IKARIA TECHO'!D:D,'IKARIA TECHO'!H:H,"ERROR",0)</f>
        <v/>
      </c>
      <c r="G120" s="687">
        <f>E120*F120</f>
        <v/>
      </c>
      <c r="H120" s="538">
        <f>G120/$G$289</f>
        <v/>
      </c>
    </row>
    <row r="121">
      <c r="B121" s="199">
        <f>_xlfn.XLOOKUP(C121,'INSUMOS MAT '!B:B,'INSUMOS MAT '!C:C,"ERROR",0)</f>
        <v/>
      </c>
      <c r="C121" s="305" t="inlineStr">
        <is>
          <t>MAT05-0068</t>
        </is>
      </c>
      <c r="D121" s="129">
        <f>_xlfn.XLOOKUP(C121,'IKARIA TECHO'!D:D,'IKARIA TECHO'!E:E,"ERROR",0)</f>
        <v/>
      </c>
      <c r="E121" s="535">
        <f>SUMIF('IKARIA TECHO'!D:D,ANALISIS!C121,'IKARIA TECHO'!F:F)</f>
        <v/>
      </c>
      <c r="F121" s="735">
        <f>_xlfn.XLOOKUP(C121,'IKARIA TECHO'!D:D,'IKARIA TECHO'!H:H,"ERROR",0)</f>
        <v/>
      </c>
      <c r="G121" s="687">
        <f>E121*F121</f>
        <v/>
      </c>
      <c r="H121" s="538">
        <f>G121/$G$289</f>
        <v/>
      </c>
    </row>
    <row r="122">
      <c r="B122" s="199">
        <f>_xlfn.XLOOKUP(C122,'INSUMOS MAT '!B:B,'INSUMOS MAT '!C:C,"ERROR",0)</f>
        <v/>
      </c>
      <c r="C122" s="305" t="inlineStr">
        <is>
          <t>MAT05-0069</t>
        </is>
      </c>
      <c r="D122" s="129">
        <f>_xlfn.XLOOKUP(C122,'IKARIA TECHO'!D:D,'IKARIA TECHO'!E:E,"ERROR",0)</f>
        <v/>
      </c>
      <c r="E122" s="535">
        <f>SUMIF('IKARIA TECHO'!D:D,ANALISIS!C122,'IKARIA TECHO'!F:F)</f>
        <v/>
      </c>
      <c r="F122" s="735">
        <f>_xlfn.XLOOKUP(C122,'IKARIA TECHO'!D:D,'IKARIA TECHO'!H:H,"ERROR",0)</f>
        <v/>
      </c>
      <c r="G122" s="687">
        <f>E122*F122</f>
        <v/>
      </c>
      <c r="H122" s="538">
        <f>G122/$G$289</f>
        <v/>
      </c>
    </row>
    <row r="123">
      <c r="B123" s="199">
        <f>_xlfn.XLOOKUP(C123,'INSUMOS MAT '!B:B,'INSUMOS MAT '!C:C,"ERROR",0)</f>
        <v/>
      </c>
      <c r="C123" s="305" t="inlineStr">
        <is>
          <t>MAT05-0072</t>
        </is>
      </c>
      <c r="D123" s="129">
        <f>_xlfn.XLOOKUP(C123,'IKARIA TECHO'!D:D,'IKARIA TECHO'!E:E,"ERROR",0)</f>
        <v/>
      </c>
      <c r="E123" s="535">
        <f>SUMIF('IKARIA TECHO'!D:D,ANALISIS!C123,'IKARIA TECHO'!F:F)</f>
        <v/>
      </c>
      <c r="F123" s="735">
        <f>_xlfn.XLOOKUP(C123,'IKARIA TECHO'!D:D,'IKARIA TECHO'!H:H,"ERROR",0)</f>
        <v/>
      </c>
      <c r="G123" s="687">
        <f>E123*F123</f>
        <v/>
      </c>
      <c r="H123" s="538">
        <f>G123/$G$289</f>
        <v/>
      </c>
    </row>
    <row r="124">
      <c r="B124" s="199">
        <f>_xlfn.XLOOKUP(C124,'INSUMOS MAT '!B:B,'INSUMOS MAT '!C:C,"ERROR",0)</f>
        <v/>
      </c>
      <c r="C124" s="305" t="inlineStr">
        <is>
          <t>MAT05-0075</t>
        </is>
      </c>
      <c r="D124" s="129">
        <f>_xlfn.XLOOKUP(C124,'IKARIA TECHO'!D:D,'IKARIA TECHO'!E:E,"ERROR",0)</f>
        <v/>
      </c>
      <c r="E124" s="535">
        <f>SUMIF('IKARIA TECHO'!D:D,ANALISIS!C124,'IKARIA TECHO'!F:F)</f>
        <v/>
      </c>
      <c r="F124" s="735">
        <f>_xlfn.XLOOKUP(C124,'IKARIA TECHO'!D:D,'IKARIA TECHO'!H:H,"ERROR",0)</f>
        <v/>
      </c>
      <c r="G124" s="687">
        <f>E124*F124</f>
        <v/>
      </c>
      <c r="H124" s="538">
        <f>G124/$G$289</f>
        <v/>
      </c>
    </row>
    <row r="125">
      <c r="B125" s="199">
        <f>_xlfn.XLOOKUP(C125,'INSUMOS MAT '!B:B,'INSUMOS MAT '!C:C,"ERROR",0)</f>
        <v/>
      </c>
      <c r="C125" s="305" t="inlineStr">
        <is>
          <t>MAT05-0076</t>
        </is>
      </c>
      <c r="D125" s="129">
        <f>_xlfn.XLOOKUP(C125,'IKARIA TECHO'!D:D,'IKARIA TECHO'!E:E,"ERROR",0)</f>
        <v/>
      </c>
      <c r="E125" s="535">
        <f>SUMIF('IKARIA TECHO'!D:D,ANALISIS!C125,'IKARIA TECHO'!F:F)</f>
        <v/>
      </c>
      <c r="F125" s="735">
        <f>_xlfn.XLOOKUP(C125,'IKARIA TECHO'!D:D,'IKARIA TECHO'!H:H,"ERROR",0)</f>
        <v/>
      </c>
      <c r="G125" s="687">
        <f>E125*F125</f>
        <v/>
      </c>
      <c r="H125" s="538">
        <f>G125/$G$289</f>
        <v/>
      </c>
    </row>
    <row r="126">
      <c r="B126" s="199">
        <f>_xlfn.XLOOKUP(C126,'INSUMOS MAT '!B:B,'INSUMOS MAT '!C:C,"ERROR",0)</f>
        <v/>
      </c>
      <c r="C126" s="305" t="inlineStr">
        <is>
          <t>MAT05-0077</t>
        </is>
      </c>
      <c r="D126" s="129">
        <f>_xlfn.XLOOKUP(C126,'IKARIA TECHO'!D:D,'IKARIA TECHO'!E:E,"ERROR",0)</f>
        <v/>
      </c>
      <c r="E126" s="535">
        <f>SUMIF('IKARIA TECHO'!D:D,ANALISIS!C126,'IKARIA TECHO'!F:F)</f>
        <v/>
      </c>
      <c r="F126" s="735">
        <f>_xlfn.XLOOKUP(C126,'IKARIA TECHO'!D:D,'IKARIA TECHO'!H:H,"ERROR",0)</f>
        <v/>
      </c>
      <c r="G126" s="687">
        <f>E126*F126</f>
        <v/>
      </c>
      <c r="H126" s="538">
        <f>G126/$G$289</f>
        <v/>
      </c>
    </row>
    <row r="127">
      <c r="B127" s="199">
        <f>_xlfn.XLOOKUP(C127,'INSUMOS MAT '!B:B,'INSUMOS MAT '!C:C,"ERROR",0)</f>
        <v/>
      </c>
      <c r="C127" s="305" t="inlineStr">
        <is>
          <t>MAT08-0335</t>
        </is>
      </c>
      <c r="D127" s="129">
        <f>_xlfn.XLOOKUP(C127,'IKARIA TECHO'!D:D,'IKARIA TECHO'!E:E,"ERROR",0)</f>
        <v/>
      </c>
      <c r="E127" s="535">
        <f>SUMIF('IKARIA TECHO'!D:D,ANALISIS!C127,'IKARIA TECHO'!F:F)</f>
        <v/>
      </c>
      <c r="F127" s="735">
        <f>_xlfn.XLOOKUP(C127,'IKARIA TECHO'!D:D,'IKARIA TECHO'!H:H,"ERROR",0)</f>
        <v/>
      </c>
      <c r="G127" s="687">
        <f>E127*F127</f>
        <v/>
      </c>
      <c r="H127" s="538">
        <f>G127/$G$289</f>
        <v/>
      </c>
    </row>
    <row r="128">
      <c r="B128" s="582" t="n"/>
      <c r="C128" s="305" t="inlineStr">
        <is>
          <t xml:space="preserve">CANOA </t>
        </is>
      </c>
      <c r="D128" s="129">
        <f>_xlfn.XLOOKUP(C128,'IKARIA TECHO'!D:D,'IKARIA TECHO'!E:E,"ERROR",0)</f>
        <v/>
      </c>
      <c r="E128" s="535">
        <f>SUMIF('IKARIA TECHO'!D:D,ANALISIS!C128,'IKARIA TECHO'!F:F)</f>
        <v/>
      </c>
      <c r="F128" s="735">
        <f>_xlfn.XLOOKUP(C128,'IKARIA TECHO'!D:D,'IKARIA TECHO'!H:H,"ERROR",0)</f>
        <v/>
      </c>
      <c r="G128" s="687">
        <f>E128*F128</f>
        <v/>
      </c>
      <c r="H128" s="538">
        <f>G128/$G$289</f>
        <v/>
      </c>
    </row>
    <row r="129">
      <c r="B129" s="582" t="n"/>
      <c r="C129" s="305" t="inlineStr">
        <is>
          <t xml:space="preserve">BOTAGUA </t>
        </is>
      </c>
      <c r="D129" s="129">
        <f>_xlfn.XLOOKUP(C129,'IKARIA TECHO'!D:D,'IKARIA TECHO'!E:E,"ERROR",0)</f>
        <v/>
      </c>
      <c r="E129" s="535">
        <f>SUMIF('IKARIA TECHO'!D:D,ANALISIS!C129,'IKARIA TECHO'!F:F)</f>
        <v/>
      </c>
      <c r="F129" s="735">
        <f>_xlfn.XLOOKUP(C129,'IKARIA TECHO'!D:D,'IKARIA TECHO'!H:H,"ERROR",0)</f>
        <v/>
      </c>
      <c r="G129" s="687">
        <f>E129*F129</f>
        <v/>
      </c>
      <c r="H129" s="538">
        <f>G129/$G$289</f>
        <v/>
      </c>
    </row>
    <row r="130">
      <c r="B130" s="582" t="n"/>
      <c r="C130" s="305" t="inlineStr">
        <is>
          <t xml:space="preserve">GANCHO CANOA </t>
        </is>
      </c>
      <c r="D130" s="129">
        <f>_xlfn.XLOOKUP(C130,'IKARIA TECHO'!D:D,'IKARIA TECHO'!E:E,"ERROR",0)</f>
        <v/>
      </c>
      <c r="E130" s="535">
        <f>SUMIF('IKARIA TECHO'!D:D,ANALISIS!C130,'IKARIA TECHO'!F:F)</f>
        <v/>
      </c>
      <c r="F130" s="735">
        <f>_xlfn.XLOOKUP(C130,'IKARIA TECHO'!D:D,'IKARIA TECHO'!H:H,"ERROR",0)</f>
        <v/>
      </c>
      <c r="G130" s="687">
        <f>E130*F130</f>
        <v/>
      </c>
      <c r="H130" s="538">
        <f>G130/$G$289</f>
        <v/>
      </c>
    </row>
    <row r="131">
      <c r="B131" s="199">
        <f>_xlfn.XLOOKUP(C131,'INSUMOS MAT '!B:B,'INSUMOS MAT '!C:C,"ERROR",0)</f>
        <v/>
      </c>
      <c r="C131" s="177" t="inlineStr">
        <is>
          <t>MAT07-0011</t>
        </is>
      </c>
      <c r="D131" s="540">
        <f>_xlfn.XLOOKUP(C131,'IKARIA TECHO'!D:D,'IKARIA TECHO'!E:E,"ERROR",0)</f>
        <v/>
      </c>
      <c r="E131" s="541">
        <f>SUMIF('IKARIA TECHO'!D:D,ANALISIS!C131,'IKARIA TECHO'!F:F)</f>
        <v/>
      </c>
      <c r="F131" s="763">
        <f>_xlfn.XLOOKUP(C131,'IKARIA TECHO'!D:D,'IKARIA TECHO'!H:H,"ERROR",0)</f>
        <v/>
      </c>
      <c r="G131" s="764">
        <f>E131*F131</f>
        <v/>
      </c>
      <c r="H131" s="544">
        <f>G131/$G$289</f>
        <v/>
      </c>
    </row>
    <row r="132">
      <c r="B132" s="199">
        <f>_xlfn.XLOOKUP(C132,'INSUMOS MAT '!B:B,'INSUMOS MAT '!C:C,"ERROR",0)</f>
        <v/>
      </c>
      <c r="C132" s="177" t="inlineStr">
        <is>
          <t>MAT07-0025</t>
        </is>
      </c>
      <c r="D132" s="129">
        <f>_xlfn.XLOOKUP(C132,'IKARIA TECHO'!D:D,'IKARIA TECHO'!E:E,"ERROR",0)</f>
        <v/>
      </c>
      <c r="E132" s="535">
        <f>SUMIF('IKARIA TECHO'!D:D,ANALISIS!C132,'IKARIA TECHO'!F:F)</f>
        <v/>
      </c>
      <c r="F132" s="735">
        <f>_xlfn.XLOOKUP(C132,'IKARIA TECHO'!D:D,'IKARIA TECHO'!H:H,"ERROR",0)</f>
        <v/>
      </c>
      <c r="G132" s="687">
        <f>E132*F132</f>
        <v/>
      </c>
      <c r="H132" s="538">
        <f>G132/$G$289</f>
        <v/>
      </c>
    </row>
    <row r="133">
      <c r="B133" s="582" t="n"/>
      <c r="C133" s="177" t="inlineStr">
        <is>
          <t>MAT04-79</t>
        </is>
      </c>
      <c r="D133" s="129">
        <f>_xlfn.XLOOKUP(C133,'IKARIA TECHO'!D:D,'IKARIA TECHO'!E:E,"ERROR",0)</f>
        <v/>
      </c>
      <c r="E133" s="535">
        <f>SUMIF('IKARIA TECHO'!D:D,ANALISIS!C133,'IKARIA TECHO'!F:F)</f>
        <v/>
      </c>
      <c r="F133" s="735">
        <f>_xlfn.XLOOKUP(C133,'IKARIA TECHO'!D:D,'IKARIA TECHO'!H:H,"ERROR",0)</f>
        <v/>
      </c>
      <c r="G133" s="687">
        <f>E133*F133</f>
        <v/>
      </c>
      <c r="H133" s="538">
        <f>G133/$G$289</f>
        <v/>
      </c>
    </row>
    <row r="134">
      <c r="B134" s="199">
        <f>_xlfn.XLOOKUP(C134,'INSUMOS MAT '!B:B,'INSUMOS MAT '!C:C,"ERROR",0)</f>
        <v/>
      </c>
      <c r="C134" s="177" t="inlineStr">
        <is>
          <t>MAT04-0046</t>
        </is>
      </c>
      <c r="D134" s="540">
        <f>_xlfn.XLOOKUP(C134,'IKARIA TECHO'!D:D,'IKARIA TECHO'!E:E,"ERROR",0)</f>
        <v/>
      </c>
      <c r="E134" s="541">
        <f>SUMIF('IKARIA TECHO'!D:D,ANALISIS!C134,'IKARIA TECHO'!F:F)</f>
        <v/>
      </c>
      <c r="F134" s="763">
        <f>_xlfn.XLOOKUP(C134,'IKARIA TECHO'!D:D,'IKARIA TECHO'!H:H,"ERROR",0)</f>
        <v/>
      </c>
      <c r="G134" s="764">
        <f>E134*F134</f>
        <v/>
      </c>
      <c r="H134" s="544">
        <f>G134/$G$289</f>
        <v/>
      </c>
    </row>
    <row r="135">
      <c r="B135" s="199">
        <f>_xlfn.XLOOKUP(C135,'INSUMOS MAT '!B:B,'INSUMOS MAT '!C:C,"ERROR",0)</f>
        <v/>
      </c>
      <c r="C135" s="177" t="inlineStr">
        <is>
          <t>MAT07-0018</t>
        </is>
      </c>
      <c r="D135" s="129">
        <f>_xlfn.XLOOKUP(C135,'IKARIA TECHO'!D:D,'IKARIA TECHO'!E:E,"ERROR",0)</f>
        <v/>
      </c>
      <c r="E135" s="535">
        <f>SUMIF('IKARIA TECHO'!D:D,ANALISIS!C135,'IKARIA TECHO'!F:F)</f>
        <v/>
      </c>
      <c r="F135" s="735">
        <f>_xlfn.XLOOKUP(C135,'IKARIA TECHO'!D:D,'IKARIA TECHO'!H:H,"ERROR",0)</f>
        <v/>
      </c>
      <c r="G135" s="687">
        <f>E135*F135</f>
        <v/>
      </c>
      <c r="H135" s="538">
        <f>G135/$G$289</f>
        <v/>
      </c>
    </row>
    <row r="136">
      <c r="B136" s="199">
        <f>_xlfn.XLOOKUP(C136,'INSUMOS MAT '!B:B,'INSUMOS MAT '!C:C,"ERROR",0)</f>
        <v/>
      </c>
      <c r="C136" s="177" t="inlineStr">
        <is>
          <t>MAT07-0029</t>
        </is>
      </c>
      <c r="D136" s="129">
        <f>_xlfn.XLOOKUP(C136,'IKARIA TECHO'!D:D,'IKARIA TECHO'!E:E,"ERROR",0)</f>
        <v/>
      </c>
      <c r="E136" s="535">
        <f>SUMIF('IKARIA TECHO'!D:D,ANALISIS!C136,'IKARIA TECHO'!F:F)</f>
        <v/>
      </c>
      <c r="F136" s="735">
        <f>_xlfn.XLOOKUP(C136,'IKARIA TECHO'!D:D,'IKARIA TECHO'!H:H,"ERROR",0)</f>
        <v/>
      </c>
      <c r="G136" s="687">
        <f>E136*F136</f>
        <v/>
      </c>
      <c r="H136" s="538">
        <f>G136/$G$289</f>
        <v/>
      </c>
    </row>
    <row r="137">
      <c r="B137" s="199">
        <f>_xlfn.XLOOKUP(C137,'INSUMOS MAT '!B:B,'INSUMOS MAT '!C:C,"ERROR",0)</f>
        <v/>
      </c>
      <c r="C137" s="177" t="inlineStr">
        <is>
          <t>MAT07-0027</t>
        </is>
      </c>
      <c r="D137" s="129">
        <f>_xlfn.XLOOKUP(C137,'IKARIA TECHO'!D:D,'IKARIA TECHO'!E:E,"ERROR",0)</f>
        <v/>
      </c>
      <c r="E137" s="535">
        <f>SUMIF('IKARIA TECHO'!D:D,ANALISIS!C137,'IKARIA TECHO'!F:F)</f>
        <v/>
      </c>
      <c r="F137" s="735">
        <f>_xlfn.XLOOKUP(C137,'IKARIA TECHO'!D:D,'IKARIA TECHO'!H:H,"ERROR",0)</f>
        <v/>
      </c>
      <c r="G137" s="687">
        <f>E137*F137</f>
        <v/>
      </c>
      <c r="H137" s="538">
        <f>G137/$G$289</f>
        <v/>
      </c>
    </row>
    <row r="138">
      <c r="B138" s="199">
        <f>_xlfn.XLOOKUP(C138,'INSUMOS MAT '!B:B,'INSUMOS MAT '!C:C,"ERROR",0)</f>
        <v/>
      </c>
      <c r="C138" s="177" t="inlineStr">
        <is>
          <t>MAT07-0020</t>
        </is>
      </c>
      <c r="D138" s="129">
        <f>_xlfn.XLOOKUP(C138,'IKARIA TECHO'!D:D,'IKARIA TECHO'!E:E,"ERROR",0)</f>
        <v/>
      </c>
      <c r="E138" s="535">
        <f>SUMIF('IKARIA TECHO'!D:D,ANALISIS!C138,'IKARIA TECHO'!F:F)</f>
        <v/>
      </c>
      <c r="F138" s="735">
        <f>_xlfn.XLOOKUP(C138,'IKARIA TECHO'!D:D,'IKARIA TECHO'!H:H,"ERROR",0)</f>
        <v/>
      </c>
      <c r="G138" s="687">
        <f>E138*F138</f>
        <v/>
      </c>
      <c r="H138" s="538">
        <f>G138/$G$289</f>
        <v/>
      </c>
    </row>
    <row r="139">
      <c r="B139" s="199">
        <f>_xlfn.XLOOKUP(C139,'INSUMOS MAT '!B:B,'INSUMOS MAT '!C:C,"ERROR",0)</f>
        <v/>
      </c>
      <c r="C139" s="177" t="inlineStr">
        <is>
          <t>MAT07-0007</t>
        </is>
      </c>
      <c r="D139" s="129">
        <f>_xlfn.XLOOKUP(C139,'IKARIA TECHO'!D:D,'IKARIA TECHO'!E:E,"ERROR",0)</f>
        <v/>
      </c>
      <c r="E139" s="535">
        <f>SUMIF('IKARIA TECHO'!D:D,ANALISIS!C139,'IKARIA TECHO'!F:F)</f>
        <v/>
      </c>
      <c r="F139" s="735">
        <f>_xlfn.XLOOKUP(C139,'IKARIA TECHO'!D:D,'IKARIA TECHO'!H:H,"ERROR",0)</f>
        <v/>
      </c>
      <c r="G139" s="687">
        <f>E139*F139</f>
        <v/>
      </c>
      <c r="H139" s="538">
        <f>G139/$G$289</f>
        <v/>
      </c>
    </row>
    <row r="140">
      <c r="B140" s="199">
        <f>_xlfn.XLOOKUP(C140,'INSUMOS MAT '!B:B,'INSUMOS MAT '!C:C,"ERROR",0)</f>
        <v/>
      </c>
      <c r="C140" s="177" t="inlineStr">
        <is>
          <t>MAT07-0001</t>
        </is>
      </c>
      <c r="D140" s="129">
        <f>_xlfn.XLOOKUP(C140,'IKARIA TECHO'!D:D,'IKARIA TECHO'!E:E,"ERROR",0)</f>
        <v/>
      </c>
      <c r="E140" s="535">
        <f>SUMIF('IKARIA TECHO'!D:D,ANALISIS!C140,'IKARIA TECHO'!F:F)</f>
        <v/>
      </c>
      <c r="F140" s="735">
        <f>_xlfn.XLOOKUP(C140,'IKARIA TECHO'!D:D,'IKARIA TECHO'!H:H,"ERROR",0)</f>
        <v/>
      </c>
      <c r="G140" s="687">
        <f>E140*F140</f>
        <v/>
      </c>
      <c r="H140" s="538">
        <f>G140/$G$289</f>
        <v/>
      </c>
    </row>
    <row r="141">
      <c r="B141" s="199">
        <f>_xlfn.XLOOKUP(C141,'INSUMOS MAT '!B:B,'INSUMOS MAT '!C:C,"ERROR",0)</f>
        <v/>
      </c>
      <c r="C141" s="177" t="inlineStr">
        <is>
          <t>MAT07-0003</t>
        </is>
      </c>
      <c r="D141" s="129">
        <f>_xlfn.XLOOKUP(C141,'IKARIA TECHO'!D:D,'IKARIA TECHO'!E:E,"ERROR",0)</f>
        <v/>
      </c>
      <c r="E141" s="535">
        <f>SUMIF('IKARIA TECHO'!D:D,ANALISIS!C141,'IKARIA TECHO'!F:F)</f>
        <v/>
      </c>
      <c r="F141" s="735">
        <f>_xlfn.XLOOKUP(C141,'IKARIA TECHO'!D:D,'IKARIA TECHO'!H:H,"ERROR",0)</f>
        <v/>
      </c>
      <c r="G141" s="687">
        <f>E141*F141</f>
        <v/>
      </c>
      <c r="H141" s="538">
        <f>G141/$G$289</f>
        <v/>
      </c>
    </row>
    <row r="142">
      <c r="B142" s="199">
        <f>_xlfn.XLOOKUP(C142,'INSUMOS MAT '!B:B,'INSUMOS MAT '!C:C,"ERROR",0)</f>
        <v/>
      </c>
      <c r="C142" s="177" t="inlineStr">
        <is>
          <t>MAT07-0010</t>
        </is>
      </c>
      <c r="D142" s="129">
        <f>_xlfn.XLOOKUP(C142,'IKARIA TECHO'!D:D,'IKARIA TECHO'!E:E,"ERROR",0)</f>
        <v/>
      </c>
      <c r="E142" s="535">
        <f>SUMIF('IKARIA TECHO'!D:D,ANALISIS!C142,'IKARIA TECHO'!F:F)</f>
        <v/>
      </c>
      <c r="F142" s="735">
        <f>_xlfn.XLOOKUP(C142,'IKARIA TECHO'!D:D,'IKARIA TECHO'!H:H,"ERROR",0)</f>
        <v/>
      </c>
      <c r="G142" s="687">
        <f>E142*F142</f>
        <v/>
      </c>
      <c r="H142" s="538">
        <f>G142/$G$289</f>
        <v/>
      </c>
    </row>
    <row r="143">
      <c r="B143" s="199">
        <f>_xlfn.XLOOKUP(C143,'INSUMOS MAT '!B:B,'INSUMOS MAT '!C:C,"ERROR",0)</f>
        <v/>
      </c>
      <c r="C143" s="177" t="inlineStr">
        <is>
          <t>MAT07-0024</t>
        </is>
      </c>
      <c r="D143" s="129">
        <f>_xlfn.XLOOKUP(C143,'IKARIA TECHO'!D:D,'IKARIA TECHO'!E:E,"ERROR",0)</f>
        <v/>
      </c>
      <c r="E143" s="535">
        <f>SUMIF('IKARIA TECHO'!D:D,ANALISIS!C143,'IKARIA TECHO'!F:F)</f>
        <v/>
      </c>
      <c r="F143" s="735">
        <f>_xlfn.XLOOKUP(C143,'IKARIA TECHO'!D:D,'IKARIA TECHO'!H:H,"ERROR",0)</f>
        <v/>
      </c>
      <c r="G143" s="687">
        <f>E143*F143</f>
        <v/>
      </c>
      <c r="H143" s="538">
        <f>G143/$G$289</f>
        <v/>
      </c>
    </row>
    <row r="144">
      <c r="B144" s="199">
        <f>_xlfn.XLOOKUP(C144,'INSUMOS MAT '!B:B,'INSUMOS MAT '!C:C,"ERROR",0)</f>
        <v/>
      </c>
      <c r="C144" s="177" t="inlineStr">
        <is>
          <t>MAT08-0026</t>
        </is>
      </c>
      <c r="D144" s="129">
        <f>_xlfn.XLOOKUP(C144,'IKARIA TECHO'!D:D,'IKARIA TECHO'!E:E,"ERROR",0)</f>
        <v/>
      </c>
      <c r="E144" s="535">
        <f>SUMIF('IKARIA TECHO'!D:D,ANALISIS!C144,'IKARIA TECHO'!F:F)</f>
        <v/>
      </c>
      <c r="F144" s="735">
        <f>_xlfn.XLOOKUP(C144,'IKARIA TECHO'!D:D,'IKARIA TECHO'!H:H,"ERROR",0)</f>
        <v/>
      </c>
      <c r="G144" s="687">
        <f>E144*F144</f>
        <v/>
      </c>
      <c r="H144" s="538">
        <f>G144/$G$289</f>
        <v/>
      </c>
    </row>
    <row r="145">
      <c r="B145" s="199">
        <f>_xlfn.XLOOKUP(C145,'INSUMOS MAT '!B:B,'INSUMOS MAT '!C:C,"ERROR",0)</f>
        <v/>
      </c>
      <c r="C145" s="177" t="inlineStr">
        <is>
          <t>MAT08-0120</t>
        </is>
      </c>
      <c r="D145" s="129">
        <f>_xlfn.XLOOKUP(C145,'IKARIA TECHO'!D:D,'IKARIA TECHO'!E:E,"ERROR",0)</f>
        <v/>
      </c>
      <c r="E145" s="535">
        <f>SUMIF('IKARIA TECHO'!D:D,ANALISIS!C145,'IKARIA TECHO'!F:F)</f>
        <v/>
      </c>
      <c r="F145" s="735">
        <f>_xlfn.XLOOKUP(C145,'IKARIA TECHO'!D:D,'IKARIA TECHO'!H:H,"ERROR",0)</f>
        <v/>
      </c>
      <c r="G145" s="687">
        <f>E145*F145</f>
        <v/>
      </c>
      <c r="H145" s="538">
        <f>G145/$G$289</f>
        <v/>
      </c>
    </row>
    <row r="146">
      <c r="B146" s="199">
        <f>_xlfn.XLOOKUP(C146,'INSUMOS MAT '!B:B,'INSUMOS MAT '!C:C,"ERROR",0)</f>
        <v/>
      </c>
      <c r="C146" s="177" t="inlineStr">
        <is>
          <t>MAT07-0013</t>
        </is>
      </c>
      <c r="D146" s="129">
        <f>_xlfn.XLOOKUP(C146,'IKARIA TECHO'!D:D,'IKARIA TECHO'!E:E,"ERROR",0)</f>
        <v/>
      </c>
      <c r="E146" s="535">
        <f>SUMIF('IKARIA TECHO'!D:D,ANALISIS!C146,'IKARIA TECHO'!F:F)</f>
        <v/>
      </c>
      <c r="F146" s="735">
        <f>_xlfn.XLOOKUP(C146,'IKARIA TECHO'!D:D,'IKARIA TECHO'!H:H,"ERROR",0)</f>
        <v/>
      </c>
      <c r="G146" s="687">
        <f>E146*F146</f>
        <v/>
      </c>
      <c r="H146" s="538">
        <f>G146/$G$289</f>
        <v/>
      </c>
    </row>
    <row r="147">
      <c r="B147" s="199">
        <f>_xlfn.XLOOKUP(C147,'INSUMOS MAT '!B:B,'INSUMOS MAT '!C:C,"ERROR",0)</f>
        <v/>
      </c>
      <c r="C147" s="177" t="inlineStr">
        <is>
          <t>MAT07-0015</t>
        </is>
      </c>
      <c r="D147" s="129">
        <f>_xlfn.XLOOKUP(C147,'IKARIA TECHO'!D:D,'IKARIA TECHO'!E:E,"ERROR",0)</f>
        <v/>
      </c>
      <c r="E147" s="535">
        <f>SUMIF('IKARIA TECHO'!D:D,ANALISIS!C147,'IKARIA TECHO'!F:F)</f>
        <v/>
      </c>
      <c r="F147" s="735">
        <f>_xlfn.XLOOKUP(C147,'IKARIA TECHO'!D:D,'IKARIA TECHO'!H:H,"ERROR",0)</f>
        <v/>
      </c>
      <c r="G147" s="687">
        <f>E147*F147</f>
        <v/>
      </c>
      <c r="H147" s="538">
        <f>G147/$G$289</f>
        <v/>
      </c>
    </row>
    <row r="148">
      <c r="B148" s="199">
        <f>_xlfn.XLOOKUP(C148,'INSUMOS MAT '!B:B,'INSUMOS MAT '!C:C,"ERROR",0)</f>
        <v/>
      </c>
      <c r="C148" s="177" t="inlineStr">
        <is>
          <t>MAT07-0004</t>
        </is>
      </c>
      <c r="D148" s="129">
        <f>_xlfn.XLOOKUP(C148,'IKARIA TECHO'!D:D,'IKARIA TECHO'!E:E,"ERROR",0)</f>
        <v/>
      </c>
      <c r="E148" s="535">
        <f>SUMIF('IKARIA TECHO'!D:D,ANALISIS!C148,'IKARIA TECHO'!F:F)</f>
        <v/>
      </c>
      <c r="F148" s="735">
        <f>_xlfn.XLOOKUP(C148,'IKARIA TECHO'!D:D,'IKARIA TECHO'!H:H,"ERROR",0)</f>
        <v/>
      </c>
      <c r="G148" s="687">
        <f>E148*F148</f>
        <v/>
      </c>
      <c r="H148" s="538">
        <f>G148/$G$289</f>
        <v/>
      </c>
    </row>
    <row r="149">
      <c r="B149" s="199">
        <f>_xlfn.XLOOKUP(C149,'INSUMOS MAT '!B:B,'INSUMOS MAT '!C:C,"ERROR",0)</f>
        <v/>
      </c>
      <c r="C149" s="486" t="inlineStr">
        <is>
          <t>MAT21-0007</t>
        </is>
      </c>
      <c r="D149" s="129">
        <f>_xlfn.XLOOKUP(C149,'IKARIA TECHO'!D:D,'IKARIA TECHO'!E:E,"ERROR",0)</f>
        <v/>
      </c>
      <c r="E149" s="535">
        <f>SUMIF('IKARIA TECHO'!D:D,ANALISIS!C149,'IKARIA TECHO'!F:F)</f>
        <v/>
      </c>
      <c r="F149" s="735">
        <f>_xlfn.XLOOKUP(C149,'IKARIA TECHO'!D:D,'IKARIA TECHO'!H:H,"ERROR",0)</f>
        <v/>
      </c>
      <c r="G149" s="687">
        <f>E149*F149</f>
        <v/>
      </c>
      <c r="H149" s="538">
        <f>G149/$G$289</f>
        <v/>
      </c>
    </row>
    <row r="150">
      <c r="B150" s="199">
        <f>_xlfn.XLOOKUP(C150,'INSUMOS MAT '!B:B,'INSUMOS MAT '!C:C,"ERROR",0)</f>
        <v/>
      </c>
      <c r="C150" s="486" t="inlineStr">
        <is>
          <t>MAT08-0067</t>
        </is>
      </c>
      <c r="D150" s="129">
        <f>_xlfn.XLOOKUP(C150,'IKARIA TECHO'!D:D,'IKARIA TECHO'!E:E,"ERROR",0)</f>
        <v/>
      </c>
      <c r="E150" s="535">
        <f>SUMIF('IKARIA TECHO'!D:D,ANALISIS!C150,'IKARIA TECHO'!F:F)</f>
        <v/>
      </c>
      <c r="F150" s="735">
        <f>_xlfn.XLOOKUP(C150,'IKARIA TECHO'!D:D,'IKARIA TECHO'!H:H,"ERROR",0)</f>
        <v/>
      </c>
      <c r="G150" s="687">
        <f>E150*F150</f>
        <v/>
      </c>
      <c r="H150" s="538">
        <f>G150/$G$289</f>
        <v/>
      </c>
    </row>
    <row r="151">
      <c r="B151" s="199">
        <f>_xlfn.XLOOKUP(C151,'INSUMOS MAT '!B:B,'INSUMOS MAT '!C:C,"ERROR",0)</f>
        <v/>
      </c>
      <c r="C151" s="486" t="inlineStr">
        <is>
          <t>MAT04-0047</t>
        </is>
      </c>
      <c r="D151" s="129">
        <f>_xlfn.XLOOKUP(C151,'IKARIA TECHO'!D:D,'IKARIA TECHO'!E:E,"ERROR",0)</f>
        <v/>
      </c>
      <c r="E151" s="535">
        <f>SUMIF('IKARIA TECHO'!D:D,ANALISIS!C151,'IKARIA TECHO'!F:F)</f>
        <v/>
      </c>
      <c r="F151" s="735">
        <f>_xlfn.XLOOKUP(C151,'IKARIA TECHO'!D:D,'IKARIA TECHO'!H:H,"ERROR",0)</f>
        <v/>
      </c>
      <c r="G151" s="687">
        <f>E151*F151</f>
        <v/>
      </c>
      <c r="H151" s="538">
        <f>G151/$G$289</f>
        <v/>
      </c>
    </row>
    <row r="152">
      <c r="B152" s="199">
        <f>_xlfn.XLOOKUP(C152,'INSUMOS MAT '!B:B,'INSUMOS MAT '!C:C,"ERROR",0)</f>
        <v/>
      </c>
      <c r="C152" s="486" t="inlineStr">
        <is>
          <t>MAT08-0087</t>
        </is>
      </c>
      <c r="D152" s="129">
        <f>_xlfn.XLOOKUP(C152,'IKARIA TECHO'!D:D,'IKARIA TECHO'!E:E,"ERROR",0)</f>
        <v/>
      </c>
      <c r="E152" s="535">
        <f>SUMIF('IKARIA TECHO'!D:D,ANALISIS!C152,'IKARIA TECHO'!F:F)</f>
        <v/>
      </c>
      <c r="F152" s="735">
        <f>_xlfn.XLOOKUP(C152,'IKARIA TECHO'!D:D,'IKARIA TECHO'!H:H,"ERROR",0)</f>
        <v/>
      </c>
      <c r="G152" s="687">
        <f>E152*F152</f>
        <v/>
      </c>
      <c r="H152" s="538">
        <f>G152/$G$289</f>
        <v/>
      </c>
    </row>
    <row r="153">
      <c r="B153" s="199">
        <f>_xlfn.XLOOKUP(C153,'INSUMOS MAT '!B:B,'INSUMOS MAT '!C:C,"ERROR",0)</f>
        <v/>
      </c>
      <c r="C153" s="177" t="inlineStr">
        <is>
          <t>MAT17-0106</t>
        </is>
      </c>
      <c r="D153" s="540">
        <f>_xlfn.XLOOKUP(C153,'IKARIA TECHO'!D:D,'IKARIA TECHO'!E:E,"ERROR",0)</f>
        <v/>
      </c>
      <c r="E153" s="541">
        <f>SUMIF('IKARIA TECHO'!D:D,ANALISIS!C153,'IKARIA TECHO'!F:F)</f>
        <v/>
      </c>
      <c r="F153" s="763">
        <f>_xlfn.XLOOKUP(C153,'IKARIA TECHO'!D:D,'IKARIA TECHO'!H:H,"ERROR",0)</f>
        <v/>
      </c>
      <c r="G153" s="764">
        <f>E153*F153</f>
        <v/>
      </c>
      <c r="H153" s="544">
        <f>G153/$G$289</f>
        <v/>
      </c>
    </row>
    <row r="154">
      <c r="B154" s="199">
        <f>_xlfn.XLOOKUP(C154,'INSUMOS MAT '!B:B,'INSUMOS MAT '!C:C,"ERROR",0)</f>
        <v/>
      </c>
      <c r="C154" s="305" t="inlineStr">
        <is>
          <t>MAT17-0036</t>
        </is>
      </c>
      <c r="D154" s="540">
        <f>_xlfn.XLOOKUP(C154,'IKARIA TECHO'!D:D,'IKARIA TECHO'!E:E,"ERROR",0)</f>
        <v/>
      </c>
      <c r="E154" s="541">
        <f>SUMIF('IKARIA TECHO'!D:D,ANALISIS!C154,'IKARIA TECHO'!F:F)</f>
        <v/>
      </c>
      <c r="F154" s="763">
        <f>_xlfn.XLOOKUP(C154,'IKARIA TECHO'!D:D,'IKARIA TECHO'!H:H,"ERROR",0)</f>
        <v/>
      </c>
      <c r="G154" s="764">
        <f>E154*F154</f>
        <v/>
      </c>
      <c r="H154" s="544">
        <f>G154/$G$289</f>
        <v/>
      </c>
    </row>
    <row r="155">
      <c r="B155" s="199">
        <f>_xlfn.XLOOKUP(C155,'INSUMOS MAT '!B:B,'INSUMOS MAT '!C:C,"ERROR",0)</f>
        <v/>
      </c>
      <c r="C155" s="305" t="inlineStr">
        <is>
          <t>MAT04-0016</t>
        </is>
      </c>
      <c r="D155" s="129">
        <f>_xlfn.XLOOKUP(C155,'IKARIA TECHO'!D:D,'IKARIA TECHO'!E:E,"ERROR",0)</f>
        <v/>
      </c>
      <c r="E155" s="535">
        <f>SUMIF('IKARIA TECHO'!D:D,ANALISIS!C155,'IKARIA TECHO'!F:F)</f>
        <v/>
      </c>
      <c r="F155" s="735">
        <f>_xlfn.XLOOKUP(C155,'IKARIA TECHO'!D:D,'IKARIA TECHO'!H:H,"ERROR",0)</f>
        <v/>
      </c>
      <c r="G155" s="687">
        <f>E155*F155</f>
        <v/>
      </c>
      <c r="H155" s="538">
        <f>G155/$G$289</f>
        <v/>
      </c>
    </row>
    <row r="156">
      <c r="B156" s="199">
        <f>_xlfn.XLOOKUP(C156,'INSUMOS MAT '!B:B,'INSUMOS MAT '!C:C,"ERROR",0)</f>
        <v/>
      </c>
      <c r="C156" s="305" t="inlineStr">
        <is>
          <t>MAT04-0012</t>
        </is>
      </c>
      <c r="D156" s="129">
        <f>_xlfn.XLOOKUP(C156,'IKARIA TECHO'!D:D,'IKARIA TECHO'!E:E,"ERROR",0)</f>
        <v/>
      </c>
      <c r="E156" s="535">
        <f>SUMIF('IKARIA TECHO'!D:D,ANALISIS!C156,'IKARIA TECHO'!F:F)</f>
        <v/>
      </c>
      <c r="F156" s="735">
        <f>_xlfn.XLOOKUP(C156,'IKARIA TECHO'!D:D,'IKARIA TECHO'!H:H,"ERROR",0)</f>
        <v/>
      </c>
      <c r="G156" s="687">
        <f>E156*F156</f>
        <v/>
      </c>
      <c r="H156" s="538">
        <f>G156/$G$289</f>
        <v/>
      </c>
    </row>
    <row r="157">
      <c r="B157" s="199">
        <f>_xlfn.XLOOKUP(C157,'INSUMOS MAT '!B:B,'INSUMOS MAT '!C:C,"ERROR",0)</f>
        <v/>
      </c>
      <c r="C157" s="305" t="inlineStr">
        <is>
          <t>MAT08-0216</t>
        </is>
      </c>
      <c r="D157" s="129">
        <f>_xlfn.XLOOKUP(C157,'IKARIA TECHO'!D:D,'IKARIA TECHO'!E:E,"ERROR",0)</f>
        <v/>
      </c>
      <c r="E157" s="535">
        <f>SUMIF('IKARIA TECHO'!D:D,ANALISIS!C157,'IKARIA TECHO'!F:F)</f>
        <v/>
      </c>
      <c r="F157" s="735">
        <f>_xlfn.XLOOKUP(C157,'IKARIA TECHO'!D:D,'IKARIA TECHO'!H:H,"ERROR",0)</f>
        <v/>
      </c>
      <c r="G157" s="687">
        <f>E157*F157</f>
        <v/>
      </c>
      <c r="H157" s="538">
        <f>G157/$G$289</f>
        <v/>
      </c>
    </row>
    <row r="158">
      <c r="B158" s="199">
        <f>_xlfn.XLOOKUP(C158,'INSUMOS MAT '!B:B,'INSUMOS MAT '!C:C,"ERROR",0)</f>
        <v/>
      </c>
      <c r="C158" s="305" t="inlineStr">
        <is>
          <t>MAT08-0130</t>
        </is>
      </c>
      <c r="D158" s="129">
        <f>_xlfn.XLOOKUP(C158,'IKARIA TECHO'!D:D,'IKARIA TECHO'!E:E,"ERROR",0)</f>
        <v/>
      </c>
      <c r="E158" s="535">
        <f>SUMIF('IKARIA TECHO'!D:D,ANALISIS!C158,'IKARIA TECHO'!F:F)</f>
        <v/>
      </c>
      <c r="F158" s="735">
        <f>_xlfn.XLOOKUP(C158,'IKARIA TECHO'!D:D,'IKARIA TECHO'!H:H,"ERROR",0)</f>
        <v/>
      </c>
      <c r="G158" s="687">
        <f>E158*F158</f>
        <v/>
      </c>
      <c r="H158" s="538">
        <f>G158/$G$289</f>
        <v/>
      </c>
    </row>
    <row r="159">
      <c r="B159" s="199">
        <f>_xlfn.XLOOKUP(C159,'INSUMOS MAT '!B:B,'INSUMOS MAT '!C:C,"ERROR",0)</f>
        <v/>
      </c>
      <c r="C159" s="305" t="inlineStr">
        <is>
          <t>MAT08-0179</t>
        </is>
      </c>
      <c r="D159" s="129">
        <f>_xlfn.XLOOKUP(C159,'IKARIA TECHO'!D:D,'IKARIA TECHO'!E:E,"ERROR",0)</f>
        <v/>
      </c>
      <c r="E159" s="535">
        <f>SUMIF('IKARIA TECHO'!D:D,ANALISIS!C159,'IKARIA TECHO'!F:F)</f>
        <v/>
      </c>
      <c r="F159" s="735">
        <f>_xlfn.XLOOKUP(C159,'IKARIA TECHO'!D:D,'IKARIA TECHO'!H:H,"ERROR",0)</f>
        <v/>
      </c>
      <c r="G159" s="687">
        <f>E159*F159</f>
        <v/>
      </c>
      <c r="H159" s="538">
        <f>G159/$G$289</f>
        <v/>
      </c>
    </row>
    <row r="160">
      <c r="B160" s="199">
        <f>_xlfn.XLOOKUP(C160,'INSUMOS MAT '!B:B,'INSUMOS MAT '!C:C,"ERROR",0)</f>
        <v/>
      </c>
      <c r="C160" s="305" t="inlineStr">
        <is>
          <t>MAT08-0039</t>
        </is>
      </c>
      <c r="D160" s="129">
        <f>_xlfn.XLOOKUP(C160,'IKARIA TECHO'!D:D,'IKARIA TECHO'!E:E,"ERROR",0)</f>
        <v/>
      </c>
      <c r="E160" s="535">
        <f>SUMIF('IKARIA TECHO'!D:D,ANALISIS!C160,'IKARIA TECHO'!F:F)</f>
        <v/>
      </c>
      <c r="F160" s="735">
        <f>_xlfn.XLOOKUP(C160,'IKARIA TECHO'!D:D,'IKARIA TECHO'!H:H,"ERROR",0)</f>
        <v/>
      </c>
      <c r="G160" s="687">
        <f>E160*F160</f>
        <v/>
      </c>
      <c r="H160" s="538">
        <f>G160/$G$289</f>
        <v/>
      </c>
    </row>
    <row r="161">
      <c r="B161" s="582" t="n"/>
      <c r="C161" s="305" t="inlineStr">
        <is>
          <t xml:space="preserve">TABLATECK 1 </t>
        </is>
      </c>
      <c r="D161" s="129">
        <f>_xlfn.XLOOKUP(C161,'IKARIA TECHO'!D:D,'IKARIA TECHO'!E:E,"ERROR",0)</f>
        <v/>
      </c>
      <c r="E161" s="535">
        <f>SUMIF('IKARIA TECHO'!D:D,ANALISIS!C161,'IKARIA TECHO'!F:F)</f>
        <v/>
      </c>
      <c r="F161" s="735">
        <f>_xlfn.XLOOKUP(C161,'IKARIA TECHO'!D:D,'IKARIA TECHO'!H:H,"ERROR",0)</f>
        <v/>
      </c>
      <c r="G161" s="687">
        <f>E161*F161</f>
        <v/>
      </c>
      <c r="H161" s="538">
        <f>G161/$G$289</f>
        <v/>
      </c>
    </row>
    <row r="162">
      <c r="B162" s="582" t="n"/>
      <c r="C162" s="305" t="inlineStr">
        <is>
          <t>TABLATECK 2</t>
        </is>
      </c>
      <c r="D162" s="129">
        <f>_xlfn.XLOOKUP(C162,'IKARIA TECHO'!D:D,'IKARIA TECHO'!E:E,"ERROR",0)</f>
        <v/>
      </c>
      <c r="E162" s="535">
        <f>SUMIF('IKARIA TECHO'!D:D,ANALISIS!C162,'IKARIA TECHO'!F:F)</f>
        <v/>
      </c>
      <c r="F162" s="735">
        <f>_xlfn.XLOOKUP(C162,'IKARIA TECHO'!D:D,'IKARIA TECHO'!H:H,"ERROR",0)</f>
        <v/>
      </c>
      <c r="G162" s="687">
        <f>E162*F162</f>
        <v/>
      </c>
      <c r="H162" s="538">
        <f>G162/$G$289</f>
        <v/>
      </c>
    </row>
    <row r="163">
      <c r="B163" s="582" t="n"/>
      <c r="C163" s="305" t="inlineStr">
        <is>
          <t>TABLATECK 3</t>
        </is>
      </c>
      <c r="D163" s="129">
        <f>_xlfn.XLOOKUP(C163,'IKARIA TECHO'!D:D,'IKARIA TECHO'!E:E,"ERROR",0)</f>
        <v/>
      </c>
      <c r="E163" s="535">
        <f>SUMIF('IKARIA TECHO'!D:D,ANALISIS!C163,'IKARIA TECHO'!F:F)</f>
        <v/>
      </c>
      <c r="F163" s="735">
        <f>_xlfn.XLOOKUP(C163,'IKARIA TECHO'!D:D,'IKARIA TECHO'!H:H,"ERROR",0)</f>
        <v/>
      </c>
      <c r="G163" s="687">
        <f>E163*F163</f>
        <v/>
      </c>
      <c r="H163" s="538">
        <f>G163/$G$289</f>
        <v/>
      </c>
    </row>
    <row r="164">
      <c r="B164" s="199">
        <f>_xlfn.XLOOKUP(C164,'INSUMOS MAT '!B:B,'INSUMOS MAT '!C:C,"ERROR",0)</f>
        <v/>
      </c>
      <c r="C164" s="305" t="inlineStr">
        <is>
          <t>MAT17-0066</t>
        </is>
      </c>
      <c r="D164" s="129">
        <f>_xlfn.XLOOKUP(C164,'IKARIA TECHO'!D:D,'IKARIA TECHO'!E:E,"ERROR",0)</f>
        <v/>
      </c>
      <c r="E164" s="535">
        <f>SUMIF('IKARIA TECHO'!D:D,ANALISIS!C164,'IKARIA TECHO'!F:F)</f>
        <v/>
      </c>
      <c r="F164" s="735">
        <f>_xlfn.XLOOKUP(C164,'IKARIA TECHO'!D:D,'IKARIA TECHO'!H:H,"ERROR",0)</f>
        <v/>
      </c>
      <c r="G164" s="687">
        <f>E164*F164</f>
        <v/>
      </c>
      <c r="H164" s="538">
        <f>G164/$G$289</f>
        <v/>
      </c>
    </row>
    <row r="165">
      <c r="B165" s="582" t="n"/>
      <c r="C165" s="305" t="inlineStr">
        <is>
          <t>TABLATECK 4</t>
        </is>
      </c>
      <c r="D165" s="129">
        <f>_xlfn.XLOOKUP(C165,'IKARIA TECHO'!D:D,'IKARIA TECHO'!E:E,"ERROR",0)</f>
        <v/>
      </c>
      <c r="E165" s="535">
        <f>SUMIF('IKARIA TECHO'!D:D,ANALISIS!C165,'IKARIA TECHO'!F:F)</f>
        <v/>
      </c>
      <c r="F165" s="735">
        <f>_xlfn.XLOOKUP(C165,'IKARIA TECHO'!D:D,'IKARIA TECHO'!H:H,"ERROR",0)</f>
        <v/>
      </c>
      <c r="G165" s="687">
        <f>E165*F165</f>
        <v/>
      </c>
      <c r="H165" s="538">
        <f>G165/$G$289</f>
        <v/>
      </c>
    </row>
    <row r="166">
      <c r="B166" s="582" t="n"/>
      <c r="C166" s="305" t="inlineStr">
        <is>
          <t>TABLATECK 5</t>
        </is>
      </c>
      <c r="D166" s="129">
        <f>_xlfn.XLOOKUP(C166,'IKARIA TECHO'!D:D,'IKARIA TECHO'!E:E,"ERROR",0)</f>
        <v/>
      </c>
      <c r="E166" s="535">
        <f>SUMIF('IKARIA TECHO'!D:D,ANALISIS!C166,'IKARIA TECHO'!F:F)</f>
        <v/>
      </c>
      <c r="F166" s="735">
        <f>_xlfn.XLOOKUP(C166,'IKARIA TECHO'!D:D,'IKARIA TECHO'!H:H,"ERROR",0)</f>
        <v/>
      </c>
      <c r="G166" s="687">
        <f>E166*F166</f>
        <v/>
      </c>
      <c r="H166" s="538">
        <f>G166/$G$289</f>
        <v/>
      </c>
    </row>
    <row r="167">
      <c r="B167" s="582" t="n"/>
      <c r="C167" s="305" t="inlineStr">
        <is>
          <t>TABLATECK 6</t>
        </is>
      </c>
      <c r="D167" s="129">
        <f>_xlfn.XLOOKUP(C167,'IKARIA TECHO'!D:D,'IKARIA TECHO'!E:E,"ERROR",0)</f>
        <v/>
      </c>
      <c r="E167" s="535">
        <f>SUMIF('IKARIA TECHO'!D:D,ANALISIS!C167,'IKARIA TECHO'!F:F)</f>
        <v/>
      </c>
      <c r="F167" s="735">
        <f>_xlfn.XLOOKUP(C167,'IKARIA TECHO'!D:D,'IKARIA TECHO'!H:H,"ERROR",0)</f>
        <v/>
      </c>
      <c r="G167" s="687">
        <f>E167*F167</f>
        <v/>
      </c>
      <c r="H167" s="538">
        <f>G167/$G$289</f>
        <v/>
      </c>
    </row>
    <row r="168">
      <c r="B168" s="582" t="n"/>
      <c r="C168" s="305" t="inlineStr">
        <is>
          <t>MAT21-0015</t>
        </is>
      </c>
      <c r="D168" s="129">
        <f>_xlfn.XLOOKUP(C168,'IKARIA TECHO'!D:D,'IKARIA TECHO'!E:E,"ERROR",0)</f>
        <v/>
      </c>
      <c r="E168" s="535">
        <f>SUMIF('IKARIA TECHO'!D:D,ANALISIS!C168,'IKARIA TECHO'!F:F)</f>
        <v/>
      </c>
      <c r="F168" s="735">
        <f>_xlfn.XLOOKUP(C168,'IKARIA TECHO'!D:D,'IKARIA TECHO'!H:H,"ERROR",0)</f>
        <v/>
      </c>
      <c r="G168" s="687">
        <f>E168*F168</f>
        <v/>
      </c>
      <c r="H168" s="538">
        <f>G168/$G$289</f>
        <v/>
      </c>
    </row>
    <row r="169">
      <c r="B169" s="582" t="n"/>
      <c r="C169" s="305" t="inlineStr">
        <is>
          <t>TABLATECK 7</t>
        </is>
      </c>
      <c r="D169" s="129">
        <f>_xlfn.XLOOKUP(C169,'IKARIA TECHO'!D:D,'IKARIA TECHO'!E:E,"ERROR",0)</f>
        <v/>
      </c>
      <c r="E169" s="535">
        <f>SUMIF('IKARIA TECHO'!D:D,ANALISIS!C169,'IKARIA TECHO'!F:F)</f>
        <v/>
      </c>
      <c r="F169" s="735">
        <f>_xlfn.XLOOKUP(C169,'IKARIA TECHO'!D:D,'IKARIA TECHO'!H:H,"ERROR",0)</f>
        <v/>
      </c>
      <c r="G169" s="687">
        <f>E169*F169</f>
        <v/>
      </c>
      <c r="H169" s="538">
        <f>G169/$G$289</f>
        <v/>
      </c>
    </row>
    <row r="170">
      <c r="B170" s="582" t="n"/>
      <c r="C170" s="305" t="inlineStr">
        <is>
          <t>TABLATECK 8</t>
        </is>
      </c>
      <c r="D170" s="129">
        <f>_xlfn.XLOOKUP(C170,'IKARIA TECHO'!D:D,'IKARIA TECHO'!E:E,"ERROR",0)</f>
        <v/>
      </c>
      <c r="E170" s="535">
        <f>SUMIF('IKARIA TECHO'!D:D,ANALISIS!C170,'IKARIA TECHO'!F:F)</f>
        <v/>
      </c>
      <c r="F170" s="735">
        <f>_xlfn.XLOOKUP(C170,'IKARIA TECHO'!D:D,'IKARIA TECHO'!H:H,"ERROR",0)</f>
        <v/>
      </c>
      <c r="G170" s="687">
        <f>E170*F170</f>
        <v/>
      </c>
      <c r="H170" s="538">
        <f>G170/$G$289</f>
        <v/>
      </c>
    </row>
    <row r="171">
      <c r="B171" s="199">
        <f>_xlfn.XLOOKUP(C171,'INSUMOS MAT '!B:B,'INSUMOS MAT '!C:C,"ERROR",0)</f>
        <v/>
      </c>
      <c r="C171" s="305" t="inlineStr">
        <is>
          <t>MAT14-0005</t>
        </is>
      </c>
      <c r="D171" s="129">
        <f>_xlfn.XLOOKUP(C171,'IKARIA TECHO'!D:D,'IKARIA TECHO'!E:E,"ERROR",0)</f>
        <v/>
      </c>
      <c r="E171" s="535">
        <f>SUMIF('IKARIA TECHO'!D:D,ANALISIS!C171,'IKARIA TECHO'!F:F)</f>
        <v/>
      </c>
      <c r="F171" s="735">
        <f>_xlfn.XLOOKUP(C171,'IKARIA TECHO'!D:D,'IKARIA TECHO'!H:H,"ERROR",0)</f>
        <v/>
      </c>
      <c r="G171" s="687">
        <f>E171*F171</f>
        <v/>
      </c>
      <c r="H171" s="538">
        <f>G171/$G$289</f>
        <v/>
      </c>
    </row>
    <row r="172">
      <c r="B172" s="199">
        <f>_xlfn.XLOOKUP(C172,'INSUMOS MAT '!B:B,'INSUMOS MAT '!C:C,"ERROR",0)</f>
        <v/>
      </c>
      <c r="C172" s="177" t="inlineStr">
        <is>
          <t>MAT14-0016</t>
        </is>
      </c>
      <c r="D172" s="129">
        <f>_xlfn.XLOOKUP(C172,'IKARIA TECHO'!D:D,'IKARIA TECHO'!E:E,"ERROR",0)</f>
        <v/>
      </c>
      <c r="E172" s="535">
        <f>SUMIF('IKARIA TECHO'!D:D,ANALISIS!C172,'IKARIA TECHO'!F:F)</f>
        <v/>
      </c>
      <c r="F172" s="735">
        <f>_xlfn.XLOOKUP(C172,'IKARIA TECHO'!D:D,'IKARIA TECHO'!H:H,"ERROR",0)</f>
        <v/>
      </c>
      <c r="G172" s="687">
        <f>E172*F172</f>
        <v/>
      </c>
      <c r="H172" s="538">
        <f>G172/$G$289</f>
        <v/>
      </c>
    </row>
    <row r="173">
      <c r="B173" s="582" t="n"/>
      <c r="C173" s="177" t="inlineStr">
        <is>
          <t>MAT14-0037</t>
        </is>
      </c>
      <c r="D173" s="129">
        <f>_xlfn.XLOOKUP(C173,'IKARIA TECHO'!D:D,'IKARIA TECHO'!E:E,"ERROR",0)</f>
        <v/>
      </c>
      <c r="E173" s="535">
        <f>SUMIF('IKARIA TECHO'!D:D,ANALISIS!C173,'IKARIA TECHO'!F:F)</f>
        <v/>
      </c>
      <c r="F173" s="735">
        <f>_xlfn.XLOOKUP(C173,'IKARIA TECHO'!D:D,'IKARIA TECHO'!H:H,"ERROR",0)</f>
        <v/>
      </c>
      <c r="G173" s="687">
        <f>E173*F173</f>
        <v/>
      </c>
      <c r="H173" s="538">
        <f>G173/$G$289</f>
        <v/>
      </c>
    </row>
    <row r="174">
      <c r="B174" s="199">
        <f>_xlfn.XLOOKUP(C174,'INSUMOS MAT '!B:B,'INSUMOS MAT '!C:C,"ERROR",0)</f>
        <v/>
      </c>
      <c r="C174" s="177" t="inlineStr">
        <is>
          <t>MAT14-0022</t>
        </is>
      </c>
      <c r="D174" s="129">
        <f>_xlfn.XLOOKUP(C174,'IKARIA TECHO'!D:D,'IKARIA TECHO'!E:E,"ERROR",0)</f>
        <v/>
      </c>
      <c r="E174" s="535">
        <f>SUMIF('IKARIA TECHO'!D:D,ANALISIS!C174,'IKARIA TECHO'!F:F)</f>
        <v/>
      </c>
      <c r="F174" s="735">
        <f>_xlfn.XLOOKUP(C174,'IKARIA TECHO'!D:D,'IKARIA TECHO'!H:H,"ERROR",0)</f>
        <v/>
      </c>
      <c r="G174" s="687">
        <f>E174*F174</f>
        <v/>
      </c>
      <c r="H174" s="538">
        <f>G174/$G$289</f>
        <v/>
      </c>
    </row>
    <row r="175">
      <c r="B175" s="199">
        <f>_xlfn.XLOOKUP(C175,'INSUMOS MAT '!B:B,'INSUMOS MAT '!C:C,"ERROR",0)</f>
        <v/>
      </c>
      <c r="C175" s="177" t="inlineStr">
        <is>
          <t>MAT14-0023</t>
        </is>
      </c>
      <c r="D175" s="129">
        <f>_xlfn.XLOOKUP(C175,'IKARIA TECHO'!D:D,'IKARIA TECHO'!E:E,"ERROR",0)</f>
        <v/>
      </c>
      <c r="E175" s="535">
        <f>SUMIF('IKARIA TECHO'!D:D,ANALISIS!C175,'IKARIA TECHO'!F:F)</f>
        <v/>
      </c>
      <c r="F175" s="735">
        <f>_xlfn.XLOOKUP(C175,'IKARIA TECHO'!D:D,'IKARIA TECHO'!H:H,"ERROR",0)</f>
        <v/>
      </c>
      <c r="G175" s="687">
        <f>E175*F175</f>
        <v/>
      </c>
      <c r="H175" s="538">
        <f>G175/$G$289</f>
        <v/>
      </c>
    </row>
    <row r="176">
      <c r="B176" s="199">
        <f>_xlfn.XLOOKUP(C176,'INSUMOS MAT '!B:B,'INSUMOS MAT '!C:C,"ERROR",0)</f>
        <v/>
      </c>
      <c r="C176" s="177" t="inlineStr">
        <is>
          <t>MAT14-0035</t>
        </is>
      </c>
      <c r="D176" s="129">
        <f>_xlfn.XLOOKUP(C176,'IKARIA TECHO'!D:D,'IKARIA TECHO'!E:E,"ERROR",0)</f>
        <v/>
      </c>
      <c r="E176" s="535">
        <f>SUMIF('IKARIA TECHO'!D:D,ANALISIS!C176,'IKARIA TECHO'!F:F)</f>
        <v/>
      </c>
      <c r="F176" s="735">
        <f>_xlfn.XLOOKUP(C176,'IKARIA TECHO'!D:D,'IKARIA TECHO'!H:H,"ERROR",0)</f>
        <v/>
      </c>
      <c r="G176" s="687">
        <f>E176*F176</f>
        <v/>
      </c>
      <c r="H176" s="538">
        <f>G176/$G$289</f>
        <v/>
      </c>
    </row>
    <row r="177">
      <c r="B177" s="199">
        <f>_xlfn.XLOOKUP(C177,'INSUMOS MAT '!B:B,'INSUMOS MAT '!C:C,"ERROR",0)</f>
        <v/>
      </c>
      <c r="C177" s="177" t="inlineStr">
        <is>
          <t>MAT14-0034</t>
        </is>
      </c>
      <c r="D177" s="129">
        <f>_xlfn.XLOOKUP(C177,'IKARIA TECHO'!D:D,'IKARIA TECHO'!E:E,"ERROR",0)</f>
        <v/>
      </c>
      <c r="E177" s="535">
        <f>SUMIF('IKARIA TECHO'!D:D,ANALISIS!C177,'IKARIA TECHO'!F:F)</f>
        <v/>
      </c>
      <c r="F177" s="735">
        <f>_xlfn.XLOOKUP(C177,'IKARIA TECHO'!D:D,'IKARIA TECHO'!H:H,"ERROR",0)</f>
        <v/>
      </c>
      <c r="G177" s="687">
        <f>E177*F177</f>
        <v/>
      </c>
      <c r="H177" s="538">
        <f>G177/$G$289</f>
        <v/>
      </c>
    </row>
    <row r="178">
      <c r="B178" s="199">
        <f>_xlfn.XLOOKUP(C178,'INSUMOS MAT '!B:B,'INSUMOS MAT '!C:C,"ERROR",0)</f>
        <v/>
      </c>
      <c r="C178" s="177" t="inlineStr">
        <is>
          <t>MAT14-0018</t>
        </is>
      </c>
      <c r="D178" s="129">
        <f>_xlfn.XLOOKUP(C178,'IKARIA TECHO'!D:D,'IKARIA TECHO'!E:E,"ERROR",0)</f>
        <v/>
      </c>
      <c r="E178" s="535">
        <f>SUMIF('IKARIA TECHO'!D:D,ANALISIS!C178,'IKARIA TECHO'!F:F)</f>
        <v/>
      </c>
      <c r="F178" s="735">
        <f>_xlfn.XLOOKUP(C178,'IKARIA TECHO'!D:D,'IKARIA TECHO'!H:H,"ERROR",0)</f>
        <v/>
      </c>
      <c r="G178" s="687">
        <f>E178*F178</f>
        <v/>
      </c>
      <c r="H178" s="538">
        <f>G178/$G$289</f>
        <v/>
      </c>
    </row>
    <row r="179">
      <c r="B179" s="199">
        <f>_xlfn.XLOOKUP(C179,'INSUMOS MAT '!B:B,'INSUMOS MAT '!C:C,"ERROR",0)</f>
        <v/>
      </c>
      <c r="C179" s="177" t="inlineStr">
        <is>
          <t>MAT14-0024</t>
        </is>
      </c>
      <c r="D179" s="129">
        <f>_xlfn.XLOOKUP(C179,'IKARIA TECHO'!D:D,'IKARIA TECHO'!E:E,"ERROR",0)</f>
        <v/>
      </c>
      <c r="E179" s="535">
        <f>SUMIF('IKARIA TECHO'!D:D,ANALISIS!C179,'IKARIA TECHO'!F:F)</f>
        <v/>
      </c>
      <c r="F179" s="735">
        <f>_xlfn.XLOOKUP(C179,'IKARIA TECHO'!D:D,'IKARIA TECHO'!H:H,"ERROR",0)</f>
        <v/>
      </c>
      <c r="G179" s="687">
        <f>E179*F179</f>
        <v/>
      </c>
      <c r="H179" s="538">
        <f>G179/$G$289</f>
        <v/>
      </c>
    </row>
    <row r="180">
      <c r="B180" s="199">
        <f>_xlfn.XLOOKUP(C180,'INSUMOS MAT '!B:B,'INSUMOS MAT '!C:C,"ERROR",0)</f>
        <v/>
      </c>
      <c r="C180" s="177" t="inlineStr">
        <is>
          <t>MAT14-0021</t>
        </is>
      </c>
      <c r="D180" s="129">
        <f>_xlfn.XLOOKUP(C180,'IKARIA TECHO'!D:D,'IKARIA TECHO'!E:E,"ERROR",0)</f>
        <v/>
      </c>
      <c r="E180" s="535">
        <f>SUMIF('IKARIA TECHO'!D:D,ANALISIS!C180,'IKARIA TECHO'!F:F)</f>
        <v/>
      </c>
      <c r="F180" s="735">
        <f>_xlfn.XLOOKUP(C180,'IKARIA TECHO'!D:D,'IKARIA TECHO'!H:H,"ERROR",0)</f>
        <v/>
      </c>
      <c r="G180" s="687">
        <f>E180*F180</f>
        <v/>
      </c>
      <c r="H180" s="538">
        <f>G180/$G$289</f>
        <v/>
      </c>
    </row>
    <row r="181">
      <c r="B181" s="199">
        <f>_xlfn.XLOOKUP(C181,'INSUMOS MAT '!B:B,'INSUMOS MAT '!C:C,"ERROR",0)</f>
        <v/>
      </c>
      <c r="C181" s="177" t="inlineStr">
        <is>
          <t>MAT14-0006</t>
        </is>
      </c>
      <c r="D181" s="129">
        <f>_xlfn.XLOOKUP(C181,'IKARIA TECHO'!D:D,'IKARIA TECHO'!E:E,"ERROR",0)</f>
        <v/>
      </c>
      <c r="E181" s="535">
        <f>SUMIF('IKARIA TECHO'!D:D,ANALISIS!C181,'IKARIA TECHO'!F:F)</f>
        <v/>
      </c>
      <c r="F181" s="735">
        <f>_xlfn.XLOOKUP(C181,'IKARIA TECHO'!D:D,'IKARIA TECHO'!H:H,"ERROR",0)</f>
        <v/>
      </c>
      <c r="G181" s="687">
        <f>E181*F181</f>
        <v/>
      </c>
      <c r="H181" s="538">
        <f>G181/$G$289</f>
        <v/>
      </c>
    </row>
    <row r="182">
      <c r="B182" s="199">
        <f>_xlfn.XLOOKUP(C182,'INSUMOS MAT '!B:B,'INSUMOS MAT '!C:C,"ERROR",0)</f>
        <v/>
      </c>
      <c r="C182" s="177" t="inlineStr">
        <is>
          <t>MAT14-0013</t>
        </is>
      </c>
      <c r="D182" s="129">
        <f>_xlfn.XLOOKUP(C182,'IKARIA TECHO'!D:D,'IKARIA TECHO'!E:E,"ERROR",0)</f>
        <v/>
      </c>
      <c r="E182" s="535">
        <f>SUMIF('IKARIA TECHO'!D:D,ANALISIS!C182,'IKARIA TECHO'!F:F)</f>
        <v/>
      </c>
      <c r="F182" s="735">
        <f>_xlfn.XLOOKUP(C182,'IKARIA TECHO'!D:D,'IKARIA TECHO'!H:H,"ERROR",0)</f>
        <v/>
      </c>
      <c r="G182" s="687">
        <f>E182*F182</f>
        <v/>
      </c>
      <c r="H182" s="538">
        <f>G182/$G$289</f>
        <v/>
      </c>
    </row>
    <row r="183">
      <c r="B183" s="199">
        <f>_xlfn.XLOOKUP(C183,'INSUMOS MAT '!B:B,'INSUMOS MAT '!C:C,"ERROR",0)</f>
        <v/>
      </c>
      <c r="C183" s="177" t="inlineStr">
        <is>
          <t>MAT14-0004</t>
        </is>
      </c>
      <c r="D183" s="129">
        <f>_xlfn.XLOOKUP(C183,'IKARIA TECHO'!D:D,'IKARIA TECHO'!E:E,"ERROR",0)</f>
        <v/>
      </c>
      <c r="E183" s="535">
        <f>SUMIF('IKARIA TECHO'!D:D,ANALISIS!C183,'IKARIA TECHO'!F:F)</f>
        <v/>
      </c>
      <c r="F183" s="735">
        <f>_xlfn.XLOOKUP(C183,'IKARIA TECHO'!D:D,'IKARIA TECHO'!H:H,"ERROR",0)</f>
        <v/>
      </c>
      <c r="G183" s="687">
        <f>E183*F183</f>
        <v/>
      </c>
      <c r="H183" s="538">
        <f>G183/$G$289</f>
        <v/>
      </c>
    </row>
    <row r="184">
      <c r="B184" s="199">
        <f>_xlfn.XLOOKUP(C184,'INSUMOS MAT '!B:B,'INSUMOS MAT '!C:C,"ERROR",0)</f>
        <v/>
      </c>
      <c r="C184" s="177" t="inlineStr">
        <is>
          <t>MAT14-0053</t>
        </is>
      </c>
      <c r="D184" s="129">
        <f>_xlfn.XLOOKUP(C184,'IKARIA TECHO'!D:D,'IKARIA TECHO'!E:E,"ERROR",0)</f>
        <v/>
      </c>
      <c r="E184" s="535">
        <f>SUMIF('IKARIA TECHO'!D:D,ANALISIS!C184,'IKARIA TECHO'!F:F)</f>
        <v/>
      </c>
      <c r="F184" s="735">
        <f>_xlfn.XLOOKUP(C184,'IKARIA TECHO'!D:D,'IKARIA TECHO'!H:H,"ERROR",0)</f>
        <v/>
      </c>
      <c r="G184" s="687">
        <f>E184*F184</f>
        <v/>
      </c>
      <c r="H184" s="538">
        <f>G184/$G$289</f>
        <v/>
      </c>
    </row>
    <row r="185">
      <c r="B185" s="199">
        <f>_xlfn.XLOOKUP(C185,'INSUMOS MAT '!B:B,'INSUMOS MAT '!C:C,"ERROR",0)</f>
        <v/>
      </c>
      <c r="C185" s="177" t="inlineStr">
        <is>
          <t>MAT14-0020</t>
        </is>
      </c>
      <c r="D185" s="129">
        <f>_xlfn.XLOOKUP(C185,'IKARIA TECHO'!D:D,'IKARIA TECHO'!E:E,"ERROR",0)</f>
        <v/>
      </c>
      <c r="E185" s="535">
        <f>SUMIF('IKARIA TECHO'!D:D,ANALISIS!C185,'IKARIA TECHO'!F:F)</f>
        <v/>
      </c>
      <c r="F185" s="735">
        <f>_xlfn.XLOOKUP(C185,'IKARIA TECHO'!D:D,'IKARIA TECHO'!H:H,"ERROR",0)</f>
        <v/>
      </c>
      <c r="G185" s="687">
        <f>E185*F185</f>
        <v/>
      </c>
      <c r="H185" s="538">
        <f>G185/$G$289</f>
        <v/>
      </c>
    </row>
    <row r="186">
      <c r="B186" s="582" t="n"/>
      <c r="C186" s="177" t="inlineStr">
        <is>
          <t xml:space="preserve">GRANITO </t>
        </is>
      </c>
      <c r="D186" s="129">
        <f>_xlfn.XLOOKUP(C186,'IKARIA TECHO'!D:D,'IKARIA TECHO'!E:E,"ERROR",0)</f>
        <v/>
      </c>
      <c r="E186" s="535">
        <f>SUMIF('IKARIA TECHO'!D:D,ANALISIS!C186,'IKARIA TECHO'!F:F)</f>
        <v/>
      </c>
      <c r="F186" s="735">
        <f>_xlfn.XLOOKUP(C186,'IKARIA TECHO'!D:D,'IKARIA TECHO'!H:H,"ERROR",0)</f>
        <v/>
      </c>
      <c r="G186" s="687">
        <f>E186*F186</f>
        <v/>
      </c>
      <c r="H186" s="538">
        <f>G186/$G$289</f>
        <v/>
      </c>
    </row>
    <row r="187">
      <c r="B187" s="199">
        <f>_xlfn.XLOOKUP(C187,'INSUMOS MAT '!B:B,'INSUMOS MAT '!C:C,"ERROR",0)</f>
        <v/>
      </c>
      <c r="C187" s="177" t="inlineStr">
        <is>
          <t>MAT14-0068</t>
        </is>
      </c>
      <c r="D187" s="129">
        <f>_xlfn.XLOOKUP(C187,'IKARIA TECHO'!D:D,'IKARIA TECHO'!E:E,"ERROR",0)</f>
        <v/>
      </c>
      <c r="E187" s="535">
        <f>SUMIF('IKARIA TECHO'!D:D,ANALISIS!C187,'IKARIA TECHO'!F:F)</f>
        <v/>
      </c>
      <c r="F187" s="735">
        <f>_xlfn.XLOOKUP(C187,'IKARIA TECHO'!D:D,'IKARIA TECHO'!H:H,"ERROR",0)</f>
        <v/>
      </c>
      <c r="G187" s="687">
        <f>E187*F187</f>
        <v/>
      </c>
      <c r="H187" s="538">
        <f>G187/$G$289</f>
        <v/>
      </c>
    </row>
    <row r="188">
      <c r="B188" s="199">
        <f>_xlfn.XLOOKUP(C188,'INSUMOS MAT '!B:B,'INSUMOS MAT '!C:C,"ERROR",0)</f>
        <v/>
      </c>
      <c r="C188" s="177" t="inlineStr">
        <is>
          <t>MAT14-0001</t>
        </is>
      </c>
      <c r="D188" s="540">
        <f>_xlfn.XLOOKUP(C188,'IKARIA TECHO'!D:D,'IKARIA TECHO'!E:E,"ERROR",0)</f>
        <v/>
      </c>
      <c r="E188" s="541">
        <f>SUMIF('IKARIA TECHO'!D:D,ANALISIS!C188,'IKARIA TECHO'!F:F)</f>
        <v/>
      </c>
      <c r="F188" s="763">
        <f>_xlfn.XLOOKUP(C188,'IKARIA TECHO'!D:D,'IKARIA TECHO'!H:H,"ERROR",0)</f>
        <v/>
      </c>
      <c r="G188" s="764">
        <f>E188*F188</f>
        <v/>
      </c>
      <c r="H188" s="544">
        <f>G188/$G$289</f>
        <v/>
      </c>
    </row>
    <row r="189">
      <c r="B189" s="199">
        <f>_xlfn.XLOOKUP(C189,'INSUMOS MAT '!B:B,'INSUMOS MAT '!C:C,"ERROR",0)</f>
        <v/>
      </c>
      <c r="C189" s="177" t="inlineStr">
        <is>
          <t>MAT14-0033</t>
        </is>
      </c>
      <c r="D189" s="129">
        <f>_xlfn.XLOOKUP(C189,'IKARIA TECHO'!D:D,'IKARIA TECHO'!E:E,"ERROR",0)</f>
        <v/>
      </c>
      <c r="E189" s="535">
        <f>SUMIF('IKARIA TECHO'!D:D,ANALISIS!C189,'IKARIA TECHO'!F:F)</f>
        <v/>
      </c>
      <c r="F189" s="735">
        <f>_xlfn.XLOOKUP(C189,'IKARIA TECHO'!D:D,'IKARIA TECHO'!H:H,"ERROR",0)</f>
        <v/>
      </c>
      <c r="G189" s="687">
        <f>E189*F189</f>
        <v/>
      </c>
      <c r="H189" s="538">
        <f>G189/$G$289</f>
        <v/>
      </c>
    </row>
    <row r="190">
      <c r="B190" s="199">
        <f>_xlfn.XLOOKUP(C190,'INSUMOS MAT '!B:B,'INSUMOS MAT '!C:C,"ERROR",0)</f>
        <v/>
      </c>
      <c r="C190" s="177" t="inlineStr">
        <is>
          <t>MAT07-0031</t>
        </is>
      </c>
      <c r="D190" s="129">
        <f>_xlfn.XLOOKUP(C190,'IKARIA TECHO'!D:D,'IKARIA TECHO'!E:E,"ERROR",0)</f>
        <v/>
      </c>
      <c r="E190" s="535">
        <f>SUMIF('IKARIA TECHO'!D:D,ANALISIS!C190,'IKARIA TECHO'!F:F)</f>
        <v/>
      </c>
      <c r="F190" s="735">
        <f>_xlfn.XLOOKUP(C190,'IKARIA TECHO'!D:D,'IKARIA TECHO'!H:H,"ERROR",0)</f>
        <v/>
      </c>
      <c r="G190" s="687">
        <f>E190*F190</f>
        <v/>
      </c>
      <c r="H190" s="538">
        <f>G190/$G$289</f>
        <v/>
      </c>
    </row>
    <row r="191">
      <c r="B191" s="199">
        <f>_xlfn.XLOOKUP(C191,'INSUMOS MAT '!B:B,'INSUMOS MAT '!C:C,"ERROR",0)</f>
        <v/>
      </c>
      <c r="C191" s="177" t="inlineStr">
        <is>
          <t>MAT08-0307</t>
        </is>
      </c>
      <c r="D191" s="129">
        <f>_xlfn.XLOOKUP(C191,'IKARIA TECHO'!D:D,'IKARIA TECHO'!E:E,"ERROR",0)</f>
        <v/>
      </c>
      <c r="E191" s="535">
        <f>SUMIF('IKARIA TECHO'!D:D,ANALISIS!C191,'IKARIA TECHO'!F:F)</f>
        <v/>
      </c>
      <c r="F191" s="735">
        <f>_xlfn.XLOOKUP(C191,'IKARIA TECHO'!D:D,'IKARIA TECHO'!H:H,"ERROR",0)</f>
        <v/>
      </c>
      <c r="G191" s="687">
        <f>E191*F191</f>
        <v/>
      </c>
      <c r="H191" s="538">
        <f>G191/$G$289</f>
        <v/>
      </c>
    </row>
    <row r="192">
      <c r="B192" s="199">
        <f>_xlfn.XLOOKUP(C192,'INSUMOS MAT '!B:B,'INSUMOS MAT '!C:C,"ERROR",0)</f>
        <v/>
      </c>
      <c r="C192" s="177" t="inlineStr">
        <is>
          <t>MAT21-0017</t>
        </is>
      </c>
      <c r="D192" s="129">
        <f>_xlfn.XLOOKUP(C192,'IKARIA TECHO'!D:D,'IKARIA TECHO'!E:E,"ERROR",0)</f>
        <v/>
      </c>
      <c r="E192" s="535">
        <f>SUMIF('IKARIA TECHO'!D:D,ANALISIS!C192,'IKARIA TECHO'!F:F)</f>
        <v/>
      </c>
      <c r="F192" s="735">
        <f>_xlfn.XLOOKUP(C192,'IKARIA TECHO'!D:D,'IKARIA TECHO'!H:H,"ERROR",0)</f>
        <v/>
      </c>
      <c r="G192" s="687">
        <f>E192*F192</f>
        <v/>
      </c>
      <c r="H192" s="538">
        <f>G192/$G$289</f>
        <v/>
      </c>
    </row>
    <row r="193">
      <c r="B193" s="199">
        <f>_xlfn.XLOOKUP(C193,'INSUMOS MAT '!B:B,'INSUMOS MAT '!C:C,"ERROR",0)</f>
        <v/>
      </c>
      <c r="C193" s="177" t="inlineStr">
        <is>
          <t>MAT07-0039</t>
        </is>
      </c>
      <c r="D193" s="129">
        <f>_xlfn.XLOOKUP(C193,'IKARIA TECHO'!D:D,'IKARIA TECHO'!E:E,"ERROR",0)</f>
        <v/>
      </c>
      <c r="E193" s="535">
        <f>SUMIF('IKARIA TECHO'!D:D,ANALISIS!C193,'IKARIA TECHO'!F:F)</f>
        <v/>
      </c>
      <c r="F193" s="735">
        <f>_xlfn.XLOOKUP(C193,'IKARIA TECHO'!D:D,'IKARIA TECHO'!H:H,"ERROR",0)</f>
        <v/>
      </c>
      <c r="G193" s="687">
        <f>E193*F193</f>
        <v/>
      </c>
      <c r="H193" s="538">
        <f>G193/$G$289</f>
        <v/>
      </c>
    </row>
    <row r="194">
      <c r="B194" s="199">
        <f>_xlfn.XLOOKUP(C194,'INSUMOS MAT '!B:B,'INSUMOS MAT '!C:C,"ERROR",0)</f>
        <v/>
      </c>
      <c r="C194" s="177" t="inlineStr">
        <is>
          <t>MAT18-0007</t>
        </is>
      </c>
      <c r="D194" s="129">
        <f>_xlfn.XLOOKUP(C194,'IKARIA TECHO'!D:D,'IKARIA TECHO'!E:E,"ERROR",0)</f>
        <v/>
      </c>
      <c r="E194" s="535">
        <f>SUMIF('IKARIA TECHO'!D:D,ANALISIS!C194,'IKARIA TECHO'!F:F)</f>
        <v/>
      </c>
      <c r="F194" s="735">
        <f>_xlfn.XLOOKUP(C194,'IKARIA TECHO'!D:D,'IKARIA TECHO'!H:H,"ERROR",0)</f>
        <v/>
      </c>
      <c r="G194" s="687">
        <f>E194*F194</f>
        <v/>
      </c>
      <c r="H194" s="538">
        <f>G194/$G$289</f>
        <v/>
      </c>
    </row>
    <row r="195">
      <c r="B195" s="199">
        <f>_xlfn.XLOOKUP(C195,'INSUMOS MAT '!B:B,'INSUMOS MAT '!C:C,"ERROR",0)</f>
        <v/>
      </c>
      <c r="C195" s="177" t="inlineStr">
        <is>
          <t>MAT18-0008</t>
        </is>
      </c>
      <c r="D195" s="129">
        <f>_xlfn.XLOOKUP(C195,'IKARIA TECHO'!D:D,'IKARIA TECHO'!E:E,"ERROR",0)</f>
        <v/>
      </c>
      <c r="E195" s="535">
        <f>SUMIF('IKARIA TECHO'!D:D,ANALISIS!C195,'IKARIA TECHO'!F:F)</f>
        <v/>
      </c>
      <c r="F195" s="735">
        <f>_xlfn.XLOOKUP(C195,'IKARIA TECHO'!D:D,'IKARIA TECHO'!H:H,"ERROR",0)</f>
        <v/>
      </c>
      <c r="G195" s="687">
        <f>E195*F195</f>
        <v/>
      </c>
      <c r="H195" s="538">
        <f>G195/$G$289</f>
        <v/>
      </c>
    </row>
    <row r="196">
      <c r="B196" s="582" t="n"/>
      <c r="C196" s="305" t="inlineStr">
        <is>
          <t>MAT08-0499</t>
        </is>
      </c>
      <c r="D196" s="129">
        <f>_xlfn.XLOOKUP(C196,'IKARIA TECHO'!D:D,'IKARIA TECHO'!E:E,"ERROR",0)</f>
        <v/>
      </c>
      <c r="E196" s="535">
        <f>SUMIF('IKARIA TECHO'!D:D,ANALISIS!C196,'IKARIA TECHO'!F:F)</f>
        <v/>
      </c>
      <c r="F196" s="735">
        <f>_xlfn.XLOOKUP(C196,'IKARIA TECHO'!D:D,'IKARIA TECHO'!H:H,"ERROR",0)</f>
        <v/>
      </c>
      <c r="G196" s="687">
        <f>E196*F196</f>
        <v/>
      </c>
      <c r="H196" s="538">
        <f>G196/$G$289</f>
        <v/>
      </c>
    </row>
    <row r="197">
      <c r="B197" s="199">
        <f>_xlfn.XLOOKUP(C197,'INSUMOS MAT '!B:B,'INSUMOS MAT '!C:C,"ERROR",0)</f>
        <v/>
      </c>
      <c r="C197" s="305" t="inlineStr">
        <is>
          <t>MAT18-0083</t>
        </is>
      </c>
      <c r="D197" s="540">
        <f>_xlfn.XLOOKUP(C197,'IKARIA TECHO'!D:D,'IKARIA TECHO'!E:E,"ERROR",0)</f>
        <v/>
      </c>
      <c r="E197" s="541">
        <f>SUMIF('IKARIA TECHO'!D:D,ANALISIS!C197,'IKARIA TECHO'!F:F)</f>
        <v/>
      </c>
      <c r="F197" s="763">
        <f>_xlfn.XLOOKUP(C197,'IKARIA TECHO'!D:D,'IKARIA TECHO'!H:H,"ERROR",0)</f>
        <v/>
      </c>
      <c r="G197" s="764">
        <f>E197*F197</f>
        <v/>
      </c>
      <c r="H197" s="544">
        <f>G197/$G$289</f>
        <v/>
      </c>
    </row>
    <row r="198">
      <c r="B198" s="199">
        <f>_xlfn.XLOOKUP(C198,'INSUMOS MAT '!B:B,'INSUMOS MAT '!C:C,"ERROR",0)</f>
        <v/>
      </c>
      <c r="C198" s="305" t="inlineStr">
        <is>
          <t>MAT08-0197</t>
        </is>
      </c>
      <c r="D198" s="129">
        <f>_xlfn.XLOOKUP(C198,'IKARIA TECHO'!D:D,'IKARIA TECHO'!E:E,"ERROR",0)</f>
        <v/>
      </c>
      <c r="E198" s="535">
        <f>SUMIF('IKARIA TECHO'!D:D,ANALISIS!C198,'IKARIA TECHO'!F:F)</f>
        <v/>
      </c>
      <c r="F198" s="735">
        <f>_xlfn.XLOOKUP(C198,'IKARIA TECHO'!D:D,'IKARIA TECHO'!H:H,"ERROR",0)</f>
        <v/>
      </c>
      <c r="G198" s="687">
        <f>E198*F198</f>
        <v/>
      </c>
      <c r="H198" s="538">
        <f>G198/$G$289</f>
        <v/>
      </c>
    </row>
    <row r="199">
      <c r="B199" s="199">
        <f>_xlfn.XLOOKUP(C199,'INSUMOS MAT '!B:B,'INSUMOS MAT '!C:C,"ERROR",0)</f>
        <v/>
      </c>
      <c r="C199" s="305" t="inlineStr">
        <is>
          <t>MAT18-0032</t>
        </is>
      </c>
      <c r="D199" s="129">
        <f>_xlfn.XLOOKUP(C199,'IKARIA TECHO'!D:D,'IKARIA TECHO'!E:E,"ERROR",0)</f>
        <v/>
      </c>
      <c r="E199" s="535">
        <f>SUMIF('IKARIA TECHO'!D:D,ANALISIS!C199,'IKARIA TECHO'!F:F)</f>
        <v/>
      </c>
      <c r="F199" s="735">
        <f>_xlfn.XLOOKUP(C199,'IKARIA TECHO'!D:D,'IKARIA TECHO'!H:H,"ERROR",0)</f>
        <v/>
      </c>
      <c r="G199" s="687">
        <f>E199*F199</f>
        <v/>
      </c>
      <c r="H199" s="538">
        <f>G199/$G$289</f>
        <v/>
      </c>
    </row>
    <row r="200">
      <c r="B200" s="199">
        <f>_xlfn.XLOOKUP(C200,'INSUMOS MAT '!B:B,'INSUMOS MAT '!C:C,"ERROR",0)</f>
        <v/>
      </c>
      <c r="C200" s="305" t="inlineStr">
        <is>
          <t>MAT18-0035</t>
        </is>
      </c>
      <c r="D200" s="540">
        <f>_xlfn.XLOOKUP(C200,'IKARIA TECHO'!D:D,'IKARIA TECHO'!E:E,"ERROR",0)</f>
        <v/>
      </c>
      <c r="E200" s="541">
        <f>SUMIF('IKARIA TECHO'!D:D,ANALISIS!C200,'IKARIA TECHO'!F:F)</f>
        <v/>
      </c>
      <c r="F200" s="763">
        <f>_xlfn.XLOOKUP(C200,'IKARIA TECHO'!D:D,'IKARIA TECHO'!H:H,"ERROR",0)</f>
        <v/>
      </c>
      <c r="G200" s="764">
        <f>E200*F200</f>
        <v/>
      </c>
      <c r="H200" s="544">
        <f>G200/$G$289</f>
        <v/>
      </c>
    </row>
    <row r="201">
      <c r="B201" s="199">
        <f>_xlfn.XLOOKUP(C201,'INSUMOS MAT '!B:B,'INSUMOS MAT '!C:C,"ERROR",0)</f>
        <v/>
      </c>
      <c r="C201" s="305" t="inlineStr">
        <is>
          <t>MAT18-0036</t>
        </is>
      </c>
      <c r="D201" s="540">
        <f>_xlfn.XLOOKUP(C201,'IKARIA TECHO'!D:D,'IKARIA TECHO'!E:E,"ERROR",0)</f>
        <v/>
      </c>
      <c r="E201" s="541">
        <f>SUMIF('IKARIA TECHO'!D:D,ANALISIS!C201,'IKARIA TECHO'!F:F)</f>
        <v/>
      </c>
      <c r="F201" s="763">
        <f>_xlfn.XLOOKUP(C201,'IKARIA TECHO'!D:D,'IKARIA TECHO'!H:H,"ERROR",0)</f>
        <v/>
      </c>
      <c r="G201" s="764">
        <f>E201*F201</f>
        <v/>
      </c>
      <c r="H201" s="544">
        <f>G201/$G$289</f>
        <v/>
      </c>
    </row>
    <row r="202">
      <c r="B202" s="199">
        <f>_xlfn.XLOOKUP(C202,'INSUMOS MAT '!B:B,'INSUMOS MAT '!C:C,"ERROR",0)</f>
        <v/>
      </c>
      <c r="C202" s="177" t="inlineStr">
        <is>
          <t>MAT22-0001</t>
        </is>
      </c>
      <c r="D202" s="129">
        <f>_xlfn.XLOOKUP(C202,'IKARIA TECHO'!D:D,'IKARIA TECHO'!E:E,"ERROR",0)</f>
        <v/>
      </c>
      <c r="E202" s="535">
        <f>SUMIF('IKARIA TECHO'!D:D,ANALISIS!C202,'IKARIA TECHO'!F:F)</f>
        <v/>
      </c>
      <c r="F202" s="735">
        <f>_xlfn.XLOOKUP(C202,'IKARIA TECHO'!D:D,'IKARIA TECHO'!H:H,"ERROR",0)</f>
        <v/>
      </c>
      <c r="G202" s="687">
        <f>E202*F202</f>
        <v/>
      </c>
      <c r="H202" s="538">
        <f>G202/$G$289</f>
        <v/>
      </c>
    </row>
    <row r="203">
      <c r="B203" s="199">
        <f>_xlfn.XLOOKUP(C203,'INSUMOS MAT '!B:B,'INSUMOS MAT '!C:C,"ERROR",0)</f>
        <v/>
      </c>
      <c r="C203" s="305" t="inlineStr">
        <is>
          <t>MAT04-0049</t>
        </is>
      </c>
      <c r="D203" s="129">
        <f>_xlfn.XLOOKUP(C203,'IKARIA TECHO'!D:D,'IKARIA TECHO'!E:E,"ERROR",0)</f>
        <v/>
      </c>
      <c r="E203" s="535">
        <f>SUMIF('IKARIA TECHO'!D:D,ANALISIS!C203,'IKARIA TECHO'!F:F)</f>
        <v/>
      </c>
      <c r="F203" s="735">
        <f>_xlfn.XLOOKUP(C203,'IKARIA TECHO'!D:D,'IKARIA TECHO'!H:H,"ERROR",0)</f>
        <v/>
      </c>
      <c r="G203" s="687">
        <f>E203*F203</f>
        <v/>
      </c>
      <c r="H203" s="538">
        <f>G203/$G$289</f>
        <v/>
      </c>
    </row>
    <row r="204">
      <c r="B204" s="199">
        <f>_xlfn.XLOOKUP(C204,'INSUMOS MAT '!B:B,'INSUMOS MAT '!C:C,"ERROR",0)</f>
        <v/>
      </c>
      <c r="C204" s="305" t="inlineStr">
        <is>
          <t>MAT04-0050</t>
        </is>
      </c>
      <c r="D204" s="129">
        <f>_xlfn.XLOOKUP(C204,'IKARIA TECHO'!D:D,'IKARIA TECHO'!E:E,"ERROR",0)</f>
        <v/>
      </c>
      <c r="E204" s="535">
        <f>SUMIF('IKARIA TECHO'!D:D,ANALISIS!C204,'IKARIA TECHO'!F:F)</f>
        <v/>
      </c>
      <c r="F204" s="735">
        <f>_xlfn.XLOOKUP(C204,'IKARIA TECHO'!D:D,'IKARIA TECHO'!H:H,"ERROR",0)</f>
        <v/>
      </c>
      <c r="G204" s="687">
        <f>E204*F204</f>
        <v/>
      </c>
      <c r="H204" s="538">
        <f>G204/$G$289</f>
        <v/>
      </c>
    </row>
    <row r="205">
      <c r="B205" s="199">
        <f>_xlfn.XLOOKUP(C205,'INSUMOS MAT '!B:B,'INSUMOS MAT '!C:C,"ERROR",0)</f>
        <v/>
      </c>
      <c r="C205" s="305" t="inlineStr">
        <is>
          <t>MAT04-0052</t>
        </is>
      </c>
      <c r="D205" s="540">
        <f>_xlfn.XLOOKUP(C205,'IKARIA TECHO'!D:D,'IKARIA TECHO'!E:E,"ERROR",0)</f>
        <v/>
      </c>
      <c r="E205" s="541">
        <f>SUMIF('IKARIA TECHO'!D:D,ANALISIS!C205,'IKARIA TECHO'!F:F)</f>
        <v/>
      </c>
      <c r="F205" s="763">
        <f>_xlfn.XLOOKUP(C205,'IKARIA TECHO'!D:D,'IKARIA TECHO'!H:H,"ERROR",0)</f>
        <v/>
      </c>
      <c r="G205" s="764">
        <f>E205*F205</f>
        <v/>
      </c>
      <c r="H205" s="544">
        <f>G205/$G$289</f>
        <v/>
      </c>
    </row>
    <row r="206">
      <c r="B206" s="199">
        <f>_xlfn.XLOOKUP(C206,'INSUMOS MAT '!B:B,'INSUMOS MAT '!C:C,"ERROR",0)</f>
        <v/>
      </c>
      <c r="C206" s="473" t="inlineStr">
        <is>
          <t>MAT02-0038</t>
        </is>
      </c>
      <c r="D206" s="129">
        <f>_xlfn.XLOOKUP(C206,'IKARIA TECHO'!D:D,'IKARIA TECHO'!E:E,"ERROR",0)</f>
        <v/>
      </c>
      <c r="E206" s="535">
        <f>SUMIF('IKARIA TECHO'!D:D,ANALISIS!C206,'IKARIA TECHO'!F:F)</f>
        <v/>
      </c>
      <c r="F206" s="735">
        <f>_xlfn.XLOOKUP(C206,'IKARIA TECHO'!D:D,'IKARIA TECHO'!H:H,"ERROR",0)</f>
        <v/>
      </c>
      <c r="G206" s="687">
        <f>E206*F206</f>
        <v/>
      </c>
      <c r="H206" s="538">
        <f>G206/$G$289</f>
        <v/>
      </c>
    </row>
    <row r="207">
      <c r="B207" s="199">
        <f>_xlfn.XLOOKUP(C207,'INSUMOS MAT '!B:B,'INSUMOS MAT '!C:C,"ERROR",0)</f>
        <v/>
      </c>
      <c r="C207" s="305" t="inlineStr">
        <is>
          <t>MAT22-0002</t>
        </is>
      </c>
      <c r="D207" s="129">
        <f>_xlfn.XLOOKUP(C207,'IKARIA TECHO'!D:D,'IKARIA TECHO'!E:E,"ERROR",0)</f>
        <v/>
      </c>
      <c r="E207" s="535">
        <f>SUMIF('IKARIA TECHO'!D:D,ANALISIS!C207,'IKARIA TECHO'!F:F)</f>
        <v/>
      </c>
      <c r="F207" s="735">
        <f>_xlfn.XLOOKUP(C207,'IKARIA TECHO'!D:D,'IKARIA TECHO'!H:H,"ERROR",0)</f>
        <v/>
      </c>
      <c r="G207" s="687">
        <f>E207*F207</f>
        <v/>
      </c>
      <c r="H207" s="538">
        <f>G207/$G$289</f>
        <v/>
      </c>
    </row>
    <row r="208">
      <c r="B208" s="199">
        <f>_xlfn.XLOOKUP(C208,'INSUMOS MAT '!B:B,'INSUMOS MAT '!C:C,"ERROR",0)</f>
        <v/>
      </c>
      <c r="C208" s="305" t="inlineStr">
        <is>
          <t>MAT03-0007</t>
        </is>
      </c>
      <c r="D208" s="129">
        <f>_xlfn.XLOOKUP(C208,'IKARIA TECHO'!D:D,'IKARIA TECHO'!E:E,"ERROR",0)</f>
        <v/>
      </c>
      <c r="E208" s="535">
        <f>SUMIF('IKARIA TECHO'!D:D,ANALISIS!C208,'IKARIA TECHO'!F:F)</f>
        <v/>
      </c>
      <c r="F208" s="735">
        <f>_xlfn.XLOOKUP(C208,'IKARIA TECHO'!D:D,'IKARIA TECHO'!H:H,"ERROR",0)</f>
        <v/>
      </c>
      <c r="G208" s="687">
        <f>E208*F208</f>
        <v/>
      </c>
      <c r="H208" s="538">
        <f>G208/$G$289</f>
        <v/>
      </c>
    </row>
    <row r="209">
      <c r="B209" s="199">
        <f>_xlfn.XLOOKUP(C209,'INSUMOS MAT '!B:B,'INSUMOS MAT '!C:C,"ERROR",0)</f>
        <v/>
      </c>
      <c r="C209" s="305" t="inlineStr">
        <is>
          <t>MAT16-0090</t>
        </is>
      </c>
      <c r="D209" s="540">
        <f>_xlfn.XLOOKUP(C209,'IKARIA TECHO'!D:D,'IKARIA TECHO'!E:E,"ERROR",0)</f>
        <v/>
      </c>
      <c r="E209" s="541">
        <f>SUMIF('IKARIA TECHO'!D:D,ANALISIS!C209,'IKARIA TECHO'!F:F)</f>
        <v/>
      </c>
      <c r="F209" s="763">
        <f>_xlfn.XLOOKUP(C209,'IKARIA TECHO'!D:D,'IKARIA TECHO'!H:H,"ERROR",0)</f>
        <v/>
      </c>
      <c r="G209" s="764">
        <f>E209*F209</f>
        <v/>
      </c>
      <c r="H209" s="544">
        <f>G209/$G$289</f>
        <v/>
      </c>
    </row>
    <row r="210">
      <c r="B210" s="199">
        <f>_xlfn.XLOOKUP(C210,'INSUMOS MAT '!B:B,'INSUMOS MAT '!C:C,"ERROR",0)</f>
        <v/>
      </c>
      <c r="C210" s="305" t="inlineStr">
        <is>
          <t>MAT16-0096</t>
        </is>
      </c>
      <c r="D210" s="129">
        <f>_xlfn.XLOOKUP(C210,'IKARIA TECHO'!D:D,'IKARIA TECHO'!E:E,"ERROR",0)</f>
        <v/>
      </c>
      <c r="E210" s="535">
        <f>SUMIF('IKARIA TECHO'!D:D,ANALISIS!C210,'IKARIA TECHO'!F:F)</f>
        <v/>
      </c>
      <c r="F210" s="735">
        <f>_xlfn.XLOOKUP(C210,'IKARIA TECHO'!D:D,'IKARIA TECHO'!H:H,"ERROR",0)</f>
        <v/>
      </c>
      <c r="G210" s="687">
        <f>E210*F210</f>
        <v/>
      </c>
      <c r="H210" s="538">
        <f>G210/$G$289</f>
        <v/>
      </c>
    </row>
    <row r="211">
      <c r="B211" s="199">
        <f>_xlfn.XLOOKUP(C211,'INSUMOS MAT '!B:B,'INSUMOS MAT '!C:C,"ERROR",0)</f>
        <v/>
      </c>
      <c r="C211" s="305" t="inlineStr">
        <is>
          <t>MAT16-0059</t>
        </is>
      </c>
      <c r="D211" s="540">
        <f>_xlfn.XLOOKUP(C211,'IKARIA TECHO'!D:D,'IKARIA TECHO'!E:E,"ERROR",0)</f>
        <v/>
      </c>
      <c r="E211" s="541">
        <f>SUMIF('IKARIA TECHO'!D:D,ANALISIS!C211,'IKARIA TECHO'!F:F)</f>
        <v/>
      </c>
      <c r="F211" s="763">
        <f>_xlfn.XLOOKUP(C211,'IKARIA TECHO'!D:D,'IKARIA TECHO'!H:H,"ERROR",0)</f>
        <v/>
      </c>
      <c r="G211" s="764">
        <f>E211*F211</f>
        <v/>
      </c>
      <c r="H211" s="544">
        <f>G211/$G$289</f>
        <v/>
      </c>
    </row>
    <row r="212">
      <c r="B212" s="199">
        <f>_xlfn.XLOOKUP(C212,'INSUMOS MAT '!B:B,'INSUMOS MAT '!C:C,"ERROR",0)</f>
        <v/>
      </c>
      <c r="C212" s="305" t="inlineStr">
        <is>
          <t>MAT08-0012</t>
        </is>
      </c>
      <c r="D212" s="129">
        <f>_xlfn.XLOOKUP(C212,'IKARIA TECHO'!D:D,'IKARIA TECHO'!E:E,"ERROR",0)</f>
        <v/>
      </c>
      <c r="E212" s="535">
        <f>SUMIF('IKARIA TECHO'!D:D,ANALISIS!C212,'IKARIA TECHO'!F:F)</f>
        <v/>
      </c>
      <c r="F212" s="735">
        <f>_xlfn.XLOOKUP(C212,'IKARIA TECHO'!D:D,'IKARIA TECHO'!H:H,"ERROR",0)</f>
        <v/>
      </c>
      <c r="G212" s="687">
        <f>E212*F212</f>
        <v/>
      </c>
      <c r="H212" s="538">
        <f>G212/$G$289</f>
        <v/>
      </c>
    </row>
    <row r="213">
      <c r="B213" s="199">
        <f>_xlfn.XLOOKUP(C213,'INSUMOS MAT '!B:B,'INSUMOS MAT '!C:C,"ERROR",0)</f>
        <v/>
      </c>
      <c r="C213" s="305" t="inlineStr">
        <is>
          <t>MAT08-0049</t>
        </is>
      </c>
      <c r="D213" s="129">
        <f>_xlfn.XLOOKUP(C213,'IKARIA TECHO'!D:D,'IKARIA TECHO'!E:E,"ERROR",0)</f>
        <v/>
      </c>
      <c r="E213" s="535">
        <f>SUMIF('IKARIA TECHO'!D:D,ANALISIS!C213,'IKARIA TECHO'!F:F)</f>
        <v/>
      </c>
      <c r="F213" s="735">
        <f>_xlfn.XLOOKUP(C213,'IKARIA TECHO'!D:D,'IKARIA TECHO'!H:H,"ERROR",0)</f>
        <v/>
      </c>
      <c r="G213" s="687">
        <f>E213*F213</f>
        <v/>
      </c>
      <c r="H213" s="538">
        <f>G213/$G$289</f>
        <v/>
      </c>
    </row>
    <row r="214">
      <c r="B214" s="199">
        <f>_xlfn.XLOOKUP(C214,'INSUMOS MAT '!B:B,'INSUMOS MAT '!C:C,"ERROR",0)</f>
        <v/>
      </c>
      <c r="C214" s="305" t="inlineStr">
        <is>
          <t>MAT08-0105</t>
        </is>
      </c>
      <c r="D214" s="129">
        <f>_xlfn.XLOOKUP(C214,'IKARIA TECHO'!D:D,'IKARIA TECHO'!E:E,"ERROR",0)</f>
        <v/>
      </c>
      <c r="E214" s="535">
        <f>SUMIF('IKARIA TECHO'!D:D,ANALISIS!C214,'IKARIA TECHO'!F:F)</f>
        <v/>
      </c>
      <c r="F214" s="735">
        <f>_xlfn.XLOOKUP(C214,'IKARIA TECHO'!D:D,'IKARIA TECHO'!H:H,"ERROR",0)</f>
        <v/>
      </c>
      <c r="G214" s="687">
        <f>E214*F214</f>
        <v/>
      </c>
      <c r="H214" s="538">
        <f>G214/$G$289</f>
        <v/>
      </c>
    </row>
    <row r="215">
      <c r="B215" s="199">
        <f>_xlfn.XLOOKUP(C215,'INSUMOS MAT '!B:B,'INSUMOS MAT '!C:C,"ERROR",0)</f>
        <v/>
      </c>
      <c r="C215" s="305" t="inlineStr">
        <is>
          <t>MAT08-0137</t>
        </is>
      </c>
      <c r="D215" s="129">
        <f>_xlfn.XLOOKUP(C215,'IKARIA TECHO'!D:D,'IKARIA TECHO'!E:E,"ERROR",0)</f>
        <v/>
      </c>
      <c r="E215" s="535">
        <f>SUMIF('IKARIA TECHO'!D:D,ANALISIS!C215,'IKARIA TECHO'!F:F)</f>
        <v/>
      </c>
      <c r="F215" s="735">
        <f>_xlfn.XLOOKUP(C215,'IKARIA TECHO'!D:D,'IKARIA TECHO'!H:H,"ERROR",0)</f>
        <v/>
      </c>
      <c r="G215" s="687">
        <f>E215*F215</f>
        <v/>
      </c>
      <c r="H215" s="538">
        <f>G215/$G$289</f>
        <v/>
      </c>
    </row>
    <row r="216">
      <c r="B216" s="199">
        <f>_xlfn.XLOOKUP(C216,'INSUMOS MAT '!B:B,'INSUMOS MAT '!C:C,"ERROR",0)</f>
        <v/>
      </c>
      <c r="C216" s="305" t="inlineStr">
        <is>
          <t>MAT01-0008</t>
        </is>
      </c>
      <c r="D216" s="540">
        <f>_xlfn.XLOOKUP(C216,'IKARIA TECHO'!D:D,'IKARIA TECHO'!E:E,"ERROR",0)</f>
        <v/>
      </c>
      <c r="E216" s="541">
        <f>SUMIF('IKARIA TECHO'!D:D,ANALISIS!C216,'IKARIA TECHO'!F:F)</f>
        <v/>
      </c>
      <c r="F216" s="763">
        <f>_xlfn.XLOOKUP(C216,'IKARIA TECHO'!D:D,'IKARIA TECHO'!H:H,"ERROR",0)</f>
        <v/>
      </c>
      <c r="G216" s="764">
        <f>E216*F216</f>
        <v/>
      </c>
      <c r="H216" s="544">
        <f>G216/$G$289</f>
        <v/>
      </c>
    </row>
    <row r="217">
      <c r="B217" s="582" t="n"/>
      <c r="C217" s="305" t="inlineStr">
        <is>
          <t>MAT08-0009</t>
        </is>
      </c>
      <c r="D217" s="129">
        <f>_xlfn.XLOOKUP(C217,'IKARIA TECHO'!D:D,'IKARIA TECHO'!E:E,"ERROR",0)</f>
        <v/>
      </c>
      <c r="E217" s="535">
        <f>SUMIF('IKARIA TECHO'!D:D,ANALISIS!C217,'IKARIA TECHO'!F:F)</f>
        <v/>
      </c>
      <c r="F217" s="735">
        <f>_xlfn.XLOOKUP(C217,'IKARIA TECHO'!D:D,'IKARIA TECHO'!H:H,"ERROR",0)</f>
        <v/>
      </c>
      <c r="G217" s="687">
        <f>E217*F217</f>
        <v/>
      </c>
      <c r="H217" s="538">
        <f>G217/$G$289</f>
        <v/>
      </c>
    </row>
    <row r="218">
      <c r="B218" s="199">
        <f>_xlfn.XLOOKUP(C218,'INSUMOS MAT '!B:B,'INSUMOS MAT '!C:C,"ERROR",0)</f>
        <v/>
      </c>
      <c r="C218" s="305" t="inlineStr">
        <is>
          <t>MAT08-0081</t>
        </is>
      </c>
      <c r="D218" s="129">
        <f>_xlfn.XLOOKUP(C218,'IKARIA TECHO'!D:D,'IKARIA TECHO'!E:E,"ERROR",0)</f>
        <v/>
      </c>
      <c r="E218" s="535">
        <f>SUMIF('IKARIA TECHO'!D:D,ANALISIS!C218,'IKARIA TECHO'!F:F)</f>
        <v/>
      </c>
      <c r="F218" s="735">
        <f>_xlfn.XLOOKUP(C218,'IKARIA TECHO'!D:D,'IKARIA TECHO'!H:H,"ERROR",0)</f>
        <v/>
      </c>
      <c r="G218" s="687">
        <f>E218*F218</f>
        <v/>
      </c>
      <c r="H218" s="538">
        <f>G218/$G$289</f>
        <v/>
      </c>
    </row>
    <row r="219">
      <c r="B219" s="199">
        <f>_xlfn.XLOOKUP(C219,'INSUMOS MAT '!B:B,'INSUMOS MAT '!C:C,"ERROR",0)</f>
        <v/>
      </c>
      <c r="C219" s="305" t="inlineStr">
        <is>
          <t>MAT01-0010</t>
        </is>
      </c>
      <c r="D219" s="129">
        <f>_xlfn.XLOOKUP(C219,'IKARIA TECHO'!D:D,'IKARIA TECHO'!E:E,"ERROR",0)</f>
        <v/>
      </c>
      <c r="E219" s="535">
        <f>SUMIF('IKARIA TECHO'!D:D,ANALISIS!C219,'IKARIA TECHO'!F:F)</f>
        <v/>
      </c>
      <c r="F219" s="735">
        <f>_xlfn.XLOOKUP(C219,'IKARIA TECHO'!D:D,'IKARIA TECHO'!H:H,"ERROR",0)</f>
        <v/>
      </c>
      <c r="G219" s="687">
        <f>E219*F219</f>
        <v/>
      </c>
      <c r="H219" s="538">
        <f>G219/$G$289</f>
        <v/>
      </c>
    </row>
    <row r="220">
      <c r="B220" s="199">
        <f>_xlfn.XLOOKUP(C220,'INSUMOS MAT '!B:B,'INSUMOS MAT '!C:C,"ERROR",0)</f>
        <v/>
      </c>
      <c r="C220" s="305" t="inlineStr">
        <is>
          <t>MAT01-0012</t>
        </is>
      </c>
      <c r="D220" s="129">
        <f>_xlfn.XLOOKUP(C220,'IKARIA TECHO'!D:D,'IKARIA TECHO'!E:E,"ERROR",0)</f>
        <v/>
      </c>
      <c r="E220" s="535">
        <f>SUMIF('IKARIA TECHO'!D:D,ANALISIS!C220,'IKARIA TECHO'!F:F)</f>
        <v/>
      </c>
      <c r="F220" s="735">
        <f>_xlfn.XLOOKUP(C220,'IKARIA TECHO'!D:D,'IKARIA TECHO'!H:H,"ERROR",0)</f>
        <v/>
      </c>
      <c r="G220" s="687">
        <f>E220*F220</f>
        <v/>
      </c>
      <c r="H220" s="538">
        <f>G220/$G$289</f>
        <v/>
      </c>
    </row>
    <row r="221">
      <c r="B221" s="199">
        <f>_xlfn.XLOOKUP(C221,'INSUMOS MAT '!B:B,'INSUMOS MAT '!C:C,"ERROR",0)</f>
        <v/>
      </c>
      <c r="C221" s="305" t="inlineStr">
        <is>
          <t>MAT01-0001</t>
        </is>
      </c>
      <c r="D221" s="129">
        <f>_xlfn.XLOOKUP(C221,'IKARIA TECHO'!D:D,'IKARIA TECHO'!E:E,"ERROR",0)</f>
        <v/>
      </c>
      <c r="E221" s="535">
        <f>SUMIF('IKARIA TECHO'!D:D,ANALISIS!C221,'IKARIA TECHO'!F:F)</f>
        <v/>
      </c>
      <c r="F221" s="735">
        <f>_xlfn.XLOOKUP(C221,'IKARIA TECHO'!D:D,'IKARIA TECHO'!H:H,"ERROR",0)</f>
        <v/>
      </c>
      <c r="G221" s="687">
        <f>E221*F221</f>
        <v/>
      </c>
      <c r="H221" s="538">
        <f>G221/$G$289</f>
        <v/>
      </c>
    </row>
    <row r="222">
      <c r="B222" s="199">
        <f>_xlfn.XLOOKUP(C222,'INSUMOS MAT '!B:B,'INSUMOS MAT '!C:C,"ERROR",0)</f>
        <v/>
      </c>
      <c r="C222" s="305" t="inlineStr">
        <is>
          <t>MAT01-0006</t>
        </is>
      </c>
      <c r="D222" s="129">
        <f>_xlfn.XLOOKUP(C222,'IKARIA TECHO'!D:D,'IKARIA TECHO'!E:E,"ERROR",0)</f>
        <v/>
      </c>
      <c r="E222" s="535">
        <f>SUMIF('IKARIA TECHO'!D:D,ANALISIS!C222,'IKARIA TECHO'!F:F)</f>
        <v/>
      </c>
      <c r="F222" s="735">
        <f>_xlfn.XLOOKUP(C222,'IKARIA TECHO'!D:D,'IKARIA TECHO'!H:H,"ERROR",0)</f>
        <v/>
      </c>
      <c r="G222" s="687">
        <f>E222*F222</f>
        <v/>
      </c>
      <c r="H222" s="538">
        <f>G222/$G$289</f>
        <v/>
      </c>
    </row>
    <row r="223">
      <c r="B223" s="199">
        <f>_xlfn.XLOOKUP(C223,'INSUMOS MAT '!B:B,'INSUMOS MAT '!C:C,"ERROR",0)</f>
        <v/>
      </c>
      <c r="C223" s="305" t="inlineStr">
        <is>
          <t>MAT01-0007</t>
        </is>
      </c>
      <c r="D223" s="129">
        <f>_xlfn.XLOOKUP(C223,'IKARIA TECHO'!D:D,'IKARIA TECHO'!E:E,"ERROR",0)</f>
        <v/>
      </c>
      <c r="E223" s="535">
        <f>SUMIF('IKARIA TECHO'!D:D,ANALISIS!C223,'IKARIA TECHO'!F:F)</f>
        <v/>
      </c>
      <c r="F223" s="735">
        <f>_xlfn.XLOOKUP(C223,'IKARIA TECHO'!D:D,'IKARIA TECHO'!H:H,"ERROR",0)</f>
        <v/>
      </c>
      <c r="G223" s="687">
        <f>E223*F223</f>
        <v/>
      </c>
      <c r="H223" s="538">
        <f>G223/$G$289</f>
        <v/>
      </c>
    </row>
    <row r="224">
      <c r="B224" s="199">
        <f>_xlfn.XLOOKUP(C224,'INSUMOS MAT '!B:B,'INSUMOS MAT '!C:C,"ERROR",0)</f>
        <v/>
      </c>
      <c r="C224" s="305" t="inlineStr">
        <is>
          <t>MAT21-0018</t>
        </is>
      </c>
      <c r="D224" s="129">
        <f>_xlfn.XLOOKUP(C224,'IKARIA TECHO'!D:D,'IKARIA TECHO'!E:E,"ERROR",0)</f>
        <v/>
      </c>
      <c r="E224" s="535">
        <f>SUMIF('IKARIA TECHO'!D:D,ANALISIS!C224,'IKARIA TECHO'!F:F)</f>
        <v/>
      </c>
      <c r="F224" s="735">
        <f>_xlfn.XLOOKUP(C224,'IKARIA TECHO'!D:D,'IKARIA TECHO'!H:H,"ERROR",0)</f>
        <v/>
      </c>
      <c r="G224" s="687">
        <f>E224*F224</f>
        <v/>
      </c>
      <c r="H224" s="538">
        <f>G224/$G$289</f>
        <v/>
      </c>
    </row>
    <row r="225">
      <c r="B225" s="199">
        <f>_xlfn.XLOOKUP(C225,'INSUMOS MAT '!B:B,'INSUMOS MAT '!C:C,"ERROR",0)</f>
        <v/>
      </c>
      <c r="C225" s="305" t="inlineStr">
        <is>
          <t>MAT08-0113</t>
        </is>
      </c>
      <c r="D225" s="129">
        <f>_xlfn.XLOOKUP(C225,'IKARIA TECHO'!D:D,'IKARIA TECHO'!E:E,"ERROR",0)</f>
        <v/>
      </c>
      <c r="E225" s="535">
        <f>SUMIF('IKARIA TECHO'!D:D,ANALISIS!C225,'IKARIA TECHO'!F:F)</f>
        <v/>
      </c>
      <c r="F225" s="735">
        <f>_xlfn.XLOOKUP(C225,'IKARIA TECHO'!D:D,'IKARIA TECHO'!H:H,"ERROR",0)</f>
        <v/>
      </c>
      <c r="G225" s="687">
        <f>E225*F225</f>
        <v/>
      </c>
      <c r="H225" s="538">
        <f>G225/$G$289</f>
        <v/>
      </c>
    </row>
    <row r="226">
      <c r="B226" s="199">
        <f>_xlfn.XLOOKUP(C226,'INSUMOS MAT '!B:B,'INSUMOS MAT '!C:C,"ERROR",0)</f>
        <v/>
      </c>
      <c r="C226" s="305" t="inlineStr">
        <is>
          <t>MAT08-0047</t>
        </is>
      </c>
      <c r="D226" s="129">
        <f>_xlfn.XLOOKUP(C226,'IKARIA TECHO'!D:D,'IKARIA TECHO'!E:E,"ERROR",0)</f>
        <v/>
      </c>
      <c r="E226" s="535">
        <f>SUMIF('IKARIA TECHO'!D:D,ANALISIS!C226,'IKARIA TECHO'!F:F)</f>
        <v/>
      </c>
      <c r="F226" s="735">
        <f>_xlfn.XLOOKUP(C226,'IKARIA TECHO'!D:D,'IKARIA TECHO'!H:H,"ERROR",0)</f>
        <v/>
      </c>
      <c r="G226" s="687">
        <f>E226*F226</f>
        <v/>
      </c>
      <c r="H226" s="538">
        <f>G226/$G$289</f>
        <v/>
      </c>
    </row>
    <row r="227">
      <c r="B227" s="199">
        <f>_xlfn.XLOOKUP(C227,'INSUMOS MAT '!B:B,'INSUMOS MAT '!C:C,"ERROR",0)</f>
        <v/>
      </c>
      <c r="C227" s="305" t="inlineStr">
        <is>
          <t>MAT01-0025</t>
        </is>
      </c>
      <c r="D227" s="129">
        <f>_xlfn.XLOOKUP(C227,'IKARIA TECHO'!D:D,'IKARIA TECHO'!E:E,"ERROR",0)</f>
        <v/>
      </c>
      <c r="E227" s="535">
        <f>SUMIF('IKARIA TECHO'!D:D,ANALISIS!C227,'IKARIA TECHO'!F:F)</f>
        <v/>
      </c>
      <c r="F227" s="735">
        <f>_xlfn.XLOOKUP(C227,'IKARIA TECHO'!D:D,'IKARIA TECHO'!H:H,"ERROR",0)</f>
        <v/>
      </c>
      <c r="G227" s="687">
        <f>E227*F227</f>
        <v/>
      </c>
      <c r="H227" s="538">
        <f>G227/$G$289</f>
        <v/>
      </c>
    </row>
    <row r="228">
      <c r="B228" s="199">
        <f>_xlfn.XLOOKUP(C228,'INSUMOS MAT '!B:B,'INSUMOS MAT '!C:C,"ERROR",0)</f>
        <v/>
      </c>
      <c r="C228" s="305" t="inlineStr">
        <is>
          <t>MAT08-0073</t>
        </is>
      </c>
      <c r="D228" s="129">
        <f>_xlfn.XLOOKUP(C228,'IKARIA TECHO'!D:D,'IKARIA TECHO'!E:E,"ERROR",0)</f>
        <v/>
      </c>
      <c r="E228" s="535">
        <f>SUMIF('IKARIA TECHO'!D:D,ANALISIS!C228,'IKARIA TECHO'!F:F)</f>
        <v/>
      </c>
      <c r="F228" s="735">
        <f>_xlfn.XLOOKUP(C228,'IKARIA TECHO'!D:D,'IKARIA TECHO'!H:H,"ERROR",0)</f>
        <v/>
      </c>
      <c r="G228" s="687">
        <f>E228*F228</f>
        <v/>
      </c>
      <c r="H228" s="538">
        <f>G228/$G$289</f>
        <v/>
      </c>
    </row>
    <row r="229">
      <c r="B229" s="199">
        <f>_xlfn.XLOOKUP(C229,'INSUMOS MAT '!B:B,'INSUMOS MAT '!C:C,"ERROR",0)</f>
        <v/>
      </c>
      <c r="C229" s="305" t="inlineStr">
        <is>
          <t>MAT01-0002</t>
        </is>
      </c>
      <c r="D229" s="129">
        <f>_xlfn.XLOOKUP(C229,'IKARIA TECHO'!D:D,'IKARIA TECHO'!E:E,"ERROR",0)</f>
        <v/>
      </c>
      <c r="E229" s="535">
        <f>SUMIF('IKARIA TECHO'!D:D,ANALISIS!C229,'IKARIA TECHO'!F:F)</f>
        <v/>
      </c>
      <c r="F229" s="735">
        <f>_xlfn.XLOOKUP(C229,'IKARIA TECHO'!D:D,'IKARIA TECHO'!H:H,"ERROR",0)</f>
        <v/>
      </c>
      <c r="G229" s="687">
        <f>E229*F229</f>
        <v/>
      </c>
      <c r="H229" s="538">
        <f>G229/$G$289</f>
        <v/>
      </c>
    </row>
    <row r="230">
      <c r="B230" s="199">
        <f>_xlfn.XLOOKUP(C230,'INSUMOS MAT '!B:B,'INSUMOS MAT '!C:C,"ERROR",0)</f>
        <v/>
      </c>
      <c r="C230" s="305" t="inlineStr">
        <is>
          <t>MAT14-0007</t>
        </is>
      </c>
      <c r="D230" s="129">
        <f>_xlfn.XLOOKUP(C230,'IKARIA TECHO'!D:D,'IKARIA TECHO'!E:E,"ERROR",0)</f>
        <v/>
      </c>
      <c r="E230" s="535">
        <f>SUMIF('IKARIA TECHO'!D:D,ANALISIS!C230,'IKARIA TECHO'!F:F)</f>
        <v/>
      </c>
      <c r="F230" s="735">
        <f>_xlfn.XLOOKUP(C230,'IKARIA TECHO'!D:D,'IKARIA TECHO'!H:H,"ERROR",0)</f>
        <v/>
      </c>
      <c r="G230" s="687">
        <f>E230*F230</f>
        <v/>
      </c>
      <c r="H230" s="538">
        <f>G230/$G$289</f>
        <v/>
      </c>
    </row>
    <row r="231">
      <c r="B231" s="199">
        <f>_xlfn.XLOOKUP(C231,'INSUMOS MAT '!B:B,'INSUMOS MAT '!C:C,"ERROR",0)</f>
        <v/>
      </c>
      <c r="C231" s="305" t="inlineStr">
        <is>
          <t>MAT06-0006</t>
        </is>
      </c>
      <c r="D231" s="129">
        <f>_xlfn.XLOOKUP(C231,'IKARIA TECHO'!D:D,'IKARIA TECHO'!E:E,"ERROR",0)</f>
        <v/>
      </c>
      <c r="E231" s="535">
        <f>SUMIF('IKARIA TECHO'!D:D,ANALISIS!C231,'IKARIA TECHO'!F:F)</f>
        <v/>
      </c>
      <c r="F231" s="735">
        <f>_xlfn.XLOOKUP(C231,'IKARIA TECHO'!D:D,'IKARIA TECHO'!H:H,"ERROR",0)</f>
        <v/>
      </c>
      <c r="G231" s="687">
        <f>E231*F231</f>
        <v/>
      </c>
      <c r="H231" s="538">
        <f>G231/$G$289</f>
        <v/>
      </c>
    </row>
    <row r="232">
      <c r="B232" s="199">
        <f>_xlfn.XLOOKUP(C232,'INSUMOS MAT '!B:B,'INSUMOS MAT '!C:C,"ERROR",0)</f>
        <v/>
      </c>
      <c r="C232" s="305" t="inlineStr">
        <is>
          <t>MAT06-0009</t>
        </is>
      </c>
      <c r="D232" s="129">
        <f>_xlfn.XLOOKUP(C232,'IKARIA TECHO'!D:D,'IKARIA TECHO'!E:E,"ERROR",0)</f>
        <v/>
      </c>
      <c r="E232" s="535">
        <f>SUMIF('IKARIA TECHO'!D:D,ANALISIS!C232,'IKARIA TECHO'!F:F)</f>
        <v/>
      </c>
      <c r="F232" s="735">
        <f>_xlfn.XLOOKUP(C232,'IKARIA TECHO'!D:D,'IKARIA TECHO'!H:H,"ERROR",0)</f>
        <v/>
      </c>
      <c r="G232" s="687">
        <f>E232*F232</f>
        <v/>
      </c>
      <c r="H232" s="538">
        <f>G232/$G$289</f>
        <v/>
      </c>
    </row>
    <row r="233">
      <c r="B233" s="199">
        <f>_xlfn.XLOOKUP(C233,'INSUMOS MAT '!B:B,'INSUMOS MAT '!C:C,"ERROR",0)</f>
        <v/>
      </c>
      <c r="C233" s="305" t="inlineStr">
        <is>
          <t>MAT06-0012</t>
        </is>
      </c>
      <c r="D233" s="129">
        <f>_xlfn.XLOOKUP(C233,'IKARIA TECHO'!D:D,'IKARIA TECHO'!E:E,"ERROR",0)</f>
        <v/>
      </c>
      <c r="E233" s="535">
        <f>SUMIF('IKARIA TECHO'!D:D,ANALISIS!C233,'IKARIA TECHO'!F:F)</f>
        <v/>
      </c>
      <c r="F233" s="735">
        <f>_xlfn.XLOOKUP(C233,'IKARIA TECHO'!D:D,'IKARIA TECHO'!H:H,"ERROR",0)</f>
        <v/>
      </c>
      <c r="G233" s="687">
        <f>E233*F233</f>
        <v/>
      </c>
      <c r="H233" s="538">
        <f>G233/$G$289</f>
        <v/>
      </c>
    </row>
    <row r="234">
      <c r="B234" s="199">
        <f>_xlfn.XLOOKUP(C234,'INSUMOS MAT '!B:B,'INSUMOS MAT '!C:C,"ERROR",0)</f>
        <v/>
      </c>
      <c r="C234" s="305" t="inlineStr">
        <is>
          <t>MAT06-0087</t>
        </is>
      </c>
      <c r="D234" s="129">
        <f>_xlfn.XLOOKUP(C234,'IKARIA TECHO'!D:D,'IKARIA TECHO'!E:E,"ERROR",0)</f>
        <v/>
      </c>
      <c r="E234" s="535">
        <f>SUMIF('IKARIA TECHO'!D:D,ANALISIS!C234,'IKARIA TECHO'!F:F)</f>
        <v/>
      </c>
      <c r="F234" s="735">
        <f>_xlfn.XLOOKUP(C234,'IKARIA TECHO'!D:D,'IKARIA TECHO'!H:H,"ERROR",0)</f>
        <v/>
      </c>
      <c r="G234" s="687">
        <f>E234*F234</f>
        <v/>
      </c>
      <c r="H234" s="538">
        <f>G234/$G$289</f>
        <v/>
      </c>
    </row>
    <row r="235">
      <c r="B235" s="199">
        <f>_xlfn.XLOOKUP(C235,'INSUMOS MAT '!B:B,'INSUMOS MAT '!C:C,"ERROR",0)</f>
        <v/>
      </c>
      <c r="C235" s="305" t="inlineStr">
        <is>
          <t>MAT06-0135</t>
        </is>
      </c>
      <c r="D235" s="129">
        <f>_xlfn.XLOOKUP(C235,'IKARIA TECHO'!D:D,'IKARIA TECHO'!E:E,"ERROR",0)</f>
        <v/>
      </c>
      <c r="E235" s="535">
        <f>SUMIF('IKARIA TECHO'!D:D,ANALISIS!C235,'IKARIA TECHO'!F:F)</f>
        <v/>
      </c>
      <c r="F235" s="735">
        <f>_xlfn.XLOOKUP(C235,'IKARIA TECHO'!D:D,'IKARIA TECHO'!H:H,"ERROR",0)</f>
        <v/>
      </c>
      <c r="G235" s="687">
        <f>E235*F235</f>
        <v/>
      </c>
      <c r="H235" s="538">
        <f>G235/$G$289</f>
        <v/>
      </c>
    </row>
    <row r="236">
      <c r="B236" s="199">
        <f>_xlfn.XLOOKUP(C236,'INSUMOS MAT '!B:B,'INSUMOS MAT '!C:C,"ERROR",0)</f>
        <v/>
      </c>
      <c r="C236" s="305" t="inlineStr">
        <is>
          <t>MAT06-0329</t>
        </is>
      </c>
      <c r="D236" s="129">
        <f>_xlfn.XLOOKUP(C236,'IKARIA TECHO'!D:D,'IKARIA TECHO'!E:E,"ERROR",0)</f>
        <v/>
      </c>
      <c r="E236" s="535">
        <f>SUMIF('IKARIA TECHO'!D:D,ANALISIS!C236,'IKARIA TECHO'!F:F)</f>
        <v/>
      </c>
      <c r="F236" s="735">
        <f>_xlfn.XLOOKUP(C236,'IKARIA TECHO'!D:D,'IKARIA TECHO'!H:H,"ERROR",0)</f>
        <v/>
      </c>
      <c r="G236" s="687">
        <f>E236*F236</f>
        <v/>
      </c>
      <c r="H236" s="538">
        <f>G236/$G$289</f>
        <v/>
      </c>
    </row>
    <row r="237">
      <c r="B237" s="199">
        <f>_xlfn.XLOOKUP(C237,'INSUMOS MAT '!B:B,'INSUMOS MAT '!C:C,"ERROR",0)</f>
        <v/>
      </c>
      <c r="C237" s="305" t="inlineStr">
        <is>
          <t>MAT06-0024</t>
        </is>
      </c>
      <c r="D237" s="129">
        <f>_xlfn.XLOOKUP(C237,'IKARIA TECHO'!D:D,'IKARIA TECHO'!E:E,"ERROR",0)</f>
        <v/>
      </c>
      <c r="E237" s="535">
        <f>SUMIF('IKARIA TECHO'!D:D,ANALISIS!C237,'IKARIA TECHO'!F:F)</f>
        <v/>
      </c>
      <c r="F237" s="735">
        <f>_xlfn.XLOOKUP(C237,'IKARIA TECHO'!D:D,'IKARIA TECHO'!H:H,"ERROR",0)</f>
        <v/>
      </c>
      <c r="G237" s="687">
        <f>E237*F237</f>
        <v/>
      </c>
      <c r="H237" s="538">
        <f>G237/$G$289</f>
        <v/>
      </c>
    </row>
    <row r="238">
      <c r="B238" s="199">
        <f>_xlfn.XLOOKUP(C238,'INSUMOS MAT '!B:B,'INSUMOS MAT '!C:C,"ERROR",0)</f>
        <v/>
      </c>
      <c r="C238" s="305" t="inlineStr">
        <is>
          <t>MAT06-0025</t>
        </is>
      </c>
      <c r="D238" s="129">
        <f>_xlfn.XLOOKUP(C238,'IKARIA TECHO'!D:D,'IKARIA TECHO'!E:E,"ERROR",0)</f>
        <v/>
      </c>
      <c r="E238" s="535">
        <f>SUMIF('IKARIA TECHO'!D:D,ANALISIS!C238,'IKARIA TECHO'!F:F)</f>
        <v/>
      </c>
      <c r="F238" s="735">
        <f>_xlfn.XLOOKUP(C238,'IKARIA TECHO'!D:D,'IKARIA TECHO'!H:H,"ERROR",0)</f>
        <v/>
      </c>
      <c r="G238" s="687">
        <f>E238*F238</f>
        <v/>
      </c>
      <c r="H238" s="538">
        <f>G238/$G$289</f>
        <v/>
      </c>
    </row>
    <row r="239">
      <c r="B239" s="199">
        <f>_xlfn.XLOOKUP(C239,'INSUMOS MAT '!B:B,'INSUMOS MAT '!C:C,"ERROR",0)</f>
        <v/>
      </c>
      <c r="C239" s="305" t="inlineStr">
        <is>
          <t>MAT06-0021</t>
        </is>
      </c>
      <c r="D239" s="129">
        <f>_xlfn.XLOOKUP(C239,'IKARIA TECHO'!D:D,'IKARIA TECHO'!E:E,"ERROR",0)</f>
        <v/>
      </c>
      <c r="E239" s="535">
        <f>SUMIF('IKARIA TECHO'!D:D,ANALISIS!C239,'IKARIA TECHO'!F:F)</f>
        <v/>
      </c>
      <c r="F239" s="735">
        <f>_xlfn.XLOOKUP(C239,'IKARIA TECHO'!D:D,'IKARIA TECHO'!H:H,"ERROR",0)</f>
        <v/>
      </c>
      <c r="G239" s="687">
        <f>E239*F239</f>
        <v/>
      </c>
      <c r="H239" s="538">
        <f>G239/$G$289</f>
        <v/>
      </c>
    </row>
    <row r="240">
      <c r="B240" s="199">
        <f>_xlfn.XLOOKUP(C240,'INSUMOS MAT '!B:B,'INSUMOS MAT '!C:C,"ERROR",0)</f>
        <v/>
      </c>
      <c r="C240" s="305" t="inlineStr">
        <is>
          <t>MAT06-0054</t>
        </is>
      </c>
      <c r="D240" s="129">
        <f>_xlfn.XLOOKUP(C240,'IKARIA TECHO'!D:D,'IKARIA TECHO'!E:E,"ERROR",0)</f>
        <v/>
      </c>
      <c r="E240" s="535">
        <f>SUMIF('IKARIA TECHO'!D:D,ANALISIS!C240,'IKARIA TECHO'!F:F)</f>
        <v/>
      </c>
      <c r="F240" s="735">
        <f>_xlfn.XLOOKUP(C240,'IKARIA TECHO'!D:D,'IKARIA TECHO'!H:H,"ERROR",0)</f>
        <v/>
      </c>
      <c r="G240" s="687">
        <f>E240*F240</f>
        <v/>
      </c>
      <c r="H240" s="538">
        <f>G240/$G$289</f>
        <v/>
      </c>
    </row>
    <row r="241">
      <c r="B241" s="199">
        <f>_xlfn.XLOOKUP(C241,'INSUMOS MAT '!B:B,'INSUMOS MAT '!C:C,"ERROR",0)</f>
        <v/>
      </c>
      <c r="C241" s="305" t="inlineStr">
        <is>
          <t>MAT06-0074</t>
        </is>
      </c>
      <c r="D241" s="129">
        <f>_xlfn.XLOOKUP(C241,'IKARIA TECHO'!D:D,'IKARIA TECHO'!E:E,"ERROR",0)</f>
        <v/>
      </c>
      <c r="E241" s="535">
        <f>SUMIF('IKARIA TECHO'!D:D,ANALISIS!C241,'IKARIA TECHO'!F:F)</f>
        <v/>
      </c>
      <c r="F241" s="735">
        <f>_xlfn.XLOOKUP(C241,'IKARIA TECHO'!D:D,'IKARIA TECHO'!H:H,"ERROR",0)</f>
        <v/>
      </c>
      <c r="G241" s="687">
        <f>E241*F241</f>
        <v/>
      </c>
      <c r="H241" s="538">
        <f>G241/$G$289</f>
        <v/>
      </c>
    </row>
    <row r="242">
      <c r="B242" s="199">
        <f>_xlfn.XLOOKUP(C242,'INSUMOS MAT '!B:B,'INSUMOS MAT '!C:C,"ERROR",0)</f>
        <v/>
      </c>
      <c r="C242" s="306" t="inlineStr">
        <is>
          <t>MAT06-0031</t>
        </is>
      </c>
      <c r="D242" s="129">
        <f>_xlfn.XLOOKUP(C242,'IKARIA TECHO'!D:D,'IKARIA TECHO'!E:E,"ERROR",0)</f>
        <v/>
      </c>
      <c r="E242" s="535">
        <f>SUMIF('IKARIA TECHO'!D:D,ANALISIS!C242,'IKARIA TECHO'!F:F)</f>
        <v/>
      </c>
      <c r="F242" s="735">
        <f>_xlfn.XLOOKUP(C242,'IKARIA TECHO'!D:D,'IKARIA TECHO'!H:H,"ERROR",0)</f>
        <v/>
      </c>
      <c r="G242" s="687">
        <f>E242*F242</f>
        <v/>
      </c>
      <c r="H242" s="538">
        <f>G242/$G$289</f>
        <v/>
      </c>
    </row>
    <row r="243">
      <c r="B243" s="199">
        <f>_xlfn.XLOOKUP(C243,'INSUMOS MAT '!B:B,'INSUMOS MAT '!C:C,"ERROR",0)</f>
        <v/>
      </c>
      <c r="C243" s="306" t="inlineStr">
        <is>
          <t>MAT06-0034</t>
        </is>
      </c>
      <c r="D243" s="129">
        <f>_xlfn.XLOOKUP(C243,'IKARIA TECHO'!D:D,'IKARIA TECHO'!E:E,"ERROR",0)</f>
        <v/>
      </c>
      <c r="E243" s="535">
        <f>SUMIF('IKARIA TECHO'!D:D,ANALISIS!C243,'IKARIA TECHO'!F:F)</f>
        <v/>
      </c>
      <c r="F243" s="735">
        <f>_xlfn.XLOOKUP(C243,'IKARIA TECHO'!D:D,'IKARIA TECHO'!H:H,"ERROR",0)</f>
        <v/>
      </c>
      <c r="G243" s="687">
        <f>E243*F243</f>
        <v/>
      </c>
      <c r="H243" s="538">
        <f>G243/$G$289</f>
        <v/>
      </c>
    </row>
    <row r="244">
      <c r="B244" s="199">
        <f>_xlfn.XLOOKUP(C244,'INSUMOS MAT '!B:B,'INSUMOS MAT '!C:C,"ERROR",0)</f>
        <v/>
      </c>
      <c r="C244" s="306" t="inlineStr">
        <is>
          <t>MAT06-0033</t>
        </is>
      </c>
      <c r="D244" s="129">
        <f>_xlfn.XLOOKUP(C244,'IKARIA TECHO'!D:D,'IKARIA TECHO'!E:E,"ERROR",0)</f>
        <v/>
      </c>
      <c r="E244" s="535">
        <f>SUMIF('IKARIA TECHO'!D:D,ANALISIS!C244,'IKARIA TECHO'!F:F)</f>
        <v/>
      </c>
      <c r="F244" s="735">
        <f>_xlfn.XLOOKUP(C244,'IKARIA TECHO'!D:D,'IKARIA TECHO'!H:H,"ERROR",0)</f>
        <v/>
      </c>
      <c r="G244" s="687">
        <f>E244*F244</f>
        <v/>
      </c>
      <c r="H244" s="538">
        <f>G244/$G$289</f>
        <v/>
      </c>
    </row>
    <row r="245">
      <c r="B245" s="199">
        <f>_xlfn.XLOOKUP(C245,'INSUMOS MAT '!B:B,'INSUMOS MAT '!C:C,"ERROR",0)</f>
        <v/>
      </c>
      <c r="C245" s="306" t="inlineStr">
        <is>
          <t>MAT06-0030</t>
        </is>
      </c>
      <c r="D245" s="129">
        <f>_xlfn.XLOOKUP(C245,'IKARIA TECHO'!D:D,'IKARIA TECHO'!E:E,"ERROR",0)</f>
        <v/>
      </c>
      <c r="E245" s="535">
        <f>SUMIF('IKARIA TECHO'!D:D,ANALISIS!C245,'IKARIA TECHO'!F:F)</f>
        <v/>
      </c>
      <c r="F245" s="735">
        <f>_xlfn.XLOOKUP(C245,'IKARIA TECHO'!D:D,'IKARIA TECHO'!H:H,"ERROR",0)</f>
        <v/>
      </c>
      <c r="G245" s="687">
        <f>E245*F245</f>
        <v/>
      </c>
      <c r="H245" s="538">
        <f>G245/$G$289</f>
        <v/>
      </c>
    </row>
    <row r="246">
      <c r="B246" s="199">
        <f>_xlfn.XLOOKUP(C246,'INSUMOS MAT '!B:B,'INSUMOS MAT '!C:C,"ERROR",0)</f>
        <v/>
      </c>
      <c r="C246" s="306" t="inlineStr">
        <is>
          <t>MAT06-0037</t>
        </is>
      </c>
      <c r="D246" s="129">
        <f>_xlfn.XLOOKUP(C246,'IKARIA TECHO'!D:D,'IKARIA TECHO'!E:E,"ERROR",0)</f>
        <v/>
      </c>
      <c r="E246" s="535">
        <f>SUMIF('IKARIA TECHO'!D:D,ANALISIS!C246,'IKARIA TECHO'!F:F)</f>
        <v/>
      </c>
      <c r="F246" s="735">
        <f>_xlfn.XLOOKUP(C246,'IKARIA TECHO'!D:D,'IKARIA TECHO'!H:H,"ERROR",0)</f>
        <v/>
      </c>
      <c r="G246" s="687">
        <f>E246*F246</f>
        <v/>
      </c>
      <c r="H246" s="538">
        <f>G246/$G$289</f>
        <v/>
      </c>
    </row>
    <row r="247">
      <c r="B247" s="199">
        <f>_xlfn.XLOOKUP(C247,'INSUMOS MAT '!B:B,'INSUMOS MAT '!C:C,"ERROR",0)</f>
        <v/>
      </c>
      <c r="C247" s="306" t="inlineStr">
        <is>
          <t>MAT06-0038</t>
        </is>
      </c>
      <c r="D247" s="129">
        <f>_xlfn.XLOOKUP(C247,'IKARIA TECHO'!D:D,'IKARIA TECHO'!E:E,"ERROR",0)</f>
        <v/>
      </c>
      <c r="E247" s="535">
        <f>SUMIF('IKARIA TECHO'!D:D,ANALISIS!C247,'IKARIA TECHO'!F:F)</f>
        <v/>
      </c>
      <c r="F247" s="735">
        <f>_xlfn.XLOOKUP(C247,'IKARIA TECHO'!D:D,'IKARIA TECHO'!H:H,"ERROR",0)</f>
        <v/>
      </c>
      <c r="G247" s="687">
        <f>E247*F247</f>
        <v/>
      </c>
      <c r="H247" s="538">
        <f>G247/$G$289</f>
        <v/>
      </c>
    </row>
    <row r="248">
      <c r="B248" s="199">
        <f>_xlfn.XLOOKUP(C248,'INSUMOS MAT '!B:B,'INSUMOS MAT '!C:C,"ERROR",0)</f>
        <v/>
      </c>
      <c r="C248" s="306" t="inlineStr">
        <is>
          <t>MAT06-0028</t>
        </is>
      </c>
      <c r="D248" s="129">
        <f>_xlfn.XLOOKUP(C248,'IKARIA TECHO'!D:D,'IKARIA TECHO'!E:E,"ERROR",0)</f>
        <v/>
      </c>
      <c r="E248" s="535">
        <f>SUMIF('IKARIA TECHO'!D:D,ANALISIS!C248,'IKARIA TECHO'!F:F)</f>
        <v/>
      </c>
      <c r="F248" s="735">
        <f>_xlfn.XLOOKUP(C248,'IKARIA TECHO'!D:D,'IKARIA TECHO'!H:H,"ERROR",0)</f>
        <v/>
      </c>
      <c r="G248" s="687">
        <f>E248*F248</f>
        <v/>
      </c>
      <c r="H248" s="538">
        <f>G248/$G$289</f>
        <v/>
      </c>
    </row>
    <row r="249">
      <c r="B249" s="199">
        <f>_xlfn.XLOOKUP(C249,'INSUMOS MAT '!B:B,'INSUMOS MAT '!C:C,"ERROR",0)</f>
        <v/>
      </c>
      <c r="C249" s="306" t="inlineStr">
        <is>
          <t>MAT06-0029</t>
        </is>
      </c>
      <c r="D249" s="129">
        <f>_xlfn.XLOOKUP(C249,'IKARIA TECHO'!D:D,'IKARIA TECHO'!E:E,"ERROR",0)</f>
        <v/>
      </c>
      <c r="E249" s="535">
        <f>SUMIF('IKARIA TECHO'!D:D,ANALISIS!C249,'IKARIA TECHO'!F:F)</f>
        <v/>
      </c>
      <c r="F249" s="735">
        <f>_xlfn.XLOOKUP(C249,'IKARIA TECHO'!D:D,'IKARIA TECHO'!H:H,"ERROR",0)</f>
        <v/>
      </c>
      <c r="G249" s="687">
        <f>E249*F249</f>
        <v/>
      </c>
      <c r="H249" s="538">
        <f>G249/$G$289</f>
        <v/>
      </c>
    </row>
    <row r="250">
      <c r="B250" s="199">
        <f>_xlfn.XLOOKUP(C250,'INSUMOS MAT '!B:B,'INSUMOS MAT '!C:C,"ERROR",0)</f>
        <v/>
      </c>
      <c r="C250" s="306" t="inlineStr">
        <is>
          <t>MAT06-0042</t>
        </is>
      </c>
      <c r="D250" s="129">
        <f>_xlfn.XLOOKUP(C250,'IKARIA TECHO'!D:D,'IKARIA TECHO'!E:E,"ERROR",0)</f>
        <v/>
      </c>
      <c r="E250" s="535">
        <f>SUMIF('IKARIA TECHO'!D:D,ANALISIS!C250,'IKARIA TECHO'!F:F)</f>
        <v/>
      </c>
      <c r="F250" s="735">
        <f>_xlfn.XLOOKUP(C250,'IKARIA TECHO'!D:D,'IKARIA TECHO'!H:H,"ERROR",0)</f>
        <v/>
      </c>
      <c r="G250" s="687">
        <f>E250*F250</f>
        <v/>
      </c>
      <c r="H250" s="538">
        <f>G250/$G$289</f>
        <v/>
      </c>
    </row>
    <row r="251">
      <c r="B251" s="199">
        <f>_xlfn.XLOOKUP(C251,'INSUMOS MAT '!B:B,'INSUMOS MAT '!C:C,"ERROR",0)</f>
        <v/>
      </c>
      <c r="C251" s="306" t="inlineStr">
        <is>
          <t>MAT06-0043</t>
        </is>
      </c>
      <c r="D251" s="129">
        <f>_xlfn.XLOOKUP(C251,'IKARIA TECHO'!D:D,'IKARIA TECHO'!E:E,"ERROR",0)</f>
        <v/>
      </c>
      <c r="E251" s="535">
        <f>SUMIF('IKARIA TECHO'!D:D,ANALISIS!C251,'IKARIA TECHO'!F:F)</f>
        <v/>
      </c>
      <c r="F251" s="735">
        <f>_xlfn.XLOOKUP(C251,'IKARIA TECHO'!D:D,'IKARIA TECHO'!H:H,"ERROR",0)</f>
        <v/>
      </c>
      <c r="G251" s="687">
        <f>E251*F251</f>
        <v/>
      </c>
      <c r="H251" s="538">
        <f>G251/$G$289</f>
        <v/>
      </c>
    </row>
    <row r="252">
      <c r="B252" s="199">
        <f>_xlfn.XLOOKUP(C252,'INSUMOS MAT '!B:B,'INSUMOS MAT '!C:C,"ERROR",0)</f>
        <v/>
      </c>
      <c r="C252" s="306" t="inlineStr">
        <is>
          <t>MAT06-0041</t>
        </is>
      </c>
      <c r="D252" s="129">
        <f>_xlfn.XLOOKUP(C252,'IKARIA TECHO'!D:D,'IKARIA TECHO'!E:E,"ERROR",0)</f>
        <v/>
      </c>
      <c r="E252" s="535">
        <f>SUMIF('IKARIA TECHO'!D:D,ANALISIS!C252,'IKARIA TECHO'!F:F)</f>
        <v/>
      </c>
      <c r="F252" s="735">
        <f>_xlfn.XLOOKUP(C252,'IKARIA TECHO'!D:D,'IKARIA TECHO'!H:H,"ERROR",0)</f>
        <v/>
      </c>
      <c r="G252" s="687">
        <f>E252*F252</f>
        <v/>
      </c>
      <c r="H252" s="538">
        <f>G252/$G$289</f>
        <v/>
      </c>
    </row>
    <row r="253">
      <c r="B253" s="199">
        <f>_xlfn.XLOOKUP(C253,'INSUMOS MAT '!B:B,'INSUMOS MAT '!C:C,"ERROR",0)</f>
        <v/>
      </c>
      <c r="C253" s="306" t="inlineStr">
        <is>
          <t>MAT06-0048</t>
        </is>
      </c>
      <c r="D253" s="129">
        <f>_xlfn.XLOOKUP(C253,'IKARIA TECHO'!D:D,'IKARIA TECHO'!E:E,"ERROR",0)</f>
        <v/>
      </c>
      <c r="E253" s="535">
        <f>SUMIF('IKARIA TECHO'!D:D,ANALISIS!C253,'IKARIA TECHO'!F:F)</f>
        <v/>
      </c>
      <c r="F253" s="735">
        <f>_xlfn.XLOOKUP(C253,'IKARIA TECHO'!D:D,'IKARIA TECHO'!H:H,"ERROR",0)</f>
        <v/>
      </c>
      <c r="G253" s="687">
        <f>E253*F253</f>
        <v/>
      </c>
      <c r="H253" s="538">
        <f>G253/$G$289</f>
        <v/>
      </c>
    </row>
    <row r="254">
      <c r="B254" s="199">
        <f>_xlfn.XLOOKUP(C254,'INSUMOS MAT '!B:B,'INSUMOS MAT '!C:C,"ERROR",0)</f>
        <v/>
      </c>
      <c r="C254" s="306" t="inlineStr">
        <is>
          <t>MAT06-0088</t>
        </is>
      </c>
      <c r="D254" s="129">
        <f>_xlfn.XLOOKUP(C254,'IKARIA TECHO'!D:D,'IKARIA TECHO'!E:E,"ERROR",0)</f>
        <v/>
      </c>
      <c r="E254" s="535">
        <f>SUMIF('IKARIA TECHO'!D:D,ANALISIS!C254,'IKARIA TECHO'!F:F)</f>
        <v/>
      </c>
      <c r="F254" s="735">
        <f>_xlfn.XLOOKUP(C254,'IKARIA TECHO'!D:D,'IKARIA TECHO'!H:H,"ERROR",0)</f>
        <v/>
      </c>
      <c r="G254" s="687">
        <f>E254*F254</f>
        <v/>
      </c>
      <c r="H254" s="538">
        <f>G254/$G$289</f>
        <v/>
      </c>
    </row>
    <row r="255">
      <c r="B255" s="199">
        <f>_xlfn.XLOOKUP(C255,'INSUMOS MAT '!B:B,'INSUMOS MAT '!C:C,"ERROR",0)</f>
        <v/>
      </c>
      <c r="C255" s="306" t="inlineStr">
        <is>
          <t>MAT06-0061</t>
        </is>
      </c>
      <c r="D255" s="129">
        <f>_xlfn.XLOOKUP(C255,'IKARIA TECHO'!D:D,'IKARIA TECHO'!E:E,"ERROR",0)</f>
        <v/>
      </c>
      <c r="E255" s="535">
        <f>SUMIF('IKARIA TECHO'!D:D,ANALISIS!C255,'IKARIA TECHO'!F:F)</f>
        <v/>
      </c>
      <c r="F255" s="735">
        <f>_xlfn.XLOOKUP(C255,'IKARIA TECHO'!D:D,'IKARIA TECHO'!H:H,"ERROR",0)</f>
        <v/>
      </c>
      <c r="G255" s="687">
        <f>E255*F255</f>
        <v/>
      </c>
      <c r="H255" s="538">
        <f>G255/$G$289</f>
        <v/>
      </c>
    </row>
    <row r="256">
      <c r="B256" s="199">
        <f>_xlfn.XLOOKUP(C256,'INSUMOS MAT '!B:B,'INSUMOS MAT '!C:C,"ERROR",0)</f>
        <v/>
      </c>
      <c r="C256" s="306" t="inlineStr">
        <is>
          <t>MAT06-0062</t>
        </is>
      </c>
      <c r="D256" s="129">
        <f>_xlfn.XLOOKUP(C256,'IKARIA TECHO'!D:D,'IKARIA TECHO'!E:E,"ERROR",0)</f>
        <v/>
      </c>
      <c r="E256" s="535">
        <f>SUMIF('IKARIA TECHO'!D:D,ANALISIS!C256,'IKARIA TECHO'!F:F)</f>
        <v/>
      </c>
      <c r="F256" s="735">
        <f>_xlfn.XLOOKUP(C256,'IKARIA TECHO'!D:D,'IKARIA TECHO'!H:H,"ERROR",0)</f>
        <v/>
      </c>
      <c r="G256" s="687">
        <f>E256*F256</f>
        <v/>
      </c>
      <c r="H256" s="538">
        <f>G256/$G$289</f>
        <v/>
      </c>
    </row>
    <row r="257">
      <c r="B257" s="199">
        <f>_xlfn.XLOOKUP(C257,'INSUMOS MAT '!B:B,'INSUMOS MAT '!C:C,"ERROR",0)</f>
        <v/>
      </c>
      <c r="C257" s="306" t="inlineStr">
        <is>
          <t>MAT06-0092</t>
        </is>
      </c>
      <c r="D257" s="129">
        <f>_xlfn.XLOOKUP(C257,'IKARIA TECHO'!D:D,'IKARIA TECHO'!E:E,"ERROR",0)</f>
        <v/>
      </c>
      <c r="E257" s="535">
        <f>SUMIF('IKARIA TECHO'!D:D,ANALISIS!C257,'IKARIA TECHO'!F:F)</f>
        <v/>
      </c>
      <c r="F257" s="735">
        <f>_xlfn.XLOOKUP(C257,'IKARIA TECHO'!D:D,'IKARIA TECHO'!H:H,"ERROR",0)</f>
        <v/>
      </c>
      <c r="G257" s="687">
        <f>E257*F257</f>
        <v/>
      </c>
      <c r="H257" s="538">
        <f>G257/$G$289</f>
        <v/>
      </c>
    </row>
    <row r="258">
      <c r="B258" s="582" t="n"/>
      <c r="C258" s="306" t="inlineStr">
        <is>
          <t>MAT08-0334</t>
        </is>
      </c>
      <c r="D258" s="129">
        <f>_xlfn.XLOOKUP(C258,'IKARIA TECHO'!D:D,'IKARIA TECHO'!E:E,"ERROR",0)</f>
        <v/>
      </c>
      <c r="E258" s="535">
        <f>SUMIF('IKARIA TECHO'!D:D,ANALISIS!C258,'IKARIA TECHO'!F:F)</f>
        <v/>
      </c>
      <c r="F258" s="735">
        <f>_xlfn.XLOOKUP(C258,'IKARIA TECHO'!D:D,'IKARIA TECHO'!H:H,"ERROR",0)</f>
        <v/>
      </c>
      <c r="G258" s="687">
        <f>E258*F258</f>
        <v/>
      </c>
      <c r="H258" s="538">
        <f>G258/$G$289</f>
        <v/>
      </c>
    </row>
    <row r="259">
      <c r="B259" s="199">
        <f>_xlfn.XLOOKUP(C259,'INSUMOS MAT '!B:B,'INSUMOS MAT '!C:C,"ERROR",0)</f>
        <v/>
      </c>
      <c r="C259" s="306" t="inlineStr">
        <is>
          <t>MAT06-0108</t>
        </is>
      </c>
      <c r="D259" s="129">
        <f>_xlfn.XLOOKUP(C259,'IKARIA TECHO'!D:D,'IKARIA TECHO'!E:E,"ERROR",0)</f>
        <v/>
      </c>
      <c r="E259" s="535">
        <f>SUMIF('IKARIA TECHO'!D:D,ANALISIS!C259,'IKARIA TECHO'!F:F)</f>
        <v/>
      </c>
      <c r="F259" s="735">
        <f>_xlfn.XLOOKUP(C259,'IKARIA TECHO'!D:D,'IKARIA TECHO'!H:H,"ERROR",0)</f>
        <v/>
      </c>
      <c r="G259" s="687">
        <f>E259*F259</f>
        <v/>
      </c>
      <c r="H259" s="538">
        <f>G259/$G$289</f>
        <v/>
      </c>
    </row>
    <row r="260">
      <c r="B260" s="582" t="n"/>
      <c r="C260" s="306" t="inlineStr">
        <is>
          <t>MAT0851</t>
        </is>
      </c>
      <c r="D260" s="129">
        <f>_xlfn.XLOOKUP(C260,'IKARIA TECHO'!D:D,'IKARIA TECHO'!E:E,"ERROR",0)</f>
        <v/>
      </c>
      <c r="E260" s="535">
        <f>SUMIF('IKARIA TECHO'!D:D,ANALISIS!C260,'IKARIA TECHO'!F:F)</f>
        <v/>
      </c>
      <c r="F260" s="735">
        <f>_xlfn.XLOOKUP(C260,'IKARIA TECHO'!D:D,'IKARIA TECHO'!H:H,"ERROR",0)</f>
        <v/>
      </c>
      <c r="G260" s="687">
        <f>E260*F260</f>
        <v/>
      </c>
      <c r="H260" s="538">
        <f>G260/$G$289</f>
        <v/>
      </c>
    </row>
    <row r="261">
      <c r="B261" s="199">
        <f>_xlfn.XLOOKUP(C261,'INSUMOS MAT '!B:B,'INSUMOS MAT '!C:C,"ERROR",0)</f>
        <v/>
      </c>
      <c r="C261" s="306" t="inlineStr">
        <is>
          <t>MAT06-0072</t>
        </is>
      </c>
      <c r="D261" s="129">
        <f>_xlfn.XLOOKUP(C261,'IKARIA TECHO'!D:D,'IKARIA TECHO'!E:E,"ERROR",0)</f>
        <v/>
      </c>
      <c r="E261" s="535">
        <f>SUMIF('IKARIA TECHO'!D:D,ANALISIS!C261,'IKARIA TECHO'!F:F)</f>
        <v/>
      </c>
      <c r="F261" s="735">
        <f>_xlfn.XLOOKUP(C261,'IKARIA TECHO'!D:D,'IKARIA TECHO'!H:H,"ERROR",0)</f>
        <v/>
      </c>
      <c r="G261" s="687">
        <f>E261*F261</f>
        <v/>
      </c>
      <c r="H261" s="538">
        <f>G261/$G$289</f>
        <v/>
      </c>
    </row>
    <row r="262">
      <c r="B262" s="199">
        <f>_xlfn.XLOOKUP(C262,'INSUMOS MAT '!B:B,'INSUMOS MAT '!C:C,"ERROR",0)</f>
        <v/>
      </c>
      <c r="C262" s="306" t="inlineStr">
        <is>
          <t>MAT06-0016</t>
        </is>
      </c>
      <c r="D262" s="129">
        <f>_xlfn.XLOOKUP(C262,'IKARIA TECHO'!D:D,'IKARIA TECHO'!E:E,"ERROR",0)</f>
        <v/>
      </c>
      <c r="E262" s="535">
        <f>SUMIF('IKARIA TECHO'!D:D,ANALISIS!C262,'IKARIA TECHO'!F:F)</f>
        <v/>
      </c>
      <c r="F262" s="735">
        <f>_xlfn.XLOOKUP(C262,'IKARIA TECHO'!D:D,'IKARIA TECHO'!H:H,"ERROR",0)</f>
        <v/>
      </c>
      <c r="G262" s="687">
        <f>E262*F262</f>
        <v/>
      </c>
      <c r="H262" s="538">
        <f>G262/$G$289</f>
        <v/>
      </c>
    </row>
    <row r="263">
      <c r="B263" s="199">
        <f>_xlfn.XLOOKUP(C263,'INSUMOS MAT '!B:B,'INSUMOS MAT '!C:C,"ERROR",0)</f>
        <v/>
      </c>
      <c r="C263" s="306" t="inlineStr">
        <is>
          <t>MAT06-0096</t>
        </is>
      </c>
      <c r="D263" s="129">
        <f>_xlfn.XLOOKUP(C263,'IKARIA TECHO'!D:D,'IKARIA TECHO'!E:E,"ERROR",0)</f>
        <v/>
      </c>
      <c r="E263" s="535">
        <f>SUMIF('IKARIA TECHO'!D:D,ANALISIS!C263,'IKARIA TECHO'!F:F)</f>
        <v/>
      </c>
      <c r="F263" s="735">
        <f>_xlfn.XLOOKUP(C263,'IKARIA TECHO'!D:D,'IKARIA TECHO'!H:H,"ERROR",0)</f>
        <v/>
      </c>
      <c r="G263" s="687">
        <f>E263*F263</f>
        <v/>
      </c>
      <c r="H263" s="538">
        <f>G263/$G$289</f>
        <v/>
      </c>
    </row>
    <row r="264">
      <c r="B264" s="199">
        <f>_xlfn.XLOOKUP(C264,'INSUMOS MAT '!B:B,'INSUMOS MAT '!C:C,"ERROR",0)</f>
        <v/>
      </c>
      <c r="C264" s="306" t="inlineStr">
        <is>
          <t>MAT06-0084</t>
        </is>
      </c>
      <c r="D264" s="129">
        <f>_xlfn.XLOOKUP(C264,'IKARIA TECHO'!D:D,'IKARIA TECHO'!E:E,"ERROR",0)</f>
        <v/>
      </c>
      <c r="E264" s="535">
        <f>SUMIF('IKARIA TECHO'!D:D,ANALISIS!C264,'IKARIA TECHO'!F:F)</f>
        <v/>
      </c>
      <c r="F264" s="735">
        <f>_xlfn.XLOOKUP(C264,'IKARIA TECHO'!D:D,'IKARIA TECHO'!H:H,"ERROR",0)</f>
        <v/>
      </c>
      <c r="G264" s="687">
        <f>E264*F264</f>
        <v/>
      </c>
      <c r="H264" s="538">
        <f>G264/$G$289</f>
        <v/>
      </c>
    </row>
    <row r="265">
      <c r="B265" s="199">
        <f>_xlfn.XLOOKUP(C265,'INSUMOS MAT '!B:B,'INSUMOS MAT '!C:C,"ERROR",0)</f>
        <v/>
      </c>
      <c r="C265" s="306" t="inlineStr">
        <is>
          <t>MAT06-0097</t>
        </is>
      </c>
      <c r="D265" s="129">
        <f>_xlfn.XLOOKUP(C265,'IKARIA TECHO'!D:D,'IKARIA TECHO'!E:E,"ERROR",0)</f>
        <v/>
      </c>
      <c r="E265" s="535">
        <f>SUMIF('IKARIA TECHO'!D:D,ANALISIS!C265,'IKARIA TECHO'!F:F)</f>
        <v/>
      </c>
      <c r="F265" s="735">
        <f>_xlfn.XLOOKUP(C265,'IKARIA TECHO'!D:D,'IKARIA TECHO'!H:H,"ERROR",0)</f>
        <v/>
      </c>
      <c r="G265" s="687">
        <f>E265*F265</f>
        <v/>
      </c>
      <c r="H265" s="538">
        <f>G265/$G$289</f>
        <v/>
      </c>
    </row>
    <row r="266">
      <c r="B266" s="199">
        <f>_xlfn.XLOOKUP(C266,'INSUMOS MAT '!B:B,'INSUMOS MAT '!C:C,"ERROR",0)</f>
        <v/>
      </c>
      <c r="C266" s="306" t="inlineStr">
        <is>
          <t>MAT06-0065</t>
        </is>
      </c>
      <c r="D266" s="129">
        <f>_xlfn.XLOOKUP(C266,'IKARIA TECHO'!D:D,'IKARIA TECHO'!E:E,"ERROR",0)</f>
        <v/>
      </c>
      <c r="E266" s="535">
        <f>SUMIF('IKARIA TECHO'!D:D,ANALISIS!C266,'IKARIA TECHO'!F:F)</f>
        <v/>
      </c>
      <c r="F266" s="735">
        <f>_xlfn.XLOOKUP(C266,'IKARIA TECHO'!D:D,'IKARIA TECHO'!H:H,"ERROR",0)</f>
        <v/>
      </c>
      <c r="G266" s="687">
        <f>E266*F266</f>
        <v/>
      </c>
      <c r="H266" s="538">
        <f>G266/$G$289</f>
        <v/>
      </c>
    </row>
    <row r="267">
      <c r="B267" s="199">
        <f>_xlfn.XLOOKUP(C267,'INSUMOS MAT '!B:B,'INSUMOS MAT '!C:C,"ERROR",0)</f>
        <v/>
      </c>
      <c r="C267" s="306" t="inlineStr">
        <is>
          <t>MAT06-0068</t>
        </is>
      </c>
      <c r="D267" s="129">
        <f>_xlfn.XLOOKUP(C267,'IKARIA TECHO'!D:D,'IKARIA TECHO'!E:E,"ERROR",0)</f>
        <v/>
      </c>
      <c r="E267" s="535">
        <f>SUMIF('IKARIA TECHO'!D:D,ANALISIS!C267,'IKARIA TECHO'!F:F)</f>
        <v/>
      </c>
      <c r="F267" s="735">
        <f>_xlfn.XLOOKUP(C267,'IKARIA TECHO'!D:D,'IKARIA TECHO'!H:H,"ERROR",0)</f>
        <v/>
      </c>
      <c r="G267" s="687">
        <f>E267*F267</f>
        <v/>
      </c>
      <c r="H267" s="538">
        <f>G267/$G$289</f>
        <v/>
      </c>
    </row>
    <row r="268">
      <c r="B268" s="199">
        <f>_xlfn.XLOOKUP(C268,'INSUMOS MAT '!B:B,'INSUMOS MAT '!C:C,"ERROR",0)</f>
        <v/>
      </c>
      <c r="C268" s="305" t="inlineStr">
        <is>
          <t>MAT04-0021</t>
        </is>
      </c>
      <c r="D268" s="129">
        <f>_xlfn.XLOOKUP(C268,'IKARIA TECHO'!D:D,'IKARIA TECHO'!E:E,"ERROR",0)</f>
        <v/>
      </c>
      <c r="E268" s="535">
        <f>SUMIF('IKARIA TECHO'!D:D,ANALISIS!C268,'IKARIA TECHO'!F:F)</f>
        <v/>
      </c>
      <c r="F268" s="735">
        <f>_xlfn.XLOOKUP(C268,'IKARIA TECHO'!D:D,'IKARIA TECHO'!H:H,"ERROR",0)</f>
        <v/>
      </c>
      <c r="G268" s="687">
        <f>E268*F268</f>
        <v/>
      </c>
      <c r="H268" s="538">
        <f>G268/$G$289</f>
        <v/>
      </c>
    </row>
    <row r="269">
      <c r="B269" s="199">
        <f>_xlfn.XLOOKUP(C269,'INSUMOS MAT '!B:B,'INSUMOS MAT '!C:C,"ERROR",0)</f>
        <v/>
      </c>
      <c r="C269" s="305" t="inlineStr">
        <is>
          <t>MAT04-0019</t>
        </is>
      </c>
      <c r="D269" s="129">
        <f>_xlfn.XLOOKUP(C269,'IKARIA TECHO'!D:D,'IKARIA TECHO'!E:E,"ERROR",0)</f>
        <v/>
      </c>
      <c r="E269" s="535">
        <f>SUMIF('IKARIA TECHO'!D:D,ANALISIS!C269,'IKARIA TECHO'!F:F)</f>
        <v/>
      </c>
      <c r="F269" s="735">
        <f>_xlfn.XLOOKUP(C269,'IKARIA TECHO'!D:D,'IKARIA TECHO'!H:H,"ERROR",0)</f>
        <v/>
      </c>
      <c r="G269" s="687">
        <f>E269*F269</f>
        <v/>
      </c>
      <c r="H269" s="538">
        <f>G269/$G$289</f>
        <v/>
      </c>
    </row>
    <row r="270">
      <c r="B270" s="199">
        <f>_xlfn.XLOOKUP(C270,'INSUMOS MAT '!B:B,'INSUMOS MAT '!C:C,"ERROR",0)</f>
        <v/>
      </c>
      <c r="C270" s="305" t="inlineStr">
        <is>
          <t>MAT08-0062</t>
        </is>
      </c>
      <c r="D270" s="129">
        <f>_xlfn.XLOOKUP(C270,'IKARIA TECHO'!D:D,'IKARIA TECHO'!E:E,"ERROR",0)</f>
        <v/>
      </c>
      <c r="E270" s="535">
        <f>SUMIF('IKARIA TECHO'!D:D,ANALISIS!C270,'IKARIA TECHO'!F:F)</f>
        <v/>
      </c>
      <c r="F270" s="735">
        <f>_xlfn.XLOOKUP(C270,'IKARIA TECHO'!D:D,'IKARIA TECHO'!H:H,"ERROR",0)</f>
        <v/>
      </c>
      <c r="G270" s="687">
        <f>E270*F270</f>
        <v/>
      </c>
      <c r="H270" s="538">
        <f>G270/$G$289</f>
        <v/>
      </c>
    </row>
    <row r="271">
      <c r="B271" s="199">
        <f>_xlfn.XLOOKUP(C271,'INSUMOS MAT '!B:B,'INSUMOS MAT '!C:C,"ERROR",0)</f>
        <v/>
      </c>
      <c r="C271" s="305" t="inlineStr">
        <is>
          <t>MAT08-0063</t>
        </is>
      </c>
      <c r="D271" s="129">
        <f>_xlfn.XLOOKUP(C271,'IKARIA TECHO'!D:D,'IKARIA TECHO'!E:E,"ERROR",0)</f>
        <v/>
      </c>
      <c r="E271" s="535">
        <f>SUMIF('IKARIA TECHO'!D:D,ANALISIS!C271,'IKARIA TECHO'!F:F)</f>
        <v/>
      </c>
      <c r="F271" s="735">
        <f>_xlfn.XLOOKUP(C271,'IKARIA TECHO'!D:D,'IKARIA TECHO'!H:H,"ERROR",0)</f>
        <v/>
      </c>
      <c r="G271" s="687">
        <f>E271*F271</f>
        <v/>
      </c>
      <c r="H271" s="538">
        <f>G271/$G$289</f>
        <v/>
      </c>
    </row>
    <row r="272">
      <c r="B272" s="199">
        <f>_xlfn.XLOOKUP(C272,'INSUMOS MAT '!B:B,'INSUMOS MAT '!C:C,"ERROR",0)</f>
        <v/>
      </c>
      <c r="C272" s="305" t="inlineStr">
        <is>
          <t>MAT08-0015</t>
        </is>
      </c>
      <c r="D272" s="129">
        <f>_xlfn.XLOOKUP(C272,'IKARIA TECHO'!D:D,'IKARIA TECHO'!E:E,"ERROR",0)</f>
        <v/>
      </c>
      <c r="E272" s="535">
        <f>SUMIF('IKARIA TECHO'!D:D,ANALISIS!C272,'IKARIA TECHO'!F:F)</f>
        <v/>
      </c>
      <c r="F272" s="735">
        <f>_xlfn.XLOOKUP(C272,'IKARIA TECHO'!D:D,'IKARIA TECHO'!H:H,"ERROR",0)</f>
        <v/>
      </c>
      <c r="G272" s="687">
        <f>E272*F272</f>
        <v/>
      </c>
      <c r="H272" s="538">
        <f>G272/$G$289</f>
        <v/>
      </c>
    </row>
    <row r="273">
      <c r="B273" s="199">
        <f>_xlfn.XLOOKUP(C273,'INSUMOS MAT '!B:B,'INSUMOS MAT '!C:C,"ERROR",0)</f>
        <v/>
      </c>
      <c r="C273" s="305" t="inlineStr">
        <is>
          <t>MAT19-0140</t>
        </is>
      </c>
      <c r="D273" s="129">
        <f>_xlfn.XLOOKUP(C273,'IKARIA TECHO'!D:D,'IKARIA TECHO'!E:E,"ERROR",0)</f>
        <v/>
      </c>
      <c r="E273" s="535">
        <f>SUMIF('IKARIA TECHO'!D:D,ANALISIS!C273,'IKARIA TECHO'!F:F)</f>
        <v/>
      </c>
      <c r="F273" s="735">
        <f>_xlfn.XLOOKUP(C273,'IKARIA TECHO'!D:D,'IKARIA TECHO'!H:H,"ERROR",0)</f>
        <v/>
      </c>
      <c r="G273" s="687">
        <f>E273*F273</f>
        <v/>
      </c>
      <c r="H273" s="538">
        <f>G273/$G$289</f>
        <v/>
      </c>
    </row>
    <row r="274">
      <c r="B274" s="199">
        <f>_xlfn.XLOOKUP(C274,'INSUMOS MAT '!B:B,'INSUMOS MAT '!C:C,"ERROR",0)</f>
        <v/>
      </c>
      <c r="C274" s="305" t="inlineStr">
        <is>
          <t>MAT19-0103</t>
        </is>
      </c>
      <c r="D274" s="129">
        <f>_xlfn.XLOOKUP(C274,'IKARIA TECHO'!D:D,'IKARIA TECHO'!E:E,"ERROR",0)</f>
        <v/>
      </c>
      <c r="E274" s="535">
        <f>SUMIF('IKARIA TECHO'!D:D,ANALISIS!C274,'IKARIA TECHO'!F:F)</f>
        <v/>
      </c>
      <c r="F274" s="735">
        <f>_xlfn.XLOOKUP(C274,'IKARIA TECHO'!D:D,'IKARIA TECHO'!H:H,"ERROR",0)</f>
        <v/>
      </c>
      <c r="G274" s="687">
        <f>E274*F274</f>
        <v/>
      </c>
      <c r="H274" s="538">
        <f>G274/$G$289</f>
        <v/>
      </c>
    </row>
    <row r="275">
      <c r="B275" s="199">
        <f>_xlfn.XLOOKUP(C275,'INSUMOS MAT '!B:B,'INSUMOS MAT '!C:C,"ERROR",0)</f>
        <v/>
      </c>
      <c r="C275" s="305" t="inlineStr">
        <is>
          <t>MAT19-0018</t>
        </is>
      </c>
      <c r="D275" s="129">
        <f>_xlfn.XLOOKUP(C275,'IKARIA TECHO'!D:D,'IKARIA TECHO'!E:E,"ERROR",0)</f>
        <v/>
      </c>
      <c r="E275" s="535">
        <f>SUMIF('IKARIA TECHO'!D:D,ANALISIS!C275,'IKARIA TECHO'!F:F)</f>
        <v/>
      </c>
      <c r="F275" s="735">
        <f>_xlfn.XLOOKUP(C275,'IKARIA TECHO'!D:D,'IKARIA TECHO'!H:H,"ERROR",0)</f>
        <v/>
      </c>
      <c r="G275" s="687">
        <f>E275*F275</f>
        <v/>
      </c>
      <c r="H275" s="538">
        <f>G275/$G$289</f>
        <v/>
      </c>
    </row>
    <row r="276">
      <c r="B276" s="199">
        <f>_xlfn.XLOOKUP(C276,'INSUMOS MAT '!B:B,'INSUMOS MAT '!C:C,"ERROR",0)</f>
        <v/>
      </c>
      <c r="C276" s="305" t="inlineStr">
        <is>
          <t>MAT08-0079</t>
        </is>
      </c>
      <c r="D276" s="129">
        <f>_xlfn.XLOOKUP(C276,'IKARIA TECHO'!D:D,'IKARIA TECHO'!E:E,"ERROR",0)</f>
        <v/>
      </c>
      <c r="E276" s="535">
        <f>SUMIF('IKARIA TECHO'!D:D,ANALISIS!C276,'IKARIA TECHO'!F:F)</f>
        <v/>
      </c>
      <c r="F276" s="735">
        <f>_xlfn.XLOOKUP(C276,'IKARIA TECHO'!D:D,'IKARIA TECHO'!H:H,"ERROR",0)</f>
        <v/>
      </c>
      <c r="G276" s="687">
        <f>E276*F276</f>
        <v/>
      </c>
      <c r="H276" s="538">
        <f>G276/$G$289</f>
        <v/>
      </c>
    </row>
    <row r="277">
      <c r="B277" s="199">
        <f>_xlfn.XLOOKUP(C277,'INSUMOS MAT '!B:B,'INSUMOS MAT '!C:C,"ERROR",0)</f>
        <v/>
      </c>
      <c r="C277" s="305" t="inlineStr">
        <is>
          <t>MAT08-0075</t>
        </is>
      </c>
      <c r="D277" s="129">
        <f>_xlfn.XLOOKUP(C277,'IKARIA TECHO'!D:D,'IKARIA TECHO'!E:E,"ERROR",0)</f>
        <v/>
      </c>
      <c r="E277" s="535">
        <f>SUMIF('IKARIA TECHO'!D:D,ANALISIS!C277,'IKARIA TECHO'!F:F)</f>
        <v/>
      </c>
      <c r="F277" s="735">
        <f>_xlfn.XLOOKUP(C277,'IKARIA TECHO'!D:D,'IKARIA TECHO'!H:H,"ERROR",0)</f>
        <v/>
      </c>
      <c r="G277" s="687">
        <f>E277*F277</f>
        <v/>
      </c>
      <c r="H277" s="538">
        <f>G277/$G$289</f>
        <v/>
      </c>
    </row>
    <row r="278">
      <c r="B278" s="199">
        <f>_xlfn.XLOOKUP(C278,'INSUMOS MAT '!B:B,'INSUMOS MAT '!C:C,"ERROR",0)</f>
        <v/>
      </c>
      <c r="C278" s="305" t="inlineStr">
        <is>
          <t>MAT19-0067</t>
        </is>
      </c>
      <c r="D278" s="129">
        <f>_xlfn.XLOOKUP(C278,'IKARIA TECHO'!D:D,'IKARIA TECHO'!E:E,"ERROR",0)</f>
        <v/>
      </c>
      <c r="E278" s="535">
        <f>SUMIF('IKARIA TECHO'!D:D,ANALISIS!C278,'IKARIA TECHO'!F:F)</f>
        <v/>
      </c>
      <c r="F278" s="735">
        <f>_xlfn.XLOOKUP(C278,'IKARIA TECHO'!D:D,'IKARIA TECHO'!H:H,"ERROR",0)</f>
        <v/>
      </c>
      <c r="G278" s="687">
        <f>E278*F278</f>
        <v/>
      </c>
      <c r="H278" s="538">
        <f>G278/$G$289</f>
        <v/>
      </c>
    </row>
    <row r="279">
      <c r="B279" s="199">
        <f>_xlfn.XLOOKUP(C279,'INSUMOS MAT '!B:B,'INSUMOS MAT '!C:C,"ERROR",0)</f>
        <v/>
      </c>
      <c r="C279" s="305" t="inlineStr">
        <is>
          <t>MAT19-0047</t>
        </is>
      </c>
      <c r="D279" s="129">
        <f>_xlfn.XLOOKUP(C279,'IKARIA TECHO'!D:D,'IKARIA TECHO'!E:E,"ERROR",0)</f>
        <v/>
      </c>
      <c r="E279" s="535">
        <f>SUMIF('IKARIA TECHO'!D:D,ANALISIS!C279,'IKARIA TECHO'!F:F)</f>
        <v/>
      </c>
      <c r="F279" s="735">
        <f>_xlfn.XLOOKUP(C279,'IKARIA TECHO'!D:D,'IKARIA TECHO'!H:H,"ERROR",0)</f>
        <v/>
      </c>
      <c r="G279" s="687">
        <f>E279*F279</f>
        <v/>
      </c>
      <c r="H279" s="538">
        <f>G279/$G$289</f>
        <v/>
      </c>
    </row>
    <row r="280">
      <c r="B280" s="199">
        <f>_xlfn.XLOOKUP(C280,'INSUMOS MAT '!B:B,'INSUMOS MAT '!C:C,"ERROR",0)</f>
        <v/>
      </c>
      <c r="C280" s="305" t="inlineStr">
        <is>
          <t>MAT19-0078</t>
        </is>
      </c>
      <c r="D280" s="129">
        <f>_xlfn.XLOOKUP(C280,'IKARIA TECHO'!D:D,'IKARIA TECHO'!E:E,"ERROR",0)</f>
        <v/>
      </c>
      <c r="E280" s="535">
        <f>SUMIF('IKARIA TECHO'!D:D,ANALISIS!C280,'IKARIA TECHO'!F:F)</f>
        <v/>
      </c>
      <c r="F280" s="735">
        <f>_xlfn.XLOOKUP(C280,'IKARIA TECHO'!D:D,'IKARIA TECHO'!H:H,"ERROR",0)</f>
        <v/>
      </c>
      <c r="G280" s="687">
        <f>E280*F280</f>
        <v/>
      </c>
      <c r="H280" s="538">
        <f>G280/$G$289</f>
        <v/>
      </c>
    </row>
    <row r="281">
      <c r="B281" s="199">
        <f>_xlfn.XLOOKUP(C281,'INSUMOS MAT '!B:B,'INSUMOS MAT '!C:C,"ERROR",0)</f>
        <v/>
      </c>
      <c r="C281" s="305" t="inlineStr">
        <is>
          <t>MAT08-0119</t>
        </is>
      </c>
      <c r="D281" s="129">
        <f>_xlfn.XLOOKUP(C281,'IKARIA TECHO'!D:D,'IKARIA TECHO'!E:E,"ERROR",0)</f>
        <v/>
      </c>
      <c r="E281" s="535">
        <f>SUMIF('IKARIA TECHO'!D:D,ANALISIS!C281,'IKARIA TECHO'!F:F)</f>
        <v/>
      </c>
      <c r="F281" s="735">
        <f>_xlfn.XLOOKUP(C281,'IKARIA TECHO'!D:D,'IKARIA TECHO'!H:H,"ERROR",0)</f>
        <v/>
      </c>
      <c r="G281" s="687">
        <f>E281*F281</f>
        <v/>
      </c>
      <c r="H281" s="538">
        <f>G281/$G$289</f>
        <v/>
      </c>
    </row>
    <row r="282">
      <c r="B282" s="199">
        <f>_xlfn.XLOOKUP(C282,'INSUMOS MAT '!B:B,'INSUMOS MAT '!C:C,"ERROR",0)</f>
        <v/>
      </c>
      <c r="C282" s="305" t="inlineStr">
        <is>
          <t>MAT08-0016</t>
        </is>
      </c>
      <c r="D282" s="129">
        <f>_xlfn.XLOOKUP(C282,'IKARIA TECHO'!D:D,'IKARIA TECHO'!E:E,"ERROR",0)</f>
        <v/>
      </c>
      <c r="E282" s="535">
        <f>SUMIF('IKARIA TECHO'!D:D,ANALISIS!C282,'IKARIA TECHO'!F:F)</f>
        <v/>
      </c>
      <c r="F282" s="735">
        <f>_xlfn.XLOOKUP(C282,'IKARIA TECHO'!D:D,'IKARIA TECHO'!H:H,"ERROR",0)</f>
        <v/>
      </c>
      <c r="G282" s="687">
        <f>E282*F282</f>
        <v/>
      </c>
      <c r="H282" s="538">
        <f>G282/$G$289</f>
        <v/>
      </c>
    </row>
    <row r="283">
      <c r="B283" s="199">
        <f>_xlfn.XLOOKUP(C283,'INSUMOS MAT '!B:B,'INSUMOS MAT '!C:C,"ERROR",0)</f>
        <v/>
      </c>
      <c r="C283" s="305" t="inlineStr">
        <is>
          <t>MAT08-0052</t>
        </is>
      </c>
      <c r="D283" s="129">
        <f>_xlfn.XLOOKUP(C283,'IKARIA TECHO'!D:D,'IKARIA TECHO'!E:E,"ERROR",0)</f>
        <v/>
      </c>
      <c r="E283" s="535">
        <f>SUMIF('IKARIA TECHO'!D:D,ANALISIS!C283,'IKARIA TECHO'!F:F)</f>
        <v/>
      </c>
      <c r="F283" s="735">
        <f>_xlfn.XLOOKUP(C283,'IKARIA TECHO'!D:D,'IKARIA TECHO'!H:H,"ERROR",0)</f>
        <v/>
      </c>
      <c r="G283" s="687">
        <f>E283*F283</f>
        <v/>
      </c>
      <c r="H283" s="538">
        <f>G283/$G$289</f>
        <v/>
      </c>
    </row>
    <row r="284">
      <c r="B284" s="582" t="n"/>
      <c r="C284" s="305" t="inlineStr">
        <is>
          <t>MAT08-0315</t>
        </is>
      </c>
      <c r="D284" s="129">
        <f>_xlfn.XLOOKUP(C284,'IKARIA TECHO'!D:D,'IKARIA TECHO'!E:E,"ERROR",0)</f>
        <v/>
      </c>
      <c r="E284" s="535">
        <f>SUMIF('IKARIA TECHO'!D:D,ANALISIS!C284,'IKARIA TECHO'!F:F)</f>
        <v/>
      </c>
      <c r="F284" s="735">
        <f>_xlfn.XLOOKUP(C284,'IKARIA TECHO'!D:D,'IKARIA TECHO'!H:H,"ERROR",0)</f>
        <v/>
      </c>
      <c r="G284" s="687">
        <f>E284*F284</f>
        <v/>
      </c>
      <c r="H284" s="538">
        <f>G284/$G$289</f>
        <v/>
      </c>
    </row>
    <row r="285">
      <c r="B285" s="582" t="n"/>
      <c r="C285" s="305" t="inlineStr">
        <is>
          <t>MAT0571</t>
        </is>
      </c>
      <c r="D285" s="129">
        <f>_xlfn.XLOOKUP(C285,'IKARIA TECHO'!D:D,'IKARIA TECHO'!E:E,"ERROR",0)</f>
        <v/>
      </c>
      <c r="E285" s="535">
        <f>SUMIF('IKARIA TECHO'!D:D,ANALISIS!C285,'IKARIA TECHO'!F:F)</f>
        <v/>
      </c>
      <c r="F285" s="735">
        <f>_xlfn.XLOOKUP(C285,'IKARIA TECHO'!D:D,'IKARIA TECHO'!H:H,"ERROR",0)</f>
        <v/>
      </c>
      <c r="G285" s="687">
        <f>E285*F285</f>
        <v/>
      </c>
      <c r="H285" s="538">
        <f>G285/$G$289</f>
        <v/>
      </c>
    </row>
    <row r="286">
      <c r="B286" s="199">
        <f>_xlfn.XLOOKUP(C286,'INSUMOS MAT '!B:B,'INSUMOS MAT '!C:C,"ERROR",0)</f>
        <v/>
      </c>
      <c r="C286" s="305" t="inlineStr">
        <is>
          <t>MAT16-0065</t>
        </is>
      </c>
      <c r="D286" s="129">
        <f>_xlfn.XLOOKUP(C286,'IKARIA TECHO'!D:D,'IKARIA TECHO'!E:E,"ERROR",0)</f>
        <v/>
      </c>
      <c r="E286" s="535">
        <f>SUMIF('IKARIA TECHO'!D:D,ANALISIS!C286,'IKARIA TECHO'!F:F)</f>
        <v/>
      </c>
      <c r="F286" s="735">
        <f>_xlfn.XLOOKUP(C286,'IKARIA TECHO'!D:D,'IKARIA TECHO'!H:H,"ERROR",0)</f>
        <v/>
      </c>
      <c r="G286" s="687">
        <f>E286*F286</f>
        <v/>
      </c>
      <c r="H286" s="538">
        <f>G286/$G$289</f>
        <v/>
      </c>
    </row>
    <row r="287">
      <c r="B287" s="199">
        <f>_xlfn.XLOOKUP(C287,'INSUMOS MAT '!B:B,'INSUMOS MAT '!C:C,"ERROR",0)</f>
        <v/>
      </c>
      <c r="C287" s="305" t="inlineStr">
        <is>
          <t>MAT08-0069</t>
        </is>
      </c>
      <c r="D287" s="129">
        <f>_xlfn.XLOOKUP(C287,'IKARIA TECHO'!D:D,'IKARIA TECHO'!E:E,"ERROR",0)</f>
        <v/>
      </c>
      <c r="E287" s="535">
        <f>SUMIF('IKARIA TECHO'!D:D,ANALISIS!C287,'IKARIA TECHO'!F:F)</f>
        <v/>
      </c>
      <c r="F287" s="735">
        <f>_xlfn.XLOOKUP(C287,'IKARIA TECHO'!D:D,'IKARIA TECHO'!H:H,"ERROR",0)</f>
        <v/>
      </c>
      <c r="G287" s="687">
        <f>E287*F287</f>
        <v/>
      </c>
      <c r="H287" s="538">
        <f>G287/$G$289</f>
        <v/>
      </c>
    </row>
    <row r="288">
      <c r="C288" s="272" t="n"/>
      <c r="E288" s="535">
        <f>SUMIF('IKARIA TECHO'!D:D,ANALISIS!C288,'IKARIA TECHO'!F:F)</f>
        <v/>
      </c>
      <c r="F288" s="735">
        <f>_xlfn.XLOOKUP(C288,'IKARIA TECHO'!D:D,'IKARIA TECHO'!H:H,"ERROR",0)</f>
        <v/>
      </c>
      <c r="G288" s="687">
        <f>E288*F288</f>
        <v/>
      </c>
      <c r="H288" s="538">
        <f>G288/$G$289</f>
        <v/>
      </c>
    </row>
    <row r="289">
      <c r="F289" s="536" t="inlineStr">
        <is>
          <t xml:space="preserve">Total </t>
        </is>
      </c>
      <c r="G289" s="765">
        <f>SUM(G2:G288)</f>
        <v/>
      </c>
      <c r="H289" s="539">
        <f>SUM(H2:H285)</f>
        <v/>
      </c>
    </row>
    <row r="291">
      <c r="F291" t="inlineStr">
        <is>
          <t xml:space="preserve">VERIFICACCION </t>
        </is>
      </c>
      <c r="G291" s="687">
        <f>'IKARIA TECHO'!K10</f>
        <v/>
      </c>
    </row>
    <row r="293">
      <c r="F293" t="inlineStr">
        <is>
          <t xml:space="preserve">DIFERENCIA </t>
        </is>
      </c>
      <c r="G293" s="685">
        <f>G291-G289</f>
        <v/>
      </c>
    </row>
  </sheetData>
  <autoFilter ref="D1:H285"/>
  <conditionalFormatting sqref="B1">
    <cfRule type="duplicateValues" priority="1" dxfId="0"/>
  </conditionalFormatting>
  <conditionalFormatting sqref="C2:C288">
    <cfRule type="duplicateValues" priority="44" dxfId="0"/>
  </conditionalFormatting>
  <conditionalFormatting sqref="C1 C415:C1048576">
    <cfRule type="duplicateValues" priority="3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2">
    <outlinePr summaryBelow="1" summaryRight="1"/>
    <pageSetUpPr/>
  </sheetPr>
  <dimension ref="B1:O104"/>
  <sheetViews>
    <sheetView zoomScale="115" zoomScaleNormal="115" workbookViewId="0">
      <pane xSplit="1" ySplit="9" topLeftCell="B76" activePane="bottomRight" state="frozen"/>
      <selection pane="bottomLeft" activeCell="A10" sqref="A10"/>
      <selection pane="topRight" activeCell="B1" sqref="B1"/>
      <selection pane="bottomRight" activeCell="C78" sqref="C78"/>
    </sheetView>
  </sheetViews>
  <sheetFormatPr baseColWidth="8" defaultColWidth="9.14453125" defaultRowHeight="10.5"/>
  <cols>
    <col width="1.20703125" customWidth="1" style="1" min="1" max="1"/>
    <col width="31.34375" customWidth="1" style="1" min="2" max="2"/>
    <col width="8.47265625" bestFit="1" customWidth="1" style="1" min="3" max="3"/>
    <col width="6.72265625" bestFit="1" customWidth="1" style="1" min="4" max="5"/>
    <col width="7.53125" customWidth="1" style="1" min="6" max="6"/>
    <col width="11.43359375" customWidth="1" style="1" min="7" max="7"/>
    <col width="11.703125" customWidth="1" style="1" min="8" max="8"/>
    <col width="12.5078125" customWidth="1" style="1" min="9" max="9"/>
    <col width="14.390625" customWidth="1" style="1" min="10" max="11"/>
    <col width="17.484375" bestFit="1" customWidth="1" style="1" min="12" max="12"/>
    <col width="15.19921875" customWidth="1" style="1" min="13" max="13"/>
    <col width="14.52734375" customWidth="1" style="1" min="14" max="14"/>
    <col width="13.046875" customWidth="1" style="1" min="15" max="15"/>
    <col width="9.14453125" customWidth="1" style="1" min="16" max="256"/>
    <col width="1.20703125" customWidth="1" style="1" min="257" max="257"/>
    <col width="31.34375" customWidth="1" style="1" min="258" max="258"/>
    <col width="8.47265625" bestFit="1" customWidth="1" style="1" min="259" max="259"/>
    <col width="6.72265625" bestFit="1" customWidth="1" style="1" min="260" max="261"/>
    <col width="7.53125" customWidth="1" style="1" min="262" max="262"/>
    <col width="11.43359375" customWidth="1" style="1" min="263" max="263"/>
    <col width="11.703125" customWidth="1" style="1" min="264" max="264"/>
    <col width="12.5078125" customWidth="1" style="1" min="265" max="265"/>
    <col width="14.390625" customWidth="1" style="1" min="266" max="267"/>
    <col width="16.8125" customWidth="1" style="1" min="268" max="268"/>
    <col width="15.19921875" customWidth="1" style="1" min="269" max="269"/>
    <col width="14.52734375" customWidth="1" style="1" min="270" max="270"/>
    <col width="13.046875" customWidth="1" style="1" min="271" max="271"/>
    <col width="9.14453125" customWidth="1" style="1" min="272" max="512"/>
    <col width="1.20703125" customWidth="1" style="1" min="513" max="513"/>
    <col width="31.34375" customWidth="1" style="1" min="514" max="514"/>
    <col width="8.47265625" bestFit="1" customWidth="1" style="1" min="515" max="515"/>
    <col width="6.72265625" bestFit="1" customWidth="1" style="1" min="516" max="517"/>
    <col width="7.53125" customWidth="1" style="1" min="518" max="518"/>
    <col width="11.43359375" customWidth="1" style="1" min="519" max="519"/>
    <col width="11.703125" customWidth="1" style="1" min="520" max="520"/>
    <col width="12.5078125" customWidth="1" style="1" min="521" max="521"/>
    <col width="14.390625" customWidth="1" style="1" min="522" max="523"/>
    <col width="16.8125" customWidth="1" style="1" min="524" max="524"/>
    <col width="15.19921875" customWidth="1" style="1" min="525" max="525"/>
    <col width="14.52734375" customWidth="1" style="1" min="526" max="526"/>
    <col width="13.046875" customWidth="1" style="1" min="527" max="527"/>
    <col width="9.14453125" customWidth="1" style="1" min="528" max="768"/>
    <col width="1.20703125" customWidth="1" style="1" min="769" max="769"/>
    <col width="31.34375" customWidth="1" style="1" min="770" max="770"/>
    <col width="8.47265625" bestFit="1" customWidth="1" style="1" min="771" max="771"/>
    <col width="6.72265625" bestFit="1" customWidth="1" style="1" min="772" max="773"/>
    <col width="7.53125" customWidth="1" style="1" min="774" max="774"/>
    <col width="11.43359375" customWidth="1" style="1" min="775" max="775"/>
    <col width="11.703125" customWidth="1" style="1" min="776" max="776"/>
    <col width="12.5078125" customWidth="1" style="1" min="777" max="777"/>
    <col width="14.390625" customWidth="1" style="1" min="778" max="779"/>
    <col width="16.8125" customWidth="1" style="1" min="780" max="780"/>
    <col width="15.19921875" customWidth="1" style="1" min="781" max="781"/>
    <col width="14.52734375" customWidth="1" style="1" min="782" max="782"/>
    <col width="13.046875" customWidth="1" style="1" min="783" max="783"/>
    <col width="9.14453125" customWidth="1" style="1" min="784" max="1024"/>
    <col width="1.20703125" customWidth="1" style="1" min="1025" max="1025"/>
    <col width="31.34375" customWidth="1" style="1" min="1026" max="1026"/>
    <col width="8.47265625" bestFit="1" customWidth="1" style="1" min="1027" max="1027"/>
    <col width="6.72265625" bestFit="1" customWidth="1" style="1" min="1028" max="1029"/>
    <col width="7.53125" customWidth="1" style="1" min="1030" max="1030"/>
    <col width="11.43359375" customWidth="1" style="1" min="1031" max="1031"/>
    <col width="11.703125" customWidth="1" style="1" min="1032" max="1032"/>
    <col width="12.5078125" customWidth="1" style="1" min="1033" max="1033"/>
    <col width="14.390625" customWidth="1" style="1" min="1034" max="1035"/>
    <col width="16.8125" customWidth="1" style="1" min="1036" max="1036"/>
    <col width="15.19921875" customWidth="1" style="1" min="1037" max="1037"/>
    <col width="14.52734375" customWidth="1" style="1" min="1038" max="1038"/>
    <col width="13.046875" customWidth="1" style="1" min="1039" max="1039"/>
    <col width="9.14453125" customWidth="1" style="1" min="1040" max="1280"/>
    <col width="1.20703125" customWidth="1" style="1" min="1281" max="1281"/>
    <col width="31.34375" customWidth="1" style="1" min="1282" max="1282"/>
    <col width="8.47265625" bestFit="1" customWidth="1" style="1" min="1283" max="1283"/>
    <col width="6.72265625" bestFit="1" customWidth="1" style="1" min="1284" max="1285"/>
    <col width="7.53125" customWidth="1" style="1" min="1286" max="1286"/>
    <col width="11.43359375" customWidth="1" style="1" min="1287" max="1287"/>
    <col width="11.703125" customWidth="1" style="1" min="1288" max="1288"/>
    <col width="12.5078125" customWidth="1" style="1" min="1289" max="1289"/>
    <col width="14.390625" customWidth="1" style="1" min="1290" max="1291"/>
    <col width="16.8125" customWidth="1" style="1" min="1292" max="1292"/>
    <col width="15.19921875" customWidth="1" style="1" min="1293" max="1293"/>
    <col width="14.52734375" customWidth="1" style="1" min="1294" max="1294"/>
    <col width="13.046875" customWidth="1" style="1" min="1295" max="1295"/>
    <col width="9.14453125" customWidth="1" style="1" min="1296" max="1536"/>
    <col width="1.20703125" customWidth="1" style="1" min="1537" max="1537"/>
    <col width="31.34375" customWidth="1" style="1" min="1538" max="1538"/>
    <col width="8.47265625" bestFit="1" customWidth="1" style="1" min="1539" max="1539"/>
    <col width="6.72265625" bestFit="1" customWidth="1" style="1" min="1540" max="1541"/>
    <col width="7.53125" customWidth="1" style="1" min="1542" max="1542"/>
    <col width="11.43359375" customWidth="1" style="1" min="1543" max="1543"/>
    <col width="11.703125" customWidth="1" style="1" min="1544" max="1544"/>
    <col width="12.5078125" customWidth="1" style="1" min="1545" max="1545"/>
    <col width="14.390625" customWidth="1" style="1" min="1546" max="1547"/>
    <col width="16.8125" customWidth="1" style="1" min="1548" max="1548"/>
    <col width="15.19921875" customWidth="1" style="1" min="1549" max="1549"/>
    <col width="14.52734375" customWidth="1" style="1" min="1550" max="1550"/>
    <col width="13.046875" customWidth="1" style="1" min="1551" max="1551"/>
    <col width="9.14453125" customWidth="1" style="1" min="1552" max="1792"/>
    <col width="1.20703125" customWidth="1" style="1" min="1793" max="1793"/>
    <col width="31.34375" customWidth="1" style="1" min="1794" max="1794"/>
    <col width="8.47265625" bestFit="1" customWidth="1" style="1" min="1795" max="1795"/>
    <col width="6.72265625" bestFit="1" customWidth="1" style="1" min="1796" max="1797"/>
    <col width="7.53125" customWidth="1" style="1" min="1798" max="1798"/>
    <col width="11.43359375" customWidth="1" style="1" min="1799" max="1799"/>
    <col width="11.703125" customWidth="1" style="1" min="1800" max="1800"/>
    <col width="12.5078125" customWidth="1" style="1" min="1801" max="1801"/>
    <col width="14.390625" customWidth="1" style="1" min="1802" max="1803"/>
    <col width="16.8125" customWidth="1" style="1" min="1804" max="1804"/>
    <col width="15.19921875" customWidth="1" style="1" min="1805" max="1805"/>
    <col width="14.52734375" customWidth="1" style="1" min="1806" max="1806"/>
    <col width="13.046875" customWidth="1" style="1" min="1807" max="1807"/>
    <col width="9.14453125" customWidth="1" style="1" min="1808" max="2048"/>
    <col width="1.20703125" customWidth="1" style="1" min="2049" max="2049"/>
    <col width="31.34375" customWidth="1" style="1" min="2050" max="2050"/>
    <col width="8.47265625" bestFit="1" customWidth="1" style="1" min="2051" max="2051"/>
    <col width="6.72265625" bestFit="1" customWidth="1" style="1" min="2052" max="2053"/>
    <col width="7.53125" customWidth="1" style="1" min="2054" max="2054"/>
    <col width="11.43359375" customWidth="1" style="1" min="2055" max="2055"/>
    <col width="11.703125" customWidth="1" style="1" min="2056" max="2056"/>
    <col width="12.5078125" customWidth="1" style="1" min="2057" max="2057"/>
    <col width="14.390625" customWidth="1" style="1" min="2058" max="2059"/>
    <col width="16.8125" customWidth="1" style="1" min="2060" max="2060"/>
    <col width="15.19921875" customWidth="1" style="1" min="2061" max="2061"/>
    <col width="14.52734375" customWidth="1" style="1" min="2062" max="2062"/>
    <col width="13.046875" customWidth="1" style="1" min="2063" max="2063"/>
    <col width="9.14453125" customWidth="1" style="1" min="2064" max="2304"/>
    <col width="1.20703125" customWidth="1" style="1" min="2305" max="2305"/>
    <col width="31.34375" customWidth="1" style="1" min="2306" max="2306"/>
    <col width="8.47265625" bestFit="1" customWidth="1" style="1" min="2307" max="2307"/>
    <col width="6.72265625" bestFit="1" customWidth="1" style="1" min="2308" max="2309"/>
    <col width="7.53125" customWidth="1" style="1" min="2310" max="2310"/>
    <col width="11.43359375" customWidth="1" style="1" min="2311" max="2311"/>
    <col width="11.703125" customWidth="1" style="1" min="2312" max="2312"/>
    <col width="12.5078125" customWidth="1" style="1" min="2313" max="2313"/>
    <col width="14.390625" customWidth="1" style="1" min="2314" max="2315"/>
    <col width="16.8125" customWidth="1" style="1" min="2316" max="2316"/>
    <col width="15.19921875" customWidth="1" style="1" min="2317" max="2317"/>
    <col width="14.52734375" customWidth="1" style="1" min="2318" max="2318"/>
    <col width="13.046875" customWidth="1" style="1" min="2319" max="2319"/>
    <col width="9.14453125" customWidth="1" style="1" min="2320" max="2560"/>
    <col width="1.20703125" customWidth="1" style="1" min="2561" max="2561"/>
    <col width="31.34375" customWidth="1" style="1" min="2562" max="2562"/>
    <col width="8.47265625" bestFit="1" customWidth="1" style="1" min="2563" max="2563"/>
    <col width="6.72265625" bestFit="1" customWidth="1" style="1" min="2564" max="2565"/>
    <col width="7.53125" customWidth="1" style="1" min="2566" max="2566"/>
    <col width="11.43359375" customWidth="1" style="1" min="2567" max="2567"/>
    <col width="11.703125" customWidth="1" style="1" min="2568" max="2568"/>
    <col width="12.5078125" customWidth="1" style="1" min="2569" max="2569"/>
    <col width="14.390625" customWidth="1" style="1" min="2570" max="2571"/>
    <col width="16.8125" customWidth="1" style="1" min="2572" max="2572"/>
    <col width="15.19921875" customWidth="1" style="1" min="2573" max="2573"/>
    <col width="14.52734375" customWidth="1" style="1" min="2574" max="2574"/>
    <col width="13.046875" customWidth="1" style="1" min="2575" max="2575"/>
    <col width="9.14453125" customWidth="1" style="1" min="2576" max="2816"/>
    <col width="1.20703125" customWidth="1" style="1" min="2817" max="2817"/>
    <col width="31.34375" customWidth="1" style="1" min="2818" max="2818"/>
    <col width="8.47265625" bestFit="1" customWidth="1" style="1" min="2819" max="2819"/>
    <col width="6.72265625" bestFit="1" customWidth="1" style="1" min="2820" max="2821"/>
    <col width="7.53125" customWidth="1" style="1" min="2822" max="2822"/>
    <col width="11.43359375" customWidth="1" style="1" min="2823" max="2823"/>
    <col width="11.703125" customWidth="1" style="1" min="2824" max="2824"/>
    <col width="12.5078125" customWidth="1" style="1" min="2825" max="2825"/>
    <col width="14.390625" customWidth="1" style="1" min="2826" max="2827"/>
    <col width="16.8125" customWidth="1" style="1" min="2828" max="2828"/>
    <col width="15.19921875" customWidth="1" style="1" min="2829" max="2829"/>
    <col width="14.52734375" customWidth="1" style="1" min="2830" max="2830"/>
    <col width="13.046875" customWidth="1" style="1" min="2831" max="2831"/>
    <col width="9.14453125" customWidth="1" style="1" min="2832" max="3072"/>
    <col width="1.20703125" customWidth="1" style="1" min="3073" max="3073"/>
    <col width="31.34375" customWidth="1" style="1" min="3074" max="3074"/>
    <col width="8.47265625" bestFit="1" customWidth="1" style="1" min="3075" max="3075"/>
    <col width="6.72265625" bestFit="1" customWidth="1" style="1" min="3076" max="3077"/>
    <col width="7.53125" customWidth="1" style="1" min="3078" max="3078"/>
    <col width="11.43359375" customWidth="1" style="1" min="3079" max="3079"/>
    <col width="11.703125" customWidth="1" style="1" min="3080" max="3080"/>
    <col width="12.5078125" customWidth="1" style="1" min="3081" max="3081"/>
    <col width="14.390625" customWidth="1" style="1" min="3082" max="3083"/>
    <col width="16.8125" customWidth="1" style="1" min="3084" max="3084"/>
    <col width="15.19921875" customWidth="1" style="1" min="3085" max="3085"/>
    <col width="14.52734375" customWidth="1" style="1" min="3086" max="3086"/>
    <col width="13.046875" customWidth="1" style="1" min="3087" max="3087"/>
    <col width="9.14453125" customWidth="1" style="1" min="3088" max="3328"/>
    <col width="1.20703125" customWidth="1" style="1" min="3329" max="3329"/>
    <col width="31.34375" customWidth="1" style="1" min="3330" max="3330"/>
    <col width="8.47265625" bestFit="1" customWidth="1" style="1" min="3331" max="3331"/>
    <col width="6.72265625" bestFit="1" customWidth="1" style="1" min="3332" max="3333"/>
    <col width="7.53125" customWidth="1" style="1" min="3334" max="3334"/>
    <col width="11.43359375" customWidth="1" style="1" min="3335" max="3335"/>
    <col width="11.703125" customWidth="1" style="1" min="3336" max="3336"/>
    <col width="12.5078125" customWidth="1" style="1" min="3337" max="3337"/>
    <col width="14.390625" customWidth="1" style="1" min="3338" max="3339"/>
    <col width="16.8125" customWidth="1" style="1" min="3340" max="3340"/>
    <col width="15.19921875" customWidth="1" style="1" min="3341" max="3341"/>
    <col width="14.52734375" customWidth="1" style="1" min="3342" max="3342"/>
    <col width="13.046875" customWidth="1" style="1" min="3343" max="3343"/>
    <col width="9.14453125" customWidth="1" style="1" min="3344" max="3584"/>
    <col width="1.20703125" customWidth="1" style="1" min="3585" max="3585"/>
    <col width="31.34375" customWidth="1" style="1" min="3586" max="3586"/>
    <col width="8.47265625" bestFit="1" customWidth="1" style="1" min="3587" max="3587"/>
    <col width="6.72265625" bestFit="1" customWidth="1" style="1" min="3588" max="3589"/>
    <col width="7.53125" customWidth="1" style="1" min="3590" max="3590"/>
    <col width="11.43359375" customWidth="1" style="1" min="3591" max="3591"/>
    <col width="11.703125" customWidth="1" style="1" min="3592" max="3592"/>
    <col width="12.5078125" customWidth="1" style="1" min="3593" max="3593"/>
    <col width="14.390625" customWidth="1" style="1" min="3594" max="3595"/>
    <col width="16.8125" customWidth="1" style="1" min="3596" max="3596"/>
    <col width="15.19921875" customWidth="1" style="1" min="3597" max="3597"/>
    <col width="14.52734375" customWidth="1" style="1" min="3598" max="3598"/>
    <col width="13.046875" customWidth="1" style="1" min="3599" max="3599"/>
    <col width="9.14453125" customWidth="1" style="1" min="3600" max="3840"/>
    <col width="1.20703125" customWidth="1" style="1" min="3841" max="3841"/>
    <col width="31.34375" customWidth="1" style="1" min="3842" max="3842"/>
    <col width="8.47265625" bestFit="1" customWidth="1" style="1" min="3843" max="3843"/>
    <col width="6.72265625" bestFit="1" customWidth="1" style="1" min="3844" max="3845"/>
    <col width="7.53125" customWidth="1" style="1" min="3846" max="3846"/>
    <col width="11.43359375" customWidth="1" style="1" min="3847" max="3847"/>
    <col width="11.703125" customWidth="1" style="1" min="3848" max="3848"/>
    <col width="12.5078125" customWidth="1" style="1" min="3849" max="3849"/>
    <col width="14.390625" customWidth="1" style="1" min="3850" max="3851"/>
    <col width="16.8125" customWidth="1" style="1" min="3852" max="3852"/>
    <col width="15.19921875" customWidth="1" style="1" min="3853" max="3853"/>
    <col width="14.52734375" customWidth="1" style="1" min="3854" max="3854"/>
    <col width="13.046875" customWidth="1" style="1" min="3855" max="3855"/>
    <col width="9.14453125" customWidth="1" style="1" min="3856" max="4096"/>
    <col width="1.20703125" customWidth="1" style="1" min="4097" max="4097"/>
    <col width="31.34375" customWidth="1" style="1" min="4098" max="4098"/>
    <col width="8.47265625" bestFit="1" customWidth="1" style="1" min="4099" max="4099"/>
    <col width="6.72265625" bestFit="1" customWidth="1" style="1" min="4100" max="4101"/>
    <col width="7.53125" customWidth="1" style="1" min="4102" max="4102"/>
    <col width="11.43359375" customWidth="1" style="1" min="4103" max="4103"/>
    <col width="11.703125" customWidth="1" style="1" min="4104" max="4104"/>
    <col width="12.5078125" customWidth="1" style="1" min="4105" max="4105"/>
    <col width="14.390625" customWidth="1" style="1" min="4106" max="4107"/>
    <col width="16.8125" customWidth="1" style="1" min="4108" max="4108"/>
    <col width="15.19921875" customWidth="1" style="1" min="4109" max="4109"/>
    <col width="14.52734375" customWidth="1" style="1" min="4110" max="4110"/>
    <col width="13.046875" customWidth="1" style="1" min="4111" max="4111"/>
    <col width="9.14453125" customWidth="1" style="1" min="4112" max="4352"/>
    <col width="1.20703125" customWidth="1" style="1" min="4353" max="4353"/>
    <col width="31.34375" customWidth="1" style="1" min="4354" max="4354"/>
    <col width="8.47265625" bestFit="1" customWidth="1" style="1" min="4355" max="4355"/>
    <col width="6.72265625" bestFit="1" customWidth="1" style="1" min="4356" max="4357"/>
    <col width="7.53125" customWidth="1" style="1" min="4358" max="4358"/>
    <col width="11.43359375" customWidth="1" style="1" min="4359" max="4359"/>
    <col width="11.703125" customWidth="1" style="1" min="4360" max="4360"/>
    <col width="12.5078125" customWidth="1" style="1" min="4361" max="4361"/>
    <col width="14.390625" customWidth="1" style="1" min="4362" max="4363"/>
    <col width="16.8125" customWidth="1" style="1" min="4364" max="4364"/>
    <col width="15.19921875" customWidth="1" style="1" min="4365" max="4365"/>
    <col width="14.52734375" customWidth="1" style="1" min="4366" max="4366"/>
    <col width="13.046875" customWidth="1" style="1" min="4367" max="4367"/>
    <col width="9.14453125" customWidth="1" style="1" min="4368" max="4608"/>
    <col width="1.20703125" customWidth="1" style="1" min="4609" max="4609"/>
    <col width="31.34375" customWidth="1" style="1" min="4610" max="4610"/>
    <col width="8.47265625" bestFit="1" customWidth="1" style="1" min="4611" max="4611"/>
    <col width="6.72265625" bestFit="1" customWidth="1" style="1" min="4612" max="4613"/>
    <col width="7.53125" customWidth="1" style="1" min="4614" max="4614"/>
    <col width="11.43359375" customWidth="1" style="1" min="4615" max="4615"/>
    <col width="11.703125" customWidth="1" style="1" min="4616" max="4616"/>
    <col width="12.5078125" customWidth="1" style="1" min="4617" max="4617"/>
    <col width="14.390625" customWidth="1" style="1" min="4618" max="4619"/>
    <col width="16.8125" customWidth="1" style="1" min="4620" max="4620"/>
    <col width="15.19921875" customWidth="1" style="1" min="4621" max="4621"/>
    <col width="14.52734375" customWidth="1" style="1" min="4622" max="4622"/>
    <col width="13.046875" customWidth="1" style="1" min="4623" max="4623"/>
    <col width="9.14453125" customWidth="1" style="1" min="4624" max="4864"/>
    <col width="1.20703125" customWidth="1" style="1" min="4865" max="4865"/>
    <col width="31.34375" customWidth="1" style="1" min="4866" max="4866"/>
    <col width="8.47265625" bestFit="1" customWidth="1" style="1" min="4867" max="4867"/>
    <col width="6.72265625" bestFit="1" customWidth="1" style="1" min="4868" max="4869"/>
    <col width="7.53125" customWidth="1" style="1" min="4870" max="4870"/>
    <col width="11.43359375" customWidth="1" style="1" min="4871" max="4871"/>
    <col width="11.703125" customWidth="1" style="1" min="4872" max="4872"/>
    <col width="12.5078125" customWidth="1" style="1" min="4873" max="4873"/>
    <col width="14.390625" customWidth="1" style="1" min="4874" max="4875"/>
    <col width="16.8125" customWidth="1" style="1" min="4876" max="4876"/>
    <col width="15.19921875" customWidth="1" style="1" min="4877" max="4877"/>
    <col width="14.52734375" customWidth="1" style="1" min="4878" max="4878"/>
    <col width="13.046875" customWidth="1" style="1" min="4879" max="4879"/>
    <col width="9.14453125" customWidth="1" style="1" min="4880" max="5120"/>
    <col width="1.20703125" customWidth="1" style="1" min="5121" max="5121"/>
    <col width="31.34375" customWidth="1" style="1" min="5122" max="5122"/>
    <col width="8.47265625" bestFit="1" customWidth="1" style="1" min="5123" max="5123"/>
    <col width="6.72265625" bestFit="1" customWidth="1" style="1" min="5124" max="5125"/>
    <col width="7.53125" customWidth="1" style="1" min="5126" max="5126"/>
    <col width="11.43359375" customWidth="1" style="1" min="5127" max="5127"/>
    <col width="11.703125" customWidth="1" style="1" min="5128" max="5128"/>
    <col width="12.5078125" customWidth="1" style="1" min="5129" max="5129"/>
    <col width="14.390625" customWidth="1" style="1" min="5130" max="5131"/>
    <col width="16.8125" customWidth="1" style="1" min="5132" max="5132"/>
    <col width="15.19921875" customWidth="1" style="1" min="5133" max="5133"/>
    <col width="14.52734375" customWidth="1" style="1" min="5134" max="5134"/>
    <col width="13.046875" customWidth="1" style="1" min="5135" max="5135"/>
    <col width="9.14453125" customWidth="1" style="1" min="5136" max="5376"/>
    <col width="1.20703125" customWidth="1" style="1" min="5377" max="5377"/>
    <col width="31.34375" customWidth="1" style="1" min="5378" max="5378"/>
    <col width="8.47265625" bestFit="1" customWidth="1" style="1" min="5379" max="5379"/>
    <col width="6.72265625" bestFit="1" customWidth="1" style="1" min="5380" max="5381"/>
    <col width="7.53125" customWidth="1" style="1" min="5382" max="5382"/>
    <col width="11.43359375" customWidth="1" style="1" min="5383" max="5383"/>
    <col width="11.703125" customWidth="1" style="1" min="5384" max="5384"/>
    <col width="12.5078125" customWidth="1" style="1" min="5385" max="5385"/>
    <col width="14.390625" customWidth="1" style="1" min="5386" max="5387"/>
    <col width="16.8125" customWidth="1" style="1" min="5388" max="5388"/>
    <col width="15.19921875" customWidth="1" style="1" min="5389" max="5389"/>
    <col width="14.52734375" customWidth="1" style="1" min="5390" max="5390"/>
    <col width="13.046875" customWidth="1" style="1" min="5391" max="5391"/>
    <col width="9.14453125" customWidth="1" style="1" min="5392" max="5632"/>
    <col width="1.20703125" customWidth="1" style="1" min="5633" max="5633"/>
    <col width="31.34375" customWidth="1" style="1" min="5634" max="5634"/>
    <col width="8.47265625" bestFit="1" customWidth="1" style="1" min="5635" max="5635"/>
    <col width="6.72265625" bestFit="1" customWidth="1" style="1" min="5636" max="5637"/>
    <col width="7.53125" customWidth="1" style="1" min="5638" max="5638"/>
    <col width="11.43359375" customWidth="1" style="1" min="5639" max="5639"/>
    <col width="11.703125" customWidth="1" style="1" min="5640" max="5640"/>
    <col width="12.5078125" customWidth="1" style="1" min="5641" max="5641"/>
    <col width="14.390625" customWidth="1" style="1" min="5642" max="5643"/>
    <col width="16.8125" customWidth="1" style="1" min="5644" max="5644"/>
    <col width="15.19921875" customWidth="1" style="1" min="5645" max="5645"/>
    <col width="14.52734375" customWidth="1" style="1" min="5646" max="5646"/>
    <col width="13.046875" customWidth="1" style="1" min="5647" max="5647"/>
    <col width="9.14453125" customWidth="1" style="1" min="5648" max="5888"/>
    <col width="1.20703125" customWidth="1" style="1" min="5889" max="5889"/>
    <col width="31.34375" customWidth="1" style="1" min="5890" max="5890"/>
    <col width="8.47265625" bestFit="1" customWidth="1" style="1" min="5891" max="5891"/>
    <col width="6.72265625" bestFit="1" customWidth="1" style="1" min="5892" max="5893"/>
    <col width="7.53125" customWidth="1" style="1" min="5894" max="5894"/>
    <col width="11.43359375" customWidth="1" style="1" min="5895" max="5895"/>
    <col width="11.703125" customWidth="1" style="1" min="5896" max="5896"/>
    <col width="12.5078125" customWidth="1" style="1" min="5897" max="5897"/>
    <col width="14.390625" customWidth="1" style="1" min="5898" max="5899"/>
    <col width="16.8125" customWidth="1" style="1" min="5900" max="5900"/>
    <col width="15.19921875" customWidth="1" style="1" min="5901" max="5901"/>
    <col width="14.52734375" customWidth="1" style="1" min="5902" max="5902"/>
    <col width="13.046875" customWidth="1" style="1" min="5903" max="5903"/>
    <col width="9.14453125" customWidth="1" style="1" min="5904" max="6144"/>
    <col width="1.20703125" customWidth="1" style="1" min="6145" max="6145"/>
    <col width="31.34375" customWidth="1" style="1" min="6146" max="6146"/>
    <col width="8.47265625" bestFit="1" customWidth="1" style="1" min="6147" max="6147"/>
    <col width="6.72265625" bestFit="1" customWidth="1" style="1" min="6148" max="6149"/>
    <col width="7.53125" customWidth="1" style="1" min="6150" max="6150"/>
    <col width="11.43359375" customWidth="1" style="1" min="6151" max="6151"/>
    <col width="11.703125" customWidth="1" style="1" min="6152" max="6152"/>
    <col width="12.5078125" customWidth="1" style="1" min="6153" max="6153"/>
    <col width="14.390625" customWidth="1" style="1" min="6154" max="6155"/>
    <col width="16.8125" customWidth="1" style="1" min="6156" max="6156"/>
    <col width="15.19921875" customWidth="1" style="1" min="6157" max="6157"/>
    <col width="14.52734375" customWidth="1" style="1" min="6158" max="6158"/>
    <col width="13.046875" customWidth="1" style="1" min="6159" max="6159"/>
    <col width="9.14453125" customWidth="1" style="1" min="6160" max="6400"/>
    <col width="1.20703125" customWidth="1" style="1" min="6401" max="6401"/>
    <col width="31.34375" customWidth="1" style="1" min="6402" max="6402"/>
    <col width="8.47265625" bestFit="1" customWidth="1" style="1" min="6403" max="6403"/>
    <col width="6.72265625" bestFit="1" customWidth="1" style="1" min="6404" max="6405"/>
    <col width="7.53125" customWidth="1" style="1" min="6406" max="6406"/>
    <col width="11.43359375" customWidth="1" style="1" min="6407" max="6407"/>
    <col width="11.703125" customWidth="1" style="1" min="6408" max="6408"/>
    <col width="12.5078125" customWidth="1" style="1" min="6409" max="6409"/>
    <col width="14.390625" customWidth="1" style="1" min="6410" max="6411"/>
    <col width="16.8125" customWidth="1" style="1" min="6412" max="6412"/>
    <col width="15.19921875" customWidth="1" style="1" min="6413" max="6413"/>
    <col width="14.52734375" customWidth="1" style="1" min="6414" max="6414"/>
    <col width="13.046875" customWidth="1" style="1" min="6415" max="6415"/>
    <col width="9.14453125" customWidth="1" style="1" min="6416" max="6656"/>
    <col width="1.20703125" customWidth="1" style="1" min="6657" max="6657"/>
    <col width="31.34375" customWidth="1" style="1" min="6658" max="6658"/>
    <col width="8.47265625" bestFit="1" customWidth="1" style="1" min="6659" max="6659"/>
    <col width="6.72265625" bestFit="1" customWidth="1" style="1" min="6660" max="6661"/>
    <col width="7.53125" customWidth="1" style="1" min="6662" max="6662"/>
    <col width="11.43359375" customWidth="1" style="1" min="6663" max="6663"/>
    <col width="11.703125" customWidth="1" style="1" min="6664" max="6664"/>
    <col width="12.5078125" customWidth="1" style="1" min="6665" max="6665"/>
    <col width="14.390625" customWidth="1" style="1" min="6666" max="6667"/>
    <col width="16.8125" customWidth="1" style="1" min="6668" max="6668"/>
    <col width="15.19921875" customWidth="1" style="1" min="6669" max="6669"/>
    <col width="14.52734375" customWidth="1" style="1" min="6670" max="6670"/>
    <col width="13.046875" customWidth="1" style="1" min="6671" max="6671"/>
    <col width="9.14453125" customWidth="1" style="1" min="6672" max="6912"/>
    <col width="1.20703125" customWidth="1" style="1" min="6913" max="6913"/>
    <col width="31.34375" customWidth="1" style="1" min="6914" max="6914"/>
    <col width="8.47265625" bestFit="1" customWidth="1" style="1" min="6915" max="6915"/>
    <col width="6.72265625" bestFit="1" customWidth="1" style="1" min="6916" max="6917"/>
    <col width="7.53125" customWidth="1" style="1" min="6918" max="6918"/>
    <col width="11.43359375" customWidth="1" style="1" min="6919" max="6919"/>
    <col width="11.703125" customWidth="1" style="1" min="6920" max="6920"/>
    <col width="12.5078125" customWidth="1" style="1" min="6921" max="6921"/>
    <col width="14.390625" customWidth="1" style="1" min="6922" max="6923"/>
    <col width="16.8125" customWidth="1" style="1" min="6924" max="6924"/>
    <col width="15.19921875" customWidth="1" style="1" min="6925" max="6925"/>
    <col width="14.52734375" customWidth="1" style="1" min="6926" max="6926"/>
    <col width="13.046875" customWidth="1" style="1" min="6927" max="6927"/>
    <col width="9.14453125" customWidth="1" style="1" min="6928" max="7168"/>
    <col width="1.20703125" customWidth="1" style="1" min="7169" max="7169"/>
    <col width="31.34375" customWidth="1" style="1" min="7170" max="7170"/>
    <col width="8.47265625" bestFit="1" customWidth="1" style="1" min="7171" max="7171"/>
    <col width="6.72265625" bestFit="1" customWidth="1" style="1" min="7172" max="7173"/>
    <col width="7.53125" customWidth="1" style="1" min="7174" max="7174"/>
    <col width="11.43359375" customWidth="1" style="1" min="7175" max="7175"/>
    <col width="11.703125" customWidth="1" style="1" min="7176" max="7176"/>
    <col width="12.5078125" customWidth="1" style="1" min="7177" max="7177"/>
    <col width="14.390625" customWidth="1" style="1" min="7178" max="7179"/>
    <col width="16.8125" customWidth="1" style="1" min="7180" max="7180"/>
    <col width="15.19921875" customWidth="1" style="1" min="7181" max="7181"/>
    <col width="14.52734375" customWidth="1" style="1" min="7182" max="7182"/>
    <col width="13.046875" customWidth="1" style="1" min="7183" max="7183"/>
    <col width="9.14453125" customWidth="1" style="1" min="7184" max="7424"/>
    <col width="1.20703125" customWidth="1" style="1" min="7425" max="7425"/>
    <col width="31.34375" customWidth="1" style="1" min="7426" max="7426"/>
    <col width="8.47265625" bestFit="1" customWidth="1" style="1" min="7427" max="7427"/>
    <col width="6.72265625" bestFit="1" customWidth="1" style="1" min="7428" max="7429"/>
    <col width="7.53125" customWidth="1" style="1" min="7430" max="7430"/>
    <col width="11.43359375" customWidth="1" style="1" min="7431" max="7431"/>
    <col width="11.703125" customWidth="1" style="1" min="7432" max="7432"/>
    <col width="12.5078125" customWidth="1" style="1" min="7433" max="7433"/>
    <col width="14.390625" customWidth="1" style="1" min="7434" max="7435"/>
    <col width="16.8125" customWidth="1" style="1" min="7436" max="7436"/>
    <col width="15.19921875" customWidth="1" style="1" min="7437" max="7437"/>
    <col width="14.52734375" customWidth="1" style="1" min="7438" max="7438"/>
    <col width="13.046875" customWidth="1" style="1" min="7439" max="7439"/>
    <col width="9.14453125" customWidth="1" style="1" min="7440" max="7680"/>
    <col width="1.20703125" customWidth="1" style="1" min="7681" max="7681"/>
    <col width="31.34375" customWidth="1" style="1" min="7682" max="7682"/>
    <col width="8.47265625" bestFit="1" customWidth="1" style="1" min="7683" max="7683"/>
    <col width="6.72265625" bestFit="1" customWidth="1" style="1" min="7684" max="7685"/>
    <col width="7.53125" customWidth="1" style="1" min="7686" max="7686"/>
    <col width="11.43359375" customWidth="1" style="1" min="7687" max="7687"/>
    <col width="11.703125" customWidth="1" style="1" min="7688" max="7688"/>
    <col width="12.5078125" customWidth="1" style="1" min="7689" max="7689"/>
    <col width="14.390625" customWidth="1" style="1" min="7690" max="7691"/>
    <col width="16.8125" customWidth="1" style="1" min="7692" max="7692"/>
    <col width="15.19921875" customWidth="1" style="1" min="7693" max="7693"/>
    <col width="14.52734375" customWidth="1" style="1" min="7694" max="7694"/>
    <col width="13.046875" customWidth="1" style="1" min="7695" max="7695"/>
    <col width="9.14453125" customWidth="1" style="1" min="7696" max="7936"/>
    <col width="1.20703125" customWidth="1" style="1" min="7937" max="7937"/>
    <col width="31.34375" customWidth="1" style="1" min="7938" max="7938"/>
    <col width="8.47265625" bestFit="1" customWidth="1" style="1" min="7939" max="7939"/>
    <col width="6.72265625" bestFit="1" customWidth="1" style="1" min="7940" max="7941"/>
    <col width="7.53125" customWidth="1" style="1" min="7942" max="7942"/>
    <col width="11.43359375" customWidth="1" style="1" min="7943" max="7943"/>
    <col width="11.703125" customWidth="1" style="1" min="7944" max="7944"/>
    <col width="12.5078125" customWidth="1" style="1" min="7945" max="7945"/>
    <col width="14.390625" customWidth="1" style="1" min="7946" max="7947"/>
    <col width="16.8125" customWidth="1" style="1" min="7948" max="7948"/>
    <col width="15.19921875" customWidth="1" style="1" min="7949" max="7949"/>
    <col width="14.52734375" customWidth="1" style="1" min="7950" max="7950"/>
    <col width="13.046875" customWidth="1" style="1" min="7951" max="7951"/>
    <col width="9.14453125" customWidth="1" style="1" min="7952" max="8192"/>
    <col width="1.20703125" customWidth="1" style="1" min="8193" max="8193"/>
    <col width="31.34375" customWidth="1" style="1" min="8194" max="8194"/>
    <col width="8.47265625" bestFit="1" customWidth="1" style="1" min="8195" max="8195"/>
    <col width="6.72265625" bestFit="1" customWidth="1" style="1" min="8196" max="8197"/>
    <col width="7.53125" customWidth="1" style="1" min="8198" max="8198"/>
    <col width="11.43359375" customWidth="1" style="1" min="8199" max="8199"/>
    <col width="11.703125" customWidth="1" style="1" min="8200" max="8200"/>
    <col width="12.5078125" customWidth="1" style="1" min="8201" max="8201"/>
    <col width="14.390625" customWidth="1" style="1" min="8202" max="8203"/>
    <col width="16.8125" customWidth="1" style="1" min="8204" max="8204"/>
    <col width="15.19921875" customWidth="1" style="1" min="8205" max="8205"/>
    <col width="14.52734375" customWidth="1" style="1" min="8206" max="8206"/>
    <col width="13.046875" customWidth="1" style="1" min="8207" max="8207"/>
    <col width="9.14453125" customWidth="1" style="1" min="8208" max="8448"/>
    <col width="1.20703125" customWidth="1" style="1" min="8449" max="8449"/>
    <col width="31.34375" customWidth="1" style="1" min="8450" max="8450"/>
    <col width="8.47265625" bestFit="1" customWidth="1" style="1" min="8451" max="8451"/>
    <col width="6.72265625" bestFit="1" customWidth="1" style="1" min="8452" max="8453"/>
    <col width="7.53125" customWidth="1" style="1" min="8454" max="8454"/>
    <col width="11.43359375" customWidth="1" style="1" min="8455" max="8455"/>
    <col width="11.703125" customWidth="1" style="1" min="8456" max="8456"/>
    <col width="12.5078125" customWidth="1" style="1" min="8457" max="8457"/>
    <col width="14.390625" customWidth="1" style="1" min="8458" max="8459"/>
    <col width="16.8125" customWidth="1" style="1" min="8460" max="8460"/>
    <col width="15.19921875" customWidth="1" style="1" min="8461" max="8461"/>
    <col width="14.52734375" customWidth="1" style="1" min="8462" max="8462"/>
    <col width="13.046875" customWidth="1" style="1" min="8463" max="8463"/>
    <col width="9.14453125" customWidth="1" style="1" min="8464" max="8704"/>
    <col width="1.20703125" customWidth="1" style="1" min="8705" max="8705"/>
    <col width="31.34375" customWidth="1" style="1" min="8706" max="8706"/>
    <col width="8.47265625" bestFit="1" customWidth="1" style="1" min="8707" max="8707"/>
    <col width="6.72265625" bestFit="1" customWidth="1" style="1" min="8708" max="8709"/>
    <col width="7.53125" customWidth="1" style="1" min="8710" max="8710"/>
    <col width="11.43359375" customWidth="1" style="1" min="8711" max="8711"/>
    <col width="11.703125" customWidth="1" style="1" min="8712" max="8712"/>
    <col width="12.5078125" customWidth="1" style="1" min="8713" max="8713"/>
    <col width="14.390625" customWidth="1" style="1" min="8714" max="8715"/>
    <col width="16.8125" customWidth="1" style="1" min="8716" max="8716"/>
    <col width="15.19921875" customWidth="1" style="1" min="8717" max="8717"/>
    <col width="14.52734375" customWidth="1" style="1" min="8718" max="8718"/>
    <col width="13.046875" customWidth="1" style="1" min="8719" max="8719"/>
    <col width="9.14453125" customWidth="1" style="1" min="8720" max="8960"/>
    <col width="1.20703125" customWidth="1" style="1" min="8961" max="8961"/>
    <col width="31.34375" customWidth="1" style="1" min="8962" max="8962"/>
    <col width="8.47265625" bestFit="1" customWidth="1" style="1" min="8963" max="8963"/>
    <col width="6.72265625" bestFit="1" customWidth="1" style="1" min="8964" max="8965"/>
    <col width="7.53125" customWidth="1" style="1" min="8966" max="8966"/>
    <col width="11.43359375" customWidth="1" style="1" min="8967" max="8967"/>
    <col width="11.703125" customWidth="1" style="1" min="8968" max="8968"/>
    <col width="12.5078125" customWidth="1" style="1" min="8969" max="8969"/>
    <col width="14.390625" customWidth="1" style="1" min="8970" max="8971"/>
    <col width="16.8125" customWidth="1" style="1" min="8972" max="8972"/>
    <col width="15.19921875" customWidth="1" style="1" min="8973" max="8973"/>
    <col width="14.52734375" customWidth="1" style="1" min="8974" max="8974"/>
    <col width="13.046875" customWidth="1" style="1" min="8975" max="8975"/>
    <col width="9.14453125" customWidth="1" style="1" min="8976" max="9216"/>
    <col width="1.20703125" customWidth="1" style="1" min="9217" max="9217"/>
    <col width="31.34375" customWidth="1" style="1" min="9218" max="9218"/>
    <col width="8.47265625" bestFit="1" customWidth="1" style="1" min="9219" max="9219"/>
    <col width="6.72265625" bestFit="1" customWidth="1" style="1" min="9220" max="9221"/>
    <col width="7.53125" customWidth="1" style="1" min="9222" max="9222"/>
    <col width="11.43359375" customWidth="1" style="1" min="9223" max="9223"/>
    <col width="11.703125" customWidth="1" style="1" min="9224" max="9224"/>
    <col width="12.5078125" customWidth="1" style="1" min="9225" max="9225"/>
    <col width="14.390625" customWidth="1" style="1" min="9226" max="9227"/>
    <col width="16.8125" customWidth="1" style="1" min="9228" max="9228"/>
    <col width="15.19921875" customWidth="1" style="1" min="9229" max="9229"/>
    <col width="14.52734375" customWidth="1" style="1" min="9230" max="9230"/>
    <col width="13.046875" customWidth="1" style="1" min="9231" max="9231"/>
    <col width="9.14453125" customWidth="1" style="1" min="9232" max="9472"/>
    <col width="1.20703125" customWidth="1" style="1" min="9473" max="9473"/>
    <col width="31.34375" customWidth="1" style="1" min="9474" max="9474"/>
    <col width="8.47265625" bestFit="1" customWidth="1" style="1" min="9475" max="9475"/>
    <col width="6.72265625" bestFit="1" customWidth="1" style="1" min="9476" max="9477"/>
    <col width="7.53125" customWidth="1" style="1" min="9478" max="9478"/>
    <col width="11.43359375" customWidth="1" style="1" min="9479" max="9479"/>
    <col width="11.703125" customWidth="1" style="1" min="9480" max="9480"/>
    <col width="12.5078125" customWidth="1" style="1" min="9481" max="9481"/>
    <col width="14.390625" customWidth="1" style="1" min="9482" max="9483"/>
    <col width="16.8125" customWidth="1" style="1" min="9484" max="9484"/>
    <col width="15.19921875" customWidth="1" style="1" min="9485" max="9485"/>
    <col width="14.52734375" customWidth="1" style="1" min="9486" max="9486"/>
    <col width="13.046875" customWidth="1" style="1" min="9487" max="9487"/>
    <col width="9.14453125" customWidth="1" style="1" min="9488" max="9728"/>
    <col width="1.20703125" customWidth="1" style="1" min="9729" max="9729"/>
    <col width="31.34375" customWidth="1" style="1" min="9730" max="9730"/>
    <col width="8.47265625" bestFit="1" customWidth="1" style="1" min="9731" max="9731"/>
    <col width="6.72265625" bestFit="1" customWidth="1" style="1" min="9732" max="9733"/>
    <col width="7.53125" customWidth="1" style="1" min="9734" max="9734"/>
    <col width="11.43359375" customWidth="1" style="1" min="9735" max="9735"/>
    <col width="11.703125" customWidth="1" style="1" min="9736" max="9736"/>
    <col width="12.5078125" customWidth="1" style="1" min="9737" max="9737"/>
    <col width="14.390625" customWidth="1" style="1" min="9738" max="9739"/>
    <col width="16.8125" customWidth="1" style="1" min="9740" max="9740"/>
    <col width="15.19921875" customWidth="1" style="1" min="9741" max="9741"/>
    <col width="14.52734375" customWidth="1" style="1" min="9742" max="9742"/>
    <col width="13.046875" customWidth="1" style="1" min="9743" max="9743"/>
    <col width="9.14453125" customWidth="1" style="1" min="9744" max="9984"/>
    <col width="1.20703125" customWidth="1" style="1" min="9985" max="9985"/>
    <col width="31.34375" customWidth="1" style="1" min="9986" max="9986"/>
    <col width="8.47265625" bestFit="1" customWidth="1" style="1" min="9987" max="9987"/>
    <col width="6.72265625" bestFit="1" customWidth="1" style="1" min="9988" max="9989"/>
    <col width="7.53125" customWidth="1" style="1" min="9990" max="9990"/>
    <col width="11.43359375" customWidth="1" style="1" min="9991" max="9991"/>
    <col width="11.703125" customWidth="1" style="1" min="9992" max="9992"/>
    <col width="12.5078125" customWidth="1" style="1" min="9993" max="9993"/>
    <col width="14.390625" customWidth="1" style="1" min="9994" max="9995"/>
    <col width="16.8125" customWidth="1" style="1" min="9996" max="9996"/>
    <col width="15.19921875" customWidth="1" style="1" min="9997" max="9997"/>
    <col width="14.52734375" customWidth="1" style="1" min="9998" max="9998"/>
    <col width="13.046875" customWidth="1" style="1" min="9999" max="9999"/>
    <col width="9.14453125" customWidth="1" style="1" min="10000" max="10240"/>
    <col width="1.20703125" customWidth="1" style="1" min="10241" max="10241"/>
    <col width="31.34375" customWidth="1" style="1" min="10242" max="10242"/>
    <col width="8.47265625" bestFit="1" customWidth="1" style="1" min="10243" max="10243"/>
    <col width="6.72265625" bestFit="1" customWidth="1" style="1" min="10244" max="10245"/>
    <col width="7.53125" customWidth="1" style="1" min="10246" max="10246"/>
    <col width="11.43359375" customWidth="1" style="1" min="10247" max="10247"/>
    <col width="11.703125" customWidth="1" style="1" min="10248" max="10248"/>
    <col width="12.5078125" customWidth="1" style="1" min="10249" max="10249"/>
    <col width="14.390625" customWidth="1" style="1" min="10250" max="10251"/>
    <col width="16.8125" customWidth="1" style="1" min="10252" max="10252"/>
    <col width="15.19921875" customWidth="1" style="1" min="10253" max="10253"/>
    <col width="14.52734375" customWidth="1" style="1" min="10254" max="10254"/>
    <col width="13.046875" customWidth="1" style="1" min="10255" max="10255"/>
    <col width="9.14453125" customWidth="1" style="1" min="10256" max="10496"/>
    <col width="1.20703125" customWidth="1" style="1" min="10497" max="10497"/>
    <col width="31.34375" customWidth="1" style="1" min="10498" max="10498"/>
    <col width="8.47265625" bestFit="1" customWidth="1" style="1" min="10499" max="10499"/>
    <col width="6.72265625" bestFit="1" customWidth="1" style="1" min="10500" max="10501"/>
    <col width="7.53125" customWidth="1" style="1" min="10502" max="10502"/>
    <col width="11.43359375" customWidth="1" style="1" min="10503" max="10503"/>
    <col width="11.703125" customWidth="1" style="1" min="10504" max="10504"/>
    <col width="12.5078125" customWidth="1" style="1" min="10505" max="10505"/>
    <col width="14.390625" customWidth="1" style="1" min="10506" max="10507"/>
    <col width="16.8125" customWidth="1" style="1" min="10508" max="10508"/>
    <col width="15.19921875" customWidth="1" style="1" min="10509" max="10509"/>
    <col width="14.52734375" customWidth="1" style="1" min="10510" max="10510"/>
    <col width="13.046875" customWidth="1" style="1" min="10511" max="10511"/>
    <col width="9.14453125" customWidth="1" style="1" min="10512" max="10752"/>
    <col width="1.20703125" customWidth="1" style="1" min="10753" max="10753"/>
    <col width="31.34375" customWidth="1" style="1" min="10754" max="10754"/>
    <col width="8.47265625" bestFit="1" customWidth="1" style="1" min="10755" max="10755"/>
    <col width="6.72265625" bestFit="1" customWidth="1" style="1" min="10756" max="10757"/>
    <col width="7.53125" customWidth="1" style="1" min="10758" max="10758"/>
    <col width="11.43359375" customWidth="1" style="1" min="10759" max="10759"/>
    <col width="11.703125" customWidth="1" style="1" min="10760" max="10760"/>
    <col width="12.5078125" customWidth="1" style="1" min="10761" max="10761"/>
    <col width="14.390625" customWidth="1" style="1" min="10762" max="10763"/>
    <col width="16.8125" customWidth="1" style="1" min="10764" max="10764"/>
    <col width="15.19921875" customWidth="1" style="1" min="10765" max="10765"/>
    <col width="14.52734375" customWidth="1" style="1" min="10766" max="10766"/>
    <col width="13.046875" customWidth="1" style="1" min="10767" max="10767"/>
    <col width="9.14453125" customWidth="1" style="1" min="10768" max="11008"/>
    <col width="1.20703125" customWidth="1" style="1" min="11009" max="11009"/>
    <col width="31.34375" customWidth="1" style="1" min="11010" max="11010"/>
    <col width="8.47265625" bestFit="1" customWidth="1" style="1" min="11011" max="11011"/>
    <col width="6.72265625" bestFit="1" customWidth="1" style="1" min="11012" max="11013"/>
    <col width="7.53125" customWidth="1" style="1" min="11014" max="11014"/>
    <col width="11.43359375" customWidth="1" style="1" min="11015" max="11015"/>
    <col width="11.703125" customWidth="1" style="1" min="11016" max="11016"/>
    <col width="12.5078125" customWidth="1" style="1" min="11017" max="11017"/>
    <col width="14.390625" customWidth="1" style="1" min="11018" max="11019"/>
    <col width="16.8125" customWidth="1" style="1" min="11020" max="11020"/>
    <col width="15.19921875" customWidth="1" style="1" min="11021" max="11021"/>
    <col width="14.52734375" customWidth="1" style="1" min="11022" max="11022"/>
    <col width="13.046875" customWidth="1" style="1" min="11023" max="11023"/>
    <col width="9.14453125" customWidth="1" style="1" min="11024" max="11264"/>
    <col width="1.20703125" customWidth="1" style="1" min="11265" max="11265"/>
    <col width="31.34375" customWidth="1" style="1" min="11266" max="11266"/>
    <col width="8.47265625" bestFit="1" customWidth="1" style="1" min="11267" max="11267"/>
    <col width="6.72265625" bestFit="1" customWidth="1" style="1" min="11268" max="11269"/>
    <col width="7.53125" customWidth="1" style="1" min="11270" max="11270"/>
    <col width="11.43359375" customWidth="1" style="1" min="11271" max="11271"/>
    <col width="11.703125" customWidth="1" style="1" min="11272" max="11272"/>
    <col width="12.5078125" customWidth="1" style="1" min="11273" max="11273"/>
    <col width="14.390625" customWidth="1" style="1" min="11274" max="11275"/>
    <col width="16.8125" customWidth="1" style="1" min="11276" max="11276"/>
    <col width="15.19921875" customWidth="1" style="1" min="11277" max="11277"/>
    <col width="14.52734375" customWidth="1" style="1" min="11278" max="11278"/>
    <col width="13.046875" customWidth="1" style="1" min="11279" max="11279"/>
    <col width="9.14453125" customWidth="1" style="1" min="11280" max="11520"/>
    <col width="1.20703125" customWidth="1" style="1" min="11521" max="11521"/>
    <col width="31.34375" customWidth="1" style="1" min="11522" max="11522"/>
    <col width="8.47265625" bestFit="1" customWidth="1" style="1" min="11523" max="11523"/>
    <col width="6.72265625" bestFit="1" customWidth="1" style="1" min="11524" max="11525"/>
    <col width="7.53125" customWidth="1" style="1" min="11526" max="11526"/>
    <col width="11.43359375" customWidth="1" style="1" min="11527" max="11527"/>
    <col width="11.703125" customWidth="1" style="1" min="11528" max="11528"/>
    <col width="12.5078125" customWidth="1" style="1" min="11529" max="11529"/>
    <col width="14.390625" customWidth="1" style="1" min="11530" max="11531"/>
    <col width="16.8125" customWidth="1" style="1" min="11532" max="11532"/>
    <col width="15.19921875" customWidth="1" style="1" min="11533" max="11533"/>
    <col width="14.52734375" customWidth="1" style="1" min="11534" max="11534"/>
    <col width="13.046875" customWidth="1" style="1" min="11535" max="11535"/>
    <col width="9.14453125" customWidth="1" style="1" min="11536" max="11776"/>
    <col width="1.20703125" customWidth="1" style="1" min="11777" max="11777"/>
    <col width="31.34375" customWidth="1" style="1" min="11778" max="11778"/>
    <col width="8.47265625" bestFit="1" customWidth="1" style="1" min="11779" max="11779"/>
    <col width="6.72265625" bestFit="1" customWidth="1" style="1" min="11780" max="11781"/>
    <col width="7.53125" customWidth="1" style="1" min="11782" max="11782"/>
    <col width="11.43359375" customWidth="1" style="1" min="11783" max="11783"/>
    <col width="11.703125" customWidth="1" style="1" min="11784" max="11784"/>
    <col width="12.5078125" customWidth="1" style="1" min="11785" max="11785"/>
    <col width="14.390625" customWidth="1" style="1" min="11786" max="11787"/>
    <col width="16.8125" customWidth="1" style="1" min="11788" max="11788"/>
    <col width="15.19921875" customWidth="1" style="1" min="11789" max="11789"/>
    <col width="14.52734375" customWidth="1" style="1" min="11790" max="11790"/>
    <col width="13.046875" customWidth="1" style="1" min="11791" max="11791"/>
    <col width="9.14453125" customWidth="1" style="1" min="11792" max="12032"/>
    <col width="1.20703125" customWidth="1" style="1" min="12033" max="12033"/>
    <col width="31.34375" customWidth="1" style="1" min="12034" max="12034"/>
    <col width="8.47265625" bestFit="1" customWidth="1" style="1" min="12035" max="12035"/>
    <col width="6.72265625" bestFit="1" customWidth="1" style="1" min="12036" max="12037"/>
    <col width="7.53125" customWidth="1" style="1" min="12038" max="12038"/>
    <col width="11.43359375" customWidth="1" style="1" min="12039" max="12039"/>
    <col width="11.703125" customWidth="1" style="1" min="12040" max="12040"/>
    <col width="12.5078125" customWidth="1" style="1" min="12041" max="12041"/>
    <col width="14.390625" customWidth="1" style="1" min="12042" max="12043"/>
    <col width="16.8125" customWidth="1" style="1" min="12044" max="12044"/>
    <col width="15.19921875" customWidth="1" style="1" min="12045" max="12045"/>
    <col width="14.52734375" customWidth="1" style="1" min="12046" max="12046"/>
    <col width="13.046875" customWidth="1" style="1" min="12047" max="12047"/>
    <col width="9.14453125" customWidth="1" style="1" min="12048" max="12288"/>
    <col width="1.20703125" customWidth="1" style="1" min="12289" max="12289"/>
    <col width="31.34375" customWidth="1" style="1" min="12290" max="12290"/>
    <col width="8.47265625" bestFit="1" customWidth="1" style="1" min="12291" max="12291"/>
    <col width="6.72265625" bestFit="1" customWidth="1" style="1" min="12292" max="12293"/>
    <col width="7.53125" customWidth="1" style="1" min="12294" max="12294"/>
    <col width="11.43359375" customWidth="1" style="1" min="12295" max="12295"/>
    <col width="11.703125" customWidth="1" style="1" min="12296" max="12296"/>
    <col width="12.5078125" customWidth="1" style="1" min="12297" max="12297"/>
    <col width="14.390625" customWidth="1" style="1" min="12298" max="12299"/>
    <col width="16.8125" customWidth="1" style="1" min="12300" max="12300"/>
    <col width="15.19921875" customWidth="1" style="1" min="12301" max="12301"/>
    <col width="14.52734375" customWidth="1" style="1" min="12302" max="12302"/>
    <col width="13.046875" customWidth="1" style="1" min="12303" max="12303"/>
    <col width="9.14453125" customWidth="1" style="1" min="12304" max="12544"/>
    <col width="1.20703125" customWidth="1" style="1" min="12545" max="12545"/>
    <col width="31.34375" customWidth="1" style="1" min="12546" max="12546"/>
    <col width="8.47265625" bestFit="1" customWidth="1" style="1" min="12547" max="12547"/>
    <col width="6.72265625" bestFit="1" customWidth="1" style="1" min="12548" max="12549"/>
    <col width="7.53125" customWidth="1" style="1" min="12550" max="12550"/>
    <col width="11.43359375" customWidth="1" style="1" min="12551" max="12551"/>
    <col width="11.703125" customWidth="1" style="1" min="12552" max="12552"/>
    <col width="12.5078125" customWidth="1" style="1" min="12553" max="12553"/>
    <col width="14.390625" customWidth="1" style="1" min="12554" max="12555"/>
    <col width="16.8125" customWidth="1" style="1" min="12556" max="12556"/>
    <col width="15.19921875" customWidth="1" style="1" min="12557" max="12557"/>
    <col width="14.52734375" customWidth="1" style="1" min="12558" max="12558"/>
    <col width="13.046875" customWidth="1" style="1" min="12559" max="12559"/>
    <col width="9.14453125" customWidth="1" style="1" min="12560" max="12800"/>
    <col width="1.20703125" customWidth="1" style="1" min="12801" max="12801"/>
    <col width="31.34375" customWidth="1" style="1" min="12802" max="12802"/>
    <col width="8.47265625" bestFit="1" customWidth="1" style="1" min="12803" max="12803"/>
    <col width="6.72265625" bestFit="1" customWidth="1" style="1" min="12804" max="12805"/>
    <col width="7.53125" customWidth="1" style="1" min="12806" max="12806"/>
    <col width="11.43359375" customWidth="1" style="1" min="12807" max="12807"/>
    <col width="11.703125" customWidth="1" style="1" min="12808" max="12808"/>
    <col width="12.5078125" customWidth="1" style="1" min="12809" max="12809"/>
    <col width="14.390625" customWidth="1" style="1" min="12810" max="12811"/>
    <col width="16.8125" customWidth="1" style="1" min="12812" max="12812"/>
    <col width="15.19921875" customWidth="1" style="1" min="12813" max="12813"/>
    <col width="14.52734375" customWidth="1" style="1" min="12814" max="12814"/>
    <col width="13.046875" customWidth="1" style="1" min="12815" max="12815"/>
    <col width="9.14453125" customWidth="1" style="1" min="12816" max="13056"/>
    <col width="1.20703125" customWidth="1" style="1" min="13057" max="13057"/>
    <col width="31.34375" customWidth="1" style="1" min="13058" max="13058"/>
    <col width="8.47265625" bestFit="1" customWidth="1" style="1" min="13059" max="13059"/>
    <col width="6.72265625" bestFit="1" customWidth="1" style="1" min="13060" max="13061"/>
    <col width="7.53125" customWidth="1" style="1" min="13062" max="13062"/>
    <col width="11.43359375" customWidth="1" style="1" min="13063" max="13063"/>
    <col width="11.703125" customWidth="1" style="1" min="13064" max="13064"/>
    <col width="12.5078125" customWidth="1" style="1" min="13065" max="13065"/>
    <col width="14.390625" customWidth="1" style="1" min="13066" max="13067"/>
    <col width="16.8125" customWidth="1" style="1" min="13068" max="13068"/>
    <col width="15.19921875" customWidth="1" style="1" min="13069" max="13069"/>
    <col width="14.52734375" customWidth="1" style="1" min="13070" max="13070"/>
    <col width="13.046875" customWidth="1" style="1" min="13071" max="13071"/>
    <col width="9.14453125" customWidth="1" style="1" min="13072" max="13312"/>
    <col width="1.20703125" customWidth="1" style="1" min="13313" max="13313"/>
    <col width="31.34375" customWidth="1" style="1" min="13314" max="13314"/>
    <col width="8.47265625" bestFit="1" customWidth="1" style="1" min="13315" max="13315"/>
    <col width="6.72265625" bestFit="1" customWidth="1" style="1" min="13316" max="13317"/>
    <col width="7.53125" customWidth="1" style="1" min="13318" max="13318"/>
    <col width="11.43359375" customWidth="1" style="1" min="13319" max="13319"/>
    <col width="11.703125" customWidth="1" style="1" min="13320" max="13320"/>
    <col width="12.5078125" customWidth="1" style="1" min="13321" max="13321"/>
    <col width="14.390625" customWidth="1" style="1" min="13322" max="13323"/>
    <col width="16.8125" customWidth="1" style="1" min="13324" max="13324"/>
    <col width="15.19921875" customWidth="1" style="1" min="13325" max="13325"/>
    <col width="14.52734375" customWidth="1" style="1" min="13326" max="13326"/>
    <col width="13.046875" customWidth="1" style="1" min="13327" max="13327"/>
    <col width="9.14453125" customWidth="1" style="1" min="13328" max="13568"/>
    <col width="1.20703125" customWidth="1" style="1" min="13569" max="13569"/>
    <col width="31.34375" customWidth="1" style="1" min="13570" max="13570"/>
    <col width="8.47265625" bestFit="1" customWidth="1" style="1" min="13571" max="13571"/>
    <col width="6.72265625" bestFit="1" customWidth="1" style="1" min="13572" max="13573"/>
    <col width="7.53125" customWidth="1" style="1" min="13574" max="13574"/>
    <col width="11.43359375" customWidth="1" style="1" min="13575" max="13575"/>
    <col width="11.703125" customWidth="1" style="1" min="13576" max="13576"/>
    <col width="12.5078125" customWidth="1" style="1" min="13577" max="13577"/>
    <col width="14.390625" customWidth="1" style="1" min="13578" max="13579"/>
    <col width="16.8125" customWidth="1" style="1" min="13580" max="13580"/>
    <col width="15.19921875" customWidth="1" style="1" min="13581" max="13581"/>
    <col width="14.52734375" customWidth="1" style="1" min="13582" max="13582"/>
    <col width="13.046875" customWidth="1" style="1" min="13583" max="13583"/>
    <col width="9.14453125" customWidth="1" style="1" min="13584" max="13824"/>
    <col width="1.20703125" customWidth="1" style="1" min="13825" max="13825"/>
    <col width="31.34375" customWidth="1" style="1" min="13826" max="13826"/>
    <col width="8.47265625" bestFit="1" customWidth="1" style="1" min="13827" max="13827"/>
    <col width="6.72265625" bestFit="1" customWidth="1" style="1" min="13828" max="13829"/>
    <col width="7.53125" customWidth="1" style="1" min="13830" max="13830"/>
    <col width="11.43359375" customWidth="1" style="1" min="13831" max="13831"/>
    <col width="11.703125" customWidth="1" style="1" min="13832" max="13832"/>
    <col width="12.5078125" customWidth="1" style="1" min="13833" max="13833"/>
    <col width="14.390625" customWidth="1" style="1" min="13834" max="13835"/>
    <col width="16.8125" customWidth="1" style="1" min="13836" max="13836"/>
    <col width="15.19921875" customWidth="1" style="1" min="13837" max="13837"/>
    <col width="14.52734375" customWidth="1" style="1" min="13838" max="13838"/>
    <col width="13.046875" customWidth="1" style="1" min="13839" max="13839"/>
    <col width="9.14453125" customWidth="1" style="1" min="13840" max="14080"/>
    <col width="1.20703125" customWidth="1" style="1" min="14081" max="14081"/>
    <col width="31.34375" customWidth="1" style="1" min="14082" max="14082"/>
    <col width="8.47265625" bestFit="1" customWidth="1" style="1" min="14083" max="14083"/>
    <col width="6.72265625" bestFit="1" customWidth="1" style="1" min="14084" max="14085"/>
    <col width="7.53125" customWidth="1" style="1" min="14086" max="14086"/>
    <col width="11.43359375" customWidth="1" style="1" min="14087" max="14087"/>
    <col width="11.703125" customWidth="1" style="1" min="14088" max="14088"/>
    <col width="12.5078125" customWidth="1" style="1" min="14089" max="14089"/>
    <col width="14.390625" customWidth="1" style="1" min="14090" max="14091"/>
    <col width="16.8125" customWidth="1" style="1" min="14092" max="14092"/>
    <col width="15.19921875" customWidth="1" style="1" min="14093" max="14093"/>
    <col width="14.52734375" customWidth="1" style="1" min="14094" max="14094"/>
    <col width="13.046875" customWidth="1" style="1" min="14095" max="14095"/>
    <col width="9.14453125" customWidth="1" style="1" min="14096" max="14336"/>
    <col width="1.20703125" customWidth="1" style="1" min="14337" max="14337"/>
    <col width="31.34375" customWidth="1" style="1" min="14338" max="14338"/>
    <col width="8.47265625" bestFit="1" customWidth="1" style="1" min="14339" max="14339"/>
    <col width="6.72265625" bestFit="1" customWidth="1" style="1" min="14340" max="14341"/>
    <col width="7.53125" customWidth="1" style="1" min="14342" max="14342"/>
    <col width="11.43359375" customWidth="1" style="1" min="14343" max="14343"/>
    <col width="11.703125" customWidth="1" style="1" min="14344" max="14344"/>
    <col width="12.5078125" customWidth="1" style="1" min="14345" max="14345"/>
    <col width="14.390625" customWidth="1" style="1" min="14346" max="14347"/>
    <col width="16.8125" customWidth="1" style="1" min="14348" max="14348"/>
    <col width="15.19921875" customWidth="1" style="1" min="14349" max="14349"/>
    <col width="14.52734375" customWidth="1" style="1" min="14350" max="14350"/>
    <col width="13.046875" customWidth="1" style="1" min="14351" max="14351"/>
    <col width="9.14453125" customWidth="1" style="1" min="14352" max="14592"/>
    <col width="1.20703125" customWidth="1" style="1" min="14593" max="14593"/>
    <col width="31.34375" customWidth="1" style="1" min="14594" max="14594"/>
    <col width="8.47265625" bestFit="1" customWidth="1" style="1" min="14595" max="14595"/>
    <col width="6.72265625" bestFit="1" customWidth="1" style="1" min="14596" max="14597"/>
    <col width="7.53125" customWidth="1" style="1" min="14598" max="14598"/>
    <col width="11.43359375" customWidth="1" style="1" min="14599" max="14599"/>
    <col width="11.703125" customWidth="1" style="1" min="14600" max="14600"/>
    <col width="12.5078125" customWidth="1" style="1" min="14601" max="14601"/>
    <col width="14.390625" customWidth="1" style="1" min="14602" max="14603"/>
    <col width="16.8125" customWidth="1" style="1" min="14604" max="14604"/>
    <col width="15.19921875" customWidth="1" style="1" min="14605" max="14605"/>
    <col width="14.52734375" customWidth="1" style="1" min="14606" max="14606"/>
    <col width="13.046875" customWidth="1" style="1" min="14607" max="14607"/>
    <col width="9.14453125" customWidth="1" style="1" min="14608" max="14848"/>
    <col width="1.20703125" customWidth="1" style="1" min="14849" max="14849"/>
    <col width="31.34375" customWidth="1" style="1" min="14850" max="14850"/>
    <col width="8.47265625" bestFit="1" customWidth="1" style="1" min="14851" max="14851"/>
    <col width="6.72265625" bestFit="1" customWidth="1" style="1" min="14852" max="14853"/>
    <col width="7.53125" customWidth="1" style="1" min="14854" max="14854"/>
    <col width="11.43359375" customWidth="1" style="1" min="14855" max="14855"/>
    <col width="11.703125" customWidth="1" style="1" min="14856" max="14856"/>
    <col width="12.5078125" customWidth="1" style="1" min="14857" max="14857"/>
    <col width="14.390625" customWidth="1" style="1" min="14858" max="14859"/>
    <col width="16.8125" customWidth="1" style="1" min="14860" max="14860"/>
    <col width="15.19921875" customWidth="1" style="1" min="14861" max="14861"/>
    <col width="14.52734375" customWidth="1" style="1" min="14862" max="14862"/>
    <col width="13.046875" customWidth="1" style="1" min="14863" max="14863"/>
    <col width="9.14453125" customWidth="1" style="1" min="14864" max="15104"/>
    <col width="1.20703125" customWidth="1" style="1" min="15105" max="15105"/>
    <col width="31.34375" customWidth="1" style="1" min="15106" max="15106"/>
    <col width="8.47265625" bestFit="1" customWidth="1" style="1" min="15107" max="15107"/>
    <col width="6.72265625" bestFit="1" customWidth="1" style="1" min="15108" max="15109"/>
    <col width="7.53125" customWidth="1" style="1" min="15110" max="15110"/>
    <col width="11.43359375" customWidth="1" style="1" min="15111" max="15111"/>
    <col width="11.703125" customWidth="1" style="1" min="15112" max="15112"/>
    <col width="12.5078125" customWidth="1" style="1" min="15113" max="15113"/>
    <col width="14.390625" customWidth="1" style="1" min="15114" max="15115"/>
    <col width="16.8125" customWidth="1" style="1" min="15116" max="15116"/>
    <col width="15.19921875" customWidth="1" style="1" min="15117" max="15117"/>
    <col width="14.52734375" customWidth="1" style="1" min="15118" max="15118"/>
    <col width="13.046875" customWidth="1" style="1" min="15119" max="15119"/>
    <col width="9.14453125" customWidth="1" style="1" min="15120" max="15360"/>
    <col width="1.20703125" customWidth="1" style="1" min="15361" max="15361"/>
    <col width="31.34375" customWidth="1" style="1" min="15362" max="15362"/>
    <col width="8.47265625" bestFit="1" customWidth="1" style="1" min="15363" max="15363"/>
    <col width="6.72265625" bestFit="1" customWidth="1" style="1" min="15364" max="15365"/>
    <col width="7.53125" customWidth="1" style="1" min="15366" max="15366"/>
    <col width="11.43359375" customWidth="1" style="1" min="15367" max="15367"/>
    <col width="11.703125" customWidth="1" style="1" min="15368" max="15368"/>
    <col width="12.5078125" customWidth="1" style="1" min="15369" max="15369"/>
    <col width="14.390625" customWidth="1" style="1" min="15370" max="15371"/>
    <col width="16.8125" customWidth="1" style="1" min="15372" max="15372"/>
    <col width="15.19921875" customWidth="1" style="1" min="15373" max="15373"/>
    <col width="14.52734375" customWidth="1" style="1" min="15374" max="15374"/>
    <col width="13.046875" customWidth="1" style="1" min="15375" max="15375"/>
    <col width="9.14453125" customWidth="1" style="1" min="15376" max="15616"/>
    <col width="1.20703125" customWidth="1" style="1" min="15617" max="15617"/>
    <col width="31.34375" customWidth="1" style="1" min="15618" max="15618"/>
    <col width="8.47265625" bestFit="1" customWidth="1" style="1" min="15619" max="15619"/>
    <col width="6.72265625" bestFit="1" customWidth="1" style="1" min="15620" max="15621"/>
    <col width="7.53125" customWidth="1" style="1" min="15622" max="15622"/>
    <col width="11.43359375" customWidth="1" style="1" min="15623" max="15623"/>
    <col width="11.703125" customWidth="1" style="1" min="15624" max="15624"/>
    <col width="12.5078125" customWidth="1" style="1" min="15625" max="15625"/>
    <col width="14.390625" customWidth="1" style="1" min="15626" max="15627"/>
    <col width="16.8125" customWidth="1" style="1" min="15628" max="15628"/>
    <col width="15.19921875" customWidth="1" style="1" min="15629" max="15629"/>
    <col width="14.52734375" customWidth="1" style="1" min="15630" max="15630"/>
    <col width="13.046875" customWidth="1" style="1" min="15631" max="15631"/>
    <col width="9.14453125" customWidth="1" style="1" min="15632" max="15872"/>
    <col width="1.20703125" customWidth="1" style="1" min="15873" max="15873"/>
    <col width="31.34375" customWidth="1" style="1" min="15874" max="15874"/>
    <col width="8.47265625" bestFit="1" customWidth="1" style="1" min="15875" max="15875"/>
    <col width="6.72265625" bestFit="1" customWidth="1" style="1" min="15876" max="15877"/>
    <col width="7.53125" customWidth="1" style="1" min="15878" max="15878"/>
    <col width="11.43359375" customWidth="1" style="1" min="15879" max="15879"/>
    <col width="11.703125" customWidth="1" style="1" min="15880" max="15880"/>
    <col width="12.5078125" customWidth="1" style="1" min="15881" max="15881"/>
    <col width="14.390625" customWidth="1" style="1" min="15882" max="15883"/>
    <col width="16.8125" customWidth="1" style="1" min="15884" max="15884"/>
    <col width="15.19921875" customWidth="1" style="1" min="15885" max="15885"/>
    <col width="14.52734375" customWidth="1" style="1" min="15886" max="15886"/>
    <col width="13.046875" customWidth="1" style="1" min="15887" max="15887"/>
    <col width="9.14453125" customWidth="1" style="1" min="15888" max="16128"/>
    <col width="1.20703125" customWidth="1" style="1" min="16129" max="16129"/>
    <col width="31.34375" customWidth="1" style="1" min="16130" max="16130"/>
    <col width="8.47265625" bestFit="1" customWidth="1" style="1" min="16131" max="16131"/>
    <col width="6.72265625" bestFit="1" customWidth="1" style="1" min="16132" max="16133"/>
    <col width="7.53125" customWidth="1" style="1" min="16134" max="16134"/>
    <col width="11.43359375" customWidth="1" style="1" min="16135" max="16135"/>
    <col width="11.703125" customWidth="1" style="1" min="16136" max="16136"/>
    <col width="12.5078125" customWidth="1" style="1" min="16137" max="16137"/>
    <col width="14.390625" customWidth="1" style="1" min="16138" max="16139"/>
    <col width="16.8125" customWidth="1" style="1" min="16140" max="16140"/>
    <col width="15.19921875" customWidth="1" style="1" min="16141" max="16141"/>
    <col width="14.52734375" customWidth="1" style="1" min="16142" max="16142"/>
    <col width="13.046875" customWidth="1" style="1" min="16143" max="16143"/>
    <col width="9.14453125" customWidth="1" style="1" min="16144" max="16384"/>
  </cols>
  <sheetData>
    <row r="1" ht="15" customHeight="1">
      <c r="B1" s="2" t="inlineStr">
        <is>
          <t xml:space="preserve">Proyecto: </t>
        </is>
      </c>
    </row>
    <row r="2">
      <c r="B2" s="766" t="n"/>
    </row>
    <row r="3" ht="15" customHeight="1">
      <c r="B3" s="2" t="inlineStr">
        <is>
          <t>Gastos Generales</t>
        </is>
      </c>
    </row>
    <row r="4" ht="15" customHeight="1">
      <c r="B4" s="2" t="inlineStr">
        <is>
          <t>CIERRE DE PRESUPUESTOS</t>
        </is>
      </c>
      <c r="C4" s="4" t="n"/>
      <c r="D4" s="5" t="inlineStr">
        <is>
          <t>m2</t>
        </is>
      </c>
      <c r="J4" s="5" t="inlineStr">
        <is>
          <t>Indirectos</t>
        </is>
      </c>
    </row>
    <row r="5">
      <c r="B5" s="4" t="inlineStr">
        <is>
          <t>TC</t>
        </is>
      </c>
      <c r="C5" s="4" t="n"/>
      <c r="D5" s="5" t="n"/>
      <c r="E5" s="6" t="inlineStr">
        <is>
          <t>Dias</t>
        </is>
      </c>
      <c r="F5" s="6" t="inlineStr">
        <is>
          <t>Meses</t>
        </is>
      </c>
      <c r="G5" s="6" t="inlineStr">
        <is>
          <t>Semanas</t>
        </is>
      </c>
      <c r="J5" s="6" t="inlineStr">
        <is>
          <t>Mat</t>
        </is>
      </c>
      <c r="K5" s="6" t="inlineStr">
        <is>
          <t>MO sin cargas</t>
        </is>
      </c>
      <c r="L5" s="6" t="inlineStr">
        <is>
          <t>SUB</t>
        </is>
      </c>
    </row>
    <row r="6">
      <c r="B6" s="1" t="inlineStr">
        <is>
          <t>Plazo de xxxx a xxxx dias</t>
        </is>
      </c>
      <c r="D6" s="5" t="n"/>
      <c r="E6" s="7" t="n">
        <v>0</v>
      </c>
      <c r="F6" s="6">
        <f>+E6/30</f>
        <v/>
      </c>
      <c r="G6" s="8">
        <f>+F6*4.33</f>
        <v/>
      </c>
      <c r="J6" s="1">
        <f>SUM(J15:J89)</f>
        <v/>
      </c>
      <c r="K6" s="1">
        <f>SUM(K15:K75)</f>
        <v/>
      </c>
      <c r="L6" s="1">
        <f>SUM(L15:L89)</f>
        <v/>
      </c>
    </row>
    <row r="7" ht="15" customHeight="1">
      <c r="B7" s="9" t="n"/>
      <c r="C7" s="4" t="n"/>
      <c r="D7" s="5" t="n"/>
    </row>
    <row r="8">
      <c r="B8" s="10" t="n"/>
      <c r="C8" s="10" t="n"/>
      <c r="D8" s="11" t="n"/>
      <c r="E8" s="11" t="n"/>
      <c r="F8" s="12" t="n"/>
      <c r="G8" s="13" t="inlineStr">
        <is>
          <t>MAT.</t>
        </is>
      </c>
      <c r="H8" s="11" t="inlineStr">
        <is>
          <t>M.deO.</t>
        </is>
      </c>
      <c r="I8" s="14" t="inlineStr">
        <is>
          <t>S.C.</t>
        </is>
      </c>
      <c r="J8" s="15" t="inlineStr">
        <is>
          <t>MAT.</t>
        </is>
      </c>
      <c r="K8" s="15" t="inlineStr">
        <is>
          <t>M.deO.</t>
        </is>
      </c>
      <c r="L8" s="15" t="inlineStr">
        <is>
          <t>S.C.</t>
        </is>
      </c>
      <c r="M8" s="16" t="n"/>
    </row>
    <row r="9">
      <c r="B9" s="17" t="inlineStr">
        <is>
          <t>DESCRIPCION</t>
        </is>
      </c>
      <c r="C9" s="17" t="inlineStr">
        <is>
          <t>CANT.</t>
        </is>
      </c>
      <c r="D9" s="18" t="inlineStr">
        <is>
          <t>UNID.</t>
        </is>
      </c>
      <c r="E9" s="18" t="inlineStr">
        <is>
          <t>%</t>
        </is>
      </c>
      <c r="F9" s="19" t="inlineStr">
        <is>
          <t>TOTAL</t>
        </is>
      </c>
      <c r="G9" s="17" t="inlineStr">
        <is>
          <t>UNIT.</t>
        </is>
      </c>
      <c r="H9" s="18" t="inlineStr">
        <is>
          <t>UNIT.</t>
        </is>
      </c>
      <c r="I9" s="19" t="inlineStr">
        <is>
          <t>UNIT.</t>
        </is>
      </c>
      <c r="J9" s="20" t="inlineStr">
        <is>
          <t>TOTAL</t>
        </is>
      </c>
      <c r="K9" s="20" t="inlineStr">
        <is>
          <t>TOTAL</t>
        </is>
      </c>
      <c r="L9" s="20" t="inlineStr">
        <is>
          <t>TOTAL</t>
        </is>
      </c>
      <c r="M9" s="16" t="n"/>
    </row>
    <row r="10"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16" t="n"/>
    </row>
    <row r="11">
      <c r="B11" s="22" t="inlineStr">
        <is>
          <t>TOTAL COSTOS DIRECTOS</t>
        </is>
      </c>
      <c r="C11" s="23" t="n"/>
      <c r="D11" s="24" t="n"/>
      <c r="E11" s="23" t="n"/>
      <c r="F11" s="23" t="n"/>
      <c r="G11" s="23" t="n"/>
      <c r="H11" s="23" t="n"/>
      <c r="I11" s="23" t="n"/>
      <c r="J11" s="25" t="n"/>
      <c r="K11" s="25" t="n"/>
      <c r="L11" s="25" t="n"/>
      <c r="M11" s="16" t="n"/>
    </row>
    <row r="12">
      <c r="B12" s="26" t="inlineStr">
        <is>
          <t>Costo directo Total</t>
        </is>
      </c>
      <c r="C12" s="27" t="n">
        <v>0</v>
      </c>
      <c r="D12" s="28" t="inlineStr">
        <is>
          <t>u</t>
        </is>
      </c>
      <c r="E12" s="27" t="n">
        <v>0</v>
      </c>
      <c r="F12" s="27">
        <f>(C12*E12/100)+C12</f>
        <v/>
      </c>
      <c r="G12" s="27" t="n">
        <v>0</v>
      </c>
      <c r="H12" s="27" t="n">
        <v>0</v>
      </c>
      <c r="I12" s="27" t="n">
        <v>0</v>
      </c>
      <c r="J12" s="27">
        <f>+#REF!</f>
        <v/>
      </c>
      <c r="K12" s="27">
        <f>+#REF!</f>
        <v/>
      </c>
      <c r="L12" s="27">
        <f>+#REF!</f>
        <v/>
      </c>
      <c r="M12" s="29">
        <f>+J12+K12+L12</f>
        <v/>
      </c>
      <c r="N12" s="1">
        <f>+M12*L104</f>
        <v/>
      </c>
    </row>
    <row r="13">
      <c r="B13" s="30" t="n"/>
      <c r="C13" s="23" t="n"/>
      <c r="D13" s="24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31" t="n"/>
      <c r="N13" s="32" t="n"/>
    </row>
    <row r="14">
      <c r="B14" s="22" t="inlineStr">
        <is>
          <t>INDIRECTOS DE CAMPO</t>
        </is>
      </c>
      <c r="C14" s="23" t="n">
        <v>0</v>
      </c>
      <c r="D14" s="24" t="inlineStr">
        <is>
          <t>sem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16" t="n"/>
    </row>
    <row r="15">
      <c r="B15" s="26" t="inlineStr">
        <is>
          <t>Pick up proveeduría</t>
        </is>
      </c>
      <c r="C15" s="27" t="n">
        <v>0</v>
      </c>
      <c r="D15" s="28" t="inlineStr">
        <is>
          <t>viajes</t>
        </is>
      </c>
      <c r="E15" s="27" t="n">
        <v>0</v>
      </c>
      <c r="F15" s="27">
        <f>(C15*E15/100)+C15</f>
        <v/>
      </c>
      <c r="G15" s="27" t="n"/>
      <c r="H15" s="27" t="n">
        <v>0</v>
      </c>
      <c r="I15" s="27" t="n">
        <v>30000</v>
      </c>
      <c r="J15" s="27">
        <f>+C15*G15</f>
        <v/>
      </c>
      <c r="K15" s="27">
        <f>+C15*H15</f>
        <v/>
      </c>
      <c r="L15" s="27">
        <f>+C15*I15</f>
        <v/>
      </c>
      <c r="M15" s="33">
        <f>+SUM(J15:L15)</f>
        <v/>
      </c>
    </row>
    <row r="16">
      <c r="B16" s="26" t="inlineStr">
        <is>
          <t>Traslado agregados</t>
        </is>
      </c>
      <c r="C16" s="27" t="n">
        <v>0</v>
      </c>
      <c r="D16" s="28" t="inlineStr">
        <is>
          <t>m3</t>
        </is>
      </c>
      <c r="E16" s="27" t="n">
        <v>0</v>
      </c>
      <c r="F16" s="27">
        <f>(C16*E16/100)+C16</f>
        <v/>
      </c>
      <c r="G16" s="27" t="n"/>
      <c r="H16" s="27" t="n">
        <v>0</v>
      </c>
      <c r="I16" s="27" t="n">
        <v>4750</v>
      </c>
      <c r="J16" s="27">
        <f>+C16*G16</f>
        <v/>
      </c>
      <c r="K16" s="27">
        <f>+C16*H16</f>
        <v/>
      </c>
      <c r="L16" s="27">
        <f>+C16*I16</f>
        <v/>
      </c>
      <c r="M16" s="33">
        <f>+SUM(J16:L16)</f>
        <v/>
      </c>
    </row>
    <row r="17">
      <c r="B17" s="26" t="inlineStr">
        <is>
          <t>Traslado cemento</t>
        </is>
      </c>
      <c r="C17" s="34" t="n">
        <v>0</v>
      </c>
      <c r="D17" s="28" t="inlineStr">
        <is>
          <t>sacos</t>
        </is>
      </c>
      <c r="E17" s="27" t="n">
        <v>0</v>
      </c>
      <c r="F17" s="27">
        <f>(C17*E17/100)+C17</f>
        <v/>
      </c>
      <c r="G17" s="27" t="n"/>
      <c r="H17" s="27" t="n">
        <v>0</v>
      </c>
      <c r="I17" s="27" t="n">
        <v>450</v>
      </c>
      <c r="J17" s="27">
        <f>+C17*G17</f>
        <v/>
      </c>
      <c r="K17" s="27">
        <f>+C17*H17</f>
        <v/>
      </c>
      <c r="L17" s="27">
        <f>+C17*I17</f>
        <v/>
      </c>
      <c r="M17" s="33">
        <f>+SUM(J17:L17)</f>
        <v/>
      </c>
    </row>
    <row r="18">
      <c r="B18" s="26" t="inlineStr">
        <is>
          <t>Traslado block 12</t>
        </is>
      </c>
      <c r="C18" s="34" t="n">
        <v>0</v>
      </c>
      <c r="D18" s="28" t="inlineStr">
        <is>
          <t>block</t>
        </is>
      </c>
      <c r="E18" s="27" t="n">
        <v>0</v>
      </c>
      <c r="F18" s="27">
        <f>(C18*E18/100)+C18</f>
        <v/>
      </c>
      <c r="G18" s="27" t="n"/>
      <c r="H18" s="27" t="n">
        <v>0</v>
      </c>
      <c r="I18" s="27" t="n">
        <v>30</v>
      </c>
      <c r="J18" s="27">
        <f>+C18*G18</f>
        <v/>
      </c>
      <c r="K18" s="27">
        <f>+C18*H18</f>
        <v/>
      </c>
      <c r="L18" s="27">
        <f>+C18*I18</f>
        <v/>
      </c>
      <c r="M18" s="33">
        <f>+SUM(J18:L18)</f>
        <v/>
      </c>
    </row>
    <row r="19">
      <c r="B19" s="26" t="inlineStr">
        <is>
          <t>Traslado block 15</t>
        </is>
      </c>
      <c r="C19" s="34" t="n">
        <v>0</v>
      </c>
      <c r="D19" s="28" t="inlineStr">
        <is>
          <t>block</t>
        </is>
      </c>
      <c r="E19" s="27" t="n">
        <v>0</v>
      </c>
      <c r="F19" s="27">
        <f>(C19*E19/100)+C19</f>
        <v/>
      </c>
      <c r="G19" s="27" t="n"/>
      <c r="H19" s="27" t="n">
        <v>0</v>
      </c>
      <c r="I19" s="27" t="n">
        <v>40</v>
      </c>
      <c r="J19" s="27">
        <f>+C19*G19</f>
        <v/>
      </c>
      <c r="K19" s="27">
        <f>+C19*H19</f>
        <v/>
      </c>
      <c r="L19" s="27">
        <f>+C19*I19</f>
        <v/>
      </c>
      <c r="M19" s="33">
        <f>+SUM(J19:L19)</f>
        <v/>
      </c>
    </row>
    <row r="20">
      <c r="B20" s="26" t="inlineStr">
        <is>
          <t>Traslado block 20</t>
        </is>
      </c>
      <c r="C20" s="34" t="n">
        <v>0</v>
      </c>
      <c r="D20" s="28" t="inlineStr">
        <is>
          <t>block</t>
        </is>
      </c>
      <c r="E20" s="27" t="n">
        <v>0</v>
      </c>
      <c r="F20" s="27">
        <f>(C20*E20/100)+C20</f>
        <v/>
      </c>
      <c r="G20" s="27" t="n"/>
      <c r="H20" s="27" t="n">
        <v>0</v>
      </c>
      <c r="I20" s="27" t="n">
        <v>50</v>
      </c>
      <c r="J20" s="27">
        <f>+C20*G20</f>
        <v/>
      </c>
      <c r="K20" s="27">
        <f>+C20*H20</f>
        <v/>
      </c>
      <c r="L20" s="27">
        <f>+C20*I20</f>
        <v/>
      </c>
      <c r="M20" s="33">
        <f>+SUM(J20:L20)</f>
        <v/>
      </c>
    </row>
    <row r="21">
      <c r="B21" s="26" t="inlineStr">
        <is>
          <t xml:space="preserve">Traslado varillas </t>
        </is>
      </c>
      <c r="C21" s="27" t="n">
        <v>0</v>
      </c>
      <c r="D21" s="28" t="inlineStr">
        <is>
          <t>kg.</t>
        </is>
      </c>
      <c r="E21" s="27" t="n">
        <v>0</v>
      </c>
      <c r="F21" s="27">
        <f>(C21*E21/100)+C21</f>
        <v/>
      </c>
      <c r="G21" s="27" t="n"/>
      <c r="H21" s="27" t="n">
        <v>0</v>
      </c>
      <c r="I21" s="27" t="n">
        <v>30</v>
      </c>
      <c r="J21" s="27">
        <f>+C21*G21</f>
        <v/>
      </c>
      <c r="K21" s="27">
        <f>+C21*H21</f>
        <v/>
      </c>
      <c r="L21" s="27">
        <f>+C21*I21</f>
        <v/>
      </c>
      <c r="M21" s="33">
        <f>+SUM(J21:L21)</f>
        <v/>
      </c>
    </row>
    <row r="22">
      <c r="B22" s="26" t="inlineStr">
        <is>
          <t>Transporte de personal en bus 10 personas</t>
        </is>
      </c>
      <c r="C22" s="27" t="n">
        <v>0</v>
      </c>
      <c r="D22" s="28" t="inlineStr">
        <is>
          <t>hora</t>
        </is>
      </c>
      <c r="E22" s="27" t="n">
        <v>0</v>
      </c>
      <c r="F22" s="27">
        <f>(C22*E22/100)+C22</f>
        <v/>
      </c>
      <c r="G22" s="27" t="n"/>
      <c r="H22" s="27" t="n">
        <v>0</v>
      </c>
      <c r="I22" s="27" t="n">
        <v>25000</v>
      </c>
      <c r="J22" s="27">
        <f>+C22*G22</f>
        <v/>
      </c>
      <c r="K22" s="27">
        <f>+C22*H22</f>
        <v/>
      </c>
      <c r="L22" s="27">
        <f>+C22*I22</f>
        <v/>
      </c>
      <c r="M22" s="33">
        <f>+SUM(J22:L22)</f>
        <v/>
      </c>
    </row>
    <row r="23">
      <c r="B23" s="26" t="inlineStr">
        <is>
          <t>Maestro de obras</t>
        </is>
      </c>
      <c r="C23" s="27" t="n">
        <v>0</v>
      </c>
      <c r="D23" s="28" t="inlineStr">
        <is>
          <t>gb</t>
        </is>
      </c>
      <c r="E23" s="27" t="n">
        <v>1</v>
      </c>
      <c r="F23" s="27">
        <f>+C23*E23</f>
        <v/>
      </c>
      <c r="G23" s="27" t="n"/>
      <c r="H23" s="27" t="n"/>
      <c r="I23" s="27" t="n">
        <v>3600000</v>
      </c>
      <c r="J23" s="27">
        <f>+C23*G23</f>
        <v/>
      </c>
      <c r="K23" s="27">
        <f>+C23*H23</f>
        <v/>
      </c>
      <c r="L23" s="27">
        <f>+C23*I23</f>
        <v/>
      </c>
      <c r="M23" s="33">
        <f>+SUM(J23:L23)</f>
        <v/>
      </c>
    </row>
    <row r="24">
      <c r="B24" s="26" t="inlineStr">
        <is>
          <t>Bonificacion</t>
        </is>
      </c>
      <c r="C24" s="27" t="n">
        <v>0</v>
      </c>
      <c r="D24" s="28" t="inlineStr">
        <is>
          <t>gb</t>
        </is>
      </c>
      <c r="E24" s="27" t="n">
        <v>0</v>
      </c>
      <c r="F24" s="27">
        <f>(C24*E24/100)+C24</f>
        <v/>
      </c>
      <c r="G24" s="27" t="n">
        <v>0</v>
      </c>
      <c r="H24" s="27" t="n"/>
      <c r="I24" s="27" t="n">
        <v>900000</v>
      </c>
      <c r="J24" s="27">
        <f>+C24*G24</f>
        <v/>
      </c>
      <c r="K24" s="27">
        <f>+C24*H24</f>
        <v/>
      </c>
      <c r="L24" s="27">
        <f>+C24*I24</f>
        <v/>
      </c>
      <c r="M24" s="33">
        <f>+SUM(J24:L24)</f>
        <v/>
      </c>
    </row>
    <row r="25">
      <c r="B25" s="26" t="inlineStr">
        <is>
          <t>Guarda (1)</t>
        </is>
      </c>
      <c r="C25" s="27" t="n">
        <v>0</v>
      </c>
      <c r="D25" s="28" t="inlineStr">
        <is>
          <t>mes</t>
        </is>
      </c>
      <c r="E25" s="27" t="n">
        <v>0</v>
      </c>
      <c r="F25" s="27">
        <f>(C25*E25/100)+C25</f>
        <v/>
      </c>
      <c r="G25" s="27" t="n">
        <v>0</v>
      </c>
      <c r="H25" s="27" t="n"/>
      <c r="I25" s="27" t="n">
        <v>0</v>
      </c>
      <c r="J25" s="27">
        <f>+C25*G25</f>
        <v/>
      </c>
      <c r="K25" s="27">
        <f>+C25*H25</f>
        <v/>
      </c>
      <c r="L25" s="27">
        <f>+C25*I25</f>
        <v/>
      </c>
      <c r="M25" s="33">
        <f>+SUM(J25:L25)</f>
        <v/>
      </c>
    </row>
    <row r="26">
      <c r="B26" s="26" t="inlineStr">
        <is>
          <t xml:space="preserve">Limpieza </t>
        </is>
      </c>
      <c r="C26" s="27" t="n">
        <v>0</v>
      </c>
      <c r="D26" s="28" t="inlineStr">
        <is>
          <t>hr.</t>
        </is>
      </c>
      <c r="E26" s="27" t="n">
        <v>0</v>
      </c>
      <c r="F26" s="27">
        <f>+C26</f>
        <v/>
      </c>
      <c r="G26" s="27" t="n">
        <v>0</v>
      </c>
      <c r="H26" s="27" t="n"/>
      <c r="I26" s="27" t="n">
        <v>500000</v>
      </c>
      <c r="J26" s="27">
        <f>+C26*G26</f>
        <v/>
      </c>
      <c r="K26" s="27">
        <f>+C26*H26</f>
        <v/>
      </c>
      <c r="L26" s="27">
        <f>+C26*I26</f>
        <v/>
      </c>
      <c r="M26" s="33">
        <f>+SUM(J26:L26)</f>
        <v/>
      </c>
    </row>
    <row r="27">
      <c r="B27" s="26" t="inlineStr">
        <is>
          <t>Topografo 1 hr/día</t>
        </is>
      </c>
      <c r="C27" s="27" t="n">
        <v>0</v>
      </c>
      <c r="D27" s="28" t="inlineStr">
        <is>
          <t>hr.</t>
        </is>
      </c>
      <c r="E27" s="27" t="n">
        <v>0</v>
      </c>
      <c r="F27" s="27">
        <f>+C27</f>
        <v/>
      </c>
      <c r="G27" s="27" t="n"/>
      <c r="H27" s="27" t="n"/>
      <c r="I27" s="27" t="n">
        <v>5830</v>
      </c>
      <c r="J27" s="27">
        <f>+C27*G27</f>
        <v/>
      </c>
      <c r="K27" s="27">
        <f>+C27*H27</f>
        <v/>
      </c>
      <c r="L27" s="27">
        <f>+C27*I27</f>
        <v/>
      </c>
      <c r="M27" s="33">
        <f>+SUM(J27:L27)</f>
        <v/>
      </c>
    </row>
    <row r="28">
      <c r="B28" s="26" t="inlineStr">
        <is>
          <t>Ayudante de Topografo 2 hr/día</t>
        </is>
      </c>
      <c r="C28" s="27" t="n">
        <v>0</v>
      </c>
      <c r="D28" s="28" t="inlineStr">
        <is>
          <t>hr.</t>
        </is>
      </c>
      <c r="E28" s="27" t="n">
        <v>0</v>
      </c>
      <c r="F28" s="27">
        <f>+C28</f>
        <v/>
      </c>
      <c r="G28" s="27" t="n"/>
      <c r="H28" s="27" t="n"/>
      <c r="I28" s="27" t="n">
        <v>2450</v>
      </c>
      <c r="J28" s="27">
        <f>+C28*G28</f>
        <v/>
      </c>
      <c r="K28" s="27">
        <f>+C28*H28</f>
        <v/>
      </c>
      <c r="L28" s="27">
        <f>+C28*I28</f>
        <v/>
      </c>
      <c r="M28" s="33">
        <f>+SUM(J28:L28)</f>
        <v/>
      </c>
    </row>
    <row r="29">
      <c r="B29" s="26" t="inlineStr">
        <is>
          <t>Bodeguero</t>
        </is>
      </c>
      <c r="C29" s="27" t="n">
        <v>0</v>
      </c>
      <c r="D29" s="28" t="inlineStr">
        <is>
          <t>mes</t>
        </is>
      </c>
      <c r="E29" s="27" t="n">
        <v>1</v>
      </c>
      <c r="F29" s="27">
        <f>+C29*E29</f>
        <v/>
      </c>
      <c r="G29" s="27" t="n"/>
      <c r="H29" s="27">
        <f>1500*58*4.33</f>
        <v/>
      </c>
      <c r="I29" s="27" t="n">
        <v>0</v>
      </c>
      <c r="J29" s="27">
        <f>+C29*G29</f>
        <v/>
      </c>
      <c r="K29" s="27">
        <f>+C29*H29</f>
        <v/>
      </c>
      <c r="L29" s="27">
        <f>+C29*I29</f>
        <v/>
      </c>
      <c r="M29" s="33">
        <f>+SUM(J29:L29)</f>
        <v/>
      </c>
    </row>
    <row r="30">
      <c r="B30" s="35" t="inlineStr">
        <is>
          <t>Ingeniero Director</t>
        </is>
      </c>
      <c r="C30" s="27" t="n">
        <v>0</v>
      </c>
      <c r="D30" s="28" t="inlineStr">
        <is>
          <t>mes</t>
        </is>
      </c>
      <c r="E30" s="27" t="n">
        <v>1</v>
      </c>
      <c r="F30" s="27">
        <f>+C30*E30</f>
        <v/>
      </c>
      <c r="G30" s="27" t="n">
        <v>0</v>
      </c>
      <c r="H30" s="27" t="n">
        <v>0</v>
      </c>
      <c r="I30" s="27" t="n">
        <v>2350000</v>
      </c>
      <c r="J30" s="27">
        <f>+C30*G30</f>
        <v/>
      </c>
      <c r="K30" s="27">
        <f>+C30*H30</f>
        <v/>
      </c>
      <c r="L30" s="27">
        <f>+C30*I30</f>
        <v/>
      </c>
      <c r="M30" s="33">
        <f>+SUM(J30:L30)</f>
        <v/>
      </c>
      <c r="N30" s="1" t="inlineStr">
        <is>
          <t>Salarios ingeniero</t>
        </is>
      </c>
    </row>
    <row r="31">
      <c r="B31" s="35" t="inlineStr">
        <is>
          <t>Ingeniero o Arquitecto</t>
        </is>
      </c>
      <c r="C31" s="27" t="n">
        <v>0</v>
      </c>
      <c r="D31" s="28" t="inlineStr">
        <is>
          <t>mes</t>
        </is>
      </c>
      <c r="E31" s="27" t="n">
        <v>1</v>
      </c>
      <c r="F31" s="27">
        <f>+C31*E31</f>
        <v/>
      </c>
      <c r="G31" s="27" t="n"/>
      <c r="H31" s="27" t="n">
        <v>800000</v>
      </c>
      <c r="I31" s="27" t="n">
        <v>0</v>
      </c>
      <c r="J31" s="27">
        <f>+C31*G31</f>
        <v/>
      </c>
      <c r="K31" s="27">
        <f>+C31*H31</f>
        <v/>
      </c>
      <c r="L31" s="27">
        <f>+C31*I31</f>
        <v/>
      </c>
      <c r="M31" s="33">
        <f>+SUM(J31:L31)</f>
        <v/>
      </c>
    </row>
    <row r="32">
      <c r="B32" s="35" t="inlineStr">
        <is>
          <t>Ingeniero electromecanico</t>
        </is>
      </c>
      <c r="C32" s="27" t="n">
        <v>0</v>
      </c>
      <c r="D32" s="28" t="inlineStr">
        <is>
          <t>mes</t>
        </is>
      </c>
      <c r="E32" s="27" t="n">
        <v>1</v>
      </c>
      <c r="F32" s="27">
        <f>+C32*E32</f>
        <v/>
      </c>
      <c r="G32" s="27" t="n"/>
      <c r="H32" s="27" t="n">
        <v>95000</v>
      </c>
      <c r="I32" s="27" t="n">
        <v>0</v>
      </c>
      <c r="J32" s="27">
        <f>+C32*G32</f>
        <v/>
      </c>
      <c r="K32" s="27">
        <f>+C32*H32</f>
        <v/>
      </c>
      <c r="L32" s="27">
        <f>+C32*I32</f>
        <v/>
      </c>
      <c r="M32" s="33">
        <f>+SUM(J32:L32)</f>
        <v/>
      </c>
    </row>
    <row r="33">
      <c r="B33" s="35" t="inlineStr">
        <is>
          <t>Ingeniero electromecanico</t>
        </is>
      </c>
      <c r="C33" s="27" t="n">
        <v>0</v>
      </c>
      <c r="D33" s="28" t="inlineStr">
        <is>
          <t>mes</t>
        </is>
      </c>
      <c r="E33" s="27" t="n">
        <v>1</v>
      </c>
      <c r="F33" s="27">
        <f>+C33*E33</f>
        <v/>
      </c>
      <c r="G33" s="27" t="n"/>
      <c r="H33" s="27" t="n">
        <v>95000</v>
      </c>
      <c r="I33" s="27" t="n">
        <v>0</v>
      </c>
      <c r="J33" s="27">
        <f>+C33*G33</f>
        <v/>
      </c>
      <c r="K33" s="27">
        <f>+C33*H33</f>
        <v/>
      </c>
      <c r="L33" s="27">
        <f>+C33*I33</f>
        <v/>
      </c>
      <c r="M33" s="33">
        <f>+SUM(J33:L33)</f>
        <v/>
      </c>
    </row>
    <row r="34">
      <c r="B34" s="35" t="inlineStr">
        <is>
          <t>Ingeniero Regente ambiental</t>
        </is>
      </c>
      <c r="C34" s="27" t="n">
        <v>0</v>
      </c>
      <c r="D34" s="28" t="inlineStr">
        <is>
          <t>mes</t>
        </is>
      </c>
      <c r="E34" s="27" t="n">
        <v>1</v>
      </c>
      <c r="F34" s="27">
        <f>+C34*E34</f>
        <v/>
      </c>
      <c r="G34" s="27" t="n"/>
      <c r="H34" s="27">
        <f>+(1500*tc)</f>
        <v/>
      </c>
      <c r="I34" s="27" t="n">
        <v>0</v>
      </c>
      <c r="J34" s="27">
        <f>+C34*G34</f>
        <v/>
      </c>
      <c r="K34" s="27">
        <f>+C34*H34</f>
        <v/>
      </c>
      <c r="L34" s="27">
        <f>+C34*I34</f>
        <v/>
      </c>
      <c r="M34" s="33">
        <f>+SUM(J34:L34)</f>
        <v/>
      </c>
    </row>
    <row r="35">
      <c r="B35" s="26" t="inlineStr">
        <is>
          <t>Agua</t>
        </is>
      </c>
      <c r="C35" s="27" t="n">
        <v>0</v>
      </c>
      <c r="D35" s="28" t="inlineStr">
        <is>
          <t>mes</t>
        </is>
      </c>
      <c r="E35" s="27" t="n">
        <v>0</v>
      </c>
      <c r="F35" s="27">
        <f>(C35*E35/100)+C35</f>
        <v/>
      </c>
      <c r="G35" s="27" t="n"/>
      <c r="H35" s="27" t="n"/>
      <c r="I35" s="27" t="n">
        <v>45000</v>
      </c>
      <c r="J35" s="27">
        <f>+C35*G35</f>
        <v/>
      </c>
      <c r="K35" s="27">
        <f>+C35*H35</f>
        <v/>
      </c>
      <c r="L35" s="27">
        <f>+C35*I35</f>
        <v/>
      </c>
      <c r="M35" s="33">
        <f>+SUM(J35:L35)</f>
        <v/>
      </c>
    </row>
    <row r="36">
      <c r="B36" s="26" t="inlineStr">
        <is>
          <t>Energía eléctrica</t>
        </is>
      </c>
      <c r="C36" s="27" t="n">
        <v>0</v>
      </c>
      <c r="D36" s="28" t="inlineStr">
        <is>
          <t>mes</t>
        </is>
      </c>
      <c r="E36" s="27" t="n">
        <v>0</v>
      </c>
      <c r="F36" s="27">
        <f>(C36*E36/100)+C36</f>
        <v/>
      </c>
      <c r="G36" s="27" t="n"/>
      <c r="H36" s="27" t="n"/>
      <c r="I36" s="27" t="n">
        <v>45000</v>
      </c>
      <c r="J36" s="27">
        <f>+C36*G36</f>
        <v/>
      </c>
      <c r="K36" s="27">
        <f>+C36*H36</f>
        <v/>
      </c>
      <c r="L36" s="27">
        <f>+C36*I36</f>
        <v/>
      </c>
      <c r="M36" s="33">
        <f>+SUM(J36:L36)</f>
        <v/>
      </c>
    </row>
    <row r="37">
      <c r="B37" s="26" t="inlineStr">
        <is>
          <t>Rotulacion</t>
        </is>
      </c>
      <c r="C37" s="27" t="n">
        <v>0</v>
      </c>
      <c r="D37" s="28" t="inlineStr">
        <is>
          <t>un</t>
        </is>
      </c>
      <c r="E37" s="27" t="n">
        <v>0</v>
      </c>
      <c r="F37" s="27">
        <f>(C37*E37/100)+C37</f>
        <v/>
      </c>
      <c r="G37" s="27" t="n"/>
      <c r="H37" s="27" t="n"/>
      <c r="I37" s="27" t="n">
        <v>150000</v>
      </c>
      <c r="J37" s="27">
        <f>+C37*G37</f>
        <v/>
      </c>
      <c r="K37" s="27">
        <f>+C37*H37</f>
        <v/>
      </c>
      <c r="L37" s="27">
        <f>+C37*I37</f>
        <v/>
      </c>
      <c r="M37" s="33">
        <f>+SUM(J37:L37)</f>
        <v/>
      </c>
    </row>
    <row r="38">
      <c r="B38" s="22" t="inlineStr">
        <is>
          <t>ZONAJE</t>
        </is>
      </c>
      <c r="C38" s="23" t="n"/>
      <c r="D38" s="24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16" t="n"/>
    </row>
    <row r="39">
      <c r="B39" s="26" t="inlineStr">
        <is>
          <t>Traslados Quin. personal SJ</t>
        </is>
      </c>
      <c r="C39" s="27" t="n">
        <v>0</v>
      </c>
      <c r="D39" s="28" t="inlineStr">
        <is>
          <t>viaje</t>
        </is>
      </c>
      <c r="E39" s="27" t="n">
        <v>0</v>
      </c>
      <c r="F39" s="27" t="n">
        <v>1</v>
      </c>
      <c r="G39" s="27" t="n"/>
      <c r="H39" s="27" t="n"/>
      <c r="I39" s="27" t="n">
        <v>1000</v>
      </c>
      <c r="J39" s="27">
        <f>+C39*G39</f>
        <v/>
      </c>
      <c r="K39" s="27">
        <f>+C39*H39</f>
        <v/>
      </c>
      <c r="L39" s="27">
        <f>+C39*I39</f>
        <v/>
      </c>
      <c r="M39" s="33">
        <f>+SUM(J39:L39)</f>
        <v/>
      </c>
    </row>
    <row r="40">
      <c r="B40" s="26" t="inlineStr">
        <is>
          <t>Alquiler casa</t>
        </is>
      </c>
      <c r="C40" s="27" t="n">
        <v>0</v>
      </c>
      <c r="D40" s="28" t="inlineStr">
        <is>
          <t>mes</t>
        </is>
      </c>
      <c r="E40" s="27" t="n">
        <v>0</v>
      </c>
      <c r="F40" s="27">
        <f>(C40*E40/100)+C40</f>
        <v/>
      </c>
      <c r="G40" s="27" t="n"/>
      <c r="H40" s="27" t="n"/>
      <c r="I40" s="27" t="n">
        <v>350000</v>
      </c>
      <c r="J40" s="27">
        <f>+C40*G40</f>
        <v/>
      </c>
      <c r="K40" s="27">
        <f>+C40*H40</f>
        <v/>
      </c>
      <c r="L40" s="27">
        <f>+C40*I40</f>
        <v/>
      </c>
      <c r="M40" s="33">
        <f>+SUM(J40:L40)</f>
        <v/>
      </c>
    </row>
    <row r="41">
      <c r="B41" s="26" t="inlineStr">
        <is>
          <t>Traslados ingenieros 2 ingenieros</t>
        </is>
      </c>
      <c r="C41" s="27" t="n">
        <v>0</v>
      </c>
      <c r="D41" s="28" t="inlineStr">
        <is>
          <t>mes</t>
        </is>
      </c>
      <c r="E41" s="27" t="n">
        <v>0</v>
      </c>
      <c r="F41" s="27">
        <f>(C41*E41/100)+C41</f>
        <v/>
      </c>
      <c r="G41" s="27" t="n"/>
      <c r="H41" s="27" t="n"/>
      <c r="I41" s="27" t="n">
        <v>85000</v>
      </c>
      <c r="J41" s="27">
        <f>+C41*G41</f>
        <v/>
      </c>
      <c r="K41" s="27">
        <f>+C41*H41</f>
        <v/>
      </c>
      <c r="L41" s="27">
        <f>+C41*I41</f>
        <v/>
      </c>
      <c r="M41" s="33">
        <f>+SUM(J41:L41)</f>
        <v/>
      </c>
    </row>
    <row r="42">
      <c r="B42" s="26" t="inlineStr">
        <is>
          <t>Otros rendimiento</t>
        </is>
      </c>
      <c r="C42" s="27" t="n">
        <v>0</v>
      </c>
      <c r="D42" s="28" t="inlineStr">
        <is>
          <t>gl</t>
        </is>
      </c>
      <c r="E42" s="27" t="n">
        <v>0</v>
      </c>
      <c r="F42" s="27">
        <f>(C42*E42/100)+C42</f>
        <v/>
      </c>
      <c r="G42" s="27" t="n"/>
      <c r="H42" s="27" t="n"/>
      <c r="I42" s="27" t="n">
        <v>100000</v>
      </c>
      <c r="J42" s="27">
        <f>+C42*G42</f>
        <v/>
      </c>
      <c r="K42" s="27">
        <f>+C42*H42</f>
        <v/>
      </c>
      <c r="L42" s="27">
        <f>+C42*I42</f>
        <v/>
      </c>
      <c r="M42" s="33">
        <f>+SUM(J42:L42)</f>
        <v/>
      </c>
    </row>
    <row r="43">
      <c r="B43" s="26" t="inlineStr">
        <is>
          <t>Alimentación personal</t>
        </is>
      </c>
      <c r="C43" s="27" t="n">
        <v>0</v>
      </c>
      <c r="D43" s="28" t="inlineStr">
        <is>
          <t>comidas</t>
        </is>
      </c>
      <c r="E43" s="27" t="n">
        <v>0</v>
      </c>
      <c r="F43" s="27">
        <f>(C43*E43/100)+C43</f>
        <v/>
      </c>
      <c r="G43" s="27" t="n"/>
      <c r="H43" s="27" t="n"/>
      <c r="I43" s="27" t="n">
        <v>0</v>
      </c>
      <c r="J43" s="27">
        <f>+C43*G43</f>
        <v/>
      </c>
      <c r="K43" s="27">
        <f>+C43*H43</f>
        <v/>
      </c>
      <c r="L43" s="27">
        <f>+C43*I43</f>
        <v/>
      </c>
      <c r="M43" s="33">
        <f>+SUM(J43:L43)</f>
        <v/>
      </c>
    </row>
    <row r="44">
      <c r="B44" s="26" t="inlineStr">
        <is>
          <t>Acarreos especiales</t>
        </is>
      </c>
      <c r="C44" s="27" t="n">
        <v>0</v>
      </c>
      <c r="D44" s="28" t="inlineStr">
        <is>
          <t>viaje</t>
        </is>
      </c>
      <c r="E44" s="27" t="n">
        <v>0</v>
      </c>
      <c r="F44" s="27">
        <f>(C44*E44/100)+C44</f>
        <v/>
      </c>
      <c r="G44" s="27" t="n"/>
      <c r="H44" s="27" t="n"/>
      <c r="I44" s="27" t="n">
        <v>25000</v>
      </c>
      <c r="J44" s="27">
        <f>+C44*G44</f>
        <v/>
      </c>
      <c r="K44" s="27">
        <f>+C44*H44</f>
        <v/>
      </c>
      <c r="L44" s="27">
        <f>+C44*I44</f>
        <v/>
      </c>
      <c r="M44" s="33">
        <f>+SUM(J44:L44)</f>
        <v/>
      </c>
    </row>
    <row r="45">
      <c r="B45" s="22" t="inlineStr">
        <is>
          <t>INSTALACIONES PROVISIONALES</t>
        </is>
      </c>
      <c r="C45" s="23" t="n"/>
      <c r="D45" s="24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16" t="n"/>
    </row>
    <row r="46">
      <c r="B46" s="26" t="inlineStr">
        <is>
          <t xml:space="preserve">Bodega </t>
        </is>
      </c>
      <c r="C46" s="27" t="n">
        <v>0</v>
      </c>
      <c r="D46" s="28" t="inlineStr">
        <is>
          <t>gl</t>
        </is>
      </c>
      <c r="E46" s="27" t="n">
        <v>0</v>
      </c>
      <c r="F46" s="27">
        <f>(C46*E46/100)+C46</f>
        <v/>
      </c>
      <c r="G46" s="27" t="n">
        <v>10000</v>
      </c>
      <c r="H46" s="27" t="n">
        <v>25000</v>
      </c>
      <c r="I46" s="27" t="n"/>
      <c r="J46" s="27">
        <f>+C46*G46</f>
        <v/>
      </c>
      <c r="K46" s="27">
        <f>+C46*H46</f>
        <v/>
      </c>
      <c r="L46" s="27">
        <f>+C46*I46</f>
        <v/>
      </c>
      <c r="M46" s="33">
        <f>+SUM(J46:L46)</f>
        <v/>
      </c>
    </row>
    <row r="47">
      <c r="B47" s="26" t="inlineStr">
        <is>
          <t>prevista elèctrica prov</t>
        </is>
      </c>
      <c r="C47" s="27" t="n">
        <v>0</v>
      </c>
      <c r="D47" s="28" t="inlineStr">
        <is>
          <t>gl</t>
        </is>
      </c>
      <c r="E47" s="27" t="n">
        <v>0</v>
      </c>
      <c r="F47" s="27">
        <f>(C47*E47/100)+C47</f>
        <v/>
      </c>
      <c r="G47" s="27" t="n">
        <v>30000</v>
      </c>
      <c r="H47" s="27" t="n">
        <v>20000</v>
      </c>
      <c r="I47" s="27" t="n"/>
      <c r="J47" s="27">
        <f>+C47*G47</f>
        <v/>
      </c>
      <c r="K47" s="27">
        <f>+C47*H47</f>
        <v/>
      </c>
      <c r="L47" s="27">
        <f>+C47*I47</f>
        <v/>
      </c>
      <c r="M47" s="33">
        <f>+SUM(J47:L47)</f>
        <v/>
      </c>
    </row>
    <row r="48">
      <c r="B48" s="26" t="inlineStr">
        <is>
          <t>Comedor-cocina</t>
        </is>
      </c>
      <c r="C48" s="27" t="n">
        <v>0</v>
      </c>
      <c r="D48" s="28" t="inlineStr">
        <is>
          <t>gl</t>
        </is>
      </c>
      <c r="E48" s="27" t="n">
        <v>0</v>
      </c>
      <c r="F48" s="27">
        <f>(C48*E48/100)+C48</f>
        <v/>
      </c>
      <c r="G48" s="27" t="n">
        <v>70000</v>
      </c>
      <c r="H48" s="27" t="n">
        <v>30000</v>
      </c>
      <c r="I48" s="27" t="n"/>
      <c r="J48" s="27">
        <f>+C48*G48</f>
        <v/>
      </c>
      <c r="K48" s="27">
        <f>+C48*H48</f>
        <v/>
      </c>
      <c r="L48" s="27">
        <f>+C48*I48</f>
        <v/>
      </c>
      <c r="M48" s="33">
        <f>+SUM(J48:L48)</f>
        <v/>
      </c>
    </row>
    <row r="49">
      <c r="B49" s="26" t="inlineStr">
        <is>
          <t>Oficinas inspección</t>
        </is>
      </c>
      <c r="C49" s="27" t="n">
        <v>0</v>
      </c>
      <c r="D49" s="28" t="inlineStr">
        <is>
          <t>gl</t>
        </is>
      </c>
      <c r="E49" s="27" t="n">
        <v>0</v>
      </c>
      <c r="F49" s="27">
        <f>(C49*E49/100)+C49</f>
        <v/>
      </c>
      <c r="G49" s="27" t="n">
        <v>100000</v>
      </c>
      <c r="H49" s="27" t="n">
        <v>50000</v>
      </c>
      <c r="I49" s="27" t="n"/>
      <c r="J49" s="27">
        <f>+C49*G49</f>
        <v/>
      </c>
      <c r="K49" s="27">
        <f>+C49*H49</f>
        <v/>
      </c>
      <c r="L49" s="27">
        <f>+C49*I49</f>
        <v/>
      </c>
      <c r="M49" s="33">
        <f>+SUM(J49:L49)</f>
        <v/>
      </c>
    </row>
    <row r="50">
      <c r="B50" s="26" t="inlineStr">
        <is>
          <t>Cerramientos provisionales</t>
        </is>
      </c>
      <c r="C50" s="27" t="n">
        <v>0</v>
      </c>
      <c r="D50" s="28" t="inlineStr">
        <is>
          <t>gl</t>
        </is>
      </c>
      <c r="E50" s="27" t="n">
        <v>0</v>
      </c>
      <c r="F50" s="27">
        <f>(C50*E50/100)+C50</f>
        <v/>
      </c>
      <c r="G50" s="27" t="n">
        <v>400000</v>
      </c>
      <c r="H50" s="27" t="n">
        <v>25000</v>
      </c>
      <c r="I50" s="27" t="n"/>
      <c r="J50" s="27">
        <f>+C50*G50</f>
        <v/>
      </c>
      <c r="K50" s="27">
        <f>+C50*H50</f>
        <v/>
      </c>
      <c r="L50" s="27">
        <f>+C50*I50</f>
        <v/>
      </c>
      <c r="M50" s="33">
        <f>+SUM(J50:L50)</f>
        <v/>
      </c>
    </row>
    <row r="51">
      <c r="B51" s="26" t="inlineStr">
        <is>
          <t>Cabaña sanitaria</t>
        </is>
      </c>
      <c r="C51" s="27" t="n">
        <v>0</v>
      </c>
      <c r="D51" s="28" t="inlineStr">
        <is>
          <t>gl</t>
        </is>
      </c>
      <c r="E51" s="27" t="n">
        <v>0</v>
      </c>
      <c r="F51" s="27">
        <f>(C51*E51/100)+C51</f>
        <v/>
      </c>
      <c r="G51" s="27" t="n">
        <v>0</v>
      </c>
      <c r="H51" s="27" t="n">
        <v>0</v>
      </c>
      <c r="I51" s="27" t="n">
        <v>175000</v>
      </c>
      <c r="J51" s="27">
        <f>+C51*G51</f>
        <v/>
      </c>
      <c r="K51" s="27">
        <f>+C51*H51</f>
        <v/>
      </c>
      <c r="L51" s="27">
        <f>+C51*I51</f>
        <v/>
      </c>
      <c r="M51" s="33">
        <f>+SUM(J51:L51)</f>
        <v/>
      </c>
    </row>
    <row r="52">
      <c r="B52" s="26" t="inlineStr">
        <is>
          <t>Vigilancia</t>
        </is>
      </c>
      <c r="C52" s="27" t="n">
        <v>0</v>
      </c>
      <c r="D52" s="28" t="inlineStr">
        <is>
          <t>mes</t>
        </is>
      </c>
      <c r="E52" s="27" t="n">
        <v>0</v>
      </c>
      <c r="F52" s="27">
        <f>(C52*E52/100)+C52</f>
        <v/>
      </c>
      <c r="G52" s="27" t="n">
        <v>0</v>
      </c>
      <c r="H52" s="27" t="n">
        <v>0</v>
      </c>
      <c r="I52" s="27" t="n">
        <v>175000</v>
      </c>
      <c r="J52" s="27">
        <f>+C52*G52</f>
        <v/>
      </c>
      <c r="K52" s="27">
        <f>+C52*H52</f>
        <v/>
      </c>
      <c r="L52" s="27">
        <f>+C52*I52</f>
        <v/>
      </c>
      <c r="M52" s="33">
        <f>+SUM(J52:L52)</f>
        <v/>
      </c>
    </row>
    <row r="53">
      <c r="B53" s="22" t="inlineStr">
        <is>
          <t>HERRAMIENTAS Y ALQUILERES</t>
        </is>
      </c>
      <c r="C53" s="23" t="n"/>
      <c r="D53" s="24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16" t="n"/>
    </row>
    <row r="54">
      <c r="B54" s="26" t="inlineStr">
        <is>
          <t>Andamios 10un</t>
        </is>
      </c>
      <c r="C54" s="27" t="n">
        <v>0</v>
      </c>
      <c r="D54" s="28" t="inlineStr">
        <is>
          <t>mes</t>
        </is>
      </c>
      <c r="E54" s="27" t="n">
        <v>0</v>
      </c>
      <c r="F54" s="27" t="n">
        <v>1</v>
      </c>
      <c r="G54" s="27">
        <f>30*10*610</f>
        <v/>
      </c>
      <c r="H54" s="27" t="n"/>
      <c r="I54" s="27" t="n"/>
      <c r="J54" s="27">
        <f>+C54*G54</f>
        <v/>
      </c>
      <c r="K54" s="27">
        <f>+C54*H54</f>
        <v/>
      </c>
      <c r="L54" s="27">
        <f>+C54*I54</f>
        <v/>
      </c>
      <c r="M54" s="33">
        <f>+SUM(J54:L54)</f>
        <v/>
      </c>
    </row>
    <row r="55">
      <c r="B55" s="26" t="inlineStr">
        <is>
          <t>Hidrolavadora</t>
        </is>
      </c>
      <c r="C55" s="27" t="n">
        <v>0</v>
      </c>
      <c r="D55" s="28" t="inlineStr">
        <is>
          <t>mes</t>
        </is>
      </c>
      <c r="E55" s="27" t="n">
        <v>0</v>
      </c>
      <c r="F55" s="27" t="n">
        <v>1</v>
      </c>
      <c r="G55" s="27" t="n">
        <v>250000</v>
      </c>
      <c r="H55" s="27" t="n"/>
      <c r="I55" s="27" t="n"/>
      <c r="J55" s="27">
        <f>+C55*G55</f>
        <v/>
      </c>
      <c r="K55" s="27">
        <f>+C55*H55</f>
        <v/>
      </c>
      <c r="L55" s="27">
        <f>+C55*I55</f>
        <v/>
      </c>
      <c r="M55" s="33">
        <f>+SUM(J55:L55)</f>
        <v/>
      </c>
    </row>
    <row r="56">
      <c r="B56" s="26" t="inlineStr">
        <is>
          <t>Alquiler de Grua p/entrepiso</t>
        </is>
      </c>
      <c r="C56" s="27" t="n">
        <v>0</v>
      </c>
      <c r="D56" s="28" t="inlineStr">
        <is>
          <t>dia</t>
        </is>
      </c>
      <c r="E56" s="27" t="n">
        <v>0</v>
      </c>
      <c r="F56" s="27" t="n">
        <v>1</v>
      </c>
      <c r="G56" s="27" t="n">
        <v>300000</v>
      </c>
      <c r="H56" s="27" t="n"/>
      <c r="I56" s="27" t="n"/>
      <c r="J56" s="27">
        <f>+C56*G56</f>
        <v/>
      </c>
      <c r="K56" s="27">
        <f>+C56*H56</f>
        <v/>
      </c>
      <c r="L56" s="27">
        <f>+C56*I56</f>
        <v/>
      </c>
      <c r="M56" s="33">
        <f>+SUM(J56:L56)</f>
        <v/>
      </c>
    </row>
    <row r="57">
      <c r="B57" s="26" t="inlineStr">
        <is>
          <t>Herramientas, Taladros, Cierras</t>
        </is>
      </c>
      <c r="C57" s="27" t="n">
        <v>0</v>
      </c>
      <c r="D57" s="28" t="inlineStr">
        <is>
          <t>mes</t>
        </is>
      </c>
      <c r="E57" s="27" t="n">
        <v>0</v>
      </c>
      <c r="F57" s="27" t="n">
        <v>1</v>
      </c>
      <c r="G57" s="27" t="n">
        <v>150000</v>
      </c>
      <c r="H57" s="27" t="n"/>
      <c r="I57" s="27" t="n"/>
      <c r="J57" s="27">
        <f>+C57*G57</f>
        <v/>
      </c>
      <c r="K57" s="27">
        <f>+C57*H57</f>
        <v/>
      </c>
      <c r="L57" s="27">
        <f>+C57*I57</f>
        <v/>
      </c>
      <c r="M57" s="33">
        <f>+SUM(J57:L57)</f>
        <v/>
      </c>
    </row>
    <row r="58">
      <c r="B58" s="26" t="inlineStr">
        <is>
          <t>Cascos</t>
        </is>
      </c>
      <c r="C58" s="27" t="n">
        <v>0</v>
      </c>
      <c r="D58" s="28" t="inlineStr">
        <is>
          <t>u</t>
        </is>
      </c>
      <c r="E58" s="27" t="n">
        <v>0</v>
      </c>
      <c r="F58" s="27">
        <f>+C58</f>
        <v/>
      </c>
      <c r="G58" s="27" t="n">
        <v>1800</v>
      </c>
      <c r="H58" s="27" t="n"/>
      <c r="I58" s="27" t="n"/>
      <c r="J58" s="27">
        <f>+C58*G58</f>
        <v/>
      </c>
      <c r="K58" s="27">
        <f>+C58*H58</f>
        <v/>
      </c>
      <c r="L58" s="27">
        <f>+C58*I58</f>
        <v/>
      </c>
      <c r="M58" s="33">
        <f>+SUM(J58:L58)</f>
        <v/>
      </c>
    </row>
    <row r="59">
      <c r="B59" s="26" t="inlineStr">
        <is>
          <t>Chalecos</t>
        </is>
      </c>
      <c r="C59" s="27" t="n">
        <v>0</v>
      </c>
      <c r="D59" s="28" t="inlineStr">
        <is>
          <t>u</t>
        </is>
      </c>
      <c r="E59" s="27" t="n">
        <v>0</v>
      </c>
      <c r="F59" s="27">
        <f>+C59</f>
        <v/>
      </c>
      <c r="G59" s="27" t="n">
        <v>1650</v>
      </c>
      <c r="H59" s="27" t="n"/>
      <c r="I59" s="27" t="n"/>
      <c r="J59" s="27">
        <f>+C59*G59</f>
        <v/>
      </c>
      <c r="K59" s="27">
        <f>+C59*H59</f>
        <v/>
      </c>
      <c r="L59" s="27">
        <f>+C59*I59</f>
        <v/>
      </c>
      <c r="M59" s="33">
        <f>+SUM(J59:L59)</f>
        <v/>
      </c>
    </row>
    <row r="60">
      <c r="B60" s="26" t="inlineStr">
        <is>
          <t>Protectores de ojos</t>
        </is>
      </c>
      <c r="C60" s="27" t="n">
        <v>0</v>
      </c>
      <c r="D60" s="28" t="inlineStr">
        <is>
          <t>u</t>
        </is>
      </c>
      <c r="E60" s="27" t="n">
        <v>0</v>
      </c>
      <c r="F60" s="27">
        <f>+C60</f>
        <v/>
      </c>
      <c r="G60" s="27" t="n">
        <v>526</v>
      </c>
      <c r="H60" s="27" t="n"/>
      <c r="I60" s="27" t="n"/>
      <c r="J60" s="27">
        <f>+C60*G60</f>
        <v/>
      </c>
      <c r="K60" s="27">
        <f>+C60*H60</f>
        <v/>
      </c>
      <c r="L60" s="27">
        <f>+C60*I60</f>
        <v/>
      </c>
      <c r="M60" s="33">
        <f>+SUM(J60:L60)</f>
        <v/>
      </c>
    </row>
    <row r="61">
      <c r="B61" s="26" t="inlineStr">
        <is>
          <t>Orejeras - Tapones</t>
        </is>
      </c>
      <c r="C61" s="27" t="n">
        <v>0</v>
      </c>
      <c r="D61" s="28" t="inlineStr">
        <is>
          <t>u</t>
        </is>
      </c>
      <c r="E61" s="27" t="n">
        <v>0</v>
      </c>
      <c r="F61" s="27">
        <f>+C61</f>
        <v/>
      </c>
      <c r="G61" s="27" t="n">
        <v>330</v>
      </c>
      <c r="H61" s="27" t="n"/>
      <c r="I61" s="27" t="n"/>
      <c r="J61" s="27">
        <f>+C61*G61</f>
        <v/>
      </c>
      <c r="K61" s="27">
        <f>+C61*H61</f>
        <v/>
      </c>
      <c r="L61" s="27">
        <f>+C61*I61</f>
        <v/>
      </c>
      <c r="M61" s="33">
        <f>+SUM(J61:L61)</f>
        <v/>
      </c>
    </row>
    <row r="62">
      <c r="B62" s="27" t="inlineStr">
        <is>
          <t>Guantes de Cuero</t>
        </is>
      </c>
      <c r="C62" s="27" t="n">
        <v>0</v>
      </c>
      <c r="D62" s="28" t="inlineStr">
        <is>
          <t>u</t>
        </is>
      </c>
      <c r="E62" s="27" t="n">
        <v>0</v>
      </c>
      <c r="F62" s="27">
        <f>+C62</f>
        <v/>
      </c>
      <c r="G62" s="27" t="n">
        <v>2250</v>
      </c>
      <c r="H62" s="27" t="n"/>
      <c r="I62" s="27" t="n"/>
      <c r="J62" s="27">
        <f>+C62*G62</f>
        <v/>
      </c>
      <c r="K62" s="27">
        <f>+C62*H62</f>
        <v/>
      </c>
      <c r="L62" s="27">
        <f>+C62*I62</f>
        <v/>
      </c>
      <c r="M62" s="33">
        <f>+SUM(J62:L62)</f>
        <v/>
      </c>
    </row>
    <row r="63">
      <c r="B63" s="27" t="inlineStr">
        <is>
          <t>Cintas para Señalización</t>
        </is>
      </c>
      <c r="C63" s="27" t="n">
        <v>0</v>
      </c>
      <c r="D63" s="28" t="inlineStr">
        <is>
          <t>rollos</t>
        </is>
      </c>
      <c r="E63" s="27" t="n">
        <v>0</v>
      </c>
      <c r="F63" s="27">
        <f>+C63</f>
        <v/>
      </c>
      <c r="G63" s="27" t="n">
        <v>5378</v>
      </c>
      <c r="H63" s="27" t="n"/>
      <c r="I63" s="27" t="n"/>
      <c r="J63" s="27">
        <f>+C63*G63</f>
        <v/>
      </c>
      <c r="K63" s="27">
        <f>+C63*H63</f>
        <v/>
      </c>
      <c r="L63" s="27">
        <f>+C63*I63</f>
        <v/>
      </c>
      <c r="M63" s="33">
        <f>+SUM(J63:L63)</f>
        <v/>
      </c>
    </row>
    <row r="64">
      <c r="B64" s="27" t="inlineStr">
        <is>
          <t>Rotulos</t>
        </is>
      </c>
      <c r="C64" s="27">
        <f>+C59</f>
        <v/>
      </c>
      <c r="D64" s="28" t="inlineStr">
        <is>
          <t>u</t>
        </is>
      </c>
      <c r="E64" s="27" t="n">
        <v>0</v>
      </c>
      <c r="F64" s="27">
        <f>+C64</f>
        <v/>
      </c>
      <c r="G64" s="27" t="n">
        <v>8500</v>
      </c>
      <c r="H64" s="27" t="n"/>
      <c r="I64" s="27" t="n"/>
      <c r="J64" s="27">
        <f>+C64*G64</f>
        <v/>
      </c>
      <c r="K64" s="27">
        <f>+C64*H64</f>
        <v/>
      </c>
      <c r="L64" s="27">
        <f>+C64*I64</f>
        <v/>
      </c>
      <c r="M64" s="33">
        <f>+SUM(J64:L64)</f>
        <v/>
      </c>
    </row>
    <row r="65">
      <c r="B65" s="27" t="inlineStr">
        <is>
          <t>Estañones</t>
        </is>
      </c>
      <c r="C65" s="27" t="n">
        <v>0</v>
      </c>
      <c r="D65" s="28" t="inlineStr">
        <is>
          <t>u</t>
        </is>
      </c>
      <c r="E65" s="27" t="n">
        <v>0</v>
      </c>
      <c r="F65" s="27">
        <f>(C65*E65/100)+C65</f>
        <v/>
      </c>
      <c r="G65" s="27" t="n">
        <v>5000</v>
      </c>
      <c r="H65" s="27" t="n"/>
      <c r="I65" s="27" t="n"/>
      <c r="J65" s="27">
        <f>+C65*G65</f>
        <v/>
      </c>
      <c r="K65" s="27">
        <f>+C65*H65</f>
        <v/>
      </c>
      <c r="L65" s="27">
        <f>+C65*I65</f>
        <v/>
      </c>
      <c r="M65" s="33">
        <f>+SUM(J65:L65)</f>
        <v/>
      </c>
    </row>
    <row r="66">
      <c r="B66" s="26" t="inlineStr">
        <is>
          <t>Carretillos</t>
        </is>
      </c>
      <c r="C66" s="27" t="n">
        <v>0</v>
      </c>
      <c r="D66" s="28" t="inlineStr">
        <is>
          <t>u</t>
        </is>
      </c>
      <c r="E66" s="27" t="n">
        <v>0</v>
      </c>
      <c r="F66" s="27">
        <f>(C66*E66/100)+C66</f>
        <v/>
      </c>
      <c r="G66" s="27" t="n">
        <v>29500</v>
      </c>
      <c r="H66" s="27" t="n"/>
      <c r="I66" s="27" t="n"/>
      <c r="J66" s="27">
        <f>+C66*G66</f>
        <v/>
      </c>
      <c r="K66" s="27">
        <f>+C66*H66</f>
        <v/>
      </c>
      <c r="L66" s="27">
        <f>+C66*I66</f>
        <v/>
      </c>
      <c r="M66" s="33">
        <f>+SUM(J66:L66)</f>
        <v/>
      </c>
    </row>
    <row r="67">
      <c r="B67" s="26" t="inlineStr">
        <is>
          <t>Baldes de Agua</t>
        </is>
      </c>
      <c r="C67" s="27" t="n">
        <v>0</v>
      </c>
      <c r="D67" s="28" t="inlineStr">
        <is>
          <t>u</t>
        </is>
      </c>
      <c r="E67" s="27" t="n">
        <v>0</v>
      </c>
      <c r="F67" s="27">
        <f>(C67*E67/100)+C67</f>
        <v/>
      </c>
      <c r="G67" s="27" t="n">
        <v>2100</v>
      </c>
      <c r="H67" s="27" t="n"/>
      <c r="I67" s="27" t="n"/>
      <c r="J67" s="27">
        <f>+C67*G67</f>
        <v/>
      </c>
      <c r="K67" s="27">
        <f>+C67*H67</f>
        <v/>
      </c>
      <c r="L67" s="27">
        <f>+C67*I67</f>
        <v/>
      </c>
      <c r="M67" s="33">
        <f>+SUM(J67:L67)</f>
        <v/>
      </c>
    </row>
    <row r="68">
      <c r="B68" s="26" t="inlineStr">
        <is>
          <t>Palas</t>
        </is>
      </c>
      <c r="C68" s="27" t="n">
        <v>0</v>
      </c>
      <c r="D68" s="28" t="inlineStr">
        <is>
          <t>u</t>
        </is>
      </c>
      <c r="E68" s="27" t="n">
        <v>0</v>
      </c>
      <c r="F68" s="27">
        <f>(C68*E68/100)+C68</f>
        <v/>
      </c>
      <c r="G68" s="27" t="n">
        <v>4827</v>
      </c>
      <c r="H68" s="27" t="n"/>
      <c r="I68" s="27" t="n"/>
      <c r="J68" s="27">
        <f>+C68*G68</f>
        <v/>
      </c>
      <c r="K68" s="27">
        <f>+C68*H68</f>
        <v/>
      </c>
      <c r="L68" s="27">
        <f>+C68*I68</f>
        <v/>
      </c>
      <c r="M68" s="33">
        <f>+SUM(J68:L68)</f>
        <v/>
      </c>
    </row>
    <row r="69">
      <c r="B69" s="26" t="inlineStr">
        <is>
          <t>Picos</t>
        </is>
      </c>
      <c r="C69" s="27" t="n">
        <v>0</v>
      </c>
      <c r="D69" s="28" t="inlineStr">
        <is>
          <t>u</t>
        </is>
      </c>
      <c r="E69" s="27" t="n">
        <v>0</v>
      </c>
      <c r="F69" s="27">
        <f>(C69*E69/100)+C69</f>
        <v/>
      </c>
      <c r="G69" s="27" t="n">
        <v>9930</v>
      </c>
      <c r="H69" s="27" t="n"/>
      <c r="I69" s="27" t="n"/>
      <c r="J69" s="27">
        <f>+C69*G69</f>
        <v/>
      </c>
      <c r="K69" s="27">
        <f>+C69*H69</f>
        <v/>
      </c>
      <c r="L69" s="27">
        <f>+C69*I69</f>
        <v/>
      </c>
      <c r="M69" s="33">
        <f>+SUM(J69:L69)</f>
        <v/>
      </c>
    </row>
    <row r="70">
      <c r="B70" s="26" t="inlineStr">
        <is>
          <t>Macanas</t>
        </is>
      </c>
      <c r="C70" s="27" t="n">
        <v>0</v>
      </c>
      <c r="D70" s="28" t="inlineStr">
        <is>
          <t>u</t>
        </is>
      </c>
      <c r="E70" s="27" t="n">
        <v>0</v>
      </c>
      <c r="F70" s="27" t="n">
        <v>0</v>
      </c>
      <c r="G70" s="27" t="n">
        <v>9380</v>
      </c>
      <c r="H70" s="27" t="n"/>
      <c r="I70" s="27" t="n"/>
      <c r="J70" s="27">
        <f>+C70*G70</f>
        <v/>
      </c>
      <c r="K70" s="27">
        <f>+C70*H70</f>
        <v/>
      </c>
      <c r="L70" s="27">
        <f>+C70*I70</f>
        <v/>
      </c>
      <c r="M70" s="33">
        <f>+SUM(J70:L70)</f>
        <v/>
      </c>
    </row>
    <row r="71">
      <c r="B71" s="26" t="inlineStr">
        <is>
          <t>Mazos</t>
        </is>
      </c>
      <c r="C71" s="27" t="n">
        <v>0</v>
      </c>
      <c r="D71" s="28" t="inlineStr">
        <is>
          <t>u</t>
        </is>
      </c>
      <c r="E71" s="27" t="n">
        <v>0</v>
      </c>
      <c r="F71" s="27" t="n">
        <v>0</v>
      </c>
      <c r="G71" s="27" t="n">
        <v>6891</v>
      </c>
      <c r="H71" s="27" t="n"/>
      <c r="I71" s="27" t="n"/>
      <c r="J71" s="27">
        <f>+C71*G71</f>
        <v/>
      </c>
      <c r="K71" s="27">
        <f>+C71*H71</f>
        <v/>
      </c>
      <c r="L71" s="27">
        <f>+C71*I71</f>
        <v/>
      </c>
      <c r="M71" s="33">
        <f>+SUM(J71:L71)</f>
        <v/>
      </c>
    </row>
    <row r="72">
      <c r="B72" s="26" t="inlineStr">
        <is>
          <t>Barras</t>
        </is>
      </c>
      <c r="C72" s="27" t="n">
        <v>0</v>
      </c>
      <c r="D72" s="28" t="inlineStr">
        <is>
          <t>u</t>
        </is>
      </c>
      <c r="E72" s="27" t="n">
        <v>0</v>
      </c>
      <c r="F72" s="27" t="n">
        <v>0</v>
      </c>
      <c r="G72" s="27" t="n">
        <v>15400</v>
      </c>
      <c r="H72" s="27" t="n"/>
      <c r="I72" s="27" t="n"/>
      <c r="J72" s="27">
        <f>+C72*G72</f>
        <v/>
      </c>
      <c r="K72" s="27">
        <f>+C72*H72</f>
        <v/>
      </c>
      <c r="L72" s="27">
        <f>+C72*I72</f>
        <v/>
      </c>
      <c r="M72" s="33">
        <f>+SUM(J72:L72)</f>
        <v/>
      </c>
    </row>
    <row r="73">
      <c r="B73" s="26" t="inlineStr">
        <is>
          <t>Vibrador 65mm</t>
        </is>
      </c>
      <c r="C73" s="27" t="n">
        <v>0</v>
      </c>
      <c r="D73" s="28" t="inlineStr">
        <is>
          <t>mes</t>
        </is>
      </c>
      <c r="E73" s="27" t="n">
        <v>0</v>
      </c>
      <c r="F73" s="27" t="n">
        <v>0</v>
      </c>
      <c r="G73" s="27" t="n">
        <v>76650</v>
      </c>
      <c r="H73" s="27" t="n"/>
      <c r="I73" s="27" t="n"/>
      <c r="J73" s="27">
        <f>+C73*G73</f>
        <v/>
      </c>
      <c r="K73" s="27">
        <f>+C73*H73</f>
        <v/>
      </c>
      <c r="L73" s="27">
        <f>+C73*I73</f>
        <v/>
      </c>
      <c r="M73" s="33">
        <f>+SUM(J73:L73)</f>
        <v/>
      </c>
    </row>
    <row r="74">
      <c r="B74" s="26" t="inlineStr">
        <is>
          <t>Batidora</t>
        </is>
      </c>
      <c r="C74" s="27" t="n">
        <v>0</v>
      </c>
      <c r="D74" s="28">
        <f>+D73</f>
        <v/>
      </c>
      <c r="E74" s="27" t="n">
        <v>0</v>
      </c>
      <c r="F74" s="27" t="n">
        <v>0</v>
      </c>
      <c r="G74" s="27" t="n">
        <v>65000</v>
      </c>
      <c r="H74" s="27" t="n"/>
      <c r="I74" s="27" t="n"/>
      <c r="J74" s="27">
        <f>+C74*G74</f>
        <v/>
      </c>
      <c r="K74" s="27">
        <f>+C74*H74</f>
        <v/>
      </c>
      <c r="L74" s="27">
        <f>+C74*I74</f>
        <v/>
      </c>
      <c r="M74" s="33">
        <f>+SUM(J74:L74)</f>
        <v/>
      </c>
    </row>
    <row r="75">
      <c r="B75" s="26" t="inlineStr">
        <is>
          <t>Compactadores (Brincon)</t>
        </is>
      </c>
      <c r="C75" s="27" t="n">
        <v>0</v>
      </c>
      <c r="D75" s="28">
        <f>+D74</f>
        <v/>
      </c>
      <c r="E75" s="27" t="n">
        <v>0</v>
      </c>
      <c r="F75" s="27">
        <f>(C75*E75/100)+C75</f>
        <v/>
      </c>
      <c r="G75" s="27" t="n">
        <v>160000</v>
      </c>
      <c r="H75" s="27" t="n"/>
      <c r="I75" s="27" t="n"/>
      <c r="J75" s="27">
        <f>+C75*G75</f>
        <v/>
      </c>
      <c r="K75" s="27">
        <f>+C75*H75</f>
        <v/>
      </c>
      <c r="L75" s="27">
        <f>+C75*I75</f>
        <v/>
      </c>
      <c r="M75" s="33">
        <f>+SUM(J75:L75)</f>
        <v/>
      </c>
    </row>
    <row r="76">
      <c r="B76" s="22" t="inlineStr">
        <is>
          <t>PERMISOS, C SOCIALES, POLIZAS</t>
        </is>
      </c>
      <c r="C76" s="23" t="n"/>
      <c r="D76" s="24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16" t="n"/>
    </row>
    <row r="77">
      <c r="B77" s="26" t="inlineStr">
        <is>
          <t>Pòliza INS</t>
        </is>
      </c>
      <c r="C77" s="27" t="n">
        <v>0</v>
      </c>
      <c r="D77" s="28" t="inlineStr">
        <is>
          <t>gl</t>
        </is>
      </c>
      <c r="E77" s="27" t="n">
        <v>0</v>
      </c>
      <c r="F77" s="27" t="n">
        <v>0</v>
      </c>
      <c r="G77" s="27" t="n"/>
      <c r="H77" s="27">
        <f>SUM(K12:K37)</f>
        <v/>
      </c>
      <c r="I77" s="27" t="n">
        <v>0</v>
      </c>
      <c r="J77" s="27">
        <f>+C77*G77</f>
        <v/>
      </c>
      <c r="K77" s="27">
        <f>+C77*H77</f>
        <v/>
      </c>
      <c r="L77" s="27">
        <f>+C77*I77</f>
        <v/>
      </c>
      <c r="M77" s="33">
        <f>+SUM(J77:L77)</f>
        <v/>
      </c>
    </row>
    <row r="78" ht="56.25" customHeight="1">
      <c r="B78" s="36" t="inlineStr">
        <is>
          <t>• Certificado de Seguro de Responsabilidad Civil por lesión o muerte de terceras personas, con un monto mínimo de ¢100.000.000 (Cien millones de colones) por persona y ¢100.000.000 (Cien millones de colones) por accidente.</t>
        </is>
      </c>
      <c r="C78" s="27" t="n"/>
      <c r="D78" s="28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33" t="n"/>
    </row>
    <row r="79" ht="37.5" customHeight="1">
      <c r="B79" s="36" t="inlineStr">
        <is>
          <t>• Certificado de Seguro de Responsabilidad Civil por daños a la propiedad de terceros, con un monto mínimo  de ¢100.000.000 (Cien millones de colones).</t>
        </is>
      </c>
      <c r="C79" s="27" t="n"/>
      <c r="D79" s="28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33" t="n"/>
      <c r="O79" s="767" t="n"/>
    </row>
    <row r="80" ht="28.5" customHeight="1">
      <c r="B80" s="36" t="inlineStr">
        <is>
          <t xml:space="preserve">• Una    póliza    que    proteja    las    obras    de    todo    riesgo    de    construcción    y    montaje,    por    el    monto    total    del    Contrato.    </t>
        </is>
      </c>
      <c r="C80" s="27" t="n"/>
      <c r="D80" s="28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33" t="n"/>
    </row>
    <row r="81" ht="28.5" customHeight="1">
      <c r="B81" s="36" t="inlineStr">
        <is>
          <t>Cuotas del Instituto Nacional de Aprendizaje, del Instituto Mixto de Ayuda Social y del Banco Popular</t>
        </is>
      </c>
      <c r="C81" s="27" t="n"/>
      <c r="D81" s="28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33" t="n"/>
    </row>
    <row r="82">
      <c r="B82" s="26" t="inlineStr">
        <is>
          <t>Setena</t>
        </is>
      </c>
      <c r="C82" s="27" t="n">
        <v>0</v>
      </c>
      <c r="D82" s="28" t="inlineStr">
        <is>
          <t>gl</t>
        </is>
      </c>
      <c r="E82" s="27" t="n">
        <v>0</v>
      </c>
      <c r="F82" s="27" t="n">
        <v>1</v>
      </c>
      <c r="G82" s="27" t="n"/>
      <c r="H82" s="27" t="n"/>
      <c r="I82" s="27">
        <f>2160*C5</f>
        <v/>
      </c>
      <c r="J82" s="27">
        <f>+C82*G82</f>
        <v/>
      </c>
      <c r="K82" s="27">
        <f>+C82*H82</f>
        <v/>
      </c>
      <c r="L82" s="27">
        <f>+C82*I82</f>
        <v/>
      </c>
      <c r="M82" s="33">
        <f>+SUM(J82:L82)</f>
        <v/>
      </c>
    </row>
    <row r="83">
      <c r="B83" s="26" t="inlineStr">
        <is>
          <t>Especies Fiscales 0,25%</t>
        </is>
      </c>
      <c r="C83" s="27" t="n">
        <v>0</v>
      </c>
      <c r="D83" s="28" t="inlineStr">
        <is>
          <t>gl</t>
        </is>
      </c>
      <c r="E83" s="27" t="n">
        <v>0</v>
      </c>
      <c r="F83" s="27" t="n">
        <v>1</v>
      </c>
      <c r="G83" s="27" t="n"/>
      <c r="H83" s="27" t="n"/>
      <c r="I83" s="27">
        <f>1645606094*0.25%</f>
        <v/>
      </c>
      <c r="J83" s="27">
        <f>+C83*G83</f>
        <v/>
      </c>
      <c r="K83" s="27">
        <f>+C83*H83</f>
        <v/>
      </c>
      <c r="L83" s="27">
        <f>+C83*I83</f>
        <v/>
      </c>
      <c r="M83" s="33">
        <f>+SUM(J83:L83)</f>
        <v/>
      </c>
    </row>
    <row r="84">
      <c r="B84" s="26" t="inlineStr">
        <is>
          <t>Planos y presupuesto preliminar</t>
        </is>
      </c>
      <c r="C84" s="27" t="n">
        <v>0</v>
      </c>
      <c r="D84" s="28" t="inlineStr">
        <is>
          <t>gl</t>
        </is>
      </c>
      <c r="E84" s="27" t="n">
        <v>0</v>
      </c>
      <c r="F84" s="768" t="n">
        <v>1</v>
      </c>
      <c r="G84" s="27" t="n"/>
      <c r="H84" s="27" t="n"/>
      <c r="I84" s="27" t="n">
        <v>250000</v>
      </c>
      <c r="J84" s="27">
        <f>+C84*G84</f>
        <v/>
      </c>
      <c r="K84" s="27">
        <f>+C84*H84</f>
        <v/>
      </c>
      <c r="L84" s="27">
        <f>+C84*I84</f>
        <v/>
      </c>
      <c r="M84" s="33">
        <f>+SUM(J84:L84)</f>
        <v/>
      </c>
    </row>
    <row r="85">
      <c r="B85" s="26" t="inlineStr">
        <is>
          <t>Planos Constructivos  133 laminas</t>
        </is>
      </c>
      <c r="C85" s="27" t="n">
        <v>0</v>
      </c>
      <c r="D85" s="28" t="inlineStr">
        <is>
          <t>gl</t>
        </is>
      </c>
      <c r="E85" s="27" t="n">
        <v>0</v>
      </c>
      <c r="F85" s="768" t="n">
        <v>1</v>
      </c>
      <c r="G85" s="27" t="n"/>
      <c r="H85" s="27" t="n"/>
      <c r="I85" s="27">
        <f>133*1000*2</f>
        <v/>
      </c>
      <c r="J85" s="27">
        <f>+C85*G85</f>
        <v/>
      </c>
      <c r="K85" s="27">
        <f>+C85*H85</f>
        <v/>
      </c>
      <c r="L85" s="27">
        <f>+C85*I85</f>
        <v/>
      </c>
      <c r="M85" s="33">
        <f>+SUM(J85:L85)</f>
        <v/>
      </c>
    </row>
    <row r="86">
      <c r="B86" s="26" t="inlineStr">
        <is>
          <t>Supervisión (especializada)</t>
        </is>
      </c>
      <c r="C86" s="27" t="n">
        <v>0</v>
      </c>
      <c r="D86" s="28" t="inlineStr">
        <is>
          <t>gl</t>
        </is>
      </c>
      <c r="E86" s="27" t="n">
        <v>0</v>
      </c>
      <c r="F86" s="27" t="n">
        <v>0.03</v>
      </c>
      <c r="G86" s="27" t="n"/>
      <c r="H86" s="27" t="n"/>
      <c r="I86" s="27">
        <f>+I85</f>
        <v/>
      </c>
      <c r="J86" s="27">
        <f>+C86*G86</f>
        <v/>
      </c>
      <c r="K86" s="27">
        <f>+C86*H86</f>
        <v/>
      </c>
      <c r="L86" s="27">
        <f>+C86*I86</f>
        <v/>
      </c>
      <c r="M86" s="33">
        <f>+SUM(J86:L86)</f>
        <v/>
      </c>
    </row>
    <row r="87">
      <c r="B87" s="26" t="inlineStr">
        <is>
          <t>Supervisión (especializada)</t>
        </is>
      </c>
      <c r="C87" s="27" t="n">
        <v>0</v>
      </c>
      <c r="D87" s="28" t="inlineStr">
        <is>
          <t>gl</t>
        </is>
      </c>
      <c r="E87" s="27" t="n">
        <v>0</v>
      </c>
      <c r="F87" s="27" t="n">
        <v>0.03</v>
      </c>
      <c r="G87" s="27" t="n"/>
      <c r="H87" s="27" t="n"/>
      <c r="I87" s="27">
        <f>+I86</f>
        <v/>
      </c>
      <c r="J87" s="27">
        <f>+C87*G87</f>
        <v/>
      </c>
      <c r="K87" s="27">
        <f>+C87*H87</f>
        <v/>
      </c>
      <c r="L87" s="27">
        <f>+C87*I87</f>
        <v/>
      </c>
      <c r="M87" s="33">
        <f>+SUM(J87:L87)</f>
        <v/>
      </c>
    </row>
    <row r="88">
      <c r="B88" s="26" t="inlineStr">
        <is>
          <t>Permisos</t>
        </is>
      </c>
      <c r="C88" s="27" t="n">
        <v>0</v>
      </c>
      <c r="D88" s="28" t="inlineStr">
        <is>
          <t>gl</t>
        </is>
      </c>
      <c r="E88" s="27" t="n">
        <v>0</v>
      </c>
      <c r="F88" s="769" t="n">
        <v>0.0125</v>
      </c>
      <c r="G88" s="27" t="n"/>
      <c r="H88" s="27" t="n"/>
      <c r="I88" s="27">
        <f>+I87</f>
        <v/>
      </c>
      <c r="J88" s="27">
        <f>+C88*G88</f>
        <v/>
      </c>
      <c r="K88" s="27">
        <f>+C88*H88</f>
        <v/>
      </c>
      <c r="L88" s="27">
        <f>+C88*I88</f>
        <v/>
      </c>
      <c r="M88" s="33">
        <f>+SUM(J88:L88)</f>
        <v/>
      </c>
    </row>
    <row r="89">
      <c r="B89" s="26" t="inlineStr">
        <is>
          <t>Cargas Sociales cierre</t>
        </is>
      </c>
      <c r="C89" s="27" t="n">
        <v>0</v>
      </c>
      <c r="D89" s="28" t="inlineStr">
        <is>
          <t>gl</t>
        </is>
      </c>
      <c r="E89" s="27" t="n">
        <v>0</v>
      </c>
      <c r="F89" s="27">
        <f>0.37+0.08+0.08</f>
        <v/>
      </c>
      <c r="G89" s="27" t="n"/>
      <c r="H89" s="27">
        <f>SUM(K12:K44)</f>
        <v/>
      </c>
      <c r="I89" s="27" t="n"/>
      <c r="J89" s="27">
        <f>+F89*G89</f>
        <v/>
      </c>
      <c r="K89" s="27">
        <f>+F89*H89*C89</f>
        <v/>
      </c>
      <c r="L89" s="27">
        <f>+F89*I89</f>
        <v/>
      </c>
      <c r="M89" s="33">
        <f>+SUM(J89:L89)</f>
        <v/>
      </c>
    </row>
    <row r="90">
      <c r="B90" s="30" t="n"/>
      <c r="C90" s="45" t="n"/>
      <c r="D90" s="24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16" t="n"/>
    </row>
    <row r="91">
      <c r="B91" s="25" t="n"/>
      <c r="C91" s="23" t="n"/>
      <c r="D91" s="24" t="n"/>
      <c r="E91" s="23" t="n"/>
      <c r="F91" s="23" t="n"/>
      <c r="G91" s="25" t="inlineStr">
        <is>
          <t>SUB-TOTAL ACUMULADO:</t>
        </is>
      </c>
      <c r="H91" s="23" t="n"/>
      <c r="I91" s="23" t="n"/>
      <c r="J91" s="437">
        <f>SUM(J10:J90)</f>
        <v/>
      </c>
      <c r="K91" s="437">
        <f>SUM(K10:K90)</f>
        <v/>
      </c>
      <c r="L91" s="437">
        <f>SUM(L10:L90)</f>
        <v/>
      </c>
      <c r="M91" s="437">
        <f>SUM(M11:M90)</f>
        <v/>
      </c>
    </row>
    <row r="92">
      <c r="B92" s="25" t="n"/>
      <c r="C92" s="23" t="n"/>
      <c r="D92" s="24" t="n"/>
      <c r="E92" s="23" t="n"/>
      <c r="F92" s="23" t="n"/>
      <c r="G92" s="25" t="n"/>
      <c r="H92" s="23" t="n"/>
      <c r="I92" s="23" t="n"/>
      <c r="J92" s="25" t="n"/>
      <c r="K92" s="25" t="n"/>
      <c r="L92" s="770">
        <f>+L91+K91+J91</f>
        <v/>
      </c>
      <c r="M92" s="771">
        <f>+L92/$C$5</f>
        <v/>
      </c>
    </row>
    <row r="93">
      <c r="B93" s="25" t="n"/>
      <c r="C93" s="23" t="n"/>
      <c r="D93" s="24" t="n"/>
      <c r="E93" s="23" t="n"/>
      <c r="F93" s="23" t="n"/>
      <c r="G93" s="25" t="n"/>
      <c r="H93" s="23" t="n"/>
      <c r="I93" s="23" t="n"/>
      <c r="J93" s="25" t="n"/>
      <c r="K93" s="25" t="n"/>
      <c r="L93" s="25" t="n"/>
      <c r="M93" s="16" t="n"/>
    </row>
    <row r="94">
      <c r="B94" s="25" t="n"/>
      <c r="C94" s="23" t="n"/>
      <c r="D94" s="24" t="n"/>
      <c r="E94" s="23" t="n"/>
      <c r="F94" s="24" t="n"/>
      <c r="G94" s="25" t="inlineStr">
        <is>
          <t>IMPREVISTOS 1%</t>
        </is>
      </c>
      <c r="H94" s="23" t="n"/>
      <c r="I94" s="23" t="n"/>
      <c r="J94" s="25" t="n"/>
      <c r="K94" s="41" t="n">
        <v>0</v>
      </c>
      <c r="L94" s="770">
        <f>+$L$92*K94</f>
        <v/>
      </c>
      <c r="M94" s="771">
        <f>+L94/$C$5</f>
        <v/>
      </c>
    </row>
    <row r="95">
      <c r="B95" s="25" t="n"/>
      <c r="C95" s="23" t="n"/>
      <c r="D95" s="24" t="n"/>
      <c r="E95" s="23" t="n"/>
      <c r="F95" s="23" t="n"/>
      <c r="G95" s="25" t="inlineStr">
        <is>
          <t>OTROS</t>
        </is>
      </c>
      <c r="H95" s="23" t="n"/>
      <c r="I95" s="23" t="n"/>
      <c r="J95" s="23" t="n"/>
      <c r="K95" s="41" t="n">
        <v>0</v>
      </c>
      <c r="L95" s="770">
        <f>+$L$92*K95</f>
        <v/>
      </c>
      <c r="M95" s="771">
        <f>+L95/$C$5</f>
        <v/>
      </c>
    </row>
    <row r="96">
      <c r="B96" s="25" t="n"/>
      <c r="C96" s="23" t="n"/>
      <c r="D96" s="24" t="n"/>
      <c r="E96" s="23" t="n"/>
      <c r="F96" s="23" t="n"/>
      <c r="G96" s="25" t="inlineStr">
        <is>
          <t>ADMINISTRACION 10 %</t>
        </is>
      </c>
      <c r="H96" s="23" t="n"/>
      <c r="I96" s="23" t="n"/>
      <c r="J96" s="23" t="n"/>
      <c r="K96" s="41" t="n">
        <v>0</v>
      </c>
      <c r="L96" s="770">
        <f>+$L$92*K96</f>
        <v/>
      </c>
      <c r="M96" s="771">
        <f>+L96/$C$5</f>
        <v/>
      </c>
    </row>
    <row r="97">
      <c r="B97" s="25" t="n"/>
      <c r="C97" s="23" t="n"/>
      <c r="D97" s="44" t="n"/>
      <c r="E97" s="23" t="n"/>
      <c r="F97" s="43" t="n"/>
      <c r="G97" s="25" t="inlineStr">
        <is>
          <t>UTILIDAD DEL CONTRATISTA 3 %</t>
        </is>
      </c>
      <c r="H97" s="23" t="n"/>
      <c r="I97" s="43" t="n"/>
      <c r="J97" s="23" t="n"/>
      <c r="K97" s="41" t="n">
        <v>0</v>
      </c>
      <c r="L97" s="770">
        <f>+$L$92*K97</f>
        <v/>
      </c>
      <c r="M97" s="771">
        <f>+L97/$C$5</f>
        <v/>
      </c>
      <c r="N97" s="1">
        <f>+L97/plazo</f>
        <v/>
      </c>
    </row>
    <row r="98">
      <c r="B98" s="25" t="n"/>
      <c r="C98" s="23" t="n"/>
      <c r="D98" s="44" t="n"/>
      <c r="E98" s="23" t="n"/>
      <c r="F98" s="45" t="n"/>
      <c r="G98" s="25" t="inlineStr">
        <is>
          <t>SEGURIDAD OCUPACIONAL 0,25%</t>
        </is>
      </c>
      <c r="H98" s="23" t="n"/>
      <c r="I98" s="23" t="n"/>
      <c r="J98" s="23" t="n"/>
      <c r="K98" s="46" t="n">
        <v>0</v>
      </c>
      <c r="L98" s="770">
        <f>+$L$92*K98</f>
        <v/>
      </c>
      <c r="M98" s="771">
        <f>+L98/$C$5</f>
        <v/>
      </c>
    </row>
    <row r="99">
      <c r="B99" s="25" t="n"/>
      <c r="C99" s="23" t="n"/>
      <c r="D99" s="44" t="n"/>
      <c r="E99" s="23" t="n"/>
      <c r="F99" s="45" t="n"/>
      <c r="G99" s="25" t="n"/>
      <c r="H99" s="23" t="n"/>
      <c r="I99" s="23" t="n"/>
      <c r="J99" s="23" t="n"/>
      <c r="K99" s="16" t="n"/>
      <c r="L99" s="772" t="n"/>
      <c r="M99" s="773" t="n"/>
    </row>
    <row r="100">
      <c r="B100" s="25" t="n"/>
      <c r="C100" s="23" t="n"/>
      <c r="D100" s="23" t="n"/>
      <c r="E100" s="23" t="n"/>
      <c r="F100" s="23" t="n"/>
      <c r="G100" s="25" t="inlineStr">
        <is>
          <t>TOTAL</t>
        </is>
      </c>
      <c r="H100" s="23" t="n"/>
      <c r="I100" s="23" t="n"/>
      <c r="J100" s="23" t="n"/>
      <c r="K100" s="23" t="n"/>
      <c r="L100" s="774">
        <f>+L94+L97+L92+L98+L96</f>
        <v/>
      </c>
      <c r="M100" s="775">
        <f>+L100/$C$5</f>
        <v/>
      </c>
      <c r="N100" s="776" t="n"/>
    </row>
    <row r="102" ht="15" customHeight="1">
      <c r="B102" s="2" t="n"/>
      <c r="C102" s="2" t="n"/>
      <c r="D102" s="2" t="n"/>
      <c r="G102" s="25" t="inlineStr">
        <is>
          <t>COSTO/m2</t>
        </is>
      </c>
      <c r="L102" s="774" t="n">
        <v>0</v>
      </c>
      <c r="M102" s="775">
        <f>+L102/$C$5</f>
        <v/>
      </c>
    </row>
    <row r="104">
      <c r="G104" s="25" t="inlineStr">
        <is>
          <t>Factor</t>
        </is>
      </c>
      <c r="L104" s="1">
        <f>+L100/M12</f>
        <v/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 codeName="Sheet4">
    <outlinePr summaryBelow="1" summaryRight="1"/>
    <pageSetUpPr/>
  </sheetPr>
  <dimension ref="B2:D19"/>
  <sheetViews>
    <sheetView showGridLines="0" workbookViewId="0">
      <selection activeCell="C8" sqref="C8"/>
    </sheetView>
  </sheetViews>
  <sheetFormatPr baseColWidth="8" defaultColWidth="10.89453125" defaultRowHeight="15"/>
  <cols>
    <col width="24.6171875" bestFit="1" customWidth="1" min="2" max="2"/>
    <col width="14.66015625" bestFit="1" customWidth="1" min="3" max="3"/>
  </cols>
  <sheetData>
    <row r="2">
      <c r="B2" s="56" t="inlineStr">
        <is>
          <t>Precios unitarios</t>
        </is>
      </c>
    </row>
    <row r="3">
      <c r="B3" s="56" t="n"/>
    </row>
    <row r="4">
      <c r="B4" s="440" t="inlineStr">
        <is>
          <t>Descripcion</t>
        </is>
      </c>
      <c r="C4" s="440" t="inlineStr">
        <is>
          <t xml:space="preserve">Costo </t>
        </is>
      </c>
      <c r="D4" s="777" t="inlineStr">
        <is>
          <t>unidad</t>
        </is>
      </c>
    </row>
    <row r="5">
      <c r="B5" s="778" t="inlineStr">
        <is>
          <t>Grado 40</t>
        </is>
      </c>
      <c r="C5" s="421" t="n"/>
      <c r="D5" s="779" t="n"/>
    </row>
    <row r="6">
      <c r="B6" s="780" t="inlineStr">
        <is>
          <t xml:space="preserve">Varilla #2 </t>
        </is>
      </c>
      <c r="C6" s="781" t="n">
        <v>808</v>
      </c>
      <c r="D6" s="779" t="inlineStr">
        <is>
          <t>Var</t>
        </is>
      </c>
    </row>
    <row r="7">
      <c r="B7" s="780" t="inlineStr">
        <is>
          <t>Varilla #3 Grado 40</t>
        </is>
      </c>
      <c r="C7" s="781" t="n">
        <v>2175.61</v>
      </c>
      <c r="D7" s="779" t="inlineStr">
        <is>
          <t>Var</t>
        </is>
      </c>
    </row>
    <row r="8">
      <c r="B8" s="780" t="inlineStr">
        <is>
          <t>Varilla #4 Grado 40</t>
        </is>
      </c>
      <c r="C8" s="781" t="n">
        <v>3859.12</v>
      </c>
      <c r="D8" s="779" t="inlineStr">
        <is>
          <t>Var</t>
        </is>
      </c>
    </row>
    <row r="9">
      <c r="B9" s="780" t="inlineStr">
        <is>
          <t>Varilla #5 Grado 40</t>
        </is>
      </c>
      <c r="C9" s="782" t="n">
        <v>6670</v>
      </c>
      <c r="D9" s="779" t="inlineStr">
        <is>
          <t>Var</t>
        </is>
      </c>
    </row>
    <row r="10">
      <c r="B10" s="778" t="inlineStr">
        <is>
          <t>Grado 60</t>
        </is>
      </c>
      <c r="C10" s="782" t="n"/>
      <c r="D10" s="779" t="n"/>
    </row>
    <row r="11">
      <c r="B11" s="780" t="inlineStr">
        <is>
          <t>Varilla #2 Grado 60</t>
        </is>
      </c>
      <c r="C11" s="782">
        <f>+C6</f>
        <v/>
      </c>
      <c r="D11" s="779" t="inlineStr">
        <is>
          <t>Var</t>
        </is>
      </c>
    </row>
    <row r="12">
      <c r="B12" s="780" t="inlineStr">
        <is>
          <t>Varilla #3 Grado 60</t>
        </is>
      </c>
      <c r="C12" s="781" t="n">
        <v>2175.61</v>
      </c>
      <c r="D12" s="779" t="inlineStr">
        <is>
          <t>Var</t>
        </is>
      </c>
    </row>
    <row r="13">
      <c r="B13" s="780" t="inlineStr">
        <is>
          <t>Varilla #4 Grado 60</t>
        </is>
      </c>
      <c r="C13" s="781" t="n">
        <v>3859.12</v>
      </c>
      <c r="D13" s="779" t="inlineStr">
        <is>
          <t>Var</t>
        </is>
      </c>
    </row>
    <row r="14">
      <c r="B14" s="780" t="inlineStr">
        <is>
          <t>Varilla #5 Grado 60</t>
        </is>
      </c>
      <c r="C14" s="782" t="n">
        <v>6740</v>
      </c>
      <c r="D14" s="779" t="inlineStr">
        <is>
          <t>Var</t>
        </is>
      </c>
    </row>
    <row r="15">
      <c r="B15" s="780" t="inlineStr">
        <is>
          <t>Varilla #6 Grado 60</t>
        </is>
      </c>
      <c r="C15" s="782" t="n">
        <v>9700</v>
      </c>
      <c r="D15" s="779" t="inlineStr">
        <is>
          <t>Var</t>
        </is>
      </c>
    </row>
    <row r="16">
      <c r="B16" s="780" t="inlineStr">
        <is>
          <t>Varilla #7 Grado 60</t>
        </is>
      </c>
      <c r="C16" s="782" t="n">
        <v>14100</v>
      </c>
      <c r="D16" s="779" t="inlineStr">
        <is>
          <t>Var</t>
        </is>
      </c>
    </row>
    <row r="17">
      <c r="B17" s="780" t="inlineStr">
        <is>
          <t>Varilla #8 Grado 60</t>
        </is>
      </c>
      <c r="C17" s="782" t="n">
        <v>18400</v>
      </c>
      <c r="D17" s="779" t="inlineStr">
        <is>
          <t>Var</t>
        </is>
      </c>
    </row>
    <row r="18">
      <c r="B18" s="780" t="inlineStr">
        <is>
          <t>Varilla #9 Grado 60</t>
        </is>
      </c>
      <c r="C18" s="782" t="n">
        <v>22000</v>
      </c>
      <c r="D18" s="779" t="inlineStr">
        <is>
          <t>Var</t>
        </is>
      </c>
    </row>
    <row r="19">
      <c r="B19" s="780" t="inlineStr">
        <is>
          <t>Varilla #10 Grado 60</t>
        </is>
      </c>
      <c r="C19" s="782" t="n">
        <v>0</v>
      </c>
      <c r="D19" s="779" t="inlineStr">
        <is>
          <t>Var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5">
    <outlinePr summaryBelow="1" summaryRight="1"/>
    <pageSetUpPr/>
  </sheetPr>
  <dimension ref="B2:P162"/>
  <sheetViews>
    <sheetView topLeftCell="A40" zoomScale="70" zoomScaleNormal="70" workbookViewId="0">
      <selection activeCell="G39" sqref="G39"/>
    </sheetView>
  </sheetViews>
  <sheetFormatPr baseColWidth="8" defaultColWidth="9.14453125" defaultRowHeight="15"/>
  <cols>
    <col width="54.8828125" bestFit="1" customWidth="1" min="3" max="3"/>
    <col width="6.3203125" customWidth="1" min="4" max="4"/>
    <col width="5.6484375" bestFit="1" customWidth="1" min="5" max="5"/>
    <col width="12.10546875" bestFit="1" customWidth="1" min="6" max="7"/>
    <col width="12.375" bestFit="1" customWidth="1" min="9" max="9"/>
    <col width="13.85546875" bestFit="1" customWidth="1" min="10" max="10"/>
    <col width="5.6484375" bestFit="1" customWidth="1" min="11" max="11"/>
    <col width="13.85546875" bestFit="1" customWidth="1" min="12" max="12"/>
    <col width="13.85546875" bestFit="1" customWidth="1" min="15" max="16"/>
  </cols>
  <sheetData>
    <row r="2">
      <c r="B2" s="57" t="n"/>
      <c r="C2" s="58" t="inlineStr">
        <is>
          <t>INSTALACIÓN MECÁNICA- AGUA POTABLE</t>
        </is>
      </c>
      <c r="D2" s="59" t="n"/>
      <c r="E2" s="59" t="n"/>
      <c r="F2" s="783" t="n"/>
      <c r="G2" s="783" t="n"/>
      <c r="H2" s="783" t="n"/>
      <c r="I2" s="784" t="n"/>
      <c r="J2" s="785" t="n"/>
      <c r="K2" s="783" t="n"/>
      <c r="L2" s="783" t="n"/>
    </row>
    <row r="3">
      <c r="B3" s="63" t="n"/>
      <c r="C3" s="64" t="n"/>
      <c r="D3" s="65" t="n"/>
      <c r="E3" s="65" t="n"/>
      <c r="F3" s="786" t="n"/>
      <c r="G3" s="786" t="n"/>
      <c r="H3" s="786" t="n"/>
      <c r="I3" s="787" t="n"/>
      <c r="J3" s="788" t="n"/>
      <c r="K3" s="786" t="n"/>
      <c r="L3" s="786" t="n"/>
    </row>
    <row r="4">
      <c r="C4" s="129" t="inlineStr">
        <is>
          <t>TUBO PVC 1/2 P/GRUESA</t>
        </is>
      </c>
      <c r="D4" s="430" t="n">
        <v>14</v>
      </c>
      <c r="E4" s="199" t="inlineStr">
        <is>
          <t>uni</t>
        </is>
      </c>
      <c r="F4" s="789" t="n"/>
      <c r="G4" s="790" t="n">
        <v>3985</v>
      </c>
      <c r="H4" s="789" t="n"/>
      <c r="I4" s="791">
        <f>F4*D4</f>
        <v/>
      </c>
      <c r="J4" s="792">
        <f>G4*D4</f>
        <v/>
      </c>
      <c r="K4" s="789">
        <f>H4*D4</f>
        <v/>
      </c>
      <c r="L4" s="789">
        <f>K4+J4+I4</f>
        <v/>
      </c>
    </row>
    <row r="5">
      <c r="C5" s="129" t="inlineStr">
        <is>
          <t>CODO 90  LISO PVC 1/2</t>
        </is>
      </c>
      <c r="D5" s="430" t="n">
        <v>51</v>
      </c>
      <c r="E5" s="70" t="inlineStr">
        <is>
          <t>uni</t>
        </is>
      </c>
      <c r="F5" s="789" t="n"/>
      <c r="G5" s="789" t="n">
        <v>220</v>
      </c>
      <c r="H5" s="789" t="n"/>
      <c r="I5" s="792">
        <f>F5*D5</f>
        <v/>
      </c>
      <c r="J5" s="792">
        <f>G5*D5</f>
        <v/>
      </c>
      <c r="K5" s="789">
        <f>H5*D5</f>
        <v/>
      </c>
      <c r="L5" s="789">
        <f>K5+J5+I5</f>
        <v/>
      </c>
    </row>
    <row r="6">
      <c r="C6" s="129" t="inlineStr">
        <is>
          <t>CODO 45 LISO PVC 1/2</t>
        </is>
      </c>
      <c r="D6" s="430" t="n">
        <v>8</v>
      </c>
      <c r="E6" s="70" t="inlineStr">
        <is>
          <t>uni</t>
        </is>
      </c>
      <c r="F6" s="789" t="n"/>
      <c r="G6" s="789" t="n">
        <v>410</v>
      </c>
      <c r="H6" s="789" t="n"/>
      <c r="I6" s="792">
        <f>F6*D6</f>
        <v/>
      </c>
      <c r="J6" s="792">
        <f>G6*D6</f>
        <v/>
      </c>
      <c r="K6" s="789">
        <f>H6*D6</f>
        <v/>
      </c>
      <c r="L6" s="789">
        <f>K6+J6+I6</f>
        <v/>
      </c>
    </row>
    <row r="7">
      <c r="C7" s="129" t="inlineStr">
        <is>
          <t>TEE LISA PVC 1/2</t>
        </is>
      </c>
      <c r="D7" s="430" t="n">
        <v>20</v>
      </c>
      <c r="E7" s="70" t="inlineStr">
        <is>
          <t>uni</t>
        </is>
      </c>
      <c r="F7" s="789" t="n"/>
      <c r="G7" s="789" t="n">
        <v>230</v>
      </c>
      <c r="H7" s="789" t="n"/>
      <c r="I7" s="792">
        <f>F7*D7</f>
        <v/>
      </c>
      <c r="J7" s="792">
        <f>G7*D7</f>
        <v/>
      </c>
      <c r="K7" s="789">
        <f>H7*D7</f>
        <v/>
      </c>
      <c r="L7" s="789">
        <f>K7+J7+I7</f>
        <v/>
      </c>
    </row>
    <row r="8">
      <c r="C8" s="129" t="inlineStr">
        <is>
          <t>TAPON MACHO CON ROSCA</t>
        </is>
      </c>
      <c r="D8" s="430" t="n">
        <v>10</v>
      </c>
      <c r="E8" s="70" t="inlineStr">
        <is>
          <t>UNI</t>
        </is>
      </c>
      <c r="F8" s="789" t="n"/>
      <c r="G8" s="789" t="n">
        <v>770</v>
      </c>
      <c r="H8" s="789" t="n"/>
      <c r="I8" s="792">
        <f>F8*D8</f>
        <v/>
      </c>
      <c r="J8" s="792">
        <f>G8*D8</f>
        <v/>
      </c>
      <c r="K8" s="789">
        <f>H8*D8</f>
        <v/>
      </c>
      <c r="L8" s="789">
        <f>K8+J8+I8</f>
        <v/>
      </c>
    </row>
    <row r="9">
      <c r="C9" s="129" t="inlineStr">
        <is>
          <t>TAPON HEMBRA PVC LISO  1/2</t>
        </is>
      </c>
      <c r="D9" s="430" t="n">
        <v>10</v>
      </c>
      <c r="E9" s="70" t="inlineStr">
        <is>
          <t>uni</t>
        </is>
      </c>
      <c r="F9" s="789" t="n"/>
      <c r="G9" s="789" t="n">
        <v>140</v>
      </c>
      <c r="H9" s="789" t="n"/>
      <c r="I9" s="792">
        <f>F9*D9</f>
        <v/>
      </c>
      <c r="J9" s="792">
        <f>G9*D9</f>
        <v/>
      </c>
      <c r="K9" s="789">
        <f>H9*D9</f>
        <v/>
      </c>
      <c r="L9" s="789">
        <f>K9+J9+I9</f>
        <v/>
      </c>
    </row>
    <row r="10">
      <c r="C10" s="129" t="inlineStr">
        <is>
          <t>TAPON HEMBRA PVC LISO 1 1/2</t>
        </is>
      </c>
      <c r="D10" s="430" t="n">
        <v>30</v>
      </c>
      <c r="E10" s="70" t="inlineStr">
        <is>
          <t>uni</t>
        </is>
      </c>
      <c r="F10" s="789" t="n"/>
      <c r="G10" s="789" t="n">
        <v>160</v>
      </c>
      <c r="H10" s="789" t="n"/>
      <c r="I10" s="792">
        <f>F10*D10</f>
        <v/>
      </c>
      <c r="J10" s="792">
        <f>G10*D10</f>
        <v/>
      </c>
      <c r="K10" s="789">
        <f>H10*D10</f>
        <v/>
      </c>
      <c r="L10" s="789">
        <f>K10+J10+I10</f>
        <v/>
      </c>
    </row>
    <row r="11">
      <c r="C11" s="129" t="inlineStr">
        <is>
          <t>ADAPTADOR MACHO PVC 1/2</t>
        </is>
      </c>
      <c r="D11" s="430" t="n">
        <v>39</v>
      </c>
      <c r="E11" s="70" t="inlineStr">
        <is>
          <t>uni</t>
        </is>
      </c>
      <c r="F11" s="789" t="n"/>
      <c r="G11" s="793" t="n">
        <v>1140</v>
      </c>
      <c r="H11" s="789" t="n"/>
      <c r="I11" s="792">
        <f>F11*D11</f>
        <v/>
      </c>
      <c r="J11" s="792">
        <f>G11*D11</f>
        <v/>
      </c>
      <c r="K11" s="789">
        <f>H11*D11</f>
        <v/>
      </c>
      <c r="L11" s="789">
        <f>K11+J11+I11</f>
        <v/>
      </c>
    </row>
    <row r="12">
      <c r="C12" s="129" t="inlineStr">
        <is>
          <t>UNION LISA PVC  1/2</t>
        </is>
      </c>
      <c r="D12" s="430" t="n">
        <v>8</v>
      </c>
      <c r="E12" s="70" t="inlineStr">
        <is>
          <t>uni</t>
        </is>
      </c>
      <c r="F12" s="789" t="n"/>
      <c r="G12" s="793" t="n">
        <v>254</v>
      </c>
      <c r="H12" s="789" t="n"/>
      <c r="I12" s="792">
        <f>F12*D12</f>
        <v/>
      </c>
      <c r="J12" s="792">
        <f>G12*D12</f>
        <v/>
      </c>
      <c r="K12" s="789">
        <f>H12*D12</f>
        <v/>
      </c>
      <c r="L12" s="789">
        <f>K12+J12+I12</f>
        <v/>
      </c>
    </row>
    <row r="13">
      <c r="C13" s="129" t="inlineStr">
        <is>
          <t>TUBO CPVC 1/2</t>
        </is>
      </c>
      <c r="D13" s="430" t="n">
        <v>10</v>
      </c>
      <c r="E13" s="70" t="inlineStr">
        <is>
          <t>uni</t>
        </is>
      </c>
      <c r="F13" s="789" t="n"/>
      <c r="G13" s="793" t="n">
        <v>196</v>
      </c>
      <c r="H13" s="789" t="n"/>
      <c r="I13" s="792">
        <f>F13*D13</f>
        <v/>
      </c>
      <c r="J13" s="792">
        <f>G13*D13</f>
        <v/>
      </c>
      <c r="K13" s="789">
        <f>H13*D13</f>
        <v/>
      </c>
      <c r="L13" s="789">
        <f>K13+J13+I13</f>
        <v/>
      </c>
    </row>
    <row r="14">
      <c r="C14" s="129" t="inlineStr">
        <is>
          <t>CODO 90 CPVC 1/2</t>
        </is>
      </c>
      <c r="D14" s="430" t="n">
        <v>41</v>
      </c>
      <c r="E14" s="70" t="inlineStr">
        <is>
          <t>uni</t>
        </is>
      </c>
      <c r="F14" s="789" t="n"/>
      <c r="G14" s="790" t="n">
        <v>357.75</v>
      </c>
      <c r="H14" s="789" t="n"/>
      <c r="I14" s="792">
        <f>F14*D14</f>
        <v/>
      </c>
      <c r="J14" s="792">
        <f>G14*D14</f>
        <v/>
      </c>
      <c r="K14" s="789">
        <f>H14*D14</f>
        <v/>
      </c>
      <c r="L14" s="789">
        <f>K14+J14+I14</f>
        <v/>
      </c>
    </row>
    <row r="15">
      <c r="C15" s="129" t="inlineStr">
        <is>
          <t>CODO 45 CPVC 1/2</t>
        </is>
      </c>
      <c r="D15" s="430" t="n">
        <v>18</v>
      </c>
      <c r="E15" s="70" t="inlineStr">
        <is>
          <t>uni</t>
        </is>
      </c>
      <c r="F15" s="789" t="n"/>
      <c r="G15" s="793" t="n">
        <v>824</v>
      </c>
      <c r="H15" s="789" t="n"/>
      <c r="I15" s="792">
        <f>F15*D15</f>
        <v/>
      </c>
      <c r="J15" s="792">
        <f>G15*D15</f>
        <v/>
      </c>
      <c r="K15" s="789">
        <f>H15*D15</f>
        <v/>
      </c>
      <c r="L15" s="789">
        <f>K15+J15+I15</f>
        <v/>
      </c>
    </row>
    <row r="16">
      <c r="C16" s="129" t="inlineStr">
        <is>
          <t>TEE CPVC 1/2</t>
        </is>
      </c>
      <c r="D16" s="430" t="n">
        <v>15</v>
      </c>
      <c r="E16" s="70" t="inlineStr">
        <is>
          <t>uni</t>
        </is>
      </c>
      <c r="F16" s="789" t="n"/>
      <c r="G16" s="793" t="n">
        <v>1350</v>
      </c>
      <c r="H16" s="789" t="n"/>
      <c r="I16" s="792">
        <f>F16*D16</f>
        <v/>
      </c>
      <c r="J16" s="792">
        <f>G16*D16</f>
        <v/>
      </c>
      <c r="K16" s="789">
        <f>H16*D16</f>
        <v/>
      </c>
      <c r="L16" s="789">
        <f>K16+J16+I16</f>
        <v/>
      </c>
      <c r="O16" s="56" t="inlineStr">
        <is>
          <t>Mecanico</t>
        </is>
      </c>
      <c r="P16" s="56" t="inlineStr">
        <is>
          <t>Eledtrico</t>
        </is>
      </c>
    </row>
    <row r="17">
      <c r="C17" s="129" t="inlineStr">
        <is>
          <t>TAPON LISO CPVC 1/2</t>
        </is>
      </c>
      <c r="D17" s="430" t="n">
        <v>24</v>
      </c>
      <c r="E17" s="70" t="inlineStr">
        <is>
          <t>uni</t>
        </is>
      </c>
      <c r="F17" s="789" t="n"/>
      <c r="G17" s="793" t="n">
        <v>1090</v>
      </c>
      <c r="H17" s="789" t="n"/>
      <c r="I17" s="792">
        <f>F17*D17</f>
        <v/>
      </c>
      <c r="J17" s="792">
        <f>G17*D17</f>
        <v/>
      </c>
      <c r="K17" s="789">
        <f>H17*D17</f>
        <v/>
      </c>
      <c r="L17" s="789">
        <f>K17+J17+I17</f>
        <v/>
      </c>
      <c r="N17" t="inlineStr">
        <is>
          <t>Materiales</t>
        </is>
      </c>
      <c r="O17" s="794">
        <f>+J35+J64+J77</f>
        <v/>
      </c>
      <c r="P17" s="794">
        <f>+J115+J161</f>
        <v/>
      </c>
    </row>
    <row r="18">
      <c r="C18" s="129" t="inlineStr">
        <is>
          <t>ADAPTADOR MACHO CPVC 1/2</t>
        </is>
      </c>
      <c r="D18" s="430" t="n">
        <v>24</v>
      </c>
      <c r="E18" s="70" t="inlineStr">
        <is>
          <t>uni</t>
        </is>
      </c>
      <c r="F18" s="789" t="n"/>
      <c r="G18" s="793" t="n">
        <v>809</v>
      </c>
      <c r="H18" s="789" t="n"/>
      <c r="I18" s="792">
        <f>F18*D18</f>
        <v/>
      </c>
      <c r="J18" s="792">
        <f>G18*D18</f>
        <v/>
      </c>
      <c r="K18" s="789">
        <f>H18*D18</f>
        <v/>
      </c>
      <c r="L18" s="789">
        <f>K18+J18+I18</f>
        <v/>
      </c>
      <c r="N18" t="inlineStr">
        <is>
          <t>MO</t>
        </is>
      </c>
      <c r="O18" s="794">
        <f>+I35+I64+I77</f>
        <v/>
      </c>
      <c r="P18" s="794">
        <f>+I115+I161</f>
        <v/>
      </c>
    </row>
    <row r="19">
      <c r="C19" s="129" t="inlineStr">
        <is>
          <t>ADAPTADOR HEMBRA CPVC 1/2</t>
        </is>
      </c>
      <c r="D19" s="430" t="n">
        <v>5</v>
      </c>
      <c r="E19" s="70" t="inlineStr">
        <is>
          <t>uni</t>
        </is>
      </c>
      <c r="F19" s="789" t="n"/>
      <c r="G19" s="793" t="n">
        <v>880</v>
      </c>
      <c r="H19" s="789" t="n"/>
      <c r="I19" s="792">
        <f>F19*D19</f>
        <v/>
      </c>
      <c r="J19" s="792">
        <f>G19*D19</f>
        <v/>
      </c>
      <c r="K19" s="789">
        <f>H19*D19</f>
        <v/>
      </c>
      <c r="L19" s="789">
        <f>K19+J19+I19</f>
        <v/>
      </c>
      <c r="O19" s="795">
        <f>SUM(O17:O18)</f>
        <v/>
      </c>
      <c r="P19" s="795">
        <f>SUM(P17:P18)</f>
        <v/>
      </c>
    </row>
    <row r="20">
      <c r="C20" s="129" t="inlineStr">
        <is>
          <t>UNION LISA  CPVC 1/2</t>
        </is>
      </c>
      <c r="D20" s="430" t="n">
        <v>6</v>
      </c>
      <c r="E20" s="70" t="inlineStr">
        <is>
          <t>uni</t>
        </is>
      </c>
      <c r="F20" s="789" t="n"/>
      <c r="G20" s="793" t="n">
        <v>3534</v>
      </c>
      <c r="H20" s="789" t="n"/>
      <c r="I20" s="792">
        <f>F20*D20</f>
        <v/>
      </c>
      <c r="J20" s="792">
        <f>G20*D20</f>
        <v/>
      </c>
      <c r="K20" s="789">
        <f>H20*D20</f>
        <v/>
      </c>
      <c r="L20" s="789">
        <f>K20+J20+I20</f>
        <v/>
      </c>
    </row>
    <row r="21">
      <c r="C21" s="129" t="inlineStr">
        <is>
          <t>LLAVE DE CONTROL ESCUADRA 1/2 A 1/2</t>
        </is>
      </c>
      <c r="D21" s="430" t="n">
        <v>6</v>
      </c>
      <c r="E21" s="70" t="inlineStr">
        <is>
          <t>uni</t>
        </is>
      </c>
      <c r="F21" s="789" t="n"/>
      <c r="G21" s="793" t="n">
        <v>595</v>
      </c>
      <c r="H21" s="789" t="n"/>
      <c r="I21" s="792">
        <f>F21*D21</f>
        <v/>
      </c>
      <c r="J21" s="792">
        <f>G21*D21</f>
        <v/>
      </c>
      <c r="K21" s="789">
        <f>H21*D21</f>
        <v/>
      </c>
      <c r="L21" s="789">
        <f>K21+J21+I21</f>
        <v/>
      </c>
    </row>
    <row r="22">
      <c r="C22" s="129" t="inlineStr">
        <is>
          <t>LLAVE DE CHORRO PVC 1/2</t>
        </is>
      </c>
      <c r="D22" s="430" t="n">
        <v>2</v>
      </c>
      <c r="E22" s="70" t="inlineStr">
        <is>
          <t>uni</t>
        </is>
      </c>
      <c r="F22" s="789" t="n"/>
      <c r="G22" s="793" t="n">
        <v>2850.29</v>
      </c>
      <c r="H22" s="789" t="n"/>
      <c r="I22" s="792">
        <f>F22*D22</f>
        <v/>
      </c>
      <c r="J22" s="792">
        <f>G22*D22</f>
        <v/>
      </c>
      <c r="K22" s="789">
        <f>H22*D22</f>
        <v/>
      </c>
      <c r="L22" s="789">
        <f>K22+J22+I22</f>
        <v/>
      </c>
    </row>
    <row r="23">
      <c r="C23" s="129" t="inlineStr">
        <is>
          <t>GRIFERIA DUCHA BREZZA  MONO S/LAVAPIES EZ4015551  SSB</t>
        </is>
      </c>
      <c r="D23" s="430" t="n">
        <v>2</v>
      </c>
      <c r="E23" s="70" t="inlineStr">
        <is>
          <t>uni</t>
        </is>
      </c>
      <c r="F23" s="789" t="n"/>
      <c r="G23" s="793" t="n">
        <v>4656.73</v>
      </c>
      <c r="H23" s="789" t="n"/>
      <c r="I23" s="792">
        <f>F23*D23</f>
        <v/>
      </c>
      <c r="J23" s="792">
        <f>G23*D23</f>
        <v/>
      </c>
      <c r="K23" s="789">
        <f>H23*D23</f>
        <v/>
      </c>
      <c r="L23" s="789">
        <f>K23+J23+I23</f>
        <v/>
      </c>
    </row>
    <row r="24">
      <c r="C24" s="129" t="inlineStr">
        <is>
          <t>HIDROMETRO DE 1/2Q (12MM) ENCAPSULADO ROSCADO ARAD</t>
        </is>
      </c>
      <c r="D24" s="430" t="n">
        <v>1</v>
      </c>
      <c r="E24" s="70" t="inlineStr">
        <is>
          <t>uni</t>
        </is>
      </c>
      <c r="F24" s="789" t="n"/>
      <c r="G24" s="793" t="n">
        <v>34182.5</v>
      </c>
      <c r="H24" s="789" t="n"/>
      <c r="I24" s="792">
        <f>F24*D24</f>
        <v/>
      </c>
      <c r="J24" s="792">
        <f>G24*D24</f>
        <v/>
      </c>
      <c r="K24" s="789">
        <f>H24*D24</f>
        <v/>
      </c>
      <c r="L24" s="789">
        <f>K24+J24+I24</f>
        <v/>
      </c>
    </row>
    <row r="25">
      <c r="C25" s="129" t="inlineStr">
        <is>
          <t>PEGAMENTO PVC AZUL WETBONDING (DOBLE PROPOSITO)</t>
        </is>
      </c>
      <c r="D25" s="430" t="n">
        <v>1</v>
      </c>
      <c r="E25" s="70" t="inlineStr">
        <is>
          <t>uni</t>
        </is>
      </c>
      <c r="F25" s="789" t="n"/>
      <c r="G25" s="793" t="n">
        <v>18180.15</v>
      </c>
      <c r="H25" s="789" t="n"/>
      <c r="I25" s="792">
        <f>F25*D25</f>
        <v/>
      </c>
      <c r="J25" s="792">
        <f>G25*D25</f>
        <v/>
      </c>
      <c r="K25" s="789">
        <f>H25*D25</f>
        <v/>
      </c>
      <c r="L25" s="789">
        <f>K25+J25+I25</f>
        <v/>
      </c>
    </row>
    <row r="26">
      <c r="C26" s="129" t="inlineStr">
        <is>
          <t>CODO 1/2X90 HG</t>
        </is>
      </c>
      <c r="D26" s="430" t="n">
        <v>3</v>
      </c>
      <c r="E26" s="70" t="inlineStr">
        <is>
          <t>uni</t>
        </is>
      </c>
      <c r="F26" s="789" t="n"/>
      <c r="G26" s="793" t="n">
        <v>13601</v>
      </c>
      <c r="H26" s="789" t="n"/>
      <c r="I26" s="792">
        <f>F26*D26</f>
        <v/>
      </c>
      <c r="J26" s="792">
        <f>G26*D26</f>
        <v/>
      </c>
      <c r="K26" s="789">
        <f>H26*D26</f>
        <v/>
      </c>
      <c r="L26" s="789">
        <f>K26+J26+I26</f>
        <v/>
      </c>
    </row>
    <row r="27">
      <c r="C27" s="129" t="inlineStr">
        <is>
          <t>UNION HG 1/2</t>
        </is>
      </c>
      <c r="D27" s="430" t="n">
        <v>6</v>
      </c>
      <c r="E27" s="70" t="inlineStr">
        <is>
          <t>uni</t>
        </is>
      </c>
      <c r="F27" s="789" t="n"/>
      <c r="G27" s="793" t="n">
        <v>383.57</v>
      </c>
      <c r="H27" s="789" t="n"/>
      <c r="I27" s="792">
        <f>F27*D27</f>
        <v/>
      </c>
      <c r="J27" s="792">
        <f>G27*D27</f>
        <v/>
      </c>
      <c r="K27" s="789">
        <f>H27*D27</f>
        <v/>
      </c>
      <c r="L27" s="789">
        <f>K27+J27+I27</f>
        <v/>
      </c>
    </row>
    <row r="28">
      <c r="C28" s="129" t="inlineStr">
        <is>
          <t>NIPLE 1/2X3 H.G.</t>
        </is>
      </c>
      <c r="D28" s="430" t="n">
        <v>5</v>
      </c>
      <c r="E28" s="70" t="inlineStr">
        <is>
          <t>uni</t>
        </is>
      </c>
      <c r="F28" s="789" t="n"/>
      <c r="G28" s="793" t="n">
        <v>481.26</v>
      </c>
      <c r="H28" s="789" t="n"/>
      <c r="I28" s="792">
        <f>F28*D28</f>
        <v/>
      </c>
      <c r="J28" s="792">
        <f>G28*D28</f>
        <v/>
      </c>
      <c r="K28" s="789">
        <f>H28*D28</f>
        <v/>
      </c>
      <c r="L28" s="789">
        <f>K28+J28+I28</f>
        <v/>
      </c>
    </row>
    <row r="29">
      <c r="C29" s="129" t="inlineStr">
        <is>
          <t>NIPLE 1/2X4 HG</t>
        </is>
      </c>
      <c r="D29" s="430" t="n">
        <v>15</v>
      </c>
      <c r="E29" s="70" t="inlineStr">
        <is>
          <t>uni</t>
        </is>
      </c>
      <c r="F29" s="789" t="n"/>
      <c r="G29" s="793" t="n">
        <v>282.26</v>
      </c>
      <c r="H29" s="789" t="n"/>
      <c r="I29" s="792">
        <f>F29*D29</f>
        <v/>
      </c>
      <c r="J29" s="792">
        <f>G29*D29</f>
        <v/>
      </c>
      <c r="K29" s="789">
        <f>H29*D29</f>
        <v/>
      </c>
      <c r="L29" s="789">
        <f>K29+J29+I29</f>
        <v/>
      </c>
    </row>
    <row r="30">
      <c r="C30" s="129" t="inlineStr">
        <is>
          <t>TEFLON CINTA 1/2  (10M)</t>
        </is>
      </c>
      <c r="D30" s="430" t="n">
        <v>2</v>
      </c>
      <c r="E30" s="70" t="inlineStr">
        <is>
          <t>uni</t>
        </is>
      </c>
      <c r="F30" s="789" t="n"/>
      <c r="G30" s="793" t="n">
        <v>302.21</v>
      </c>
      <c r="H30" s="789" t="n"/>
      <c r="I30" s="792">
        <f>F30*D30</f>
        <v/>
      </c>
      <c r="J30" s="792">
        <f>G30*D30</f>
        <v/>
      </c>
      <c r="K30" s="789">
        <f>H30*D30</f>
        <v/>
      </c>
      <c r="L30" s="789">
        <f>K30+J30+I30</f>
        <v/>
      </c>
    </row>
    <row r="31">
      <c r="C31" s="129" t="inlineStr">
        <is>
          <t>M.O. MEDIDOR DE AGUA</t>
        </is>
      </c>
      <c r="D31" s="199" t="n">
        <v>1</v>
      </c>
      <c r="E31" s="70" t="inlineStr">
        <is>
          <t>uni</t>
        </is>
      </c>
      <c r="F31" s="789" t="n">
        <v>25000</v>
      </c>
      <c r="G31" s="789" t="n"/>
      <c r="H31" s="789" t="n"/>
      <c r="I31" s="792">
        <f>F31*D31</f>
        <v/>
      </c>
      <c r="J31" s="792">
        <f>G31*D31</f>
        <v/>
      </c>
      <c r="K31" s="789">
        <f>H31*D31</f>
        <v/>
      </c>
      <c r="L31" s="789">
        <f>K31+J31+I31</f>
        <v/>
      </c>
    </row>
    <row r="32">
      <c r="C32" s="129" t="inlineStr">
        <is>
          <t>MANO DE OBRA GENERAL</t>
        </is>
      </c>
      <c r="D32" s="199" t="n">
        <v>1</v>
      </c>
      <c r="E32" s="70" t="inlineStr">
        <is>
          <t>uni</t>
        </is>
      </c>
      <c r="F32" s="789" t="n">
        <v>198000</v>
      </c>
      <c r="G32" s="789" t="n"/>
      <c r="H32" s="789" t="n"/>
      <c r="I32" s="792">
        <f>F32*D32</f>
        <v/>
      </c>
      <c r="J32" s="792">
        <f>G32*D32</f>
        <v/>
      </c>
      <c r="K32" s="789">
        <f>H32*D32</f>
        <v/>
      </c>
      <c r="L32" s="789">
        <f>K32+J32+I32</f>
        <v/>
      </c>
    </row>
    <row r="33">
      <c r="C33" s="129" t="inlineStr">
        <is>
          <t>M.O. MONTAJE MONOCOMANDOS</t>
        </is>
      </c>
      <c r="D33" s="199" t="n">
        <v>1</v>
      </c>
      <c r="E33" s="70" t="inlineStr">
        <is>
          <t>uni</t>
        </is>
      </c>
      <c r="F33" s="789" t="n">
        <v>27000</v>
      </c>
      <c r="G33" s="789" t="n"/>
      <c r="H33" s="789" t="n"/>
      <c r="I33" s="792">
        <f>F33*D33</f>
        <v/>
      </c>
      <c r="J33" s="792">
        <f>G33*D33</f>
        <v/>
      </c>
      <c r="K33" s="789">
        <f>H33*D33</f>
        <v/>
      </c>
      <c r="L33" s="789">
        <f>K33+J33+I33</f>
        <v/>
      </c>
    </row>
    <row r="34" ht="15.75" customHeight="1" thickBot="1">
      <c r="D34" s="71" t="n"/>
      <c r="E34" s="71" t="n"/>
      <c r="F34" s="796" t="n"/>
      <c r="G34" s="796" t="n"/>
      <c r="H34" s="796" t="n"/>
      <c r="I34" s="797">
        <f>F34*D34</f>
        <v/>
      </c>
      <c r="J34" s="797">
        <f>G34*D34</f>
        <v/>
      </c>
      <c r="K34" s="796">
        <f>H34*D34</f>
        <v/>
      </c>
      <c r="L34" s="796">
        <f>K34+J34+I34</f>
        <v/>
      </c>
    </row>
    <row r="35" ht="15.75" customHeight="1" thickBot="1">
      <c r="B35" s="74" t="n"/>
      <c r="C35" s="75" t="inlineStr">
        <is>
          <t>SUB TOTAL</t>
        </is>
      </c>
      <c r="D35" s="76" t="n"/>
      <c r="E35" s="76" t="n"/>
      <c r="F35" s="798" t="n"/>
      <c r="G35" s="798" t="n"/>
      <c r="H35" s="798" t="n"/>
      <c r="I35" s="799">
        <f>SUM(I13:I34)</f>
        <v/>
      </c>
      <c r="J35" s="799">
        <f>SUM(J4:J30)</f>
        <v/>
      </c>
      <c r="K35" s="798">
        <f>H35*D35</f>
        <v/>
      </c>
      <c r="L35" s="798">
        <f>SUM(I35:K35)</f>
        <v/>
      </c>
    </row>
    <row r="36" ht="15.75" customHeight="1" thickBot="1">
      <c r="D36" s="71" t="n"/>
      <c r="E36" s="71" t="n"/>
      <c r="F36" s="800" t="n"/>
      <c r="G36" s="800" t="n"/>
      <c r="H36" s="800" t="n"/>
      <c r="I36" s="801" t="n"/>
      <c r="J36" s="801" t="n"/>
      <c r="K36" s="800" t="n"/>
      <c r="L36" s="800" t="n"/>
    </row>
    <row r="37" ht="15.75" customHeight="1" thickBot="1">
      <c r="B37" s="81" t="n"/>
      <c r="C37" s="82" t="inlineStr">
        <is>
          <t>INSTALACIÓN MECANICA AGUAS SERVIDAS</t>
        </is>
      </c>
      <c r="D37" s="83" t="n"/>
      <c r="E37" s="83" t="n"/>
      <c r="F37" s="802" t="n"/>
      <c r="G37" s="802" t="n"/>
      <c r="H37" s="802" t="n"/>
      <c r="I37" s="803">
        <f>F37*D37</f>
        <v/>
      </c>
      <c r="J37" s="803">
        <f>G37*D37</f>
        <v/>
      </c>
      <c r="K37" s="802">
        <f>H37*D37</f>
        <v/>
      </c>
      <c r="L37" s="802">
        <f>K37+J37+I37</f>
        <v/>
      </c>
    </row>
    <row r="38">
      <c r="D38" s="71" t="n"/>
      <c r="E38" s="71" t="n"/>
      <c r="F38" s="804" t="n"/>
      <c r="G38" s="804" t="n"/>
      <c r="H38" s="804" t="n"/>
      <c r="I38" s="805">
        <f>F38*D38</f>
        <v/>
      </c>
      <c r="J38" s="805">
        <f>G38*D38</f>
        <v/>
      </c>
      <c r="K38" s="804">
        <f>H38*D38</f>
        <v/>
      </c>
      <c r="L38" s="804">
        <f>K38+J38+I38</f>
        <v/>
      </c>
    </row>
    <row r="39">
      <c r="C39" s="88" t="inlineStr">
        <is>
          <t>TUBO SANITARIO PVC 4</t>
        </is>
      </c>
      <c r="D39" s="89" t="n">
        <v>6</v>
      </c>
      <c r="E39" s="199" t="inlineStr">
        <is>
          <t>uni</t>
        </is>
      </c>
      <c r="F39" s="806" t="n"/>
      <c r="G39" s="804" t="n">
        <v>23000</v>
      </c>
      <c r="H39" s="789" t="n"/>
      <c r="I39" s="792">
        <f>F39*D39</f>
        <v/>
      </c>
      <c r="J39" s="792">
        <f>G39*D39</f>
        <v/>
      </c>
      <c r="K39" s="789">
        <f>H39*D39</f>
        <v/>
      </c>
      <c r="L39" s="789">
        <f>K39+J39+I39</f>
        <v/>
      </c>
    </row>
    <row r="40">
      <c r="C40" s="129" t="inlineStr">
        <is>
          <t>CODO 90 PARED DELGADA 4</t>
        </is>
      </c>
      <c r="D40" s="199" t="n">
        <v>12</v>
      </c>
      <c r="E40" s="199" t="inlineStr">
        <is>
          <t>uni</t>
        </is>
      </c>
      <c r="F40" s="806" t="n"/>
      <c r="G40" s="789" t="n">
        <v>2780</v>
      </c>
      <c r="H40" s="789" t="n"/>
      <c r="I40" s="792">
        <f>F40*D40</f>
        <v/>
      </c>
      <c r="J40" s="792">
        <f>G40*D40</f>
        <v/>
      </c>
      <c r="K40" s="789">
        <f>H40*D40</f>
        <v/>
      </c>
      <c r="L40" s="789">
        <f>K40+J40+I40</f>
        <v/>
      </c>
    </row>
    <row r="41">
      <c r="C41" s="129" t="inlineStr">
        <is>
          <t>CODO 45 PARED DELGADA 4</t>
        </is>
      </c>
      <c r="D41" s="430" t="n">
        <v>17</v>
      </c>
      <c r="E41" s="199" t="inlineStr">
        <is>
          <t>uni</t>
        </is>
      </c>
      <c r="F41" s="806" t="n"/>
      <c r="G41" s="793" t="n">
        <v>4501.05</v>
      </c>
      <c r="H41" s="789" t="n"/>
      <c r="I41" s="792">
        <f>F41*D41</f>
        <v/>
      </c>
      <c r="J41" s="792">
        <f>G41*D41</f>
        <v/>
      </c>
      <c r="K41" s="789">
        <f>H41*D41</f>
        <v/>
      </c>
      <c r="L41" s="789">
        <f>K41+J41+I41</f>
        <v/>
      </c>
    </row>
    <row r="42">
      <c r="C42" s="129" t="inlineStr">
        <is>
          <t>TEE PVC 4" SANITARIA PD</t>
        </is>
      </c>
      <c r="D42" s="430" t="n">
        <v>7</v>
      </c>
      <c r="E42" s="199" t="inlineStr">
        <is>
          <t>uni</t>
        </is>
      </c>
      <c r="F42" s="806" t="n"/>
      <c r="G42" s="793" t="n">
        <v>3730</v>
      </c>
      <c r="H42" s="789" t="n"/>
      <c r="I42" s="792">
        <f>F42*D42</f>
        <v/>
      </c>
      <c r="J42" s="792">
        <f>G42*D42</f>
        <v/>
      </c>
      <c r="K42" s="789">
        <f>H42*D42</f>
        <v/>
      </c>
      <c r="L42" s="789">
        <f>K42+J42+I42</f>
        <v/>
      </c>
    </row>
    <row r="43">
      <c r="C43" s="129" t="inlineStr">
        <is>
          <t>TAPON HEMBRA PVC SANITARIO 4</t>
        </is>
      </c>
      <c r="D43" s="430" t="n">
        <v>12</v>
      </c>
      <c r="E43" s="199" t="inlineStr">
        <is>
          <t>uni</t>
        </is>
      </c>
      <c r="F43" s="806" t="n"/>
      <c r="G43" s="793" t="n">
        <v>1881.75</v>
      </c>
      <c r="H43" s="789" t="n"/>
      <c r="I43" s="792">
        <f>F43*D43</f>
        <v/>
      </c>
      <c r="J43" s="792">
        <f>G43*D43</f>
        <v/>
      </c>
      <c r="K43" s="789">
        <f>H43*D43</f>
        <v/>
      </c>
      <c r="L43" s="789">
        <f>K43+J43+I43</f>
        <v/>
      </c>
    </row>
    <row r="44">
      <c r="C44" s="129" t="inlineStr">
        <is>
          <t>ADAPTADOR MACHO PVC 4</t>
        </is>
      </c>
      <c r="D44" s="430" t="n">
        <v>12</v>
      </c>
      <c r="E44" s="199" t="inlineStr">
        <is>
          <t>uni</t>
        </is>
      </c>
      <c r="F44" s="806" t="n"/>
      <c r="G44" s="793" t="n">
        <v>6962.48</v>
      </c>
      <c r="H44" s="789" t="n"/>
      <c r="I44" s="792">
        <f>F44*D44</f>
        <v/>
      </c>
      <c r="J44" s="792">
        <f>G44*D44</f>
        <v/>
      </c>
      <c r="K44" s="789">
        <f>H44*D44</f>
        <v/>
      </c>
      <c r="L44" s="789">
        <f>K44+J44+I44</f>
        <v/>
      </c>
    </row>
    <row r="45">
      <c r="C45" s="129" t="inlineStr">
        <is>
          <t>UNION LISA PVC 4</t>
        </is>
      </c>
      <c r="D45" s="430" t="n">
        <v>12</v>
      </c>
      <c r="E45" s="199" t="inlineStr">
        <is>
          <t>uni</t>
        </is>
      </c>
      <c r="F45" s="806" t="n"/>
      <c r="G45" s="793" t="n">
        <v>3924</v>
      </c>
      <c r="H45" s="789" t="n"/>
      <c r="I45" s="792">
        <f>F45*D45</f>
        <v/>
      </c>
      <c r="J45" s="792">
        <f>G45*D45</f>
        <v/>
      </c>
      <c r="K45" s="789">
        <f>H45*D45</f>
        <v/>
      </c>
      <c r="L45" s="789">
        <f>K45+J45+I45</f>
        <v/>
      </c>
    </row>
    <row r="46">
      <c r="C46" s="129" t="inlineStr">
        <is>
          <t>YEE PARED DELGADA 4</t>
        </is>
      </c>
      <c r="D46" s="430" t="n">
        <v>9</v>
      </c>
      <c r="E46" s="199" t="inlineStr">
        <is>
          <t>uni</t>
        </is>
      </c>
      <c r="F46" s="806" t="n"/>
      <c r="G46" s="793" t="n">
        <v>5020</v>
      </c>
      <c r="H46" s="789" t="n"/>
      <c r="I46" s="792">
        <f>F46*D46</f>
        <v/>
      </c>
      <c r="J46" s="792">
        <f>G46*D46</f>
        <v/>
      </c>
      <c r="K46" s="789">
        <f>H46*D46</f>
        <v/>
      </c>
      <c r="L46" s="789">
        <f>K46+J46+I46</f>
        <v/>
      </c>
    </row>
    <row r="47">
      <c r="C47" s="129" t="inlineStr">
        <is>
          <t>REDUCCION LISA P.D. 2 A 4</t>
        </is>
      </c>
      <c r="D47" s="430" t="n">
        <v>9</v>
      </c>
      <c r="E47" s="199" t="inlineStr">
        <is>
          <t>uni</t>
        </is>
      </c>
      <c r="F47" s="806" t="n"/>
      <c r="G47" s="793" t="n">
        <v>6921</v>
      </c>
      <c r="H47" s="789" t="n"/>
      <c r="I47" s="792">
        <f>F47*D47</f>
        <v/>
      </c>
      <c r="J47" s="792">
        <f>G47*D47</f>
        <v/>
      </c>
      <c r="K47" s="789">
        <f>H47*D47</f>
        <v/>
      </c>
      <c r="L47" s="789">
        <f>K47+J47+I47</f>
        <v/>
      </c>
    </row>
    <row r="48">
      <c r="C48" s="129" t="inlineStr">
        <is>
          <t>REDUCCION LISA P.D.  3 A 4</t>
        </is>
      </c>
      <c r="D48" s="430" t="n">
        <v>7</v>
      </c>
      <c r="E48" s="199" t="inlineStr">
        <is>
          <t>uni</t>
        </is>
      </c>
      <c r="F48" s="806" t="n"/>
      <c r="G48" s="793" t="n">
        <v>6958</v>
      </c>
      <c r="H48" s="789" t="n"/>
      <c r="I48" s="792">
        <f>F48*D48</f>
        <v/>
      </c>
      <c r="J48" s="792">
        <f>G48*D48</f>
        <v/>
      </c>
      <c r="K48" s="789">
        <f>H48*D48</f>
        <v/>
      </c>
      <c r="L48" s="789">
        <f>K48+J48+I48</f>
        <v/>
      </c>
    </row>
    <row r="49">
      <c r="C49" s="129" t="inlineStr">
        <is>
          <t>TUBO SANITARIO PVC 2</t>
        </is>
      </c>
      <c r="D49" s="430" t="n">
        <v>6</v>
      </c>
      <c r="E49" s="199" t="inlineStr">
        <is>
          <t>uni</t>
        </is>
      </c>
      <c r="F49" s="806" t="n"/>
      <c r="G49" s="793" t="n">
        <v>4700</v>
      </c>
      <c r="H49" s="789" t="n"/>
      <c r="I49" s="792">
        <f>F49*D49</f>
        <v/>
      </c>
      <c r="J49" s="792">
        <f>G49*D49</f>
        <v/>
      </c>
      <c r="K49" s="789">
        <f>H49*D49</f>
        <v/>
      </c>
      <c r="L49" s="789">
        <f>K49+J49+I49</f>
        <v/>
      </c>
    </row>
    <row r="50">
      <c r="C50" s="129" t="inlineStr">
        <is>
          <t>CODO 90 PARED DELGADA 2</t>
        </is>
      </c>
      <c r="D50" s="430" t="n">
        <v>14</v>
      </c>
      <c r="E50" s="199" t="inlineStr">
        <is>
          <t>uni</t>
        </is>
      </c>
      <c r="F50" s="806" t="n"/>
      <c r="G50" s="793" t="n">
        <v>1861</v>
      </c>
      <c r="H50" s="789" t="n"/>
      <c r="I50" s="792">
        <f>F50*D50</f>
        <v/>
      </c>
      <c r="J50" s="792">
        <f>G50*D50</f>
        <v/>
      </c>
      <c r="K50" s="789">
        <f>H50*D50</f>
        <v/>
      </c>
      <c r="L50" s="789">
        <f>K50+J50+I50</f>
        <v/>
      </c>
    </row>
    <row r="51">
      <c r="C51" s="129" t="inlineStr">
        <is>
          <t>CODO 45 SANITARIO 2  PD</t>
        </is>
      </c>
      <c r="D51" s="430" t="n">
        <v>12</v>
      </c>
      <c r="E51" s="199" t="inlineStr">
        <is>
          <t>uni</t>
        </is>
      </c>
      <c r="F51" s="806" t="n"/>
      <c r="G51" s="793" t="n">
        <v>1703</v>
      </c>
      <c r="H51" s="789" t="n"/>
      <c r="I51" s="792">
        <f>F51*D51</f>
        <v/>
      </c>
      <c r="J51" s="792">
        <f>G51*D51</f>
        <v/>
      </c>
      <c r="K51" s="789">
        <f>H51*D51</f>
        <v/>
      </c>
      <c r="L51" s="789">
        <f>K51+J51+I51</f>
        <v/>
      </c>
    </row>
    <row r="52">
      <c r="C52" s="129" t="inlineStr">
        <is>
          <t>TAPON HEMBRA LISO PVC 2</t>
        </is>
      </c>
      <c r="D52" s="430" t="n">
        <v>3</v>
      </c>
      <c r="E52" s="199" t="inlineStr">
        <is>
          <t>uni</t>
        </is>
      </c>
      <c r="F52" s="806" t="n"/>
      <c r="G52" s="793" t="n">
        <v>1301</v>
      </c>
      <c r="H52" s="789" t="n"/>
      <c r="I52" s="792">
        <f>F52*D52</f>
        <v/>
      </c>
      <c r="J52" s="792">
        <f>G52*D52</f>
        <v/>
      </c>
      <c r="K52" s="789">
        <f>H52*D52</f>
        <v/>
      </c>
      <c r="L52" s="789">
        <f>K52+J52+I52</f>
        <v/>
      </c>
    </row>
    <row r="53">
      <c r="C53" s="129" t="inlineStr">
        <is>
          <t>YEE PARED DELGADA 2</t>
        </is>
      </c>
      <c r="D53" s="430" t="n">
        <v>3</v>
      </c>
      <c r="E53" s="199" t="inlineStr">
        <is>
          <t>uni</t>
        </is>
      </c>
      <c r="F53" s="806" t="n"/>
      <c r="G53" s="793" t="n">
        <v>6158</v>
      </c>
      <c r="H53" s="789" t="n"/>
      <c r="I53" s="792">
        <f>F53*D53</f>
        <v/>
      </c>
      <c r="J53" s="792">
        <f>G53*D53</f>
        <v/>
      </c>
      <c r="K53" s="789">
        <f>H53*D53</f>
        <v/>
      </c>
      <c r="L53" s="789">
        <f>K53+J53+I53</f>
        <v/>
      </c>
    </row>
    <row r="54">
      <c r="C54" s="129" t="inlineStr">
        <is>
          <t>REDUCCION 2 A 1 1/4 SANITARIO</t>
        </is>
      </c>
      <c r="D54" s="430" t="n">
        <v>6</v>
      </c>
      <c r="E54" s="199" t="inlineStr">
        <is>
          <t>uni</t>
        </is>
      </c>
      <c r="F54" s="806" t="n"/>
      <c r="G54" s="793" t="n">
        <v>3058</v>
      </c>
      <c r="H54" s="789" t="n"/>
      <c r="I54" s="792">
        <f>F54*D54</f>
        <v/>
      </c>
      <c r="J54" s="792">
        <f>G54*D54</f>
        <v/>
      </c>
      <c r="K54" s="789">
        <f>H54*D54</f>
        <v/>
      </c>
      <c r="L54" s="789">
        <f>K54+J54+I54</f>
        <v/>
      </c>
    </row>
    <row r="55">
      <c r="C55" s="129" t="inlineStr">
        <is>
          <t>TUBO SANITARIO PVC 1 1/4</t>
        </is>
      </c>
      <c r="D55" s="430" t="n">
        <v>3</v>
      </c>
      <c r="E55" s="199" t="inlineStr">
        <is>
          <t>uni</t>
        </is>
      </c>
      <c r="F55" s="806" t="n"/>
      <c r="G55" s="793" t="n">
        <v>5124</v>
      </c>
      <c r="H55" s="789" t="n"/>
      <c r="I55" s="792">
        <f>F55*D55</f>
        <v/>
      </c>
      <c r="J55" s="792">
        <f>G55*D55</f>
        <v/>
      </c>
      <c r="K55" s="789">
        <f>H55*D55</f>
        <v/>
      </c>
      <c r="L55" s="789">
        <f>K55+J55+I55</f>
        <v/>
      </c>
    </row>
    <row r="56">
      <c r="C56" s="129" t="inlineStr">
        <is>
          <t>TAPON LISO PVC SANITARIO 11/4</t>
        </is>
      </c>
      <c r="D56" s="430" t="n">
        <v>10</v>
      </c>
      <c r="E56" s="199" t="inlineStr">
        <is>
          <t>uni</t>
        </is>
      </c>
      <c r="F56" s="806" t="n"/>
      <c r="G56" s="793" t="n">
        <v>1273</v>
      </c>
      <c r="H56" s="789" t="n"/>
      <c r="I56" s="792">
        <f>F56*D56</f>
        <v/>
      </c>
      <c r="J56" s="792">
        <f>G56*D56</f>
        <v/>
      </c>
      <c r="K56" s="789">
        <f>H56*D56</f>
        <v/>
      </c>
      <c r="L56" s="789">
        <f>K56+J56+I56</f>
        <v/>
      </c>
    </row>
    <row r="57">
      <c r="C57" s="129" t="inlineStr">
        <is>
          <t>TRAMPA PARA GRASA 4"</t>
        </is>
      </c>
      <c r="D57" s="430" t="n">
        <v>1</v>
      </c>
      <c r="E57" s="199" t="inlineStr">
        <is>
          <t>uni</t>
        </is>
      </c>
      <c r="F57" s="806" t="n"/>
      <c r="G57" s="793" t="n">
        <v>10000</v>
      </c>
      <c r="H57" s="789" t="n"/>
      <c r="I57" s="792">
        <f>F57*D57</f>
        <v/>
      </c>
      <c r="J57" s="792">
        <f>G57*D57</f>
        <v/>
      </c>
      <c r="K57" s="789">
        <f>H57*D57</f>
        <v/>
      </c>
      <c r="L57" s="789">
        <f>K57+J57+I57</f>
        <v/>
      </c>
    </row>
    <row r="58">
      <c r="C58" s="129" t="inlineStr">
        <is>
          <t>SIFON P/CONCRETO 4"</t>
        </is>
      </c>
      <c r="D58" s="430" t="n">
        <v>3</v>
      </c>
      <c r="E58" s="199" t="inlineStr">
        <is>
          <t>uni</t>
        </is>
      </c>
      <c r="F58" s="806" t="n"/>
      <c r="G58" s="793" t="n">
        <v>5500</v>
      </c>
      <c r="H58" s="789" t="n"/>
      <c r="I58" s="792">
        <f>F58*D58</f>
        <v/>
      </c>
      <c r="J58" s="792">
        <f>G58*D58</f>
        <v/>
      </c>
      <c r="K58" s="789">
        <f>H58*D58</f>
        <v/>
      </c>
      <c r="L58" s="789">
        <f>K58+J58+I58</f>
        <v/>
      </c>
    </row>
    <row r="59">
      <c r="C59" s="129" t="inlineStr">
        <is>
          <t>PEGAMENTO PVC AZUL WETBONDING (DOBLE PROPOSITO)</t>
        </is>
      </c>
      <c r="D59" s="430" t="n">
        <v>1</v>
      </c>
      <c r="E59" s="199" t="inlineStr">
        <is>
          <t>uni</t>
        </is>
      </c>
      <c r="F59" s="806" t="n"/>
      <c r="G59" s="793" t="n">
        <v>13716.81</v>
      </c>
      <c r="H59" s="789" t="n"/>
      <c r="I59" s="792">
        <f>F59*D59</f>
        <v/>
      </c>
      <c r="J59" s="792">
        <f>G59*D59</f>
        <v/>
      </c>
      <c r="K59" s="789">
        <f>H59*D59</f>
        <v/>
      </c>
      <c r="L59" s="789">
        <f>K59+J59+I59</f>
        <v/>
      </c>
    </row>
    <row r="60">
      <c r="C60" s="129" t="inlineStr">
        <is>
          <t>M.O. INSTALACION SANITARIA EXTERIOR Y CAJAS REGISTRO</t>
        </is>
      </c>
      <c r="D60" s="199" t="n">
        <v>1</v>
      </c>
      <c r="E60" s="199" t="inlineStr">
        <is>
          <t>global</t>
        </is>
      </c>
      <c r="F60" s="806" t="n">
        <v>90000</v>
      </c>
      <c r="G60" s="789" t="n"/>
      <c r="H60" s="789" t="n"/>
      <c r="I60" s="792">
        <f>F60*D60</f>
        <v/>
      </c>
      <c r="J60" s="792">
        <f>G60*D60</f>
        <v/>
      </c>
      <c r="K60" s="789">
        <f>H60*D60</f>
        <v/>
      </c>
      <c r="L60" s="789">
        <f>K60+J60+I60</f>
        <v/>
      </c>
    </row>
    <row r="61">
      <c r="C61" s="129" t="inlineStr">
        <is>
          <t>M.O. INSTALACION SANITARIA LOSA</t>
        </is>
      </c>
      <c r="D61" s="199" t="n">
        <v>1</v>
      </c>
      <c r="E61" s="199" t="inlineStr">
        <is>
          <t>global</t>
        </is>
      </c>
      <c r="F61" s="806" t="n">
        <v>80600</v>
      </c>
      <c r="G61" s="789" t="n"/>
      <c r="H61" s="789" t="n"/>
      <c r="I61" s="792">
        <f>F61*D61</f>
        <v/>
      </c>
      <c r="J61" s="792">
        <f>G61*D61</f>
        <v/>
      </c>
      <c r="K61" s="789">
        <f>H61*D61</f>
        <v/>
      </c>
      <c r="L61" s="789">
        <f>K61+J61+I61</f>
        <v/>
      </c>
    </row>
    <row r="62">
      <c r="C62" s="129" t="inlineStr">
        <is>
          <t>M.O. GENERAL</t>
        </is>
      </c>
      <c r="D62" s="199" t="n">
        <v>1</v>
      </c>
      <c r="E62" s="199" t="inlineStr">
        <is>
          <t>global</t>
        </is>
      </c>
      <c r="F62" s="789" t="n">
        <v>286250</v>
      </c>
      <c r="G62" s="789" t="n"/>
      <c r="H62" s="789" t="n"/>
      <c r="I62" s="792">
        <f>F62*D62</f>
        <v/>
      </c>
      <c r="J62" s="792">
        <f>G62*D62</f>
        <v/>
      </c>
      <c r="K62" s="789">
        <f>H62*D62</f>
        <v/>
      </c>
      <c r="L62" s="789">
        <f>K62+J62+I62</f>
        <v/>
      </c>
    </row>
    <row r="63" ht="15.75" customHeight="1" thickBot="1">
      <c r="D63" s="71" t="n"/>
      <c r="E63" s="71" t="n"/>
      <c r="F63" s="794" t="n"/>
      <c r="G63" s="794" t="n"/>
      <c r="H63" s="794" t="n"/>
      <c r="I63" s="797">
        <f>F63*D63</f>
        <v/>
      </c>
      <c r="J63" s="797">
        <f>G63*D63</f>
        <v/>
      </c>
      <c r="K63" s="796">
        <f>H63*D63</f>
        <v/>
      </c>
      <c r="L63" s="796">
        <f>K63+J63+I63</f>
        <v/>
      </c>
    </row>
    <row r="64" ht="15.75" customHeight="1" thickBot="1">
      <c r="B64" s="74" t="n"/>
      <c r="C64" s="75" t="inlineStr">
        <is>
          <t>SUB TOTAL</t>
        </is>
      </c>
      <c r="D64" s="76" t="n"/>
      <c r="E64" s="76" t="n"/>
      <c r="F64" s="807" t="n"/>
      <c r="G64" s="807" t="n"/>
      <c r="H64" s="807" t="n"/>
      <c r="I64" s="799">
        <f>SUM(I39:I63)</f>
        <v/>
      </c>
      <c r="J64" s="799">
        <f>SUM(J39:J63)</f>
        <v/>
      </c>
      <c r="K64" s="799">
        <f>SUM(K39:K63)</f>
        <v/>
      </c>
      <c r="L64" s="798">
        <f>SUM(I64:K64)</f>
        <v/>
      </c>
    </row>
    <row r="65" ht="15.75" customHeight="1" thickBot="1">
      <c r="D65" s="71" t="n"/>
      <c r="E65" s="71" t="n"/>
      <c r="F65" s="794" t="n"/>
      <c r="G65" s="794" t="n"/>
      <c r="H65" s="794" t="n"/>
      <c r="I65" s="801" t="n"/>
      <c r="J65" s="801" t="n"/>
      <c r="K65" s="800" t="n"/>
      <c r="L65" s="800" t="n"/>
    </row>
    <row r="66" ht="15.75" customHeight="1" thickBot="1">
      <c r="B66" s="93" t="n"/>
      <c r="C66" s="94" t="inlineStr">
        <is>
          <t>INSTALACIÓN MECÁNICA -  PLUVIALES</t>
        </is>
      </c>
      <c r="D66" s="95" t="n"/>
      <c r="E66" s="95" t="n"/>
      <c r="F66" s="808" t="n"/>
      <c r="G66" s="808" t="n"/>
      <c r="H66" s="808" t="n"/>
      <c r="I66" s="809">
        <f>F66*D66</f>
        <v/>
      </c>
      <c r="J66" s="809">
        <f>G66*D66</f>
        <v/>
      </c>
      <c r="K66" s="810">
        <f>H66*D66</f>
        <v/>
      </c>
      <c r="L66" s="810">
        <f>K66+J66+I66</f>
        <v/>
      </c>
    </row>
    <row r="67">
      <c r="D67" s="71" t="n"/>
      <c r="E67" s="71" t="n"/>
      <c r="F67" s="794" t="n"/>
      <c r="G67" s="794" t="n"/>
      <c r="H67" s="794" t="n"/>
      <c r="I67" s="805" t="n"/>
      <c r="J67" s="805" t="n"/>
      <c r="K67" s="804" t="n"/>
      <c r="L67" s="804" t="n"/>
    </row>
    <row r="68">
      <c r="C68" s="129" t="inlineStr">
        <is>
          <t>PEGAMENTO PVC AZUL WETBONDING (DOBLE PROPOSITO)</t>
        </is>
      </c>
      <c r="D68" s="199" t="n">
        <v>1</v>
      </c>
      <c r="E68" s="199" t="inlineStr">
        <is>
          <t>uni</t>
        </is>
      </c>
      <c r="F68" s="789" t="n"/>
      <c r="G68" s="789" t="n">
        <v>8500</v>
      </c>
      <c r="H68" s="789" t="n"/>
      <c r="I68" s="792">
        <f>F68*D68</f>
        <v/>
      </c>
      <c r="J68" s="792">
        <f>G68*D68</f>
        <v/>
      </c>
      <c r="K68" s="789">
        <f>H68*D68</f>
        <v/>
      </c>
      <c r="L68" s="789">
        <f>K68+J68+I68</f>
        <v/>
      </c>
    </row>
    <row r="69">
      <c r="C69" s="129" t="inlineStr">
        <is>
          <t>TUBO SANITARIO PVC 4</t>
        </is>
      </c>
      <c r="D69" s="199" t="n">
        <v>2</v>
      </c>
      <c r="E69" s="199" t="inlineStr">
        <is>
          <t>uni</t>
        </is>
      </c>
      <c r="F69" s="789" t="n"/>
      <c r="G69" s="789" t="n">
        <v>20100</v>
      </c>
      <c r="H69" s="789" t="n"/>
      <c r="I69" s="792">
        <f>F69*D69</f>
        <v/>
      </c>
      <c r="J69" s="792">
        <f>G69*D69</f>
        <v/>
      </c>
      <c r="K69" s="789">
        <f>H69*D69</f>
        <v/>
      </c>
      <c r="L69" s="789">
        <f>K69+J69+I69</f>
        <v/>
      </c>
    </row>
    <row r="70">
      <c r="C70" s="129" t="inlineStr">
        <is>
          <t>CODO 45 PARED DELGADA 4</t>
        </is>
      </c>
      <c r="D70" s="199" t="n">
        <v>6</v>
      </c>
      <c r="E70" s="199" t="inlineStr">
        <is>
          <t>uni</t>
        </is>
      </c>
      <c r="F70" s="789" t="n"/>
      <c r="G70" s="789" t="n">
        <v>5500</v>
      </c>
      <c r="H70" s="789" t="n"/>
      <c r="I70" s="792">
        <f>F70*D70</f>
        <v/>
      </c>
      <c r="J70" s="792">
        <f>G70*D70</f>
        <v/>
      </c>
      <c r="K70" s="789">
        <f>H70*D70</f>
        <v/>
      </c>
      <c r="L70" s="789">
        <f>K70+J70+I70</f>
        <v/>
      </c>
    </row>
    <row r="71">
      <c r="C71" s="129" t="inlineStr">
        <is>
          <t>REDUCCION LISA P.D.  3 A 4</t>
        </is>
      </c>
      <c r="D71" s="199" t="n">
        <v>7</v>
      </c>
      <c r="E71" s="199" t="inlineStr">
        <is>
          <t>uni</t>
        </is>
      </c>
      <c r="F71" s="789" t="n"/>
      <c r="G71" s="789" t="n">
        <v>5000</v>
      </c>
      <c r="H71" s="789" t="n"/>
      <c r="I71" s="792">
        <f>F71*D71</f>
        <v/>
      </c>
      <c r="J71" s="792">
        <f>G71*D71</f>
        <v/>
      </c>
      <c r="K71" s="789">
        <f>H71*D71</f>
        <v/>
      </c>
      <c r="L71" s="789">
        <f>K71+J71+I71</f>
        <v/>
      </c>
    </row>
    <row r="72">
      <c r="C72" s="129" t="inlineStr">
        <is>
          <t>TUBO SANITARIO PVC 3</t>
        </is>
      </c>
      <c r="D72" s="199" t="n">
        <v>7</v>
      </c>
      <c r="E72" s="199" t="inlineStr">
        <is>
          <t>uni</t>
        </is>
      </c>
      <c r="F72" s="789" t="n"/>
      <c r="G72" s="789" t="n">
        <v>17700</v>
      </c>
      <c r="H72" s="789" t="n"/>
      <c r="I72" s="792">
        <f>F72*D72</f>
        <v/>
      </c>
      <c r="J72" s="792">
        <f>G72*D72</f>
        <v/>
      </c>
      <c r="K72" s="789">
        <f>H72*D72</f>
        <v/>
      </c>
      <c r="L72" s="789">
        <f>K72+J72+I72</f>
        <v/>
      </c>
    </row>
    <row r="73">
      <c r="C73" s="129" t="inlineStr">
        <is>
          <t>CENICERO DE CONCRETO 4"</t>
        </is>
      </c>
      <c r="D73" s="199" t="n">
        <v>1</v>
      </c>
      <c r="E73" s="199" t="inlineStr">
        <is>
          <t>uni</t>
        </is>
      </c>
      <c r="F73" s="789" t="n"/>
      <c r="G73" s="789" t="n">
        <v>10000</v>
      </c>
      <c r="H73" s="789" t="n"/>
      <c r="I73" s="792">
        <f>F73*D73</f>
        <v/>
      </c>
      <c r="J73" s="792">
        <f>G73*D73</f>
        <v/>
      </c>
      <c r="K73" s="789">
        <f>H73*D73</f>
        <v/>
      </c>
      <c r="L73" s="789">
        <f>K73+J73+I73</f>
        <v/>
      </c>
    </row>
    <row r="74">
      <c r="C74" s="129" t="inlineStr">
        <is>
          <t>M.O. GENERAL</t>
        </is>
      </c>
      <c r="D74" s="199" t="n">
        <v>1</v>
      </c>
      <c r="E74" s="199" t="inlineStr">
        <is>
          <t>global</t>
        </is>
      </c>
      <c r="F74" s="789" t="n">
        <v>125000</v>
      </c>
      <c r="G74" s="789" t="n"/>
      <c r="H74" s="789" t="n"/>
      <c r="I74" s="792">
        <f>F74*D74</f>
        <v/>
      </c>
      <c r="J74" s="792">
        <f>G74*D74</f>
        <v/>
      </c>
      <c r="K74" s="789">
        <f>H74*D74</f>
        <v/>
      </c>
      <c r="L74" s="789">
        <f>K74+J74+I74</f>
        <v/>
      </c>
    </row>
    <row r="75">
      <c r="C75" s="129" t="inlineStr">
        <is>
          <t>M.O. CAJAS DE REGISTRO PLUVIAL</t>
        </is>
      </c>
      <c r="D75" s="199" t="n">
        <v>5</v>
      </c>
      <c r="E75" s="199" t="inlineStr">
        <is>
          <t>uni</t>
        </is>
      </c>
      <c r="F75" s="789" t="n">
        <v>12630</v>
      </c>
      <c r="G75" s="789" t="n"/>
      <c r="H75" s="789" t="n"/>
      <c r="I75" s="792">
        <f>F75*D75</f>
        <v/>
      </c>
      <c r="J75" s="792">
        <f>G75*D75</f>
        <v/>
      </c>
      <c r="K75" s="789">
        <f>H75*D75</f>
        <v/>
      </c>
      <c r="L75" s="789">
        <f>K75+J75+I75</f>
        <v/>
      </c>
    </row>
    <row r="76" ht="15.75" customHeight="1" thickBot="1">
      <c r="D76" s="71" t="n"/>
      <c r="E76" s="71" t="n"/>
      <c r="F76" s="794" t="n"/>
      <c r="G76" s="794" t="n"/>
      <c r="H76" s="794" t="n"/>
      <c r="I76" s="805" t="n"/>
      <c r="J76" s="792" t="n"/>
      <c r="K76" s="789" t="n"/>
      <c r="L76" s="789" t="n"/>
    </row>
    <row r="77" ht="15.75" customHeight="1" thickBot="1">
      <c r="B77" s="74" t="n"/>
      <c r="C77" s="75" t="inlineStr">
        <is>
          <t>SUB TOTAL</t>
        </is>
      </c>
      <c r="D77" s="76" t="n"/>
      <c r="E77" s="76" t="n"/>
      <c r="F77" s="807" t="n"/>
      <c r="G77" s="807" t="n"/>
      <c r="H77" s="807" t="n"/>
      <c r="I77" s="799">
        <f>SUM(I68:I76)</f>
        <v/>
      </c>
      <c r="J77" s="799">
        <f>SUM(J68:J76)</f>
        <v/>
      </c>
      <c r="K77" s="799">
        <f>SUM(K52:K76)</f>
        <v/>
      </c>
      <c r="L77" s="798">
        <f>SUM(I77:K77)</f>
        <v/>
      </c>
    </row>
    <row r="78" ht="15.75" customHeight="1" thickBot="1">
      <c r="D78" s="71" t="n"/>
      <c r="E78" s="71" t="n"/>
      <c r="F78" s="794" t="n"/>
      <c r="G78" s="794" t="n"/>
      <c r="H78" s="794" t="n"/>
      <c r="I78" s="797" t="n"/>
      <c r="J78" s="797" t="n"/>
      <c r="K78" s="796" t="n"/>
      <c r="L78" s="796" t="n"/>
    </row>
    <row r="79" ht="15.75" customHeight="1" thickBot="1">
      <c r="B79" s="81" t="n"/>
      <c r="C79" s="82" t="inlineStr">
        <is>
          <t>INSTALACIÓN ELECTRICA-ACOMETIDAS / TELECOMUNICACIONES</t>
        </is>
      </c>
      <c r="D79" s="83" t="n"/>
      <c r="E79" s="83" t="n"/>
      <c r="F79" s="811" t="n"/>
      <c r="G79" s="811" t="n"/>
      <c r="H79" s="811" t="n"/>
      <c r="I79" s="803" t="n"/>
      <c r="J79" s="803" t="n"/>
      <c r="K79" s="802" t="n"/>
      <c r="L79" s="802" t="n"/>
    </row>
    <row r="80">
      <c r="D80" s="71" t="n"/>
      <c r="E80" s="71" t="n"/>
      <c r="F80" s="794" t="n"/>
      <c r="G80" s="794" t="n"/>
      <c r="H80" s="794" t="n"/>
      <c r="I80" s="801" t="n"/>
      <c r="J80" s="801" t="n"/>
      <c r="K80" s="800" t="n"/>
      <c r="L80" s="800" t="n"/>
    </row>
    <row r="81">
      <c r="C81" s="129" t="inlineStr">
        <is>
          <t>CENTRO DE CARGA QO124L125PG</t>
        </is>
      </c>
      <c r="D81" s="199" t="n">
        <v>1</v>
      </c>
      <c r="E81" s="199" t="inlineStr">
        <is>
          <t>uni</t>
        </is>
      </c>
      <c r="F81" s="789" t="n"/>
      <c r="G81" s="793" t="n">
        <v>56402.44</v>
      </c>
      <c r="H81" s="789" t="n"/>
      <c r="I81" s="792">
        <f>F81*D81</f>
        <v/>
      </c>
      <c r="J81" s="812">
        <f>G81*D81</f>
        <v/>
      </c>
      <c r="K81" s="789">
        <f>H81*D81</f>
        <v/>
      </c>
      <c r="L81" s="789">
        <f>K81+J81+I81</f>
        <v/>
      </c>
    </row>
    <row r="82">
      <c r="C82" s="129" t="inlineStr">
        <is>
          <t>BREAKER  2/100AMP QOM100VH CENTRO CARGA</t>
        </is>
      </c>
      <c r="D82" s="199" t="n">
        <v>1</v>
      </c>
      <c r="E82" s="199" t="inlineStr">
        <is>
          <t>uni</t>
        </is>
      </c>
      <c r="F82" s="789" t="n"/>
      <c r="G82" s="793" t="n">
        <v>23521.88</v>
      </c>
      <c r="H82" s="789" t="n"/>
      <c r="I82" s="792">
        <f>F82*D82</f>
        <v/>
      </c>
      <c r="J82" s="812">
        <f>G82*D82</f>
        <v/>
      </c>
      <c r="K82" s="789">
        <f>H82*D82</f>
        <v/>
      </c>
      <c r="L82" s="789">
        <f>K82+J82+I82</f>
        <v/>
      </c>
    </row>
    <row r="83">
      <c r="C83" s="129" t="inlineStr">
        <is>
          <t>BREAKER QO120PDF DUAL 20AMP</t>
        </is>
      </c>
      <c r="D83" s="199" t="n">
        <v>8</v>
      </c>
      <c r="E83" s="199" t="inlineStr">
        <is>
          <t>uni</t>
        </is>
      </c>
      <c r="F83" s="789" t="n"/>
      <c r="G83" s="793" t="n">
        <v>21800</v>
      </c>
      <c r="H83" s="789" t="n"/>
      <c r="I83" s="792">
        <f>F83*D83</f>
        <v/>
      </c>
      <c r="J83" s="812">
        <f>G83*D83</f>
        <v/>
      </c>
      <c r="K83" s="789">
        <f>H83*D83</f>
        <v/>
      </c>
      <c r="L83" s="789">
        <f>K83+J83+I83</f>
        <v/>
      </c>
    </row>
    <row r="84">
      <c r="C84" s="129" t="inlineStr">
        <is>
          <t>BREAKER QO230 2P/30AMP</t>
        </is>
      </c>
      <c r="D84" s="199" t="n">
        <v>2</v>
      </c>
      <c r="E84" s="199" t="inlineStr">
        <is>
          <t>uni</t>
        </is>
      </c>
      <c r="F84" s="789" t="n"/>
      <c r="G84" s="793" t="n">
        <v>11290.5</v>
      </c>
      <c r="H84" s="789" t="n"/>
      <c r="I84" s="792">
        <f>F84*D84</f>
        <v/>
      </c>
      <c r="J84" s="812">
        <f>G84*D84</f>
        <v/>
      </c>
      <c r="K84" s="789">
        <f>H84*D84</f>
        <v/>
      </c>
      <c r="L84" s="789">
        <f>K84+J84+I84</f>
        <v/>
      </c>
    </row>
    <row r="85">
      <c r="C85" s="129" t="inlineStr">
        <is>
          <t>BREAKER QO240 2P/40AMP</t>
        </is>
      </c>
      <c r="D85" s="199" t="n">
        <v>1</v>
      </c>
      <c r="E85" s="199" t="inlineStr">
        <is>
          <t>uni</t>
        </is>
      </c>
      <c r="F85" s="789" t="n"/>
      <c r="G85" s="793" t="n">
        <v>15054</v>
      </c>
      <c r="H85" s="789" t="n"/>
      <c r="I85" s="792">
        <f>F85*D85</f>
        <v/>
      </c>
      <c r="J85" s="812">
        <f>G85*D85</f>
        <v/>
      </c>
      <c r="K85" s="789">
        <f>H85*D85</f>
        <v/>
      </c>
      <c r="L85" s="789">
        <f>K85+J85+I85</f>
        <v/>
      </c>
    </row>
    <row r="86">
      <c r="C86" s="129" t="inlineStr">
        <is>
          <t>Calentador</t>
        </is>
      </c>
      <c r="D86" s="199" t="n">
        <v>1</v>
      </c>
      <c r="E86" s="199" t="inlineStr">
        <is>
          <t>uni</t>
        </is>
      </c>
      <c r="F86" s="789" t="n"/>
      <c r="G86" s="793">
        <f>160000+30000</f>
        <v/>
      </c>
      <c r="H86" s="789" t="n"/>
      <c r="I86" s="792">
        <f>F86*D86</f>
        <v/>
      </c>
      <c r="J86" s="812">
        <f>G86*D86</f>
        <v/>
      </c>
      <c r="K86" s="789">
        <f>H86*D86</f>
        <v/>
      </c>
      <c r="L86" s="789">
        <f>K86+J86+I86</f>
        <v/>
      </c>
    </row>
    <row r="87">
      <c r="C87" s="129" t="inlineStr">
        <is>
          <t>Mo Calentador</t>
        </is>
      </c>
      <c r="D87" s="199" t="n">
        <v>1</v>
      </c>
      <c r="E87" s="199" t="inlineStr">
        <is>
          <t>uni</t>
        </is>
      </c>
      <c r="F87" s="789" t="n">
        <v>65000</v>
      </c>
      <c r="G87" s="793" t="n"/>
      <c r="H87" s="789" t="n"/>
      <c r="I87" s="792">
        <f>F87*D87</f>
        <v/>
      </c>
      <c r="J87" s="792">
        <f>G87*D87</f>
        <v/>
      </c>
      <c r="K87" s="789">
        <f>H87*D87</f>
        <v/>
      </c>
      <c r="L87" s="789">
        <f>K87+J87+I87</f>
        <v/>
      </c>
    </row>
    <row r="88">
      <c r="C88" s="129" t="inlineStr">
        <is>
          <t>TUBO CONDUIT 1 1/2 UL</t>
        </is>
      </c>
      <c r="D88" s="199" t="n">
        <v>10</v>
      </c>
      <c r="E88" s="199" t="inlineStr">
        <is>
          <t>uni</t>
        </is>
      </c>
      <c r="F88" s="789" t="n"/>
      <c r="G88" s="793" t="n">
        <v>5043</v>
      </c>
      <c r="H88" s="789" t="n"/>
      <c r="I88" s="792">
        <f>F88*D88</f>
        <v/>
      </c>
      <c r="J88" s="792">
        <f>G88*D88</f>
        <v/>
      </c>
      <c r="K88" s="789">
        <f>H88*D88</f>
        <v/>
      </c>
      <c r="L88" s="789">
        <f>K88+J88+I88</f>
        <v/>
      </c>
    </row>
    <row r="89">
      <c r="C89" s="129" t="inlineStr">
        <is>
          <t>CONECTOR CONDUIT 1 1/2 UL</t>
        </is>
      </c>
      <c r="D89" s="199" t="n">
        <v>4</v>
      </c>
      <c r="E89" s="199" t="inlineStr">
        <is>
          <t>uni</t>
        </is>
      </c>
      <c r="F89" s="789" t="n"/>
      <c r="G89" s="793" t="n">
        <v>1327</v>
      </c>
      <c r="H89" s="789" t="n"/>
      <c r="I89" s="792">
        <f>F89*D89</f>
        <v/>
      </c>
      <c r="J89" s="792">
        <f>G89*D89</f>
        <v/>
      </c>
      <c r="K89" s="789">
        <f>H89*D89</f>
        <v/>
      </c>
      <c r="L89" s="789">
        <f>K89+J89+I89</f>
        <v/>
      </c>
    </row>
    <row r="90">
      <c r="C90" s="129" t="inlineStr">
        <is>
          <t>CURVA CONDUIT 1 1/2 UL</t>
        </is>
      </c>
      <c r="D90" s="199" t="n">
        <v>6</v>
      </c>
      <c r="E90" s="199" t="inlineStr">
        <is>
          <t>uni</t>
        </is>
      </c>
      <c r="F90" s="789" t="n"/>
      <c r="G90" s="793" t="n">
        <v>5103</v>
      </c>
      <c r="H90" s="789" t="n"/>
      <c r="I90" s="792">
        <f>F90*D90</f>
        <v/>
      </c>
      <c r="J90" s="792">
        <f>G90*D90</f>
        <v/>
      </c>
      <c r="K90" s="789">
        <f>H90*D90</f>
        <v/>
      </c>
      <c r="L90" s="789">
        <f>K90+J90+I90</f>
        <v/>
      </c>
    </row>
    <row r="91">
      <c r="C91" s="129" t="inlineStr">
        <is>
          <t>UNION CONDUIT 1 1/2 UL</t>
        </is>
      </c>
      <c r="D91" s="199" t="n">
        <v>6</v>
      </c>
      <c r="E91" s="199" t="inlineStr">
        <is>
          <t>uni</t>
        </is>
      </c>
      <c r="F91" s="789" t="n"/>
      <c r="G91" s="793" t="n">
        <v>1122</v>
      </c>
      <c r="H91" s="789" t="n"/>
      <c r="I91" s="792">
        <f>F91*D91</f>
        <v/>
      </c>
      <c r="J91" s="792">
        <f>G91*D91</f>
        <v/>
      </c>
      <c r="K91" s="789">
        <f>H91*D91</f>
        <v/>
      </c>
      <c r="L91" s="789">
        <f>K91+J91+I91</f>
        <v/>
      </c>
    </row>
    <row r="92">
      <c r="C92" s="129" t="inlineStr">
        <is>
          <t>CABLE ALUMINIO 1/0 SERIE 8000</t>
        </is>
      </c>
      <c r="D92" s="199" t="n">
        <v>60</v>
      </c>
      <c r="E92" s="199" t="inlineStr">
        <is>
          <t>mts</t>
        </is>
      </c>
      <c r="F92" s="789" t="n"/>
      <c r="G92" s="793" t="n">
        <v>893.83</v>
      </c>
      <c r="H92" s="789" t="n"/>
      <c r="I92" s="792">
        <f>F92*D92</f>
        <v/>
      </c>
      <c r="J92" s="792">
        <f>G92*D92</f>
        <v/>
      </c>
      <c r="K92" s="789">
        <f>H92*D92</f>
        <v/>
      </c>
      <c r="L92" s="789">
        <f>K92+J92+I92</f>
        <v/>
      </c>
    </row>
    <row r="93">
      <c r="C93" s="129" t="inlineStr">
        <is>
          <t>CABLE DE ALUMINIO #4 SERIE 8000</t>
        </is>
      </c>
      <c r="D93" s="199" t="n">
        <v>20</v>
      </c>
      <c r="E93" s="199" t="inlineStr">
        <is>
          <t>mts</t>
        </is>
      </c>
      <c r="F93" s="789" t="n"/>
      <c r="G93" s="793" t="n">
        <v>470.44</v>
      </c>
      <c r="H93" s="789" t="n"/>
      <c r="I93" s="792">
        <f>F93*D93</f>
        <v/>
      </c>
      <c r="J93" s="792">
        <f>G93*D93</f>
        <v/>
      </c>
      <c r="K93" s="789">
        <f>H93*D93</f>
        <v/>
      </c>
      <c r="L93" s="789">
        <f>K93+J93+I93</f>
        <v/>
      </c>
    </row>
    <row r="94">
      <c r="C94" s="129" t="inlineStr">
        <is>
          <t>ROLLO DE PIOLA</t>
        </is>
      </c>
      <c r="D94" s="199" t="n">
        <v>1</v>
      </c>
      <c r="E94" s="199" t="inlineStr">
        <is>
          <t>uni</t>
        </is>
      </c>
      <c r="F94" s="789" t="n"/>
      <c r="G94" s="793" t="n">
        <v>2100</v>
      </c>
      <c r="H94" s="789" t="n"/>
      <c r="I94" s="792">
        <f>F94*D94</f>
        <v/>
      </c>
      <c r="J94" s="792">
        <f>G94*D94</f>
        <v/>
      </c>
      <c r="K94" s="789">
        <f>H94*D94</f>
        <v/>
      </c>
      <c r="L94" s="789">
        <f>K94+J94+I94</f>
        <v/>
      </c>
    </row>
    <row r="95">
      <c r="C95" s="129" t="inlineStr">
        <is>
          <t>BASE MEDIDOR MS1254JCBM+A125+QO2100</t>
        </is>
      </c>
      <c r="D95" s="199" t="n">
        <v>1</v>
      </c>
      <c r="E95" s="199" t="inlineStr">
        <is>
          <t>uni</t>
        </is>
      </c>
      <c r="F95" s="789" t="n"/>
      <c r="G95" s="793" t="n">
        <v>61156.88</v>
      </c>
      <c r="H95" s="789" t="n"/>
      <c r="I95" s="792">
        <f>F95*D95</f>
        <v/>
      </c>
      <c r="J95" s="792">
        <f>G95*D95</f>
        <v/>
      </c>
      <c r="K95" s="789">
        <f>H95*D95</f>
        <v/>
      </c>
      <c r="L95" s="789">
        <f>K95+J95+I95</f>
        <v/>
      </c>
    </row>
    <row r="96">
      <c r="C96" s="129" t="inlineStr">
        <is>
          <t>VARILLA COOPERWELL 5/8 3M</t>
        </is>
      </c>
      <c r="D96" s="199" t="n">
        <v>1</v>
      </c>
      <c r="E96" s="199" t="inlineStr">
        <is>
          <t>uni</t>
        </is>
      </c>
      <c r="F96" s="789" t="n"/>
      <c r="G96" s="793" t="n">
        <v>11760.94</v>
      </c>
      <c r="H96" s="789" t="n"/>
      <c r="I96" s="792">
        <f>F96*D96</f>
        <v/>
      </c>
      <c r="J96" s="792">
        <f>G96*D96</f>
        <v/>
      </c>
      <c r="K96" s="789">
        <f>H96*D96</f>
        <v/>
      </c>
      <c r="L96" s="789">
        <f>K96+J96+I96</f>
        <v/>
      </c>
    </row>
    <row r="97">
      <c r="C97" s="129" t="inlineStr">
        <is>
          <t>CAJA DE REGISTRO 30X30 PARA VARILLA COPERWELL</t>
        </is>
      </c>
      <c r="D97" s="199" t="n">
        <v>1</v>
      </c>
      <c r="E97" s="199" t="inlineStr">
        <is>
          <t>uni</t>
        </is>
      </c>
      <c r="F97" s="789" t="n"/>
      <c r="G97" s="793" t="n">
        <v>4233.94</v>
      </c>
      <c r="H97" s="789" t="n"/>
      <c r="I97" s="792">
        <f>F97*D97</f>
        <v/>
      </c>
      <c r="J97" s="792">
        <f>G97*D97</f>
        <v/>
      </c>
      <c r="K97" s="789">
        <f>H97*D97</f>
        <v/>
      </c>
      <c r="L97" s="789">
        <f>K97+J97+I97</f>
        <v/>
      </c>
    </row>
    <row r="98">
      <c r="C98" s="129" t="inlineStr">
        <is>
          <t>CONDULETA BOTAGUA 1-1/4</t>
        </is>
      </c>
      <c r="D98" s="199" t="n">
        <v>1</v>
      </c>
      <c r="E98" s="199" t="inlineStr">
        <is>
          <t>uni</t>
        </is>
      </c>
      <c r="F98" s="789" t="n"/>
      <c r="G98" s="793" t="n">
        <v>1411.31</v>
      </c>
      <c r="H98" s="789" t="n"/>
      <c r="I98" s="792">
        <f>F98*D98</f>
        <v/>
      </c>
      <c r="J98" s="792">
        <f>G98*D98</f>
        <v/>
      </c>
      <c r="K98" s="789">
        <f>H98*D98</f>
        <v/>
      </c>
      <c r="L98" s="789">
        <f>K98+J98+I98</f>
        <v/>
      </c>
    </row>
    <row r="99">
      <c r="C99" s="129" t="inlineStr">
        <is>
          <t>TUBO EMT 11/4</t>
        </is>
      </c>
      <c r="D99" s="199" t="n">
        <v>1</v>
      </c>
      <c r="E99" s="199" t="inlineStr">
        <is>
          <t>uni</t>
        </is>
      </c>
      <c r="F99" s="789" t="n"/>
      <c r="G99" s="793" t="n">
        <v>12000</v>
      </c>
      <c r="H99" s="789" t="n"/>
      <c r="I99" s="792">
        <f>F99*D99</f>
        <v/>
      </c>
      <c r="J99" s="792">
        <f>G99*D99</f>
        <v/>
      </c>
      <c r="K99" s="789">
        <f>H99*D99</f>
        <v/>
      </c>
      <c r="L99" s="789">
        <f>K99+J99+I99</f>
        <v/>
      </c>
    </row>
    <row r="100">
      <c r="C100" s="129" t="inlineStr">
        <is>
          <t>CONECTOR TORNILLO EMT 11/4</t>
        </is>
      </c>
      <c r="D100" s="199" t="n">
        <v>2</v>
      </c>
      <c r="E100" s="199" t="inlineStr">
        <is>
          <t>uni</t>
        </is>
      </c>
      <c r="F100" s="789" t="n"/>
      <c r="G100" s="793" t="n">
        <v>658.61</v>
      </c>
      <c r="H100" s="789" t="n"/>
      <c r="I100" s="792">
        <f>F100*D100</f>
        <v/>
      </c>
      <c r="J100" s="792">
        <f>G100*D100</f>
        <v/>
      </c>
      <c r="K100" s="789">
        <f>H100*D100</f>
        <v/>
      </c>
      <c r="L100" s="789">
        <f>K100+J100+I100</f>
        <v/>
      </c>
    </row>
    <row r="101">
      <c r="C101" s="129" t="inlineStr">
        <is>
          <t>CONDULETA BOTAGUA 1</t>
        </is>
      </c>
      <c r="D101" s="199" t="n">
        <v>1</v>
      </c>
      <c r="E101" s="199" t="inlineStr">
        <is>
          <t>uni</t>
        </is>
      </c>
      <c r="F101" s="789" t="n"/>
      <c r="G101" s="793" t="n">
        <v>1034.96</v>
      </c>
      <c r="H101" s="789" t="n"/>
      <c r="I101" s="792">
        <f>F101*D101</f>
        <v/>
      </c>
      <c r="J101" s="792">
        <f>G101*D101</f>
        <v/>
      </c>
      <c r="K101" s="789">
        <f>H101*D101</f>
        <v/>
      </c>
      <c r="L101" s="789">
        <f>K101+J101+I101</f>
        <v/>
      </c>
    </row>
    <row r="102">
      <c r="C102" s="129" t="inlineStr">
        <is>
          <t>TUBO EMT 1 (3M)</t>
        </is>
      </c>
      <c r="D102" s="199" t="n">
        <v>1</v>
      </c>
      <c r="E102" s="199" t="inlineStr">
        <is>
          <t>uni</t>
        </is>
      </c>
      <c r="F102" s="789" t="n"/>
      <c r="G102" s="793" t="n">
        <v>5457.08</v>
      </c>
      <c r="H102" s="789" t="n"/>
      <c r="I102" s="792">
        <f>F102*D102</f>
        <v/>
      </c>
      <c r="J102" s="792">
        <f>G102*D102</f>
        <v/>
      </c>
      <c r="K102" s="789">
        <f>H102*D102</f>
        <v/>
      </c>
      <c r="L102" s="789">
        <f>K102+J102+I102</f>
        <v/>
      </c>
    </row>
    <row r="103">
      <c r="C103" s="129" t="inlineStr">
        <is>
          <t>CONECTOR TORNILLO EMT 1</t>
        </is>
      </c>
      <c r="D103" s="199" t="n">
        <v>2</v>
      </c>
      <c r="E103" s="199" t="inlineStr">
        <is>
          <t>uni</t>
        </is>
      </c>
      <c r="F103" s="789" t="n"/>
      <c r="G103" s="793" t="n">
        <v>423.39</v>
      </c>
      <c r="H103" s="789" t="n"/>
      <c r="I103" s="792">
        <f>F103*D103</f>
        <v/>
      </c>
      <c r="J103" s="792">
        <f>G103*D103</f>
        <v/>
      </c>
      <c r="K103" s="789">
        <f>H103*D103</f>
        <v/>
      </c>
      <c r="L103" s="789">
        <f>K103+J103+I103</f>
        <v/>
      </c>
    </row>
    <row r="104">
      <c r="C104" s="129" t="inlineStr">
        <is>
          <t>TAPE ELÉCTRICO BLANCO</t>
        </is>
      </c>
      <c r="D104" s="199" t="n">
        <v>1</v>
      </c>
      <c r="E104" s="199" t="inlineStr">
        <is>
          <t>uni</t>
        </is>
      </c>
      <c r="F104" s="789" t="n"/>
      <c r="G104" s="789" t="n">
        <v>1100</v>
      </c>
      <c r="H104" s="789" t="n"/>
      <c r="I104" s="792">
        <f>F104*D104</f>
        <v/>
      </c>
      <c r="J104" s="792">
        <f>G104*D104</f>
        <v/>
      </c>
      <c r="K104" s="789">
        <f>H104*D104</f>
        <v/>
      </c>
      <c r="L104" s="789">
        <f>K104+J104+I104</f>
        <v/>
      </c>
    </row>
    <row r="105">
      <c r="C105" s="129" t="inlineStr">
        <is>
          <t>GAZA PARA VARILLA COPERWELL</t>
        </is>
      </c>
      <c r="D105" s="199" t="n">
        <v>1</v>
      </c>
      <c r="E105" s="199" t="inlineStr">
        <is>
          <t>uni</t>
        </is>
      </c>
      <c r="F105" s="789" t="n"/>
      <c r="G105" s="789" t="n">
        <v>1800</v>
      </c>
      <c r="H105" s="789" t="n"/>
      <c r="I105" s="792">
        <f>F105*D105</f>
        <v/>
      </c>
      <c r="J105" s="792">
        <f>G105*D105</f>
        <v/>
      </c>
      <c r="K105" s="789">
        <f>H105*D105</f>
        <v/>
      </c>
      <c r="L105" s="789">
        <f>K105+J105+I105</f>
        <v/>
      </c>
    </row>
    <row r="106">
      <c r="C106" s="129" t="inlineStr">
        <is>
          <t>CABLE THHN 6 VERDE</t>
        </is>
      </c>
      <c r="D106" s="199" t="n">
        <v>6</v>
      </c>
      <c r="E106" s="199" t="inlineStr">
        <is>
          <t>mts</t>
        </is>
      </c>
      <c r="F106" s="789" t="n"/>
      <c r="G106" s="789" t="n">
        <v>1200</v>
      </c>
      <c r="H106" s="789" t="n"/>
      <c r="I106" s="792">
        <f>F106*D106</f>
        <v/>
      </c>
      <c r="J106" s="792">
        <f>G106*D106</f>
        <v/>
      </c>
      <c r="K106" s="789">
        <f>H106*D106</f>
        <v/>
      </c>
      <c r="L106" s="789">
        <f>K106+J106+I106</f>
        <v/>
      </c>
    </row>
    <row r="107">
      <c r="C107" s="129" t="inlineStr">
        <is>
          <t>MANO DE OBRA GENERAL</t>
        </is>
      </c>
      <c r="D107" s="199" t="n">
        <v>1</v>
      </c>
      <c r="E107" s="199" t="inlineStr">
        <is>
          <t>global</t>
        </is>
      </c>
      <c r="F107" s="789" t="n">
        <v>55000</v>
      </c>
      <c r="G107" s="789" t="n"/>
      <c r="H107" s="789" t="n"/>
      <c r="I107" s="792">
        <f>F107*D107</f>
        <v/>
      </c>
      <c r="J107" s="792">
        <f>G107*D107</f>
        <v/>
      </c>
      <c r="K107" s="789">
        <f>H107*D107</f>
        <v/>
      </c>
      <c r="L107" s="789">
        <f>K107+J107+I107</f>
        <v/>
      </c>
    </row>
    <row r="108">
      <c r="C108" s="88" t="inlineStr">
        <is>
          <t>GABINETE 14" PLASTICO UL</t>
        </is>
      </c>
      <c r="D108" s="593" t="n">
        <v>1</v>
      </c>
      <c r="E108" s="199" t="inlineStr">
        <is>
          <t>uni</t>
        </is>
      </c>
      <c r="F108" s="789" t="n"/>
      <c r="G108" s="804" t="n">
        <v>41600</v>
      </c>
      <c r="H108" s="789" t="n"/>
      <c r="I108" s="792">
        <f>F108*D108</f>
        <v/>
      </c>
      <c r="J108" s="792">
        <f>G108*D108</f>
        <v/>
      </c>
      <c r="K108" s="789">
        <f>H108*D108</f>
        <v/>
      </c>
      <c r="L108" s="789">
        <f>K108+J108+I108</f>
        <v/>
      </c>
    </row>
    <row r="109">
      <c r="C109" s="129" t="inlineStr">
        <is>
          <t>TUBO CONDUIT 1 UL</t>
        </is>
      </c>
      <c r="D109" s="154" t="n">
        <v>8</v>
      </c>
      <c r="E109" s="199" t="inlineStr">
        <is>
          <t>uni</t>
        </is>
      </c>
      <c r="F109" s="789" t="n"/>
      <c r="G109" s="789" t="n">
        <v>3392.9</v>
      </c>
      <c r="H109" s="789" t="n"/>
      <c r="I109" s="792">
        <f>F109*D109</f>
        <v/>
      </c>
      <c r="J109" s="792">
        <f>G109*D109</f>
        <v/>
      </c>
      <c r="K109" s="789">
        <f>H109*D109</f>
        <v/>
      </c>
      <c r="L109" s="789">
        <f>K109+J109+I109</f>
        <v/>
      </c>
    </row>
    <row r="110">
      <c r="C110" s="129" t="inlineStr">
        <is>
          <t>CONECTOR CONDUIT 1" UL</t>
        </is>
      </c>
      <c r="D110" s="154" t="n">
        <v>6</v>
      </c>
      <c r="E110" s="199" t="inlineStr">
        <is>
          <t>uni</t>
        </is>
      </c>
      <c r="F110" s="789" t="n"/>
      <c r="G110" s="789" t="n">
        <v>1194</v>
      </c>
      <c r="H110" s="789" t="n"/>
      <c r="I110" s="792">
        <f>F110*D110</f>
        <v/>
      </c>
      <c r="J110" s="792">
        <f>G110*D110</f>
        <v/>
      </c>
      <c r="K110" s="789">
        <f>H110*D110</f>
        <v/>
      </c>
      <c r="L110" s="789">
        <f>K110+J110+I110</f>
        <v/>
      </c>
    </row>
    <row r="111">
      <c r="C111" s="129" t="inlineStr">
        <is>
          <t>CURVA CONDUIT 1 UL</t>
        </is>
      </c>
      <c r="D111" s="154" t="n">
        <v>2</v>
      </c>
      <c r="E111" s="199" t="inlineStr">
        <is>
          <t>uni</t>
        </is>
      </c>
      <c r="F111" s="789" t="n"/>
      <c r="G111" s="789" t="n">
        <v>1757</v>
      </c>
      <c r="H111" s="789" t="n"/>
      <c r="I111" s="792">
        <f>F111*D111</f>
        <v/>
      </c>
      <c r="J111" s="792">
        <f>G111*D111</f>
        <v/>
      </c>
      <c r="K111" s="789">
        <f>H111*D111</f>
        <v/>
      </c>
      <c r="L111" s="789">
        <f>K111+J111+I111</f>
        <v/>
      </c>
    </row>
    <row r="112">
      <c r="C112" s="129" t="inlineStr">
        <is>
          <t>UNION CONDUIT 1 UL</t>
        </is>
      </c>
      <c r="D112" s="154" t="n">
        <v>1</v>
      </c>
      <c r="E112" s="199" t="inlineStr">
        <is>
          <t>uni</t>
        </is>
      </c>
      <c r="F112" s="789" t="n"/>
      <c r="G112" s="789" t="n">
        <v>612</v>
      </c>
      <c r="H112" s="789" t="n"/>
      <c r="I112" s="792">
        <f>F112*D112</f>
        <v/>
      </c>
      <c r="J112" s="792">
        <f>G112*D112</f>
        <v/>
      </c>
      <c r="K112" s="789">
        <f>H112*D112</f>
        <v/>
      </c>
      <c r="L112" s="789">
        <f>K112+J112+I112</f>
        <v/>
      </c>
    </row>
    <row r="113">
      <c r="C113" s="129" t="inlineStr">
        <is>
          <t>M.O. ARMADO DE CAJA INTELIGENTE</t>
        </is>
      </c>
      <c r="D113" s="154" t="n">
        <v>1</v>
      </c>
      <c r="E113" s="199" t="inlineStr">
        <is>
          <t>global</t>
        </is>
      </c>
      <c r="F113" s="789" t="n">
        <v>26000</v>
      </c>
      <c r="G113" s="789" t="n"/>
      <c r="H113" s="789" t="n"/>
      <c r="I113" s="792">
        <f>F113*D113</f>
        <v/>
      </c>
      <c r="J113" s="792">
        <f>G113*D113</f>
        <v/>
      </c>
      <c r="K113" s="789">
        <f>H113*D113</f>
        <v/>
      </c>
      <c r="L113" s="789">
        <f>K113+J113+I113</f>
        <v/>
      </c>
    </row>
    <row r="114" ht="15.75" customHeight="1" thickBot="1">
      <c r="C114" s="129" t="n"/>
      <c r="D114" s="199" t="n"/>
      <c r="E114" s="199" t="n"/>
      <c r="F114" s="789" t="n"/>
      <c r="G114" s="789" t="n"/>
      <c r="H114" s="789" t="n"/>
      <c r="I114" s="792" t="n"/>
      <c r="J114" s="792" t="n"/>
      <c r="K114" s="789" t="n"/>
      <c r="L114" s="789" t="n"/>
    </row>
    <row r="115" ht="15.75" customHeight="1" thickBot="1">
      <c r="B115" s="74" t="n"/>
      <c r="C115" s="75" t="inlineStr">
        <is>
          <t>SUB TOTAL</t>
        </is>
      </c>
      <c r="D115" s="76" t="n"/>
      <c r="E115" s="76" t="n"/>
      <c r="F115" s="807" t="n"/>
      <c r="G115" s="807" t="n"/>
      <c r="H115" s="807" t="n"/>
      <c r="I115" s="799">
        <f>SUM(I106:I114)</f>
        <v/>
      </c>
      <c r="J115" s="799">
        <f>SUM(J81:J114)</f>
        <v/>
      </c>
      <c r="K115" s="799">
        <f>SUM(K90:K114)</f>
        <v/>
      </c>
      <c r="L115" s="798">
        <f>SUM(I115:K115)</f>
        <v/>
      </c>
    </row>
    <row r="116">
      <c r="C116" s="129" t="n"/>
      <c r="D116" s="199" t="n"/>
      <c r="E116" s="199" t="n"/>
      <c r="F116" s="789" t="n"/>
      <c r="G116" s="789" t="n"/>
      <c r="H116" s="789" t="n"/>
      <c r="I116" s="792" t="n"/>
      <c r="J116" s="792" t="n"/>
      <c r="K116" s="789" t="n"/>
      <c r="L116" s="789" t="n"/>
    </row>
    <row r="117">
      <c r="B117" s="101" t="n"/>
      <c r="C117" s="446" t="inlineStr">
        <is>
          <t xml:space="preserve">INSTALACIÓN ELÉCTRICA </t>
        </is>
      </c>
      <c r="D117" s="447" t="n"/>
      <c r="E117" s="447" t="n"/>
      <c r="F117" s="813" t="n"/>
      <c r="G117" s="813" t="n"/>
      <c r="H117" s="813" t="n"/>
      <c r="I117" s="814">
        <f>F117*D117</f>
        <v/>
      </c>
      <c r="J117" s="814">
        <f>G117*D117</f>
        <v/>
      </c>
      <c r="K117" s="813">
        <f>H117*D117</f>
        <v/>
      </c>
      <c r="L117" s="813">
        <f>K117+J117+I117</f>
        <v/>
      </c>
    </row>
    <row r="118">
      <c r="C118" s="129" t="n"/>
      <c r="D118" s="199" t="n"/>
      <c r="E118" s="199" t="n"/>
      <c r="F118" s="789" t="n"/>
      <c r="G118" s="789" t="n"/>
      <c r="H118" s="789" t="n"/>
      <c r="I118" s="792">
        <f>F118*D118</f>
        <v/>
      </c>
      <c r="J118" s="792">
        <f>G118*D118</f>
        <v/>
      </c>
      <c r="K118" s="789">
        <f>H118*D118</f>
        <v/>
      </c>
      <c r="L118" s="789">
        <f>K118+J118+I118</f>
        <v/>
      </c>
    </row>
    <row r="119">
      <c r="C119" s="88" t="inlineStr">
        <is>
          <t>CAJA OCTAGONAL 1/2 EMT PESADAS (8 SALIDAS )</t>
        </is>
      </c>
      <c r="D119" s="89" t="n">
        <v>24</v>
      </c>
      <c r="E119" s="199" t="inlineStr">
        <is>
          <t>uni</t>
        </is>
      </c>
      <c r="F119" s="789" t="n"/>
      <c r="G119" s="786" t="n">
        <v>535.92</v>
      </c>
      <c r="H119" s="789" t="n"/>
      <c r="I119" s="792">
        <f>F119*D119</f>
        <v/>
      </c>
      <c r="J119" s="792">
        <f>G119*D119</f>
        <v/>
      </c>
      <c r="K119" s="789">
        <f>H119*D119</f>
        <v/>
      </c>
      <c r="L119" s="789">
        <f>K119+J119+I119</f>
        <v/>
      </c>
    </row>
    <row r="120">
      <c r="C120" s="129" t="inlineStr">
        <is>
          <t>CAJA CUADRADA EMT CON HUECO DE 1/2 Y 3/4</t>
        </is>
      </c>
      <c r="D120" s="199" t="n">
        <v>5</v>
      </c>
      <c r="E120" s="199" t="inlineStr">
        <is>
          <t>uni</t>
        </is>
      </c>
      <c r="F120" s="789" t="n"/>
      <c r="G120" s="793" t="n">
        <v>752.7</v>
      </c>
      <c r="H120" s="789" t="n"/>
      <c r="I120" s="792">
        <f>F120*D120</f>
        <v/>
      </c>
      <c r="J120" s="792">
        <f>G120*D120</f>
        <v/>
      </c>
      <c r="K120" s="789">
        <f>H120*D120</f>
        <v/>
      </c>
      <c r="L120" s="789">
        <f>K120+J120+I120</f>
        <v/>
      </c>
    </row>
    <row r="121">
      <c r="C121" s="129" t="inlineStr">
        <is>
          <t>CAJA CUADRADA EMT 4X4 DOBLE FONDO CON HUECO DE 1</t>
        </is>
      </c>
      <c r="D121" s="199" t="n">
        <v>2</v>
      </c>
      <c r="E121" s="199" t="inlineStr">
        <is>
          <t>uni</t>
        </is>
      </c>
      <c r="F121" s="789" t="n"/>
      <c r="G121" s="793" t="n">
        <v>613.8</v>
      </c>
      <c r="H121" s="789" t="n"/>
      <c r="I121" s="792">
        <f>F121*D121</f>
        <v/>
      </c>
      <c r="J121" s="792">
        <f>G121*D121</f>
        <v/>
      </c>
      <c r="K121" s="789">
        <f>H121*D121</f>
        <v/>
      </c>
      <c r="L121" s="789">
        <f>K121+J121+I121</f>
        <v/>
      </c>
    </row>
    <row r="122">
      <c r="C122" s="129" t="inlineStr">
        <is>
          <t>CAJA CUADRADA EMT 4X4 DOBLE FONDO CON HUECO DE 3/4</t>
        </is>
      </c>
      <c r="D122" s="199" t="n">
        <v>1</v>
      </c>
      <c r="E122" s="199" t="inlineStr">
        <is>
          <t>uni</t>
        </is>
      </c>
      <c r="F122" s="789" t="n"/>
      <c r="G122" s="793" t="n">
        <v>613.8</v>
      </c>
      <c r="H122" s="789" t="n"/>
      <c r="I122" s="792">
        <f>F122*D122</f>
        <v/>
      </c>
      <c r="J122" s="792">
        <f>G122*D122</f>
        <v/>
      </c>
      <c r="K122" s="789">
        <f>H122*D122</f>
        <v/>
      </c>
      <c r="L122" s="789">
        <f>K122+J122+I122</f>
        <v/>
      </c>
    </row>
    <row r="123">
      <c r="C123" s="129" t="inlineStr">
        <is>
          <t>TAPA CIEGA PARA CAJA OCTAGONAL</t>
        </is>
      </c>
      <c r="D123" s="199" t="n">
        <v>24</v>
      </c>
      <c r="E123" s="199" t="inlineStr">
        <is>
          <t>uni</t>
        </is>
      </c>
      <c r="F123" s="789" t="n"/>
      <c r="G123" s="793" t="n">
        <v>216.4</v>
      </c>
      <c r="H123" s="789" t="n"/>
      <c r="I123" s="792">
        <f>F123*D123</f>
        <v/>
      </c>
      <c r="J123" s="792">
        <f>G123*D123</f>
        <v/>
      </c>
      <c r="K123" s="789">
        <f>H123*D123</f>
        <v/>
      </c>
      <c r="L123" s="789">
        <f>K123+J123+I123</f>
        <v/>
      </c>
    </row>
    <row r="124">
      <c r="C124" s="129" t="inlineStr">
        <is>
          <t>TAPA CIEGA CUADRADA 4X4 EMT</t>
        </is>
      </c>
      <c r="D124" s="199" t="n">
        <v>3</v>
      </c>
      <c r="E124" s="199" t="inlineStr">
        <is>
          <t>uni</t>
        </is>
      </c>
      <c r="F124" s="789" t="n"/>
      <c r="G124" s="793" t="n">
        <v>216.4</v>
      </c>
      <c r="H124" s="789" t="n"/>
      <c r="I124" s="792">
        <f>F124*D124</f>
        <v/>
      </c>
      <c r="J124" s="792">
        <f>G124*D124</f>
        <v/>
      </c>
      <c r="K124" s="789">
        <f>H124*D124</f>
        <v/>
      </c>
      <c r="L124" s="789">
        <f>K124+J124+I124</f>
        <v/>
      </c>
    </row>
    <row r="125">
      <c r="C125" s="129" t="inlineStr">
        <is>
          <t>CAJA RECTANGULAR EMT 1/2 UL</t>
        </is>
      </c>
      <c r="D125" s="199" t="n">
        <v>36</v>
      </c>
      <c r="E125" s="199" t="inlineStr">
        <is>
          <t>uni</t>
        </is>
      </c>
      <c r="F125" s="789" t="n"/>
      <c r="G125" s="793" t="n">
        <v>423.39</v>
      </c>
      <c r="H125" s="789" t="n"/>
      <c r="I125" s="792">
        <f>F125*D125</f>
        <v/>
      </c>
      <c r="J125" s="792">
        <f>G125*D125</f>
        <v/>
      </c>
      <c r="K125" s="789">
        <f>H125*D125</f>
        <v/>
      </c>
      <c r="L125" s="789">
        <f>K125+J125+I125</f>
        <v/>
      </c>
    </row>
    <row r="126">
      <c r="C126" s="129" t="inlineStr">
        <is>
          <t>TUBO CONDUIT 1/2 UL</t>
        </is>
      </c>
      <c r="D126" s="199" t="n">
        <v>86</v>
      </c>
      <c r="E126" s="199" t="inlineStr">
        <is>
          <t>uni</t>
        </is>
      </c>
      <c r="F126" s="789" t="n"/>
      <c r="G126" s="790" t="n">
        <v>1132</v>
      </c>
      <c r="H126" s="789" t="n"/>
      <c r="I126" s="792">
        <f>F126*D126</f>
        <v/>
      </c>
      <c r="J126" s="792">
        <f>G126*D126</f>
        <v/>
      </c>
      <c r="K126" s="789">
        <f>H126*D126</f>
        <v/>
      </c>
      <c r="L126" s="789">
        <f>K126+J126+I126</f>
        <v/>
      </c>
    </row>
    <row r="127">
      <c r="C127" s="129" t="inlineStr">
        <is>
          <t>TUBO CONDUIT 1 UL</t>
        </is>
      </c>
      <c r="D127" s="199" t="n">
        <v>3</v>
      </c>
      <c r="E127" s="199" t="inlineStr">
        <is>
          <t>uni</t>
        </is>
      </c>
      <c r="F127" s="789" t="n"/>
      <c r="G127" s="790" t="n">
        <v>3635</v>
      </c>
      <c r="H127" s="789" t="n"/>
      <c r="I127" s="792">
        <f>F127*D127</f>
        <v/>
      </c>
      <c r="J127" s="792">
        <f>G127*D127</f>
        <v/>
      </c>
      <c r="K127" s="789">
        <f>H127*D127</f>
        <v/>
      </c>
      <c r="L127" s="789">
        <f>K127+J127+I127</f>
        <v/>
      </c>
    </row>
    <row r="128">
      <c r="C128" s="129" t="inlineStr">
        <is>
          <t>TUBO CONDUIT 3/4 UL</t>
        </is>
      </c>
      <c r="D128" s="199" t="n">
        <v>10</v>
      </c>
      <c r="E128" s="199" t="inlineStr">
        <is>
          <t>uni</t>
        </is>
      </c>
      <c r="F128" s="789" t="n"/>
      <c r="G128" s="790" t="n">
        <v>1685</v>
      </c>
      <c r="H128" s="789" t="n"/>
      <c r="I128" s="792">
        <f>F128*D128</f>
        <v/>
      </c>
      <c r="J128" s="792">
        <f>G128*D128</f>
        <v/>
      </c>
      <c r="K128" s="789">
        <f>H128*D128</f>
        <v/>
      </c>
      <c r="L128" s="789">
        <f>K128+J128+I128</f>
        <v/>
      </c>
    </row>
    <row r="129">
      <c r="C129" s="129" t="inlineStr">
        <is>
          <t>CONECTOR CONDUIT 1" UL</t>
        </is>
      </c>
      <c r="D129" s="199" t="n">
        <v>2</v>
      </c>
      <c r="E129" s="199" t="inlineStr">
        <is>
          <t>uni</t>
        </is>
      </c>
      <c r="F129" s="789" t="n"/>
      <c r="G129" s="793" t="n">
        <v>1194</v>
      </c>
      <c r="H129" s="789" t="n"/>
      <c r="I129" s="792">
        <f>F129*D129</f>
        <v/>
      </c>
      <c r="J129" s="792">
        <f>G129*D129</f>
        <v/>
      </c>
      <c r="K129" s="789">
        <f>H129*D129</f>
        <v/>
      </c>
      <c r="L129" s="789">
        <f>K129+J129+I129</f>
        <v/>
      </c>
    </row>
    <row r="130">
      <c r="C130" s="129" t="inlineStr">
        <is>
          <t>CONECTOR CONDUIT 3/4 UL</t>
        </is>
      </c>
      <c r="D130" s="199" t="n">
        <v>4</v>
      </c>
      <c r="E130" s="199" t="inlineStr">
        <is>
          <t>uni</t>
        </is>
      </c>
      <c r="F130" s="789" t="n"/>
      <c r="G130" s="793" t="n">
        <v>253.57</v>
      </c>
      <c r="H130" s="789" t="n"/>
      <c r="I130" s="792">
        <f>F130*D130</f>
        <v/>
      </c>
      <c r="J130" s="792">
        <f>G130*D130</f>
        <v/>
      </c>
      <c r="K130" s="789">
        <f>H130*D130</f>
        <v/>
      </c>
      <c r="L130" s="789">
        <f>K130+J130+I130</f>
        <v/>
      </c>
    </row>
    <row r="131">
      <c r="C131" s="129" t="inlineStr">
        <is>
          <t>GAZA EMT 1 OREJAS 1/2</t>
        </is>
      </c>
      <c r="D131" s="199" t="n">
        <v>60</v>
      </c>
      <c r="E131" s="199" t="inlineStr">
        <is>
          <t>uni</t>
        </is>
      </c>
      <c r="F131" s="789" t="n"/>
      <c r="G131" s="793" t="n">
        <v>65.86</v>
      </c>
      <c r="H131" s="789" t="n"/>
      <c r="I131" s="792">
        <f>F131*D131</f>
        <v/>
      </c>
      <c r="J131" s="792">
        <f>G131*D131</f>
        <v/>
      </c>
      <c r="K131" s="789">
        <f>H131*D131</f>
        <v/>
      </c>
      <c r="L131" s="789">
        <f>K131+J131+I131</f>
        <v/>
      </c>
    </row>
    <row r="132">
      <c r="C132" s="129" t="inlineStr">
        <is>
          <t>CONECTOR CONDUIT 1/2 UL</t>
        </is>
      </c>
      <c r="D132" s="199" t="n">
        <v>100</v>
      </c>
      <c r="E132" s="199" t="inlineStr">
        <is>
          <t>uni</t>
        </is>
      </c>
      <c r="F132" s="789" t="n"/>
      <c r="G132" s="793" t="n">
        <v>250</v>
      </c>
      <c r="H132" s="789" t="n"/>
      <c r="I132" s="792">
        <f>F132*D132</f>
        <v/>
      </c>
      <c r="J132" s="792">
        <f>G132*D132</f>
        <v/>
      </c>
      <c r="K132" s="789">
        <f>H132*D132</f>
        <v/>
      </c>
      <c r="L132" s="789">
        <f>K132+J132+I132</f>
        <v/>
      </c>
    </row>
    <row r="133">
      <c r="C133" s="129" t="inlineStr">
        <is>
          <t>CURVA CONDUIT 1/2 UL</t>
        </is>
      </c>
      <c r="D133" s="199" t="n">
        <v>62</v>
      </c>
      <c r="E133" s="199" t="inlineStr">
        <is>
          <t>uni</t>
        </is>
      </c>
      <c r="F133" s="789" t="n"/>
      <c r="G133" s="793" t="n">
        <v>1180</v>
      </c>
      <c r="H133" s="789" t="n"/>
      <c r="I133" s="792">
        <f>F133*D133</f>
        <v/>
      </c>
      <c r="J133" s="792">
        <f>G133*D133</f>
        <v/>
      </c>
      <c r="K133" s="789">
        <f>H133*D133</f>
        <v/>
      </c>
      <c r="L133" s="789">
        <f>K133+J133+I133</f>
        <v/>
      </c>
    </row>
    <row r="134">
      <c r="C134" s="129" t="inlineStr">
        <is>
          <t>CURVA CONDUIT 1 UL</t>
        </is>
      </c>
      <c r="D134" s="199" t="n">
        <v>2</v>
      </c>
      <c r="E134" s="199" t="inlineStr">
        <is>
          <t>uni</t>
        </is>
      </c>
      <c r="F134" s="789" t="n"/>
      <c r="G134" s="793" t="n">
        <v>1757</v>
      </c>
      <c r="H134" s="789" t="n"/>
      <c r="I134" s="792">
        <f>F134*D134</f>
        <v/>
      </c>
      <c r="J134" s="792">
        <f>G134*D134</f>
        <v/>
      </c>
      <c r="K134" s="789">
        <f>H134*D134</f>
        <v/>
      </c>
      <c r="L134" s="789">
        <f>K134+J134+I134</f>
        <v/>
      </c>
    </row>
    <row r="135">
      <c r="C135" s="129" t="inlineStr">
        <is>
          <t>CURVA CONDUIT 3/4 UL</t>
        </is>
      </c>
      <c r="D135" s="199" t="n">
        <v>6</v>
      </c>
      <c r="E135" s="199" t="inlineStr">
        <is>
          <t>uni</t>
        </is>
      </c>
      <c r="F135" s="789" t="n"/>
      <c r="G135" s="793" t="n">
        <v>1447</v>
      </c>
      <c r="H135" s="789" t="n"/>
      <c r="I135" s="792">
        <f>F135*D135</f>
        <v/>
      </c>
      <c r="J135" s="792">
        <f>G135*D135</f>
        <v/>
      </c>
      <c r="K135" s="789">
        <f>H135*D135</f>
        <v/>
      </c>
      <c r="L135" s="789">
        <f>K135+J135+I135</f>
        <v/>
      </c>
    </row>
    <row r="136">
      <c r="C136" s="129" t="inlineStr">
        <is>
          <t>UNION CONDUIT 1/2 UL</t>
        </is>
      </c>
      <c r="D136" s="199" t="n">
        <v>30</v>
      </c>
      <c r="E136" s="199" t="inlineStr">
        <is>
          <t>uni</t>
        </is>
      </c>
      <c r="F136" s="789" t="n"/>
      <c r="G136" s="793" t="n">
        <v>270</v>
      </c>
      <c r="H136" s="789" t="n"/>
      <c r="I136" s="792">
        <f>F136*D136</f>
        <v/>
      </c>
      <c r="J136" s="792">
        <f>G136*D136</f>
        <v/>
      </c>
      <c r="K136" s="789">
        <f>H136*D136</f>
        <v/>
      </c>
      <c r="L136" s="789">
        <f>K136+J136+I136</f>
        <v/>
      </c>
    </row>
    <row r="137">
      <c r="C137" s="129" t="inlineStr">
        <is>
          <t>UNION CONDUIT 1 UL</t>
        </is>
      </c>
      <c r="D137" s="199" t="n">
        <v>1</v>
      </c>
      <c r="E137" s="199" t="inlineStr">
        <is>
          <t>uni</t>
        </is>
      </c>
      <c r="F137" s="789" t="n"/>
      <c r="G137" s="793" t="n">
        <v>612</v>
      </c>
      <c r="H137" s="789" t="n"/>
      <c r="I137" s="792">
        <f>F137*D137</f>
        <v/>
      </c>
      <c r="J137" s="792">
        <f>G137*D137</f>
        <v/>
      </c>
      <c r="K137" s="789">
        <f>H137*D137</f>
        <v/>
      </c>
      <c r="L137" s="789">
        <f>K137+J137+I137</f>
        <v/>
      </c>
    </row>
    <row r="138">
      <c r="C138" s="129" t="inlineStr">
        <is>
          <t>UNION CONDUIT 3/4 UL</t>
        </is>
      </c>
      <c r="D138" s="199" t="n">
        <v>4</v>
      </c>
      <c r="E138" s="199" t="inlineStr">
        <is>
          <t>uni</t>
        </is>
      </c>
      <c r="F138" s="789" t="n"/>
      <c r="G138" s="793" t="n">
        <v>386</v>
      </c>
      <c r="H138" s="789" t="n"/>
      <c r="I138" s="792">
        <f>F138*D138</f>
        <v/>
      </c>
      <c r="J138" s="792">
        <f>G138*D138</f>
        <v/>
      </c>
      <c r="K138" s="789">
        <f>H138*D138</f>
        <v/>
      </c>
      <c r="L138" s="789">
        <f>K138+J138+I138</f>
        <v/>
      </c>
    </row>
    <row r="139">
      <c r="C139" s="129" t="inlineStr">
        <is>
          <t>CABLE #8 ROJO</t>
        </is>
      </c>
      <c r="D139" s="199" t="n">
        <v>60</v>
      </c>
      <c r="E139" s="199" t="inlineStr">
        <is>
          <t>mts</t>
        </is>
      </c>
      <c r="F139" s="789" t="n"/>
      <c r="G139" s="793" t="n">
        <v>893.83</v>
      </c>
      <c r="H139" s="789" t="n"/>
      <c r="I139" s="792">
        <f>F139*D139</f>
        <v/>
      </c>
      <c r="J139" s="792">
        <f>G139*D139</f>
        <v/>
      </c>
      <c r="K139" s="789">
        <f>H139*D139</f>
        <v/>
      </c>
      <c r="L139" s="789">
        <f>K139+J139+I139</f>
        <v/>
      </c>
    </row>
    <row r="140">
      <c r="C140" s="129" t="inlineStr">
        <is>
          <t>CABLE #8 BLANCO</t>
        </is>
      </c>
      <c r="D140" s="199" t="n">
        <v>30</v>
      </c>
      <c r="E140" s="199" t="inlineStr">
        <is>
          <t>mts</t>
        </is>
      </c>
      <c r="F140" s="789" t="n"/>
      <c r="G140" s="793" t="n">
        <v>893.83</v>
      </c>
      <c r="H140" s="789" t="n"/>
      <c r="I140" s="792">
        <f>F140*D140</f>
        <v/>
      </c>
      <c r="J140" s="792">
        <f>G140*D140</f>
        <v/>
      </c>
      <c r="K140" s="789">
        <f>H140*D140</f>
        <v/>
      </c>
      <c r="L140" s="789">
        <f>K140+J140+I140</f>
        <v/>
      </c>
    </row>
    <row r="141">
      <c r="C141" s="129" t="inlineStr">
        <is>
          <t>CABLE #8 VERDE</t>
        </is>
      </c>
      <c r="D141" s="199" t="n">
        <v>30</v>
      </c>
      <c r="E141" s="199" t="inlineStr">
        <is>
          <t>mts</t>
        </is>
      </c>
      <c r="F141" s="789" t="n"/>
      <c r="G141" s="793" t="n">
        <v>893.83</v>
      </c>
      <c r="H141" s="789" t="n"/>
      <c r="I141" s="792">
        <f>F141*D141</f>
        <v/>
      </c>
      <c r="J141" s="792">
        <f>G141*D141</f>
        <v/>
      </c>
      <c r="K141" s="789">
        <f>H141*D141</f>
        <v/>
      </c>
      <c r="L141" s="789">
        <f>K141+J141+I141</f>
        <v/>
      </c>
    </row>
    <row r="142">
      <c r="C142" s="129" t="inlineStr">
        <is>
          <t>CABLE #10 ROJO</t>
        </is>
      </c>
      <c r="D142" s="199" t="n">
        <v>180</v>
      </c>
      <c r="E142" s="199" t="inlineStr">
        <is>
          <t>mts</t>
        </is>
      </c>
      <c r="F142" s="789" t="n"/>
      <c r="G142" s="793" t="n">
        <v>526.89</v>
      </c>
      <c r="H142" s="789" t="n"/>
      <c r="I142" s="792">
        <f>F142*D142</f>
        <v/>
      </c>
      <c r="J142" s="792">
        <f>G142*D142</f>
        <v/>
      </c>
      <c r="K142" s="789">
        <f>H142*D142</f>
        <v/>
      </c>
      <c r="L142" s="789">
        <f>K142+J142+I142</f>
        <v/>
      </c>
    </row>
    <row r="143">
      <c r="C143" s="129" t="inlineStr">
        <is>
          <t>CABLE #10 VERDE</t>
        </is>
      </c>
      <c r="D143" s="199" t="n">
        <v>75</v>
      </c>
      <c r="E143" s="199" t="inlineStr">
        <is>
          <t>mts</t>
        </is>
      </c>
      <c r="F143" s="789" t="n"/>
      <c r="G143" s="793" t="n">
        <v>526.89</v>
      </c>
      <c r="H143" s="789" t="n"/>
      <c r="I143" s="792">
        <f>F143*D143</f>
        <v/>
      </c>
      <c r="J143" s="792">
        <f>G143*D143</f>
        <v/>
      </c>
      <c r="K143" s="789">
        <f>H143*D143</f>
        <v/>
      </c>
      <c r="L143" s="789">
        <f>K143+J143+I143</f>
        <v/>
      </c>
    </row>
    <row r="144">
      <c r="C144" s="129" t="inlineStr">
        <is>
          <t>CABLE #12 AZUL</t>
        </is>
      </c>
      <c r="D144" s="199" t="n">
        <v>150</v>
      </c>
      <c r="E144" s="199" t="inlineStr">
        <is>
          <t>mts</t>
        </is>
      </c>
      <c r="F144" s="789" t="n"/>
      <c r="G144" s="793" t="n">
        <v>282.26</v>
      </c>
      <c r="H144" s="789" t="n"/>
      <c r="I144" s="792">
        <f>F144*D144</f>
        <v/>
      </c>
      <c r="J144" s="792">
        <f>G144*D144</f>
        <v/>
      </c>
      <c r="K144" s="789">
        <f>H144*D144</f>
        <v/>
      </c>
      <c r="L144" s="789">
        <f>K144+J144+I144</f>
        <v/>
      </c>
    </row>
    <row r="145">
      <c r="C145" s="129" t="inlineStr">
        <is>
          <t>CABLE #12 ROJO</t>
        </is>
      </c>
      <c r="D145" s="199" t="n">
        <v>270</v>
      </c>
      <c r="E145" s="199" t="inlineStr">
        <is>
          <t>mts</t>
        </is>
      </c>
      <c r="F145" s="789" t="n"/>
      <c r="G145" s="793" t="n">
        <v>282.26</v>
      </c>
      <c r="H145" s="789" t="n"/>
      <c r="I145" s="792">
        <f>F145*D145</f>
        <v/>
      </c>
      <c r="J145" s="792">
        <f>G145*D145</f>
        <v/>
      </c>
      <c r="K145" s="789">
        <f>H145*D145</f>
        <v/>
      </c>
      <c r="L145" s="789">
        <f>K145+J145+I145</f>
        <v/>
      </c>
    </row>
    <row r="146">
      <c r="C146" s="129" t="inlineStr">
        <is>
          <t>CABLE #12 NEGRO</t>
        </is>
      </c>
      <c r="D146" s="199" t="n">
        <v>350</v>
      </c>
      <c r="E146" s="199" t="inlineStr">
        <is>
          <t>mts</t>
        </is>
      </c>
      <c r="F146" s="789" t="n"/>
      <c r="G146" s="793" t="n">
        <v>282.26</v>
      </c>
      <c r="H146" s="789" t="n"/>
      <c r="I146" s="792">
        <f>F146*D146</f>
        <v/>
      </c>
      <c r="J146" s="792">
        <f>G146*D146</f>
        <v/>
      </c>
      <c r="K146" s="789">
        <f>H146*D146</f>
        <v/>
      </c>
      <c r="L146" s="789">
        <f>K146+J146+I146</f>
        <v/>
      </c>
    </row>
    <row r="147">
      <c r="C147" s="129" t="inlineStr">
        <is>
          <t>CABLE #12 BLANCO</t>
        </is>
      </c>
      <c r="D147" s="199" t="n">
        <v>350</v>
      </c>
      <c r="E147" s="199" t="inlineStr">
        <is>
          <t>mts</t>
        </is>
      </c>
      <c r="F147" s="789" t="n"/>
      <c r="G147" s="793" t="n">
        <v>282.26</v>
      </c>
      <c r="H147" s="789" t="n"/>
      <c r="I147" s="792">
        <f>F147*D147</f>
        <v/>
      </c>
      <c r="J147" s="792">
        <f>G147*D147</f>
        <v/>
      </c>
      <c r="K147" s="789">
        <f>H147*D147</f>
        <v/>
      </c>
      <c r="L147" s="789">
        <f>K147+J147+I147</f>
        <v/>
      </c>
    </row>
    <row r="148">
      <c r="C148" s="129" t="inlineStr">
        <is>
          <t>CABLE #12 VERDE</t>
        </is>
      </c>
      <c r="D148" s="199" t="n">
        <v>350</v>
      </c>
      <c r="E148" s="199" t="inlineStr">
        <is>
          <t>mts</t>
        </is>
      </c>
      <c r="F148" s="789" t="n"/>
      <c r="G148" s="793" t="n">
        <v>282.26</v>
      </c>
      <c r="H148" s="789" t="n"/>
      <c r="I148" s="792">
        <f>F148*D148</f>
        <v/>
      </c>
      <c r="J148" s="792">
        <f>G148*D148</f>
        <v/>
      </c>
      <c r="K148" s="789">
        <f>H148*D148</f>
        <v/>
      </c>
      <c r="L148" s="789">
        <f>K148+J148+I148</f>
        <v/>
      </c>
    </row>
    <row r="149">
      <c r="C149" s="129" t="inlineStr">
        <is>
          <t>CONECTOR RESORTE ROJO</t>
        </is>
      </c>
      <c r="D149" s="199" t="n">
        <v>200</v>
      </c>
      <c r="E149" s="199" t="inlineStr">
        <is>
          <t>mts</t>
        </is>
      </c>
      <c r="F149" s="789" t="n"/>
      <c r="G149" s="793" t="n">
        <v>122.31</v>
      </c>
      <c r="H149" s="789" t="n"/>
      <c r="I149" s="792">
        <f>F149*D149</f>
        <v/>
      </c>
      <c r="J149" s="792">
        <f>G149*D149</f>
        <v/>
      </c>
      <c r="K149" s="789">
        <f>H149*D149</f>
        <v/>
      </c>
      <c r="L149" s="789">
        <f>K149+J149+I149</f>
        <v/>
      </c>
    </row>
    <row r="150">
      <c r="C150" s="129" t="inlineStr">
        <is>
          <t>CABLE TGP 3X12</t>
        </is>
      </c>
      <c r="D150" s="199" t="n">
        <v>42</v>
      </c>
      <c r="E150" s="199" t="inlineStr">
        <is>
          <t>mts</t>
        </is>
      </c>
      <c r="F150" s="789" t="n"/>
      <c r="G150" s="793" t="n">
        <v>1348.53</v>
      </c>
      <c r="H150" s="789" t="n"/>
      <c r="I150" s="792">
        <f>F150*D150</f>
        <v/>
      </c>
      <c r="J150" s="792">
        <f>G150*D150</f>
        <v/>
      </c>
      <c r="K150" s="789">
        <f>H150*D150</f>
        <v/>
      </c>
      <c r="L150" s="789">
        <f>K150+J150+I150</f>
        <v/>
      </c>
    </row>
    <row r="151">
      <c r="C151" s="129" t="inlineStr">
        <is>
          <t>PLAFON BLANCO</t>
        </is>
      </c>
      <c r="D151" s="199" t="n">
        <v>16</v>
      </c>
      <c r="E151" s="199" t="inlineStr">
        <is>
          <t>uni</t>
        </is>
      </c>
      <c r="F151" s="789" t="n"/>
      <c r="G151" s="793" t="n">
        <v>658.61</v>
      </c>
      <c r="H151" s="789" t="n"/>
      <c r="I151" s="792">
        <f>F151*D151</f>
        <v/>
      </c>
      <c r="J151" s="792">
        <f>G151*D151</f>
        <v/>
      </c>
      <c r="K151" s="789">
        <f>H151*D151</f>
        <v/>
      </c>
      <c r="L151" s="789">
        <f>K151+J151+I151</f>
        <v/>
      </c>
    </row>
    <row r="152">
      <c r="C152" s="129" t="inlineStr">
        <is>
          <t>APAGADOR SENCILLO 15A 120 DECO</t>
        </is>
      </c>
      <c r="D152" s="199" t="n">
        <v>7</v>
      </c>
      <c r="E152" s="199" t="inlineStr">
        <is>
          <t>uni</t>
        </is>
      </c>
      <c r="F152" s="789" t="n"/>
      <c r="G152" s="793" t="n">
        <v>2352.19</v>
      </c>
      <c r="H152" s="789" t="n"/>
      <c r="I152" s="792">
        <f>F152*D152</f>
        <v/>
      </c>
      <c r="J152" s="792">
        <f>G152*D152</f>
        <v/>
      </c>
      <c r="K152" s="789">
        <f>H152*D152</f>
        <v/>
      </c>
      <c r="L152" s="789">
        <f>K152+J152+I152</f>
        <v/>
      </c>
    </row>
    <row r="153">
      <c r="C153" s="129" t="inlineStr">
        <is>
          <t>APAGADOR DOBLE 15A 120 DECO</t>
        </is>
      </c>
      <c r="D153" s="199" t="n">
        <v>2</v>
      </c>
      <c r="E153" s="199" t="inlineStr">
        <is>
          <t>uni</t>
        </is>
      </c>
      <c r="F153" s="789" t="n"/>
      <c r="G153" s="793" t="n">
        <v>2822.63</v>
      </c>
      <c r="H153" s="789" t="n"/>
      <c r="I153" s="792">
        <f>F153*D153</f>
        <v/>
      </c>
      <c r="J153" s="792">
        <f>G153*D153</f>
        <v/>
      </c>
      <c r="K153" s="789">
        <f>H153*D153</f>
        <v/>
      </c>
      <c r="L153" s="789">
        <f>K153+J153+I153</f>
        <v/>
      </c>
    </row>
    <row r="154">
      <c r="C154" s="129" t="inlineStr">
        <is>
          <t>APAGADOR TRIPLE 15A 120 DECO</t>
        </is>
      </c>
      <c r="D154" s="199" t="n">
        <v>1</v>
      </c>
      <c r="E154" s="199" t="inlineStr">
        <is>
          <t>uni</t>
        </is>
      </c>
      <c r="F154" s="789" t="n"/>
      <c r="G154" s="793" t="n">
        <v>5050.49</v>
      </c>
      <c r="H154" s="789" t="n"/>
      <c r="I154" s="792">
        <f>F154*D154</f>
        <v/>
      </c>
      <c r="J154" s="792">
        <f>G154*D154</f>
        <v/>
      </c>
      <c r="K154" s="789">
        <f>H154*D154</f>
        <v/>
      </c>
      <c r="L154" s="789">
        <f>K154+J154+I154</f>
        <v/>
      </c>
    </row>
    <row r="155">
      <c r="C155" s="129" t="inlineStr">
        <is>
          <t>TOMA DOBLE POLARIZADO 15A 120 TR DECO</t>
        </is>
      </c>
      <c r="D155" s="199" t="n">
        <v>22</v>
      </c>
      <c r="E155" s="199" t="inlineStr">
        <is>
          <t>uni</t>
        </is>
      </c>
      <c r="F155" s="789" t="n"/>
      <c r="G155" s="793" t="n">
        <v>2446.28</v>
      </c>
      <c r="H155" s="789" t="n"/>
      <c r="I155" s="792">
        <f>F155*D155</f>
        <v/>
      </c>
      <c r="J155" s="792">
        <f>G155*D155</f>
        <v/>
      </c>
      <c r="K155" s="789">
        <f>H155*D155</f>
        <v/>
      </c>
      <c r="L155" s="789">
        <f>K155+J155+I155</f>
        <v/>
      </c>
    </row>
    <row r="156">
      <c r="C156" s="129" t="inlineStr">
        <is>
          <t>ARO REPELLO EMT 4X4 2GANG</t>
        </is>
      </c>
      <c r="D156" s="199" t="n">
        <v>2</v>
      </c>
      <c r="E156" s="199" t="inlineStr">
        <is>
          <t>uni</t>
        </is>
      </c>
      <c r="F156" s="789" t="n"/>
      <c r="G156" s="793" t="n">
        <v>291.67</v>
      </c>
      <c r="H156" s="789" t="n"/>
      <c r="I156" s="792">
        <f>F156*D156</f>
        <v/>
      </c>
      <c r="J156" s="792">
        <f>G156*D156</f>
        <v/>
      </c>
      <c r="K156" s="789">
        <f>H156*D156</f>
        <v/>
      </c>
      <c r="L156" s="789">
        <f>K156+J156+I156</f>
        <v/>
      </c>
    </row>
    <row r="157">
      <c r="C157" s="129" t="inlineStr">
        <is>
          <t>PLACA ACERO INOXIDABLE P/TOMA 50A 2 GANG CUADRADA</t>
        </is>
      </c>
      <c r="D157" s="199" t="n">
        <v>3</v>
      </c>
      <c r="E157" s="199" t="inlineStr">
        <is>
          <t>uni</t>
        </is>
      </c>
      <c r="F157" s="789" t="n"/>
      <c r="G157" s="793" t="n">
        <v>850.78</v>
      </c>
      <c r="H157" s="789" t="n"/>
      <c r="I157" s="792">
        <f>F157*D157</f>
        <v/>
      </c>
      <c r="J157" s="792">
        <f>G157*D157</f>
        <v/>
      </c>
      <c r="K157" s="789">
        <f>H157*D157</f>
        <v/>
      </c>
      <c r="L157" s="789">
        <f>K157+J157+I157</f>
        <v/>
      </c>
    </row>
    <row r="158">
      <c r="C158" s="129" t="inlineStr">
        <is>
          <t>TOMA DE EMPOTRAR 50A/125/250V 3P-4W NEMA 14-50R</t>
        </is>
      </c>
      <c r="D158" s="199" t="n">
        <v>3</v>
      </c>
      <c r="E158" s="199" t="inlineStr">
        <is>
          <t>uni</t>
        </is>
      </c>
      <c r="F158" s="789" t="n"/>
      <c r="G158" s="793" t="n">
        <v>3658.59</v>
      </c>
      <c r="H158" s="789" t="n"/>
      <c r="I158" s="792">
        <f>F158*D158</f>
        <v/>
      </c>
      <c r="J158" s="792">
        <f>G158*D158</f>
        <v/>
      </c>
      <c r="K158" s="789">
        <f>H158*D158</f>
        <v/>
      </c>
      <c r="L158" s="789">
        <f>K158+J158+I158</f>
        <v/>
      </c>
    </row>
    <row r="159">
      <c r="C159" s="129" t="inlineStr">
        <is>
          <t>MANO DE OBRA GENERAL</t>
        </is>
      </c>
      <c r="D159" s="199" t="n">
        <v>1</v>
      </c>
      <c r="E159" s="199" t="inlineStr">
        <is>
          <t>global</t>
        </is>
      </c>
      <c r="F159" s="789" t="n">
        <v>390000</v>
      </c>
      <c r="G159" s="789" t="n"/>
      <c r="H159" s="789" t="n"/>
      <c r="I159" s="792">
        <f>F159*D159</f>
        <v/>
      </c>
      <c r="J159" s="792">
        <f>G159*D159</f>
        <v/>
      </c>
      <c r="K159" s="789">
        <f>H159*D159</f>
        <v/>
      </c>
      <c r="L159" s="789">
        <f>K159+J159+I159</f>
        <v/>
      </c>
    </row>
    <row r="160" ht="15.75" customHeight="1" thickBot="1">
      <c r="C160" s="129" t="n"/>
      <c r="D160" s="199" t="n"/>
      <c r="E160" s="199" t="n"/>
      <c r="F160" s="789" t="n"/>
      <c r="G160" s="789" t="n"/>
      <c r="H160" s="789" t="n"/>
      <c r="I160" s="792" t="n"/>
      <c r="J160" s="797" t="n"/>
      <c r="K160" s="789" t="n"/>
      <c r="L160" s="789" t="n"/>
    </row>
    <row r="161" ht="15.75" customHeight="1" thickBot="1">
      <c r="B161" s="74" t="n"/>
      <c r="C161" s="75" t="inlineStr">
        <is>
          <t>SUB TOTAL</t>
        </is>
      </c>
      <c r="D161" s="76" t="n"/>
      <c r="E161" s="76" t="n"/>
      <c r="F161" s="807" t="n"/>
      <c r="G161" s="807" t="n"/>
      <c r="H161" s="807" t="n"/>
      <c r="I161" s="799">
        <f>SUM(I152:I160)</f>
        <v/>
      </c>
      <c r="J161" s="815">
        <f>SUM(J119:J160)</f>
        <v/>
      </c>
      <c r="K161" s="799">
        <f>SUM(K136:K160)</f>
        <v/>
      </c>
      <c r="L161" s="798">
        <f>SUM(I161:K161)</f>
        <v/>
      </c>
    </row>
    <row r="162">
      <c r="C162" s="102" t="n"/>
      <c r="D162" s="103" t="n"/>
      <c r="E162" s="103" t="n"/>
      <c r="F162" s="796" t="n"/>
      <c r="G162" s="796" t="n"/>
      <c r="H162" s="796" t="n"/>
      <c r="I162" s="797" t="n"/>
      <c r="J162" s="801" t="n"/>
      <c r="K162" s="796" t="n"/>
      <c r="L162" s="796" t="n"/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B2:K24"/>
  <sheetViews>
    <sheetView showGridLines="0" workbookViewId="0">
      <selection activeCell="G24" sqref="G24"/>
    </sheetView>
  </sheetViews>
  <sheetFormatPr baseColWidth="8" defaultColWidth="9.28125" defaultRowHeight="14.25"/>
  <cols>
    <col width="9.28125" customWidth="1" style="106" min="1" max="5"/>
    <col width="14.796875" bestFit="1" customWidth="1" style="106" min="6" max="6"/>
    <col width="16.6796875" bestFit="1" customWidth="1" style="106" min="7" max="7"/>
    <col width="9.28125" customWidth="1" style="106" min="8" max="16384"/>
  </cols>
  <sheetData>
    <row r="2">
      <c r="B2" s="105" t="inlineStr">
        <is>
          <t>Ventaneria</t>
        </is>
      </c>
    </row>
    <row r="3">
      <c r="B3" s="451" t="inlineStr">
        <is>
          <t>Tipo</t>
        </is>
      </c>
      <c r="C3" s="451" t="inlineStr">
        <is>
          <t>Longitud</t>
        </is>
      </c>
      <c r="D3" s="451" t="inlineStr">
        <is>
          <t>Alto</t>
        </is>
      </c>
      <c r="E3" s="451" t="inlineStr">
        <is>
          <t>Area</t>
        </is>
      </c>
    </row>
    <row r="4">
      <c r="B4" s="452" t="inlineStr">
        <is>
          <t>v1</t>
        </is>
      </c>
      <c r="C4" s="452" t="n">
        <v>1.4</v>
      </c>
      <c r="D4" s="452" t="n">
        <v>1.85</v>
      </c>
      <c r="E4" s="452">
        <f>+C4*D4</f>
        <v/>
      </c>
    </row>
    <row r="5">
      <c r="B5" s="452" t="inlineStr">
        <is>
          <t>v2</t>
        </is>
      </c>
      <c r="C5" s="452" t="n">
        <v>1.4</v>
      </c>
      <c r="D5" s="452" t="n">
        <v>1.85</v>
      </c>
      <c r="E5" s="452">
        <f>+C5*D5</f>
        <v/>
      </c>
    </row>
    <row r="6">
      <c r="B6" s="452" t="inlineStr">
        <is>
          <t>v3</t>
        </is>
      </c>
      <c r="C6" s="452" t="n">
        <v>0.65</v>
      </c>
      <c r="D6" s="452" t="n">
        <v>0.55</v>
      </c>
      <c r="E6" s="452">
        <f>+C6*D6</f>
        <v/>
      </c>
    </row>
    <row r="7">
      <c r="B7" s="452" t="inlineStr">
        <is>
          <t>v4</t>
        </is>
      </c>
      <c r="C7" s="452" t="n">
        <v>0.65</v>
      </c>
      <c r="D7" s="452" t="n">
        <v>0.55</v>
      </c>
      <c r="E7" s="452">
        <f>+C7*D7</f>
        <v/>
      </c>
    </row>
    <row r="8">
      <c r="B8" s="452" t="inlineStr">
        <is>
          <t>v4</t>
        </is>
      </c>
      <c r="C8" s="452" t="n">
        <v>1.25</v>
      </c>
      <c r="D8" s="452" t="n">
        <v>0.45</v>
      </c>
      <c r="E8" s="452">
        <f>+C8*D8</f>
        <v/>
      </c>
    </row>
    <row r="9">
      <c r="D9" s="105" t="inlineStr">
        <is>
          <t>Area</t>
        </is>
      </c>
      <c r="E9" s="105">
        <f>SUM(E4:E8)</f>
        <v/>
      </c>
      <c r="F9" s="816">
        <f>+K14</f>
        <v/>
      </c>
      <c r="G9" s="817">
        <f>+E9*F9</f>
        <v/>
      </c>
    </row>
    <row r="11">
      <c r="B11" s="105" t="inlineStr">
        <is>
          <t>Puertas</t>
        </is>
      </c>
    </row>
    <row r="12">
      <c r="B12" s="451" t="inlineStr">
        <is>
          <t>Tipo</t>
        </is>
      </c>
      <c r="C12" s="451" t="inlineStr">
        <is>
          <t>Longitud</t>
        </is>
      </c>
      <c r="D12" s="451" t="inlineStr">
        <is>
          <t>Alto</t>
        </is>
      </c>
      <c r="E12" s="451" t="inlineStr">
        <is>
          <t>Area</t>
        </is>
      </c>
    </row>
    <row r="13">
      <c r="B13" s="452" t="inlineStr">
        <is>
          <t>P05</t>
        </is>
      </c>
      <c r="C13" s="452" t="n">
        <v>1.7</v>
      </c>
      <c r="D13" s="452" t="n">
        <v>2.15</v>
      </c>
      <c r="E13" s="452">
        <f>+C13*D13</f>
        <v/>
      </c>
    </row>
    <row r="14">
      <c r="B14" s="452" t="inlineStr">
        <is>
          <t>P08</t>
        </is>
      </c>
      <c r="C14" s="452" t="n">
        <v>1.7</v>
      </c>
      <c r="D14" s="452" t="n">
        <v>2.1</v>
      </c>
      <c r="E14" s="452">
        <f>+C14*D14</f>
        <v/>
      </c>
      <c r="K14" s="106">
        <f>1072000/(E9+E17)</f>
        <v/>
      </c>
    </row>
    <row r="15">
      <c r="B15" s="452" t="inlineStr">
        <is>
          <t>P09</t>
        </is>
      </c>
      <c r="C15" s="452" t="n">
        <v>0.8</v>
      </c>
      <c r="D15" s="452" t="n">
        <v>2.1</v>
      </c>
      <c r="E15" s="452">
        <f>+C15*D15</f>
        <v/>
      </c>
    </row>
    <row r="16">
      <c r="B16" s="452" t="inlineStr">
        <is>
          <t>P09</t>
        </is>
      </c>
      <c r="C16" s="452" t="n">
        <v>1.45</v>
      </c>
      <c r="D16" s="452" t="n">
        <v>2.13</v>
      </c>
      <c r="E16" s="452">
        <f>+C16*D16</f>
        <v/>
      </c>
    </row>
    <row r="17">
      <c r="D17" s="105" t="inlineStr">
        <is>
          <t>Area</t>
        </is>
      </c>
      <c r="E17" s="105">
        <f>SUM(E12:E16)</f>
        <v/>
      </c>
      <c r="F17" s="816">
        <f>+K14</f>
        <v/>
      </c>
      <c r="G17" s="817">
        <f>+E17*F17</f>
        <v/>
      </c>
    </row>
    <row r="19">
      <c r="F19" s="453" t="inlineStr">
        <is>
          <t>Hoy</t>
        </is>
      </c>
      <c r="G19" s="818">
        <f>+G9+G17</f>
        <v/>
      </c>
    </row>
    <row r="21">
      <c r="F21" s="453" t="inlineStr">
        <is>
          <t>Año 2021</t>
        </is>
      </c>
      <c r="G21" s="818" t="n">
        <v>696000</v>
      </c>
    </row>
    <row r="23">
      <c r="F23" s="453" t="inlineStr">
        <is>
          <t>Diferencia</t>
        </is>
      </c>
      <c r="G23" s="818">
        <f>+G19-G21</f>
        <v/>
      </c>
    </row>
    <row r="24">
      <c r="G24" s="109">
        <f>+G23/G21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B2:E18"/>
  <sheetViews>
    <sheetView showGridLines="0" workbookViewId="0">
      <selection activeCell="E19" sqref="E19"/>
    </sheetView>
  </sheetViews>
  <sheetFormatPr baseColWidth="8" defaultColWidth="9.28125" defaultRowHeight="14.25"/>
  <cols>
    <col width="9.28125" customWidth="1" style="106" min="1" max="1"/>
    <col width="19.50390625" customWidth="1" style="106" min="2" max="2"/>
    <col width="9.28125" customWidth="1" style="106" min="3" max="3"/>
    <col width="12.64453125" bestFit="1" customWidth="1" style="106" min="4" max="4"/>
    <col width="14.796875" bestFit="1" customWidth="1" style="106" min="5" max="5"/>
    <col width="9.28125" customWidth="1" style="106" min="6" max="16384"/>
  </cols>
  <sheetData>
    <row r="2">
      <c r="B2" s="105" t="inlineStr">
        <is>
          <t>Puertas</t>
        </is>
      </c>
    </row>
    <row r="3">
      <c r="B3" s="105" t="n">
        <v>2021</v>
      </c>
    </row>
    <row r="4">
      <c r="B4" s="451" t="inlineStr">
        <is>
          <t>Descripcion</t>
        </is>
      </c>
      <c r="C4" s="451" t="inlineStr">
        <is>
          <t>Cantidad</t>
        </is>
      </c>
      <c r="D4" s="451" t="inlineStr">
        <is>
          <t>Costo</t>
        </is>
      </c>
      <c r="E4" s="451" t="inlineStr">
        <is>
          <t>Total</t>
        </is>
      </c>
    </row>
    <row r="5">
      <c r="B5" s="452" t="inlineStr">
        <is>
          <t>Puertas</t>
        </is>
      </c>
      <c r="C5" s="452" t="n">
        <v>7</v>
      </c>
      <c r="D5" s="819" t="n">
        <v>97000</v>
      </c>
      <c r="E5" s="819">
        <f>+C5*D5</f>
        <v/>
      </c>
    </row>
    <row r="6">
      <c r="D6" s="105" t="inlineStr">
        <is>
          <t>total</t>
        </is>
      </c>
      <c r="E6" s="817">
        <f>SUM(E5)</f>
        <v/>
      </c>
    </row>
    <row r="8">
      <c r="B8" s="110" t="n">
        <v>44574</v>
      </c>
    </row>
    <row r="9">
      <c r="B9" s="451" t="inlineStr">
        <is>
          <t>Descripcion</t>
        </is>
      </c>
      <c r="C9" s="451" t="inlineStr">
        <is>
          <t>Cantidad</t>
        </is>
      </c>
      <c r="D9" s="451" t="inlineStr">
        <is>
          <t>Costo</t>
        </is>
      </c>
      <c r="E9" s="451" t="inlineStr">
        <is>
          <t>Total</t>
        </is>
      </c>
    </row>
    <row r="10">
      <c r="B10" s="452" t="inlineStr">
        <is>
          <t>Puertas</t>
        </is>
      </c>
      <c r="C10" s="452" t="n">
        <v>7</v>
      </c>
      <c r="D10" s="819" t="n">
        <v>116000</v>
      </c>
      <c r="E10" s="819">
        <f>+C10*D10</f>
        <v/>
      </c>
    </row>
    <row r="11">
      <c r="D11" s="105" t="inlineStr">
        <is>
          <t>total</t>
        </is>
      </c>
      <c r="E11" s="817">
        <f>SUM(E10)</f>
        <v/>
      </c>
    </row>
    <row r="13">
      <c r="D13" s="456" t="n">
        <v>44574</v>
      </c>
      <c r="E13" s="818">
        <f>+E11</f>
        <v/>
      </c>
    </row>
    <row r="15">
      <c r="D15" s="453" t="inlineStr">
        <is>
          <t>Año 2021</t>
        </is>
      </c>
      <c r="E15" s="818">
        <f>+E6</f>
        <v/>
      </c>
    </row>
    <row r="17">
      <c r="D17" s="453" t="inlineStr">
        <is>
          <t>Diferencia</t>
        </is>
      </c>
      <c r="E17" s="818">
        <f>+E13-E15</f>
        <v/>
      </c>
    </row>
    <row r="18">
      <c r="E18" s="109">
        <f>+E17/E15</f>
        <v/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B29" sqref="B29"/>
    </sheetView>
  </sheetViews>
  <sheetFormatPr baseColWidth="8" defaultColWidth="9.14453125" defaultRowHeight="15"/>
  <cols>
    <col width="18.29296875" bestFit="1" customWidth="1" min="2" max="2"/>
    <col width="12.10546875" bestFit="1" customWidth="1" min="3" max="5"/>
  </cols>
  <sheetData>
    <row r="2">
      <c r="B2" s="56" t="inlineStr">
        <is>
          <t>Muy poco disponible</t>
        </is>
      </c>
    </row>
    <row r="4">
      <c r="B4" s="457" t="inlineStr">
        <is>
          <t>Descripcion</t>
        </is>
      </c>
      <c r="C4" s="458" t="inlineStr">
        <is>
          <t>Antes</t>
        </is>
      </c>
      <c r="D4" s="458" t="inlineStr">
        <is>
          <t>Real</t>
        </is>
      </c>
      <c r="E4" s="457" t="inlineStr">
        <is>
          <t>Diferencia</t>
        </is>
      </c>
    </row>
    <row r="5">
      <c r="B5" s="129" t="inlineStr">
        <is>
          <t>Enchape pisos</t>
        </is>
      </c>
      <c r="C5" s="789" t="n">
        <v>403000</v>
      </c>
      <c r="D5" s="789">
        <f>+#REF!</f>
        <v/>
      </c>
      <c r="E5" s="789">
        <f>+C5-D5</f>
        <v/>
      </c>
    </row>
    <row r="6">
      <c r="B6" s="129" t="inlineStr">
        <is>
          <t>Enchape baños</t>
        </is>
      </c>
      <c r="C6" s="789" t="n">
        <v>175500</v>
      </c>
      <c r="D6" s="789">
        <f>+#REF!</f>
        <v/>
      </c>
      <c r="E6" s="789">
        <f>+C6-D6</f>
        <v/>
      </c>
    </row>
    <row r="7">
      <c r="B7" s="129" t="inlineStr">
        <is>
          <t>Enchape fachadas</t>
        </is>
      </c>
      <c r="C7" s="789" t="n">
        <v>65000</v>
      </c>
      <c r="D7" s="789">
        <f>+#REF!</f>
        <v/>
      </c>
      <c r="E7" s="789">
        <f>+C7-D7</f>
        <v/>
      </c>
    </row>
    <row r="8">
      <c r="E8" s="794">
        <f>SUM(E5:E7)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E4"/>
  <sheetViews>
    <sheetView workbookViewId="0">
      <selection activeCell="D3" sqref="D3"/>
    </sheetView>
  </sheetViews>
  <sheetFormatPr baseColWidth="8" defaultColWidth="9.14453125" defaultRowHeight="15"/>
  <sheetData>
    <row r="2">
      <c r="B2" t="inlineStr">
        <is>
          <t>Canoa</t>
        </is>
      </c>
      <c r="C2">
        <f>1.15+5.45+2.7+0.91</f>
        <v/>
      </c>
      <c r="D2" t="n">
        <v>12000</v>
      </c>
      <c r="E2">
        <f>+C2*D2</f>
        <v/>
      </c>
    </row>
    <row r="3">
      <c r="B3" t="inlineStr">
        <is>
          <t>Botaguas</t>
        </is>
      </c>
      <c r="C3">
        <f>6.55+0.5+5.3+3.7+2.05+2.85+6.45+14.9</f>
        <v/>
      </c>
      <c r="D3" t="n">
        <v>8000</v>
      </c>
      <c r="E3">
        <f>+C3*D3</f>
        <v/>
      </c>
    </row>
    <row r="4">
      <c r="E4">
        <f>SUM(E2:E3)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UsuarioMCI</dc:creator>
  <dcterms:created xmlns:dcterms="http://purl.org/dc/terms/" xmlns:xsi="http://www.w3.org/2001/XMLSchema-instance" xsi:type="dcterms:W3CDTF">2019-02-27T16:05:13Z</dcterms:created>
  <dcterms:modified xmlns:dcterms="http://purl.org/dc/terms/" xmlns:xsi="http://www.w3.org/2001/XMLSchema-instance" xsi:type="dcterms:W3CDTF">2026-04-13T03:55:35Z</dcterms:modified>
  <cp:lastModifiedBy>Hilda Villanueva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0x0101007886C5DE8F59334A98E5559B16098CF5</vt:lpwstr>
  </property>
  <property name="xd_ProgID" fmtid="{D5CDD505-2E9C-101B-9397-08002B2CF9AE}" pid="3">
    <vt:lpwstr xmlns:vt="http://schemas.openxmlformats.org/officeDocument/2006/docPropsVTypes"/>
  </property>
  <property name="Bloque" fmtid="{D5CDD505-2E9C-101B-9397-08002B2CF9AE}" pid="4">
    <vt:lpwstr xmlns:vt="http://schemas.openxmlformats.org/officeDocument/2006/docPropsVTypes">Bloque 1</vt:lpwstr>
  </property>
  <property name="_SourceUrl" fmtid="{D5CDD505-2E9C-101B-9397-08002B2CF9AE}" pid="5">
    <vt:lpwstr xmlns:vt="http://schemas.openxmlformats.org/officeDocument/2006/docPropsVTypes"/>
  </property>
  <property name="_SharedFileIndex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  <property name="xd_Signature" fmtid="{D5CDD505-2E9C-101B-9397-08002B2CF9AE}" pid="11">
    <vt:bool xmlns:vt="http://schemas.openxmlformats.org/officeDocument/2006/docPropsVTypes">0</vt:bool>
  </property>
</Properties>
</file>