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e/Documents/CBD/cbdprojeto/"/>
    </mc:Choice>
  </mc:AlternateContent>
  <xr:revisionPtr revIDLastSave="0" documentId="13_ncr:1_{0B165D22-BDB2-CD4D-8844-D56A59979BC1}" xr6:coauthVersionLast="47" xr6:coauthVersionMax="47" xr10:uidLastSave="{00000000-0000-0000-0000-000000000000}"/>
  <bookViews>
    <workbookView xWindow="9780" yWindow="1160" windowWidth="27640" windowHeight="16240" xr2:uid="{3C88F4C1-56C2-B24E-B2EC-7745E273B9AF}"/>
  </bookViews>
  <sheets>
    <sheet name="Prediction" sheetId="1" r:id="rId1"/>
    <sheet name="Re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I3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8" i="2"/>
  <c r="I29" i="2"/>
  <c r="I30" i="2"/>
  <c r="I31" i="2"/>
  <c r="I32" i="2"/>
  <c r="I33" i="2"/>
  <c r="I34" i="2"/>
  <c r="I35" i="2"/>
  <c r="N3" i="2"/>
  <c r="N5" i="2"/>
  <c r="N4" i="2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F29" i="1"/>
  <c r="H29" i="1" s="1"/>
  <c r="I29" i="1" s="1"/>
  <c r="J29" i="1" s="1"/>
  <c r="K29" i="1" s="1"/>
  <c r="L29" i="1" s="1"/>
  <c r="F28" i="1"/>
  <c r="H28" i="1" s="1"/>
  <c r="I28" i="1" s="1"/>
  <c r="J28" i="1" s="1"/>
  <c r="K28" i="1" s="1"/>
  <c r="L28" i="1" s="1"/>
  <c r="F8" i="1"/>
  <c r="H8" i="1" s="1"/>
  <c r="I8" i="1" s="1"/>
  <c r="J8" i="1" s="1"/>
  <c r="K8" i="1" s="1"/>
  <c r="L8" i="1" s="1"/>
  <c r="F36" i="1"/>
  <c r="H36" i="1" s="1"/>
  <c r="I36" i="1" s="1"/>
  <c r="J36" i="1" s="1"/>
  <c r="K36" i="1" s="1"/>
  <c r="L36" i="1" s="1"/>
  <c r="F32" i="1"/>
  <c r="H32" i="1" s="1"/>
  <c r="I32" i="1" s="1"/>
  <c r="J32" i="1" s="1"/>
  <c r="K32" i="1" s="1"/>
  <c r="L32" i="1" s="1"/>
  <c r="F31" i="1"/>
  <c r="H31" i="1" s="1"/>
  <c r="I31" i="1" s="1"/>
  <c r="J31" i="1" s="1"/>
  <c r="K31" i="1" s="1"/>
  <c r="L31" i="1" s="1"/>
  <c r="F27" i="1"/>
  <c r="H27" i="1" s="1"/>
  <c r="I27" i="1" s="1"/>
  <c r="J27" i="1" s="1"/>
  <c r="K27" i="1" s="1"/>
  <c r="L27" i="1" s="1"/>
  <c r="F26" i="1"/>
  <c r="H26" i="1" s="1"/>
  <c r="I26" i="1" s="1"/>
  <c r="J26" i="1" s="1"/>
  <c r="K26" i="1" s="1"/>
  <c r="L26" i="1" s="1"/>
  <c r="F25" i="1"/>
  <c r="H25" i="1" s="1"/>
  <c r="I25" i="1" s="1"/>
  <c r="J25" i="1" s="1"/>
  <c r="K25" i="1" s="1"/>
  <c r="L25" i="1" s="1"/>
  <c r="F24" i="1"/>
  <c r="H24" i="1" s="1"/>
  <c r="I24" i="1" s="1"/>
  <c r="J24" i="1" s="1"/>
  <c r="K24" i="1" s="1"/>
  <c r="L24" i="1" s="1"/>
  <c r="F16" i="1"/>
  <c r="H16" i="1" s="1"/>
  <c r="I16" i="1" s="1"/>
  <c r="J16" i="1" s="1"/>
  <c r="K16" i="1" s="1"/>
  <c r="L16" i="1" s="1"/>
  <c r="F15" i="1"/>
  <c r="H15" i="1" s="1"/>
  <c r="I15" i="1" s="1"/>
  <c r="J15" i="1" s="1"/>
  <c r="K15" i="1" s="1"/>
  <c r="L15" i="1" s="1"/>
  <c r="F5" i="1"/>
  <c r="H5" i="1" s="1"/>
  <c r="I5" i="1" s="1"/>
  <c r="J5" i="1" s="1"/>
  <c r="K5" i="1" s="1"/>
  <c r="L5" i="1" s="1"/>
  <c r="F14" i="1"/>
  <c r="H14" i="1" s="1"/>
  <c r="I14" i="1" s="1"/>
  <c r="J14" i="1" s="1"/>
  <c r="K14" i="1" s="1"/>
  <c r="L14" i="1" s="1"/>
  <c r="F13" i="1"/>
  <c r="H13" i="1" s="1"/>
  <c r="I13" i="1" s="1"/>
  <c r="J13" i="1" s="1"/>
  <c r="K13" i="1" s="1"/>
  <c r="L13" i="1" s="1"/>
  <c r="F12" i="1"/>
  <c r="H12" i="1" s="1"/>
  <c r="I12" i="1" s="1"/>
  <c r="J12" i="1" s="1"/>
  <c r="K12" i="1" s="1"/>
  <c r="L12" i="1" s="1"/>
  <c r="F11" i="1"/>
  <c r="H11" i="1" s="1"/>
  <c r="I11" i="1" s="1"/>
  <c r="J11" i="1" s="1"/>
  <c r="K11" i="1" s="1"/>
  <c r="L11" i="1" s="1"/>
  <c r="F10" i="1"/>
  <c r="H10" i="1" s="1"/>
  <c r="I10" i="1" s="1"/>
  <c r="J10" i="1" s="1"/>
  <c r="F33" i="1"/>
  <c r="H33" i="1" s="1"/>
  <c r="I33" i="1" s="1"/>
  <c r="J33" i="1" s="1"/>
  <c r="K33" i="1" s="1"/>
  <c r="L33" i="1" s="1"/>
  <c r="F30" i="1"/>
  <c r="H30" i="1" s="1"/>
  <c r="I30" i="1" s="1"/>
  <c r="J30" i="1" s="1"/>
  <c r="K30" i="1" s="1"/>
  <c r="L30" i="1" s="1"/>
  <c r="F23" i="1"/>
  <c r="H23" i="1" s="1"/>
  <c r="I23" i="1" s="1"/>
  <c r="J23" i="1" s="1"/>
  <c r="K23" i="1" s="1"/>
  <c r="L23" i="1" s="1"/>
  <c r="F7" i="1"/>
  <c r="H7" i="1" s="1"/>
  <c r="I7" i="1" s="1"/>
  <c r="J7" i="1" s="1"/>
  <c r="K7" i="1" s="1"/>
  <c r="L7" i="1" s="1"/>
  <c r="F6" i="1"/>
  <c r="H6" i="1" s="1"/>
  <c r="I6" i="1" s="1"/>
  <c r="J6" i="1" s="1"/>
  <c r="K6" i="1" s="1"/>
  <c r="L6" i="1" s="1"/>
  <c r="F4" i="1"/>
  <c r="H4" i="1" s="1"/>
  <c r="I4" i="1" s="1"/>
  <c r="J4" i="1" s="1"/>
  <c r="K4" i="1" s="1"/>
  <c r="L4" i="1" s="1"/>
  <c r="F22" i="1"/>
  <c r="H22" i="1" s="1"/>
  <c r="I22" i="1" s="1"/>
  <c r="J22" i="1" s="1"/>
  <c r="K22" i="1" s="1"/>
  <c r="L22" i="1" s="1"/>
  <c r="F21" i="1"/>
  <c r="H21" i="1" s="1"/>
  <c r="I21" i="1" s="1"/>
  <c r="J21" i="1" s="1"/>
  <c r="K21" i="1" s="1"/>
  <c r="L21" i="1" s="1"/>
  <c r="F20" i="1"/>
  <c r="H20" i="1" s="1"/>
  <c r="I20" i="1" s="1"/>
  <c r="J20" i="1" s="1"/>
  <c r="K20" i="1" s="1"/>
  <c r="L20" i="1" s="1"/>
  <c r="F19" i="1"/>
  <c r="H19" i="1" s="1"/>
  <c r="I19" i="1" s="1"/>
  <c r="J19" i="1" s="1"/>
  <c r="K19" i="1" s="1"/>
  <c r="L19" i="1" s="1"/>
  <c r="F18" i="1"/>
  <c r="H18" i="1" s="1"/>
  <c r="I18" i="1" s="1"/>
  <c r="J18" i="1" s="1"/>
  <c r="K18" i="1" s="1"/>
  <c r="L18" i="1" s="1"/>
  <c r="F17" i="1"/>
  <c r="H17" i="1" s="1"/>
  <c r="I17" i="1" s="1"/>
  <c r="J17" i="1" s="1"/>
  <c r="K17" i="1" s="1"/>
  <c r="L17" i="1" s="1"/>
  <c r="F9" i="1"/>
  <c r="H9" i="1" s="1"/>
  <c r="I9" i="1" s="1"/>
  <c r="J9" i="1" s="1"/>
  <c r="K9" i="1" s="1"/>
  <c r="F35" i="1"/>
  <c r="H35" i="1" s="1"/>
  <c r="I35" i="1" s="1"/>
  <c r="J35" i="1" s="1"/>
  <c r="K35" i="1" s="1"/>
  <c r="F34" i="1"/>
  <c r="H34" i="1" s="1"/>
  <c r="I34" i="1" s="1"/>
  <c r="J34" i="1" s="1"/>
  <c r="P1" i="1"/>
  <c r="G1" i="1"/>
  <c r="O4" i="2" l="1"/>
  <c r="P4" i="2" s="1"/>
  <c r="O3" i="2"/>
  <c r="P3" i="2" s="1"/>
  <c r="O5" i="2"/>
  <c r="P5" i="2" s="1"/>
  <c r="L35" i="1"/>
  <c r="K10" i="1"/>
  <c r="P6" i="1"/>
  <c r="P4" i="1"/>
  <c r="K34" i="1"/>
  <c r="L34" i="1" s="1"/>
  <c r="P5" i="1"/>
  <c r="L9" i="1" l="1"/>
  <c r="Q5" i="1"/>
  <c r="Q4" i="1"/>
  <c r="R4" i="1"/>
  <c r="L10" i="1"/>
  <c r="Q6" i="1"/>
  <c r="R6" i="1" l="1"/>
  <c r="R5" i="1"/>
</calcChain>
</file>

<file path=xl/sharedStrings.xml><?xml version="1.0" encoding="utf-8"?>
<sst xmlns="http://schemas.openxmlformats.org/spreadsheetml/2006/main" count="236" uniqueCount="63">
  <si>
    <t>1 byte in kb:</t>
  </si>
  <si>
    <t>1kb in mb:</t>
  </si>
  <si>
    <t>FileGroup</t>
  </si>
  <si>
    <t>Schema</t>
  </si>
  <si>
    <t>Table</t>
  </si>
  <si>
    <t>Record count</t>
  </si>
  <si>
    <t>Record size</t>
  </si>
  <si>
    <t>Growth rate</t>
  </si>
  <si>
    <t>Records/Page</t>
  </si>
  <si>
    <t>Pages count</t>
  </si>
  <si>
    <t>Storage 3 years MAXSIZE (KB)</t>
  </si>
  <si>
    <t>FILEGROWTH (KB)</t>
  </si>
  <si>
    <t>Size (MB)</t>
  </si>
  <si>
    <t>MaxSize (MB)</t>
  </si>
  <si>
    <t>FileGrowth (MB)</t>
  </si>
  <si>
    <t>FileGroup_Read</t>
  </si>
  <si>
    <t>Accounts</t>
  </si>
  <si>
    <t>UserAccount</t>
  </si>
  <si>
    <t>UserRole</t>
  </si>
  <si>
    <t>FileGroup_Write</t>
  </si>
  <si>
    <t>Customers</t>
  </si>
  <si>
    <t>Customer</t>
  </si>
  <si>
    <t>Primary</t>
  </si>
  <si>
    <t>PersonEducation</t>
  </si>
  <si>
    <t>PersonGender</t>
  </si>
  <si>
    <t>PersonMaritialStatus</t>
  </si>
  <si>
    <t>PersonOccupation</t>
  </si>
  <si>
    <t>PersonTitle</t>
  </si>
  <si>
    <t>PersonYearlyIncome</t>
  </si>
  <si>
    <t>Localization</t>
  </si>
  <si>
    <t>City</t>
  </si>
  <si>
    <t>Continent</t>
  </si>
  <si>
    <t>Country</t>
  </si>
  <si>
    <t>PostalCode</t>
  </si>
  <si>
    <t>SalesTerritory</t>
  </si>
  <si>
    <t>State</t>
  </si>
  <si>
    <t>Monitoring</t>
  </si>
  <si>
    <t>DBStatistics</t>
  </si>
  <si>
    <t>LogError</t>
  </si>
  <si>
    <t>LogSentError</t>
  </si>
  <si>
    <t>LogUser</t>
  </si>
  <si>
    <t>Products</t>
  </si>
  <si>
    <t>Model</t>
  </si>
  <si>
    <t>Color</t>
  </si>
  <si>
    <t>ModelClass</t>
  </si>
  <si>
    <t>ModelStyle</t>
  </si>
  <si>
    <t>Product</t>
  </si>
  <si>
    <t>ProductCategory</t>
  </si>
  <si>
    <t>ProductLine</t>
  </si>
  <si>
    <t>ProductSubcategory</t>
  </si>
  <si>
    <t>SizeRange</t>
  </si>
  <si>
    <t>SizeUnit</t>
  </si>
  <si>
    <t>WeightUnit</t>
  </si>
  <si>
    <t>Sales</t>
  </si>
  <si>
    <t>Currency</t>
  </si>
  <si>
    <t>SalesOrder</t>
  </si>
  <si>
    <t>SalesOrderLine</t>
  </si>
  <si>
    <t>Used Space (Kb)</t>
  </si>
  <si>
    <t>Used space (Kb)</t>
  </si>
  <si>
    <t>Reserved space (Kb)</t>
  </si>
  <si>
    <t>Unused space (Kb)</t>
  </si>
  <si>
    <t>Free space (%)</t>
  </si>
  <si>
    <t>Initial /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</si>
</sst>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C1F1C8"/>
        <bgColor indexed="64"/>
      </patternFill>
    </fill>
    <fill>
      <patternFill patternType="solid">
        <fgColor rgb="FFC1F1C8"/>
        <bgColor theme="6" tint="0.79998168889431442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1" fillId="0" borderId="0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9" fontId="2" fillId="2" borderId="8" xfId="1" applyFont="1" applyFill="1" applyBorder="1" applyAlignment="1">
      <alignment horizontal="center" vertical="center" wrapText="1"/>
    </xf>
    <xf numFmtId="9" fontId="0" fillId="0" borderId="5" xfId="1" applyFont="1" applyBorder="1" applyAlignment="1">
      <alignment horizontal="center" vertical="center"/>
    </xf>
    <xf numFmtId="9" fontId="0" fillId="3" borderId="5" xfId="1" applyFont="1" applyFill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0" xfId="1" applyFont="1"/>
    <xf numFmtId="9" fontId="0" fillId="0" borderId="0" xfId="0" applyNumberFormat="1"/>
    <xf numFmtId="9" fontId="2" fillId="2" borderId="7" xfId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9" fontId="0" fillId="5" borderId="3" xfId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30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1F1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96989C-A3D1-0A4D-946D-A60ECA40A3A2}" name="Table1" displayName="Table1" ref="B3:M36" totalsRowShown="0" headerRowDxfId="14" headerRowBorderDxfId="12" tableBorderDxfId="13">
  <autoFilter ref="B3:M36" xr:uid="{631BB6F1-4705-7048-AF0C-76CCE4DE5F6A}"/>
  <sortState xmlns:xlrd2="http://schemas.microsoft.com/office/spreadsheetml/2017/richdata2" ref="B4:L36">
    <sortCondition ref="D3:D36"/>
  </sortState>
  <tableColumns count="12">
    <tableColumn id="1" xr3:uid="{F36DCD1D-2BF6-C74A-9B51-7419FAE221C5}" name="FileGroup" dataDxfId="11"/>
    <tableColumn id="2" xr3:uid="{65967DF6-5CCC-6D4D-8CC0-F57644D581BF}" name="Schema" dataDxfId="10"/>
    <tableColumn id="3" xr3:uid="{7B29DE90-810C-C045-8427-CB8AA288D0FA}" name="Table" dataDxfId="9"/>
    <tableColumn id="4" xr3:uid="{3DA581AE-4766-D74D-A9E7-F22042B39D15}" name="Record count" dataDxfId="8"/>
    <tableColumn id="5" xr3:uid="{E6C50E13-0D27-EB4A-BF07-72B1D0CBFDBC}" name="Record size" dataDxfId="7"/>
    <tableColumn id="6" xr3:uid="{62ABF5FC-0F85-E847-AD5B-5418473125C3}" name="Growth rate" dataDxfId="6" dataCellStyle="Per cent"/>
    <tableColumn id="7" xr3:uid="{FCF6ED59-FCD4-074F-8863-2DA149186556}" name="Records/Page" dataDxfId="5">
      <calculatedColumnFormula>ROUND(((8*1024)-96)/F4,0)</calculatedColumnFormula>
    </tableColumn>
    <tableColumn id="8" xr3:uid="{0D296E77-3DDD-6146-9475-B8DD255B8C32}" name="Pages count" dataDxfId="4">
      <calculatedColumnFormula>ROUNDUP(E4/H4,0)</calculatedColumnFormula>
    </tableColumn>
    <tableColumn id="9" xr3:uid="{669825B1-A9FC-E649-A0BF-D491C57FB144}" name="Used Space (Kb)" dataDxfId="3">
      <calculatedColumnFormula>ROUNDUP(I4*(8*1024)*0.001,0)</calculatedColumnFormula>
    </tableColumn>
    <tableColumn id="10" xr3:uid="{7B4F0443-7DD4-FA46-841E-84D485D42868}" name="Storage 3 years MAXSIZE (KB)" dataDxfId="2">
      <calculatedColumnFormula>ROUNDUP(J4*(POWER((1+G4),3)),0)</calculatedColumnFormula>
    </tableColumn>
    <tableColumn id="11" xr3:uid="{13C8DF6D-990B-8B45-8FB9-04610069C25E}" name="FILEGROWTH (KB)" dataDxfId="1">
      <calculatedColumnFormula>ROUNDUP((K4-J4)/36,0)</calculatedColumnFormula>
    </tableColumn>
    <tableColumn id="12" xr3:uid="{528F7A08-779B-094D-A152-0671CE021D65}" name="Initial / Final" dataDxfId="0">
      <calculatedColumnFormula>_xlfn.CONCAT(E4, "/", E4*(1+G4))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90F1DC-345B-BB49-930F-4CB0E9E8CC3E}" name="Table2" displayName="Table2" ref="B2:K35" totalsRowShown="0" headerRowDxfId="29" dataDxfId="27" headerRowBorderDxfId="28" tableBorderDxfId="26" totalsRowBorderDxfId="25">
  <autoFilter ref="B2:K35" xr:uid="{9B90F1DC-345B-BB49-930F-4CB0E9E8CC3E}"/>
  <sortState xmlns:xlrd2="http://schemas.microsoft.com/office/spreadsheetml/2017/richdata2" ref="B3:K35">
    <sortCondition ref="D2:D35"/>
  </sortState>
  <tableColumns count="10">
    <tableColumn id="1" xr3:uid="{3B67C349-0DE6-C14C-A6CA-E598B53D7222}" name="FileGroup" dataDxfId="24"/>
    <tableColumn id="2" xr3:uid="{84635361-1812-4B4F-915A-A986E0548FAE}" name="Schema" dataDxfId="23"/>
    <tableColumn id="3" xr3:uid="{29E4A10E-F135-5C49-B5AF-A4BEE4A7368E}" name="Table" dataDxfId="22"/>
    <tableColumn id="4" xr3:uid="{D5B8A8D9-4E57-2647-8514-15608A711F19}" name="Record count" dataDxfId="21"/>
    <tableColumn id="9" xr3:uid="{9C10A4C2-F411-7442-A00F-7FD250D53BDD}" name="Growth rate" dataDxfId="20" dataCellStyle="Per cent"/>
    <tableColumn id="5" xr3:uid="{A12B088E-2CD0-3449-9F43-50E8F6121055}" name="Used space (Kb)" dataDxfId="19"/>
    <tableColumn id="6" xr3:uid="{B9C1273E-B9FF-3143-A520-FB9BD32F1399}" name="Reserved space (Kb)" dataDxfId="18"/>
    <tableColumn id="10" xr3:uid="{6F74B621-2E28-8A45-BC45-02B4087992E5}" name="Storage 3 years MAXSIZE (KB)" dataDxfId="17">
      <calculatedColumnFormula>G3*POWER((1+Prediction!G4),3)</calculatedColumnFormula>
    </tableColumn>
    <tableColumn id="7" xr3:uid="{3C7E21EE-1A23-1442-8718-89414D48BFBF}" name="Unused space (Kb)" dataDxfId="16">
      <calculatedColumnFormula>H3-G3</calculatedColumnFormula>
    </tableColumn>
    <tableColumn id="8" xr3:uid="{2DACE586-2EFD-EC46-B4BD-A6883A2E355D}" name="Free space (%)" dataDxfId="15" dataCellStyle="Per cent">
      <calculatedColumnFormula>IF(J3=0,0,J3/H3)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1CE9-6E38-1A4B-9560-7E0BA6E3E2F3}">
  <dimension ref="B1:R36"/>
  <sheetViews>
    <sheetView tabSelected="1" zoomScaleNormal="100" workbookViewId="0">
      <selection activeCell="O17" sqref="O17"/>
    </sheetView>
  </sheetViews>
  <sheetFormatPr baseColWidth="10" defaultColWidth="8.83203125" defaultRowHeight="15" x14ac:dyDescent="0.2"/>
  <cols>
    <col min="1" max="1" width="8.83203125" style="1"/>
    <col min="2" max="2" width="13" style="1" customWidth="1"/>
    <col min="3" max="3" width="9.83203125" style="1" customWidth="1"/>
    <col min="4" max="4" width="17.1640625" style="1" customWidth="1"/>
    <col min="5" max="5" width="12.5" style="1" customWidth="1"/>
    <col min="6" max="7" width="11.33203125" style="1" customWidth="1"/>
    <col min="8" max="8" width="13" style="1" customWidth="1"/>
    <col min="9" max="9" width="11.5" style="1" customWidth="1"/>
    <col min="10" max="10" width="15.5" style="1" customWidth="1"/>
    <col min="11" max="11" width="24.5" style="1" customWidth="1"/>
    <col min="12" max="12" width="16" style="1" customWidth="1"/>
    <col min="13" max="13" width="14.33203125" style="1" customWidth="1"/>
    <col min="14" max="14" width="8.6640625" style="1" customWidth="1"/>
    <col min="15" max="15" width="13.5" style="1" customWidth="1"/>
    <col min="16" max="16" width="11.5" style="1" customWidth="1"/>
    <col min="17" max="17" width="11.1640625" style="1" customWidth="1"/>
    <col min="18" max="18" width="9.83203125" style="1" customWidth="1"/>
    <col min="19" max="16384" width="8.83203125" style="1"/>
  </cols>
  <sheetData>
    <row r="1" spans="2:18" x14ac:dyDescent="0.2">
      <c r="F1" t="s">
        <v>0</v>
      </c>
      <c r="G1" s="1">
        <f>1*10^-3</f>
        <v>1E-3</v>
      </c>
      <c r="O1" s="1" t="s">
        <v>1</v>
      </c>
      <c r="P1" s="1">
        <f>1/1000</f>
        <v>1E-3</v>
      </c>
    </row>
    <row r="2" spans="2:18" ht="14" customHeight="1" x14ac:dyDescent="0.2"/>
    <row r="3" spans="2:18" ht="35" customHeight="1" x14ac:dyDescent="0.2">
      <c r="B3" s="2" t="s">
        <v>2</v>
      </c>
      <c r="C3" s="3" t="s">
        <v>3</v>
      </c>
      <c r="D3" s="3" t="s">
        <v>4</v>
      </c>
      <c r="E3" s="15" t="s">
        <v>5</v>
      </c>
      <c r="F3" s="15" t="s">
        <v>6</v>
      </c>
      <c r="G3" s="15" t="s">
        <v>7</v>
      </c>
      <c r="H3" s="15" t="s">
        <v>8</v>
      </c>
      <c r="I3" s="15" t="s">
        <v>9</v>
      </c>
      <c r="J3" s="3" t="s">
        <v>57</v>
      </c>
      <c r="K3" s="4" t="s">
        <v>10</v>
      </c>
      <c r="L3" s="14" t="s">
        <v>11</v>
      </c>
      <c r="M3" s="3" t="s">
        <v>62</v>
      </c>
      <c r="O3" s="5" t="s">
        <v>2</v>
      </c>
      <c r="P3" s="5" t="s">
        <v>12</v>
      </c>
      <c r="Q3" s="6" t="s">
        <v>13</v>
      </c>
      <c r="R3" s="6" t="s">
        <v>14</v>
      </c>
    </row>
    <row r="4" spans="2:18" x14ac:dyDescent="0.2">
      <c r="B4" s="7" t="s">
        <v>15</v>
      </c>
      <c r="C4" s="8" t="s">
        <v>29</v>
      </c>
      <c r="D4" s="9" t="s">
        <v>30</v>
      </c>
      <c r="E4" s="8">
        <v>271</v>
      </c>
      <c r="F4" s="8">
        <f>4+(50+2)+4</f>
        <v>60</v>
      </c>
      <c r="G4" s="11">
        <v>0.05</v>
      </c>
      <c r="H4" s="8">
        <f t="shared" ref="H4:H36" si="0">ROUND(((8*1024)-96)/F4,0)</f>
        <v>135</v>
      </c>
      <c r="I4" s="8">
        <f t="shared" ref="I4:I36" si="1">ROUNDUP(E4/H4,0)</f>
        <v>3</v>
      </c>
      <c r="J4" s="8">
        <f t="shared" ref="J4:J36" si="2">ROUNDUP(I4*(8*1024)*0.001,0)</f>
        <v>25</v>
      </c>
      <c r="K4" s="8">
        <f t="shared" ref="K4:K36" si="3">ROUNDUP(J4*(POWER((1+G4),3)),0)</f>
        <v>29</v>
      </c>
      <c r="L4" s="8">
        <f t="shared" ref="L4:L36" si="4">ROUNDUP((K4-J4)/36,0)</f>
        <v>1</v>
      </c>
      <c r="M4" s="1" t="str">
        <f t="shared" ref="M4:M36" si="5">_xlfn.CONCAT(E4, "/", E4*(1+G4))</f>
        <v>271/284,55</v>
      </c>
      <c r="O4" s="10" t="s">
        <v>15</v>
      </c>
      <c r="P4" s="10">
        <f>SUMIF(Table1[FileGroup], "FileGroup_Read", Table1[Used Space (Kb)])*0.001</f>
        <v>0.313</v>
      </c>
      <c r="Q4" s="10">
        <f>SUMIF(Table1[FileGroup], "FileGroup_Read", Table1[Storage 3 years MAXSIZE (KB)])*0.001</f>
        <v>0.32400000000000001</v>
      </c>
      <c r="R4" s="10">
        <f>SUMIF(Table1[FileGroup], "FileGroup_Read", Table1[FILEGROWTH (KB)])*0.001</f>
        <v>3.0000000000000001E-3</v>
      </c>
    </row>
    <row r="5" spans="2:18" x14ac:dyDescent="0.2">
      <c r="B5" s="7" t="s">
        <v>15</v>
      </c>
      <c r="C5" s="8" t="s">
        <v>41</v>
      </c>
      <c r="D5" s="9" t="s">
        <v>43</v>
      </c>
      <c r="E5" s="8">
        <v>9</v>
      </c>
      <c r="F5" s="8">
        <f>4+52</f>
        <v>56</v>
      </c>
      <c r="G5" s="11">
        <v>0</v>
      </c>
      <c r="H5" s="8">
        <f t="shared" si="0"/>
        <v>145</v>
      </c>
      <c r="I5" s="8">
        <f t="shared" si="1"/>
        <v>1</v>
      </c>
      <c r="J5" s="8">
        <f t="shared" si="2"/>
        <v>9</v>
      </c>
      <c r="K5" s="8">
        <f t="shared" si="3"/>
        <v>9</v>
      </c>
      <c r="L5" s="8">
        <f t="shared" si="4"/>
        <v>0</v>
      </c>
      <c r="M5" s="1" t="str">
        <f t="shared" si="5"/>
        <v>9/9</v>
      </c>
      <c r="O5" s="32" t="s">
        <v>19</v>
      </c>
      <c r="P5" s="10">
        <f>SUMIF(Table1[FileGroup], "FileGroup_Write", Table1[Used Space (Kb)])*0.001</f>
        <v>10.684000000000001</v>
      </c>
      <c r="Q5" s="10">
        <f>SUMIF(Table1[FileGroup], "FileGroup_Write", Table1[Storage 3 years MAXSIZE (KB)])*0.001</f>
        <v>23.475000000000001</v>
      </c>
      <c r="R5" s="10">
        <f>SUMIF(Table1[FileGroup], "FileGroup_Write", Table1[FILEGROWTH (KB)])*0.001</f>
        <v>0.35599999999999998</v>
      </c>
    </row>
    <row r="6" spans="2:18" x14ac:dyDescent="0.2">
      <c r="B6" s="7" t="s">
        <v>15</v>
      </c>
      <c r="C6" s="8" t="s">
        <v>29</v>
      </c>
      <c r="D6" s="9" t="s">
        <v>31</v>
      </c>
      <c r="E6" s="8">
        <v>3</v>
      </c>
      <c r="F6" s="8">
        <f>4+22</f>
        <v>26</v>
      </c>
      <c r="G6" s="11">
        <v>0</v>
      </c>
      <c r="H6" s="8">
        <f t="shared" si="0"/>
        <v>311</v>
      </c>
      <c r="I6" s="8">
        <f t="shared" si="1"/>
        <v>1</v>
      </c>
      <c r="J6" s="8">
        <f t="shared" si="2"/>
        <v>9</v>
      </c>
      <c r="K6" s="8">
        <f t="shared" si="3"/>
        <v>9</v>
      </c>
      <c r="L6" s="8">
        <f t="shared" si="4"/>
        <v>0</v>
      </c>
      <c r="M6" s="1" t="str">
        <f t="shared" si="5"/>
        <v>3/3</v>
      </c>
      <c r="O6" s="10" t="s">
        <v>22</v>
      </c>
      <c r="P6" s="10">
        <f>SUMIF(Table1[FileGroup], "Primary", Table1[Used Space (Kb)])*0.001</f>
        <v>0</v>
      </c>
      <c r="Q6" s="10">
        <f>SUMIF(Table1[FileGroup], "Primary", Table1[Storage 3 years MAXSIZE (KB)])*0.001</f>
        <v>0</v>
      </c>
      <c r="R6" s="10">
        <f>SUMIF(Table1[FileGroup], "Primary", Table1[FILEGROWTH (KB)])*0.001</f>
        <v>0</v>
      </c>
    </row>
    <row r="7" spans="2:18" x14ac:dyDescent="0.2">
      <c r="B7" s="7" t="s">
        <v>15</v>
      </c>
      <c r="C7" s="8" t="s">
        <v>29</v>
      </c>
      <c r="D7" s="9" t="s">
        <v>32</v>
      </c>
      <c r="E7" s="8">
        <v>6</v>
      </c>
      <c r="F7" s="8">
        <f>4+2+52+4</f>
        <v>62</v>
      </c>
      <c r="G7" s="11">
        <v>0</v>
      </c>
      <c r="H7" s="8">
        <f t="shared" si="0"/>
        <v>131</v>
      </c>
      <c r="I7" s="8">
        <f t="shared" si="1"/>
        <v>1</v>
      </c>
      <c r="J7" s="8">
        <f t="shared" si="2"/>
        <v>9</v>
      </c>
      <c r="K7" s="8">
        <f t="shared" si="3"/>
        <v>9</v>
      </c>
      <c r="L7" s="8">
        <f t="shared" si="4"/>
        <v>0</v>
      </c>
      <c r="M7" s="1" t="str">
        <f t="shared" si="5"/>
        <v>6/6</v>
      </c>
      <c r="P7" s="12"/>
    </row>
    <row r="8" spans="2:18" x14ac:dyDescent="0.2">
      <c r="B8" s="7" t="s">
        <v>15</v>
      </c>
      <c r="C8" s="8" t="s">
        <v>53</v>
      </c>
      <c r="D8" s="9" t="s">
        <v>54</v>
      </c>
      <c r="E8" s="8">
        <v>105</v>
      </c>
      <c r="F8" s="8">
        <f>4+3+52</f>
        <v>59</v>
      </c>
      <c r="G8" s="11">
        <v>0</v>
      </c>
      <c r="H8" s="8">
        <f t="shared" si="0"/>
        <v>137</v>
      </c>
      <c r="I8" s="8">
        <f t="shared" si="1"/>
        <v>1</v>
      </c>
      <c r="J8" s="8">
        <f t="shared" si="2"/>
        <v>9</v>
      </c>
      <c r="K8" s="8">
        <f t="shared" si="3"/>
        <v>9</v>
      </c>
      <c r="L8" s="8">
        <f t="shared" si="4"/>
        <v>0</v>
      </c>
      <c r="M8" s="1" t="str">
        <f t="shared" si="5"/>
        <v>105/105</v>
      </c>
      <c r="P8" s="12"/>
    </row>
    <row r="9" spans="2:18" x14ac:dyDescent="0.2">
      <c r="B9" s="7" t="s">
        <v>19</v>
      </c>
      <c r="C9" s="8" t="s">
        <v>20</v>
      </c>
      <c r="D9" s="9" t="s">
        <v>21</v>
      </c>
      <c r="E9" s="8">
        <v>18484</v>
      </c>
      <c r="F9" s="8">
        <f>4+4+52+52+52+3+4+4+52+4+4+4+1+52+4+4+22+3</f>
        <v>325</v>
      </c>
      <c r="G9" s="11">
        <v>0.3</v>
      </c>
      <c r="H9" s="8">
        <f t="shared" si="0"/>
        <v>25</v>
      </c>
      <c r="I9" s="8">
        <f t="shared" si="1"/>
        <v>740</v>
      </c>
      <c r="J9" s="8">
        <f t="shared" si="2"/>
        <v>6063</v>
      </c>
      <c r="K9" s="8">
        <f t="shared" si="3"/>
        <v>13321</v>
      </c>
      <c r="L9" s="8">
        <f t="shared" si="4"/>
        <v>202</v>
      </c>
      <c r="M9" s="1" t="str">
        <f t="shared" si="5"/>
        <v>18484/24029,2</v>
      </c>
      <c r="P9" s="33"/>
    </row>
    <row r="10" spans="2:18" x14ac:dyDescent="0.2">
      <c r="B10" s="7" t="s">
        <v>22</v>
      </c>
      <c r="C10" s="8" t="s">
        <v>36</v>
      </c>
      <c r="D10" s="9" t="s">
        <v>37</v>
      </c>
      <c r="E10" s="8">
        <v>0</v>
      </c>
      <c r="F10" s="8">
        <f>4+52+8+8+8+8</f>
        <v>88</v>
      </c>
      <c r="G10" s="11">
        <v>0.05</v>
      </c>
      <c r="H10" s="8">
        <f t="shared" si="0"/>
        <v>92</v>
      </c>
      <c r="I10" s="8">
        <f t="shared" si="1"/>
        <v>0</v>
      </c>
      <c r="J10" s="8">
        <f t="shared" si="2"/>
        <v>0</v>
      </c>
      <c r="K10" s="8">
        <f t="shared" si="3"/>
        <v>0</v>
      </c>
      <c r="L10" s="8">
        <f t="shared" si="4"/>
        <v>0</v>
      </c>
      <c r="M10" s="1" t="str">
        <f t="shared" si="5"/>
        <v>0/0</v>
      </c>
      <c r="P10" s="13"/>
    </row>
    <row r="11" spans="2:18" x14ac:dyDescent="0.2">
      <c r="B11" s="7" t="s">
        <v>22</v>
      </c>
      <c r="C11" s="8" t="s">
        <v>36</v>
      </c>
      <c r="D11" s="9" t="s">
        <v>38</v>
      </c>
      <c r="E11" s="8">
        <v>0</v>
      </c>
      <c r="F11" s="8">
        <f>4+4+52+52+252+8</f>
        <v>372</v>
      </c>
      <c r="G11" s="11">
        <v>0.1</v>
      </c>
      <c r="H11" s="8">
        <f t="shared" si="0"/>
        <v>22</v>
      </c>
      <c r="I11" s="8">
        <f t="shared" si="1"/>
        <v>0</v>
      </c>
      <c r="J11" s="8">
        <f t="shared" si="2"/>
        <v>0</v>
      </c>
      <c r="K11" s="8">
        <f t="shared" si="3"/>
        <v>0</v>
      </c>
      <c r="L11" s="8">
        <f t="shared" si="4"/>
        <v>0</v>
      </c>
      <c r="M11" s="1" t="str">
        <f t="shared" si="5"/>
        <v>0/0</v>
      </c>
      <c r="P11" s="13"/>
    </row>
    <row r="12" spans="2:18" x14ac:dyDescent="0.2">
      <c r="B12" s="7" t="s">
        <v>22</v>
      </c>
      <c r="C12" s="8" t="s">
        <v>36</v>
      </c>
      <c r="D12" s="9" t="s">
        <v>39</v>
      </c>
      <c r="E12" s="8">
        <v>0</v>
      </c>
      <c r="F12" s="8">
        <f>4+4+252+8</f>
        <v>268</v>
      </c>
      <c r="G12" s="11">
        <v>0</v>
      </c>
      <c r="H12" s="8">
        <f t="shared" si="0"/>
        <v>30</v>
      </c>
      <c r="I12" s="8">
        <f t="shared" si="1"/>
        <v>0</v>
      </c>
      <c r="J12" s="8">
        <f t="shared" si="2"/>
        <v>0</v>
      </c>
      <c r="K12" s="8">
        <f t="shared" si="3"/>
        <v>0</v>
      </c>
      <c r="L12" s="8">
        <f t="shared" si="4"/>
        <v>0</v>
      </c>
      <c r="M12" s="1" t="str">
        <f t="shared" si="5"/>
        <v>0/0</v>
      </c>
      <c r="P12" s="13"/>
    </row>
    <row r="13" spans="2:18" x14ac:dyDescent="0.2">
      <c r="B13" s="7" t="s">
        <v>22</v>
      </c>
      <c r="C13" s="8" t="s">
        <v>36</v>
      </c>
      <c r="D13" s="9" t="s">
        <v>40</v>
      </c>
      <c r="E13" s="8">
        <v>0</v>
      </c>
      <c r="F13" s="8">
        <f>4+4+52+8</f>
        <v>68</v>
      </c>
      <c r="G13" s="11">
        <v>0.3</v>
      </c>
      <c r="H13" s="8">
        <f t="shared" si="0"/>
        <v>119</v>
      </c>
      <c r="I13" s="8">
        <f t="shared" si="1"/>
        <v>0</v>
      </c>
      <c r="J13" s="8">
        <f t="shared" si="2"/>
        <v>0</v>
      </c>
      <c r="K13" s="8">
        <f t="shared" si="3"/>
        <v>0</v>
      </c>
      <c r="L13" s="8">
        <f t="shared" si="4"/>
        <v>0</v>
      </c>
      <c r="M13" s="1" t="str">
        <f t="shared" si="5"/>
        <v>0/0</v>
      </c>
      <c r="P13" s="13"/>
    </row>
    <row r="14" spans="2:18" x14ac:dyDescent="0.2">
      <c r="B14" s="7" t="s">
        <v>15</v>
      </c>
      <c r="C14" s="8" t="s">
        <v>41</v>
      </c>
      <c r="D14" s="9" t="s">
        <v>42</v>
      </c>
      <c r="E14" s="8">
        <v>119</v>
      </c>
      <c r="F14" s="8">
        <f>4+52+257+4*6</f>
        <v>337</v>
      </c>
      <c r="G14" s="11">
        <v>0</v>
      </c>
      <c r="H14" s="8">
        <f t="shared" si="0"/>
        <v>24</v>
      </c>
      <c r="I14" s="8">
        <f t="shared" si="1"/>
        <v>5</v>
      </c>
      <c r="J14" s="8">
        <f t="shared" si="2"/>
        <v>41</v>
      </c>
      <c r="K14" s="8">
        <f t="shared" si="3"/>
        <v>41</v>
      </c>
      <c r="L14" s="8">
        <f t="shared" si="4"/>
        <v>0</v>
      </c>
      <c r="M14" s="1" t="str">
        <f t="shared" si="5"/>
        <v>119/119</v>
      </c>
      <c r="P14" s="13"/>
    </row>
    <row r="15" spans="2:18" x14ac:dyDescent="0.2">
      <c r="B15" s="7" t="s">
        <v>15</v>
      </c>
      <c r="C15" s="8" t="s">
        <v>41</v>
      </c>
      <c r="D15" s="9" t="s">
        <v>44</v>
      </c>
      <c r="E15" s="8">
        <v>3</v>
      </c>
      <c r="F15" s="8">
        <f>4+1+52</f>
        <v>57</v>
      </c>
      <c r="G15" s="11">
        <v>0</v>
      </c>
      <c r="H15" s="8">
        <f t="shared" si="0"/>
        <v>142</v>
      </c>
      <c r="I15" s="8">
        <f t="shared" si="1"/>
        <v>1</v>
      </c>
      <c r="J15" s="8">
        <f t="shared" si="2"/>
        <v>9</v>
      </c>
      <c r="K15" s="8">
        <f t="shared" si="3"/>
        <v>9</v>
      </c>
      <c r="L15" s="8">
        <f t="shared" si="4"/>
        <v>0</v>
      </c>
      <c r="M15" s="1" t="str">
        <f t="shared" si="5"/>
        <v>3/3</v>
      </c>
      <c r="P15" s="13"/>
    </row>
    <row r="16" spans="2:18" x14ac:dyDescent="0.2">
      <c r="B16" s="7" t="s">
        <v>15</v>
      </c>
      <c r="C16" s="8" t="s">
        <v>41</v>
      </c>
      <c r="D16" s="9" t="s">
        <v>45</v>
      </c>
      <c r="E16" s="8">
        <v>3</v>
      </c>
      <c r="F16" s="8">
        <f>4+1+52</f>
        <v>57</v>
      </c>
      <c r="G16" s="11">
        <v>0</v>
      </c>
      <c r="H16" s="8">
        <f t="shared" si="0"/>
        <v>142</v>
      </c>
      <c r="I16" s="8">
        <f t="shared" si="1"/>
        <v>1</v>
      </c>
      <c r="J16" s="8">
        <f t="shared" si="2"/>
        <v>9</v>
      </c>
      <c r="K16" s="8">
        <f t="shared" si="3"/>
        <v>9</v>
      </c>
      <c r="L16" s="8">
        <f t="shared" si="4"/>
        <v>0</v>
      </c>
      <c r="M16" s="1" t="str">
        <f t="shared" si="5"/>
        <v>3/3</v>
      </c>
      <c r="P16" s="13"/>
    </row>
    <row r="17" spans="2:16" x14ac:dyDescent="0.2">
      <c r="B17" s="7" t="s">
        <v>15</v>
      </c>
      <c r="C17" s="8" t="s">
        <v>20</v>
      </c>
      <c r="D17" s="9" t="s">
        <v>23</v>
      </c>
      <c r="E17" s="8">
        <v>5</v>
      </c>
      <c r="F17" s="8">
        <f>4+52</f>
        <v>56</v>
      </c>
      <c r="G17" s="11">
        <v>0</v>
      </c>
      <c r="H17" s="8">
        <f t="shared" si="0"/>
        <v>145</v>
      </c>
      <c r="I17" s="8">
        <f t="shared" si="1"/>
        <v>1</v>
      </c>
      <c r="J17" s="8">
        <f t="shared" si="2"/>
        <v>9</v>
      </c>
      <c r="K17" s="8">
        <f t="shared" si="3"/>
        <v>9</v>
      </c>
      <c r="L17" s="8">
        <f t="shared" si="4"/>
        <v>0</v>
      </c>
      <c r="M17" s="1" t="str">
        <f t="shared" si="5"/>
        <v>5/5</v>
      </c>
      <c r="P17" s="13"/>
    </row>
    <row r="18" spans="2:16" x14ac:dyDescent="0.2">
      <c r="B18" s="7" t="s">
        <v>15</v>
      </c>
      <c r="C18" s="8" t="s">
        <v>20</v>
      </c>
      <c r="D18" s="9" t="s">
        <v>24</v>
      </c>
      <c r="E18" s="8">
        <v>3</v>
      </c>
      <c r="F18" s="8">
        <f>4+1+22</f>
        <v>27</v>
      </c>
      <c r="G18" s="11">
        <v>0</v>
      </c>
      <c r="H18" s="8">
        <f t="shared" si="0"/>
        <v>300</v>
      </c>
      <c r="I18" s="8">
        <f t="shared" si="1"/>
        <v>1</v>
      </c>
      <c r="J18" s="8">
        <f t="shared" si="2"/>
        <v>9</v>
      </c>
      <c r="K18" s="8">
        <f t="shared" si="3"/>
        <v>9</v>
      </c>
      <c r="L18" s="8">
        <f t="shared" si="4"/>
        <v>0</v>
      </c>
      <c r="M18" s="1" t="str">
        <f t="shared" si="5"/>
        <v>3/3</v>
      </c>
    </row>
    <row r="19" spans="2:16" x14ac:dyDescent="0.2">
      <c r="B19" s="7" t="s">
        <v>15</v>
      </c>
      <c r="C19" s="8" t="s">
        <v>20</v>
      </c>
      <c r="D19" s="9" t="s">
        <v>25</v>
      </c>
      <c r="E19" s="8">
        <v>4</v>
      </c>
      <c r="F19" s="8">
        <f>4+1+22</f>
        <v>27</v>
      </c>
      <c r="G19" s="11">
        <v>0</v>
      </c>
      <c r="H19" s="8">
        <f t="shared" si="0"/>
        <v>300</v>
      </c>
      <c r="I19" s="8">
        <f t="shared" si="1"/>
        <v>1</v>
      </c>
      <c r="J19" s="8">
        <f t="shared" si="2"/>
        <v>9</v>
      </c>
      <c r="K19" s="8">
        <f t="shared" si="3"/>
        <v>9</v>
      </c>
      <c r="L19" s="8">
        <f t="shared" si="4"/>
        <v>0</v>
      </c>
      <c r="M19" s="1" t="str">
        <f t="shared" si="5"/>
        <v>4/4</v>
      </c>
    </row>
    <row r="20" spans="2:16" x14ac:dyDescent="0.2">
      <c r="B20" s="7" t="s">
        <v>15</v>
      </c>
      <c r="C20" s="8" t="s">
        <v>20</v>
      </c>
      <c r="D20" s="9" t="s">
        <v>26</v>
      </c>
      <c r="E20" s="8">
        <v>5</v>
      </c>
      <c r="F20" s="8">
        <f>4+52</f>
        <v>56</v>
      </c>
      <c r="G20" s="11">
        <v>0</v>
      </c>
      <c r="H20" s="8">
        <f t="shared" si="0"/>
        <v>145</v>
      </c>
      <c r="I20" s="8">
        <f t="shared" si="1"/>
        <v>1</v>
      </c>
      <c r="J20" s="8">
        <f t="shared" si="2"/>
        <v>9</v>
      </c>
      <c r="K20" s="8">
        <f t="shared" si="3"/>
        <v>9</v>
      </c>
      <c r="L20" s="8">
        <f t="shared" si="4"/>
        <v>0</v>
      </c>
      <c r="M20" s="1" t="str">
        <f t="shared" si="5"/>
        <v>5/5</v>
      </c>
    </row>
    <row r="21" spans="2:16" x14ac:dyDescent="0.2">
      <c r="B21" s="7" t="s">
        <v>15</v>
      </c>
      <c r="C21" s="8" t="s">
        <v>20</v>
      </c>
      <c r="D21" s="9" t="s">
        <v>27</v>
      </c>
      <c r="E21" s="8">
        <v>4</v>
      </c>
      <c r="F21" s="8">
        <f>4+22</f>
        <v>26</v>
      </c>
      <c r="G21" s="11">
        <v>0</v>
      </c>
      <c r="H21" s="8">
        <f t="shared" si="0"/>
        <v>311</v>
      </c>
      <c r="I21" s="8">
        <f t="shared" si="1"/>
        <v>1</v>
      </c>
      <c r="J21" s="8">
        <f t="shared" si="2"/>
        <v>9</v>
      </c>
      <c r="K21" s="8">
        <f t="shared" si="3"/>
        <v>9</v>
      </c>
      <c r="L21" s="8">
        <f t="shared" si="4"/>
        <v>0</v>
      </c>
      <c r="M21" s="1" t="str">
        <f t="shared" si="5"/>
        <v>4/4</v>
      </c>
    </row>
    <row r="22" spans="2:16" x14ac:dyDescent="0.2">
      <c r="B22" s="7" t="s">
        <v>15</v>
      </c>
      <c r="C22" s="8" t="s">
        <v>20</v>
      </c>
      <c r="D22" s="9" t="s">
        <v>28</v>
      </c>
      <c r="E22" s="8">
        <v>17</v>
      </c>
      <c r="F22" s="8">
        <f>4+4</f>
        <v>8</v>
      </c>
      <c r="G22" s="11">
        <v>0</v>
      </c>
      <c r="H22" s="8">
        <f t="shared" si="0"/>
        <v>1012</v>
      </c>
      <c r="I22" s="8">
        <f t="shared" si="1"/>
        <v>1</v>
      </c>
      <c r="J22" s="8">
        <f t="shared" si="2"/>
        <v>9</v>
      </c>
      <c r="K22" s="8">
        <f t="shared" si="3"/>
        <v>9</v>
      </c>
      <c r="L22" s="8">
        <f t="shared" si="4"/>
        <v>0</v>
      </c>
      <c r="M22" s="1" t="str">
        <f t="shared" si="5"/>
        <v>17/17</v>
      </c>
    </row>
    <row r="23" spans="2:16" x14ac:dyDescent="0.2">
      <c r="B23" s="7" t="s">
        <v>15</v>
      </c>
      <c r="C23" s="8" t="s">
        <v>29</v>
      </c>
      <c r="D23" s="9" t="s">
        <v>33</v>
      </c>
      <c r="E23" s="8">
        <v>323</v>
      </c>
      <c r="F23" s="8">
        <f>4+22+4</f>
        <v>30</v>
      </c>
      <c r="G23" s="11">
        <v>0.1</v>
      </c>
      <c r="H23" s="8">
        <f t="shared" si="0"/>
        <v>270</v>
      </c>
      <c r="I23" s="8">
        <f t="shared" si="1"/>
        <v>2</v>
      </c>
      <c r="J23" s="8">
        <f t="shared" si="2"/>
        <v>17</v>
      </c>
      <c r="K23" s="8">
        <f t="shared" si="3"/>
        <v>23</v>
      </c>
      <c r="L23" s="8">
        <f t="shared" si="4"/>
        <v>1</v>
      </c>
      <c r="M23" s="1" t="str">
        <f t="shared" si="5"/>
        <v>323/355,3</v>
      </c>
    </row>
    <row r="24" spans="2:16" x14ac:dyDescent="0.2">
      <c r="B24" s="7" t="s">
        <v>15</v>
      </c>
      <c r="C24" s="8" t="s">
        <v>41</v>
      </c>
      <c r="D24" s="9" t="s">
        <v>46</v>
      </c>
      <c r="E24" s="8">
        <v>397</v>
      </c>
      <c r="F24" s="8">
        <f>4+52+4*3+9*3+7+4+9+2</f>
        <v>117</v>
      </c>
      <c r="G24" s="11">
        <v>0</v>
      </c>
      <c r="H24" s="8">
        <f t="shared" si="0"/>
        <v>69</v>
      </c>
      <c r="I24" s="8">
        <f t="shared" si="1"/>
        <v>6</v>
      </c>
      <c r="J24" s="8">
        <f t="shared" si="2"/>
        <v>50</v>
      </c>
      <c r="K24" s="8">
        <f t="shared" si="3"/>
        <v>50</v>
      </c>
      <c r="L24" s="8">
        <f t="shared" si="4"/>
        <v>0</v>
      </c>
      <c r="M24" s="1" t="str">
        <f t="shared" si="5"/>
        <v>397/397</v>
      </c>
    </row>
    <row r="25" spans="2:16" x14ac:dyDescent="0.2">
      <c r="B25" s="7" t="s">
        <v>15</v>
      </c>
      <c r="C25" s="8" t="s">
        <v>41</v>
      </c>
      <c r="D25" s="9" t="s">
        <v>47</v>
      </c>
      <c r="E25" s="8">
        <v>4</v>
      </c>
      <c r="F25" s="8">
        <f>4+52</f>
        <v>56</v>
      </c>
      <c r="G25" s="11">
        <v>0</v>
      </c>
      <c r="H25" s="8">
        <f t="shared" si="0"/>
        <v>145</v>
      </c>
      <c r="I25" s="8">
        <f t="shared" si="1"/>
        <v>1</v>
      </c>
      <c r="J25" s="8">
        <f t="shared" si="2"/>
        <v>9</v>
      </c>
      <c r="K25" s="8">
        <f t="shared" si="3"/>
        <v>9</v>
      </c>
      <c r="L25" s="8">
        <f t="shared" si="4"/>
        <v>0</v>
      </c>
      <c r="M25" s="1" t="str">
        <f t="shared" si="5"/>
        <v>4/4</v>
      </c>
    </row>
    <row r="26" spans="2:16" x14ac:dyDescent="0.2">
      <c r="B26" s="7" t="s">
        <v>15</v>
      </c>
      <c r="C26" s="8" t="s">
        <v>41</v>
      </c>
      <c r="D26" s="9" t="s">
        <v>48</v>
      </c>
      <c r="E26" s="8">
        <v>4</v>
      </c>
      <c r="F26" s="8">
        <f>4+1+52</f>
        <v>57</v>
      </c>
      <c r="G26" s="11">
        <v>0</v>
      </c>
      <c r="H26" s="8">
        <f t="shared" si="0"/>
        <v>142</v>
      </c>
      <c r="I26" s="8">
        <f t="shared" si="1"/>
        <v>1</v>
      </c>
      <c r="J26" s="8">
        <f t="shared" si="2"/>
        <v>9</v>
      </c>
      <c r="K26" s="8">
        <f t="shared" si="3"/>
        <v>9</v>
      </c>
      <c r="L26" s="8">
        <f t="shared" si="4"/>
        <v>0</v>
      </c>
      <c r="M26" s="1" t="str">
        <f t="shared" si="5"/>
        <v>4/4</v>
      </c>
    </row>
    <row r="27" spans="2:16" x14ac:dyDescent="0.2">
      <c r="B27" s="7" t="s">
        <v>15</v>
      </c>
      <c r="C27" s="8" t="s">
        <v>41</v>
      </c>
      <c r="D27" s="9" t="s">
        <v>49</v>
      </c>
      <c r="E27" s="8">
        <v>37</v>
      </c>
      <c r="F27" s="8">
        <f>4+52+4</f>
        <v>60</v>
      </c>
      <c r="G27" s="11">
        <v>0</v>
      </c>
      <c r="H27" s="8">
        <f t="shared" si="0"/>
        <v>135</v>
      </c>
      <c r="I27" s="8">
        <f t="shared" si="1"/>
        <v>1</v>
      </c>
      <c r="J27" s="8">
        <f t="shared" si="2"/>
        <v>9</v>
      </c>
      <c r="K27" s="8">
        <f t="shared" si="3"/>
        <v>9</v>
      </c>
      <c r="L27" s="8">
        <f t="shared" si="4"/>
        <v>0</v>
      </c>
      <c r="M27" s="1" t="str">
        <f t="shared" si="5"/>
        <v>37/37</v>
      </c>
    </row>
    <row r="28" spans="2:16" x14ac:dyDescent="0.2">
      <c r="B28" s="7" t="s">
        <v>19</v>
      </c>
      <c r="C28" s="8" t="s">
        <v>53</v>
      </c>
      <c r="D28" s="9" t="s">
        <v>55</v>
      </c>
      <c r="E28" s="8">
        <v>27659</v>
      </c>
      <c r="F28" s="8">
        <f>4+22+4*3+8*3</f>
        <v>62</v>
      </c>
      <c r="G28" s="11">
        <v>0.3</v>
      </c>
      <c r="H28" s="8">
        <f t="shared" si="0"/>
        <v>131</v>
      </c>
      <c r="I28" s="8">
        <f t="shared" si="1"/>
        <v>212</v>
      </c>
      <c r="J28" s="8">
        <f t="shared" si="2"/>
        <v>1737</v>
      </c>
      <c r="K28" s="8">
        <f t="shared" si="3"/>
        <v>3817</v>
      </c>
      <c r="L28" s="8">
        <f t="shared" si="4"/>
        <v>58</v>
      </c>
      <c r="M28" s="1" t="str">
        <f t="shared" si="5"/>
        <v>27659/35956,7</v>
      </c>
    </row>
    <row r="29" spans="2:16" x14ac:dyDescent="0.2">
      <c r="B29" s="7" t="s">
        <v>19</v>
      </c>
      <c r="C29" s="8" t="s">
        <v>53</v>
      </c>
      <c r="D29" s="9" t="s">
        <v>56</v>
      </c>
      <c r="E29" s="8">
        <v>60398</v>
      </c>
      <c r="F29" s="8">
        <f>4*5+9*3</f>
        <v>47</v>
      </c>
      <c r="G29" s="11">
        <v>0.3</v>
      </c>
      <c r="H29" s="8">
        <f t="shared" si="0"/>
        <v>172</v>
      </c>
      <c r="I29" s="8">
        <f t="shared" si="1"/>
        <v>352</v>
      </c>
      <c r="J29" s="8">
        <f t="shared" si="2"/>
        <v>2884</v>
      </c>
      <c r="K29" s="8">
        <f t="shared" si="3"/>
        <v>6337</v>
      </c>
      <c r="L29" s="8">
        <f t="shared" si="4"/>
        <v>96</v>
      </c>
      <c r="M29" s="1" t="str">
        <f t="shared" si="5"/>
        <v>60398/78517,4</v>
      </c>
    </row>
    <row r="30" spans="2:16" x14ac:dyDescent="0.2">
      <c r="B30" s="7" t="s">
        <v>15</v>
      </c>
      <c r="C30" s="8" t="s">
        <v>29</v>
      </c>
      <c r="D30" s="9" t="s">
        <v>34</v>
      </c>
      <c r="E30" s="8">
        <v>10</v>
      </c>
      <c r="F30" s="8">
        <f>4+52+4</f>
        <v>60</v>
      </c>
      <c r="G30" s="11">
        <v>0</v>
      </c>
      <c r="H30" s="8">
        <f t="shared" si="0"/>
        <v>135</v>
      </c>
      <c r="I30" s="8">
        <f t="shared" si="1"/>
        <v>1</v>
      </c>
      <c r="J30" s="8">
        <f t="shared" si="2"/>
        <v>9</v>
      </c>
      <c r="K30" s="8">
        <f t="shared" si="3"/>
        <v>9</v>
      </c>
      <c r="L30" s="8">
        <f t="shared" si="4"/>
        <v>0</v>
      </c>
      <c r="M30" s="1" t="str">
        <f t="shared" si="5"/>
        <v>10/10</v>
      </c>
    </row>
    <row r="31" spans="2:16" x14ac:dyDescent="0.2">
      <c r="B31" s="7" t="s">
        <v>15</v>
      </c>
      <c r="C31" s="8" t="s">
        <v>41</v>
      </c>
      <c r="D31" s="9" t="s">
        <v>50</v>
      </c>
      <c r="E31" s="8">
        <v>5</v>
      </c>
      <c r="F31" s="8">
        <f>4+1+1+4</f>
        <v>10</v>
      </c>
      <c r="G31" s="11">
        <v>0</v>
      </c>
      <c r="H31" s="8">
        <f t="shared" si="0"/>
        <v>810</v>
      </c>
      <c r="I31" s="8">
        <f t="shared" si="1"/>
        <v>1</v>
      </c>
      <c r="J31" s="8">
        <f t="shared" si="2"/>
        <v>9</v>
      </c>
      <c r="K31" s="8">
        <f t="shared" si="3"/>
        <v>9</v>
      </c>
      <c r="L31" s="8">
        <f t="shared" si="4"/>
        <v>0</v>
      </c>
      <c r="M31" s="1" t="str">
        <f t="shared" si="5"/>
        <v>5/5</v>
      </c>
    </row>
    <row r="32" spans="2:16" x14ac:dyDescent="0.2">
      <c r="B32" s="7" t="s">
        <v>15</v>
      </c>
      <c r="C32" s="8" t="s">
        <v>41</v>
      </c>
      <c r="D32" s="9" t="s">
        <v>51</v>
      </c>
      <c r="E32" s="8">
        <v>1</v>
      </c>
      <c r="F32" s="8">
        <f>4+2+52</f>
        <v>58</v>
      </c>
      <c r="G32" s="11">
        <v>0</v>
      </c>
      <c r="H32" s="8">
        <f t="shared" si="0"/>
        <v>140</v>
      </c>
      <c r="I32" s="8">
        <f t="shared" si="1"/>
        <v>1</v>
      </c>
      <c r="J32" s="8">
        <f t="shared" si="2"/>
        <v>9</v>
      </c>
      <c r="K32" s="8">
        <f t="shared" si="3"/>
        <v>9</v>
      </c>
      <c r="L32" s="8">
        <f t="shared" si="4"/>
        <v>0</v>
      </c>
      <c r="M32" s="1" t="str">
        <f t="shared" si="5"/>
        <v>1/1</v>
      </c>
    </row>
    <row r="33" spans="2:13" x14ac:dyDescent="0.2">
      <c r="B33" s="7" t="s">
        <v>15</v>
      </c>
      <c r="C33" s="8" t="s">
        <v>29</v>
      </c>
      <c r="D33" s="9" t="s">
        <v>35</v>
      </c>
      <c r="E33" s="8">
        <v>54</v>
      </c>
      <c r="F33" s="8">
        <f>4+7+52+4</f>
        <v>67</v>
      </c>
      <c r="G33" s="11">
        <v>0.02</v>
      </c>
      <c r="H33" s="8">
        <f t="shared" si="0"/>
        <v>121</v>
      </c>
      <c r="I33" s="8">
        <f t="shared" si="1"/>
        <v>1</v>
      </c>
      <c r="J33" s="8">
        <f t="shared" si="2"/>
        <v>9</v>
      </c>
      <c r="K33" s="8">
        <f t="shared" si="3"/>
        <v>10</v>
      </c>
      <c r="L33" s="8">
        <f t="shared" si="4"/>
        <v>1</v>
      </c>
      <c r="M33" s="1" t="str">
        <f t="shared" si="5"/>
        <v>54/55,08</v>
      </c>
    </row>
    <row r="34" spans="2:13" x14ac:dyDescent="0.2">
      <c r="B34" s="7" t="s">
        <v>15</v>
      </c>
      <c r="C34" s="8" t="s">
        <v>16</v>
      </c>
      <c r="D34" s="9" t="s">
        <v>17</v>
      </c>
      <c r="E34" s="8">
        <v>0</v>
      </c>
      <c r="F34" s="8">
        <f>4+(50+2)+(64+2)+4+(50+2)+(64+2)</f>
        <v>244</v>
      </c>
      <c r="G34" s="11">
        <v>0</v>
      </c>
      <c r="H34" s="8">
        <f t="shared" si="0"/>
        <v>33</v>
      </c>
      <c r="I34" s="8">
        <f t="shared" si="1"/>
        <v>0</v>
      </c>
      <c r="J34" s="8">
        <f t="shared" si="2"/>
        <v>0</v>
      </c>
      <c r="K34" s="8">
        <f t="shared" si="3"/>
        <v>0</v>
      </c>
      <c r="L34" s="8">
        <f t="shared" si="4"/>
        <v>0</v>
      </c>
      <c r="M34" s="1" t="str">
        <f t="shared" si="5"/>
        <v>0/0</v>
      </c>
    </row>
    <row r="35" spans="2:13" x14ac:dyDescent="0.2">
      <c r="B35" s="7" t="s">
        <v>15</v>
      </c>
      <c r="C35" s="8" t="s">
        <v>16</v>
      </c>
      <c r="D35" s="9" t="s">
        <v>18</v>
      </c>
      <c r="E35" s="8">
        <v>0</v>
      </c>
      <c r="F35" s="8">
        <f>4+(20+2)+(20+2)</f>
        <v>48</v>
      </c>
      <c r="G35" s="11">
        <v>0</v>
      </c>
      <c r="H35" s="8">
        <f t="shared" si="0"/>
        <v>169</v>
      </c>
      <c r="I35" s="8">
        <f t="shared" si="1"/>
        <v>0</v>
      </c>
      <c r="J35" s="8">
        <f t="shared" si="2"/>
        <v>0</v>
      </c>
      <c r="K35" s="8">
        <f t="shared" si="3"/>
        <v>0</v>
      </c>
      <c r="L35" s="8">
        <f t="shared" si="4"/>
        <v>0</v>
      </c>
      <c r="M35" s="1" t="str">
        <f t="shared" si="5"/>
        <v>0/0</v>
      </c>
    </row>
    <row r="36" spans="2:13" x14ac:dyDescent="0.2">
      <c r="B36" s="7" t="s">
        <v>15</v>
      </c>
      <c r="C36" s="8" t="s">
        <v>41</v>
      </c>
      <c r="D36" s="9" t="s">
        <v>52</v>
      </c>
      <c r="E36" s="8">
        <v>2</v>
      </c>
      <c r="F36" s="8">
        <f>4+2+52</f>
        <v>58</v>
      </c>
      <c r="G36" s="11">
        <v>0</v>
      </c>
      <c r="H36" s="8">
        <f t="shared" si="0"/>
        <v>140</v>
      </c>
      <c r="I36" s="8">
        <f t="shared" si="1"/>
        <v>1</v>
      </c>
      <c r="J36" s="8">
        <f t="shared" si="2"/>
        <v>9</v>
      </c>
      <c r="K36" s="8">
        <f t="shared" si="3"/>
        <v>9</v>
      </c>
      <c r="L36" s="8">
        <f t="shared" si="4"/>
        <v>0</v>
      </c>
      <c r="M36" s="1" t="str">
        <f t="shared" si="5"/>
        <v>2/2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5B414-FD29-484A-9274-5E31278772C5}">
  <dimension ref="B2:P35"/>
  <sheetViews>
    <sheetView topLeftCell="A2" zoomScale="130" zoomScaleNormal="130" workbookViewId="0">
      <selection activeCell="E12" sqref="E12"/>
    </sheetView>
  </sheetViews>
  <sheetFormatPr baseColWidth="10" defaultRowHeight="15" x14ac:dyDescent="0.2"/>
  <cols>
    <col min="2" max="2" width="13" customWidth="1"/>
    <col min="3" max="3" width="9.83203125" customWidth="1"/>
    <col min="4" max="4" width="17" customWidth="1"/>
    <col min="5" max="5" width="12.5" customWidth="1"/>
    <col min="6" max="6" width="14.5" style="26" customWidth="1"/>
    <col min="7" max="7" width="17.5" customWidth="1"/>
    <col min="8" max="9" width="16.33203125" customWidth="1"/>
    <col min="10" max="10" width="13.6640625" style="26" customWidth="1"/>
    <col min="12" max="12" width="13.1640625" customWidth="1"/>
    <col min="13" max="13" width="12.5" customWidth="1"/>
  </cols>
  <sheetData>
    <row r="2" spans="2:16" ht="35" customHeight="1" x14ac:dyDescent="0.2">
      <c r="B2" s="2" t="s">
        <v>2</v>
      </c>
      <c r="C2" s="3" t="s">
        <v>3</v>
      </c>
      <c r="D2" s="3" t="s">
        <v>4</v>
      </c>
      <c r="E2" s="3" t="s">
        <v>5</v>
      </c>
      <c r="F2" s="28" t="s">
        <v>7</v>
      </c>
      <c r="G2" s="4" t="s">
        <v>58</v>
      </c>
      <c r="H2" s="4" t="s">
        <v>59</v>
      </c>
      <c r="I2" s="4" t="s">
        <v>10</v>
      </c>
      <c r="J2" s="4" t="s">
        <v>60</v>
      </c>
      <c r="K2" s="22" t="s">
        <v>61</v>
      </c>
      <c r="M2" s="5" t="s">
        <v>2</v>
      </c>
      <c r="N2" s="5" t="s">
        <v>12</v>
      </c>
      <c r="O2" s="6" t="s">
        <v>13</v>
      </c>
      <c r="P2" s="6" t="s">
        <v>14</v>
      </c>
    </row>
    <row r="3" spans="2:16" x14ac:dyDescent="0.2">
      <c r="B3" s="7" t="s">
        <v>15</v>
      </c>
      <c r="C3" s="8" t="s">
        <v>29</v>
      </c>
      <c r="D3" s="17" t="s">
        <v>30</v>
      </c>
      <c r="E3" s="8">
        <v>271</v>
      </c>
      <c r="F3" s="11">
        <v>0.05</v>
      </c>
      <c r="G3" s="8">
        <v>48</v>
      </c>
      <c r="H3" s="8">
        <v>144</v>
      </c>
      <c r="I3" s="8">
        <f>G3*POWER((1+Prediction!G4),3)</f>
        <v>55.566000000000003</v>
      </c>
      <c r="J3" s="8">
        <f t="shared" ref="J3:J35" si="0">H3-G3</f>
        <v>96</v>
      </c>
      <c r="K3" s="23">
        <f t="shared" ref="K3:K35" si="1">IF(J3=0,0,J3/H3)</f>
        <v>0.66666666666666663</v>
      </c>
      <c r="M3" s="10" t="s">
        <v>15</v>
      </c>
      <c r="N3" s="10">
        <f>SUMIF(Table2[FileGroup], "FileGroup_Read", Table2[Used space (Kb)])*0.001</f>
        <v>0.96799999999999997</v>
      </c>
      <c r="O3" s="10">
        <f>SUMIF(Table2[FileGroup], "FileGroup_Read", Table2[Storage 3 years MAXSIZE (KB)])*0.001</f>
        <v>0.99439198400000006</v>
      </c>
      <c r="P3" s="10">
        <f>(O3-N3)/36</f>
        <v>7.3311066666666917E-4</v>
      </c>
    </row>
    <row r="4" spans="2:16" x14ac:dyDescent="0.2">
      <c r="B4" s="18" t="s">
        <v>15</v>
      </c>
      <c r="C4" s="10" t="s">
        <v>41</v>
      </c>
      <c r="D4" s="16" t="s">
        <v>43</v>
      </c>
      <c r="E4" s="10">
        <v>9</v>
      </c>
      <c r="F4" s="30">
        <v>0</v>
      </c>
      <c r="G4" s="10">
        <v>32</v>
      </c>
      <c r="H4" s="10">
        <v>144</v>
      </c>
      <c r="I4" s="32">
        <f>G4*POWER((1+Prediction!G5),3)</f>
        <v>32</v>
      </c>
      <c r="J4" s="10">
        <f t="shared" si="0"/>
        <v>112</v>
      </c>
      <c r="K4" s="24">
        <f t="shared" si="1"/>
        <v>0.77777777777777779</v>
      </c>
      <c r="M4" s="8" t="s">
        <v>19</v>
      </c>
      <c r="N4" s="29">
        <f>SUMIF(Table2[FileGroup], "FileGroup_Write", Table2[Used space (Kb)])*0.001</f>
        <v>9.3439999999999994</v>
      </c>
      <c r="O4" s="29">
        <f>SUMIF(Table2[FileGroup], "FileGroup_Write", Table2[Storage 3 years MAXSIZE (KB)])*0.001</f>
        <v>20.528768000000003</v>
      </c>
      <c r="P4" s="10">
        <f t="shared" ref="P4:P5" si="2">(O4-N4)/36</f>
        <v>0.31068800000000008</v>
      </c>
    </row>
    <row r="5" spans="2:16" x14ac:dyDescent="0.2">
      <c r="B5" s="18" t="s">
        <v>15</v>
      </c>
      <c r="C5" s="10" t="s">
        <v>29</v>
      </c>
      <c r="D5" s="16" t="s">
        <v>31</v>
      </c>
      <c r="E5" s="10">
        <v>3</v>
      </c>
      <c r="F5" s="11">
        <v>0</v>
      </c>
      <c r="G5" s="10">
        <v>32</v>
      </c>
      <c r="H5" s="10">
        <v>144</v>
      </c>
      <c r="I5" s="8">
        <f>G5*POWER((1+Prediction!G6),3)</f>
        <v>32</v>
      </c>
      <c r="J5" s="10">
        <f t="shared" si="0"/>
        <v>112</v>
      </c>
      <c r="K5" s="24">
        <f t="shared" si="1"/>
        <v>0.77777777777777779</v>
      </c>
      <c r="M5" s="10" t="s">
        <v>22</v>
      </c>
      <c r="N5" s="10">
        <f>SUMIF(Table2[FileGroup], "Primary", Table2[Used space (Kb)])*0.001</f>
        <v>0</v>
      </c>
      <c r="O5" s="10">
        <f>SUMIF(Table2[FileGroup], "Primary", Table2[Storage 3 years MAXSIZE (KB)])*0.001</f>
        <v>0</v>
      </c>
      <c r="P5" s="10">
        <f t="shared" si="2"/>
        <v>0</v>
      </c>
    </row>
    <row r="6" spans="2:16" x14ac:dyDescent="0.2">
      <c r="B6" s="7" t="s">
        <v>15</v>
      </c>
      <c r="C6" s="8" t="s">
        <v>29</v>
      </c>
      <c r="D6" s="17" t="s">
        <v>32</v>
      </c>
      <c r="E6" s="8">
        <v>6</v>
      </c>
      <c r="F6" s="11">
        <v>0</v>
      </c>
      <c r="G6" s="8">
        <v>48</v>
      </c>
      <c r="H6" s="8">
        <v>216</v>
      </c>
      <c r="I6" s="8">
        <f>G6*POWER((1+Prediction!G7),3)</f>
        <v>48</v>
      </c>
      <c r="J6" s="8">
        <f t="shared" si="0"/>
        <v>168</v>
      </c>
      <c r="K6" s="23">
        <f t="shared" si="1"/>
        <v>0.77777777777777779</v>
      </c>
    </row>
    <row r="7" spans="2:16" x14ac:dyDescent="0.2">
      <c r="B7" s="18" t="s">
        <v>15</v>
      </c>
      <c r="C7" s="10" t="s">
        <v>53</v>
      </c>
      <c r="D7" s="16" t="s">
        <v>54</v>
      </c>
      <c r="E7" s="10">
        <v>105</v>
      </c>
      <c r="F7" s="11">
        <v>0</v>
      </c>
      <c r="G7" s="10">
        <v>48</v>
      </c>
      <c r="H7" s="10">
        <v>216</v>
      </c>
      <c r="I7" s="8">
        <f>G7*POWER((1+Prediction!G8),3)</f>
        <v>48</v>
      </c>
      <c r="J7" s="10">
        <f t="shared" si="0"/>
        <v>168</v>
      </c>
      <c r="K7" s="24">
        <f t="shared" si="1"/>
        <v>0.77777777777777779</v>
      </c>
    </row>
    <row r="8" spans="2:16" x14ac:dyDescent="0.2">
      <c r="B8" s="18" t="s">
        <v>19</v>
      </c>
      <c r="C8" s="10" t="s">
        <v>20</v>
      </c>
      <c r="D8" s="16" t="s">
        <v>21</v>
      </c>
      <c r="E8" s="10">
        <v>18484</v>
      </c>
      <c r="F8" s="30">
        <v>0.3</v>
      </c>
      <c r="G8" s="10">
        <v>2608</v>
      </c>
      <c r="H8" s="10">
        <v>2760</v>
      </c>
      <c r="I8" s="32">
        <f>G8*POWER((1+Prediction!G9),3)</f>
        <v>5729.7760000000017</v>
      </c>
      <c r="J8" s="10">
        <f t="shared" si="0"/>
        <v>152</v>
      </c>
      <c r="K8" s="24">
        <f t="shared" si="1"/>
        <v>5.5072463768115941E-2</v>
      </c>
    </row>
    <row r="9" spans="2:16" x14ac:dyDescent="0.2">
      <c r="B9" s="7" t="s">
        <v>22</v>
      </c>
      <c r="C9" s="8" t="s">
        <v>36</v>
      </c>
      <c r="D9" s="17" t="s">
        <v>37</v>
      </c>
      <c r="E9" s="8">
        <v>0</v>
      </c>
      <c r="F9" s="11">
        <v>0.05</v>
      </c>
      <c r="G9" s="8">
        <v>0</v>
      </c>
      <c r="H9" s="8">
        <v>0</v>
      </c>
      <c r="I9" s="32">
        <f>G9*POWER((1+Prediction!G10),3)</f>
        <v>0</v>
      </c>
      <c r="J9" s="8">
        <f t="shared" si="0"/>
        <v>0</v>
      </c>
      <c r="K9" s="23">
        <f t="shared" si="1"/>
        <v>0</v>
      </c>
      <c r="O9" s="27"/>
    </row>
    <row r="10" spans="2:16" x14ac:dyDescent="0.2">
      <c r="B10" s="18" t="s">
        <v>22</v>
      </c>
      <c r="C10" s="10" t="s">
        <v>36</v>
      </c>
      <c r="D10" s="16" t="s">
        <v>38</v>
      </c>
      <c r="E10" s="10">
        <v>0</v>
      </c>
      <c r="F10" s="30">
        <v>0.1</v>
      </c>
      <c r="G10" s="10">
        <v>0</v>
      </c>
      <c r="H10" s="10">
        <v>0</v>
      </c>
      <c r="I10" s="32">
        <f>G10*POWER((1+Prediction!G11),3)</f>
        <v>0</v>
      </c>
      <c r="J10" s="10">
        <f t="shared" si="0"/>
        <v>0</v>
      </c>
      <c r="K10" s="24">
        <f t="shared" si="1"/>
        <v>0</v>
      </c>
    </row>
    <row r="11" spans="2:16" x14ac:dyDescent="0.2">
      <c r="B11" s="7" t="s">
        <v>22</v>
      </c>
      <c r="C11" s="8" t="s">
        <v>36</v>
      </c>
      <c r="D11" s="17" t="s">
        <v>39</v>
      </c>
      <c r="E11" s="8">
        <v>0</v>
      </c>
      <c r="F11" s="30">
        <v>0</v>
      </c>
      <c r="G11" s="8">
        <v>0</v>
      </c>
      <c r="H11" s="8">
        <v>0</v>
      </c>
      <c r="I11" s="32">
        <f>G11*POWER((1+Prediction!G12),3)</f>
        <v>0</v>
      </c>
      <c r="J11" s="8">
        <f t="shared" si="0"/>
        <v>0</v>
      </c>
      <c r="K11" s="23">
        <f t="shared" si="1"/>
        <v>0</v>
      </c>
    </row>
    <row r="12" spans="2:16" x14ac:dyDescent="0.2">
      <c r="B12" s="18" t="s">
        <v>22</v>
      </c>
      <c r="C12" s="10" t="s">
        <v>36</v>
      </c>
      <c r="D12" s="16" t="s">
        <v>40</v>
      </c>
      <c r="E12" s="10">
        <v>0</v>
      </c>
      <c r="F12" s="30">
        <v>0.3</v>
      </c>
      <c r="G12" s="10">
        <v>0</v>
      </c>
      <c r="H12" s="10">
        <v>0</v>
      </c>
      <c r="I12" s="32">
        <f>G12*POWER((1+Prediction!G13),3)</f>
        <v>0</v>
      </c>
      <c r="J12" s="10">
        <f t="shared" si="0"/>
        <v>0</v>
      </c>
      <c r="K12" s="24">
        <f t="shared" si="1"/>
        <v>0</v>
      </c>
    </row>
    <row r="13" spans="2:16" x14ac:dyDescent="0.2">
      <c r="B13" s="7" t="s">
        <v>15</v>
      </c>
      <c r="C13" s="8" t="s">
        <v>41</v>
      </c>
      <c r="D13" s="17" t="s">
        <v>42</v>
      </c>
      <c r="E13" s="8">
        <v>119</v>
      </c>
      <c r="F13" s="11">
        <v>0</v>
      </c>
      <c r="G13" s="8">
        <v>48</v>
      </c>
      <c r="H13" s="8">
        <v>144</v>
      </c>
      <c r="I13" s="8">
        <f>G13*POWER((1+Prediction!G14),3)</f>
        <v>48</v>
      </c>
      <c r="J13" s="8">
        <f t="shared" si="0"/>
        <v>96</v>
      </c>
      <c r="K13" s="23">
        <f t="shared" si="1"/>
        <v>0.66666666666666663</v>
      </c>
    </row>
    <row r="14" spans="2:16" x14ac:dyDescent="0.2">
      <c r="B14" s="7" t="s">
        <v>15</v>
      </c>
      <c r="C14" s="8" t="s">
        <v>41</v>
      </c>
      <c r="D14" s="17" t="s">
        <v>44</v>
      </c>
      <c r="E14" s="8">
        <v>3</v>
      </c>
      <c r="F14" s="11">
        <v>0</v>
      </c>
      <c r="G14" s="8">
        <v>48</v>
      </c>
      <c r="H14" s="8">
        <v>216</v>
      </c>
      <c r="I14" s="8">
        <f>G14*POWER((1+Prediction!G15),3)</f>
        <v>48</v>
      </c>
      <c r="J14" s="8">
        <f t="shared" si="0"/>
        <v>168</v>
      </c>
      <c r="K14" s="23">
        <f t="shared" si="1"/>
        <v>0.77777777777777779</v>
      </c>
    </row>
    <row r="15" spans="2:16" x14ac:dyDescent="0.2">
      <c r="B15" s="18" t="s">
        <v>15</v>
      </c>
      <c r="C15" s="10" t="s">
        <v>41</v>
      </c>
      <c r="D15" s="16" t="s">
        <v>45</v>
      </c>
      <c r="E15" s="10">
        <v>3</v>
      </c>
      <c r="F15" s="11">
        <v>0</v>
      </c>
      <c r="G15" s="10">
        <v>48</v>
      </c>
      <c r="H15" s="10">
        <v>216</v>
      </c>
      <c r="I15" s="8">
        <f>G15*POWER((1+Prediction!G16),3)</f>
        <v>48</v>
      </c>
      <c r="J15" s="10">
        <f t="shared" si="0"/>
        <v>168</v>
      </c>
      <c r="K15" s="24">
        <f t="shared" si="1"/>
        <v>0.77777777777777779</v>
      </c>
    </row>
    <row r="16" spans="2:16" x14ac:dyDescent="0.2">
      <c r="B16" s="7" t="s">
        <v>15</v>
      </c>
      <c r="C16" s="8" t="s">
        <v>20</v>
      </c>
      <c r="D16" s="17" t="s">
        <v>23</v>
      </c>
      <c r="E16" s="8">
        <v>5</v>
      </c>
      <c r="F16" s="11">
        <v>0</v>
      </c>
      <c r="G16" s="8">
        <v>32</v>
      </c>
      <c r="H16" s="8">
        <v>144</v>
      </c>
      <c r="I16" s="8">
        <f>G16*POWER((1+Prediction!G17),3)</f>
        <v>32</v>
      </c>
      <c r="J16" s="8">
        <f t="shared" si="0"/>
        <v>112</v>
      </c>
      <c r="K16" s="23">
        <f t="shared" si="1"/>
        <v>0.77777777777777779</v>
      </c>
    </row>
    <row r="17" spans="2:11" x14ac:dyDescent="0.2">
      <c r="B17" s="18" t="s">
        <v>15</v>
      </c>
      <c r="C17" s="10" t="s">
        <v>20</v>
      </c>
      <c r="D17" s="16" t="s">
        <v>24</v>
      </c>
      <c r="E17" s="10">
        <v>3</v>
      </c>
      <c r="F17" s="11">
        <v>0</v>
      </c>
      <c r="G17" s="10">
        <v>48</v>
      </c>
      <c r="H17" s="10">
        <v>216</v>
      </c>
      <c r="I17" s="8">
        <f>G17*POWER((1+Prediction!G18),3)</f>
        <v>48</v>
      </c>
      <c r="J17" s="10">
        <f t="shared" si="0"/>
        <v>168</v>
      </c>
      <c r="K17" s="24">
        <f t="shared" si="1"/>
        <v>0.77777777777777779</v>
      </c>
    </row>
    <row r="18" spans="2:11" x14ac:dyDescent="0.2">
      <c r="B18" s="7" t="s">
        <v>15</v>
      </c>
      <c r="C18" s="8" t="s">
        <v>20</v>
      </c>
      <c r="D18" s="17" t="s">
        <v>25</v>
      </c>
      <c r="E18" s="8">
        <v>4</v>
      </c>
      <c r="F18" s="11">
        <v>0</v>
      </c>
      <c r="G18" s="8">
        <v>48</v>
      </c>
      <c r="H18" s="8">
        <v>216</v>
      </c>
      <c r="I18" s="8">
        <f>G18*POWER((1+Prediction!G19),3)</f>
        <v>48</v>
      </c>
      <c r="J18" s="8">
        <f t="shared" si="0"/>
        <v>168</v>
      </c>
      <c r="K18" s="23">
        <f t="shared" si="1"/>
        <v>0.77777777777777779</v>
      </c>
    </row>
    <row r="19" spans="2:11" x14ac:dyDescent="0.2">
      <c r="B19" s="18" t="s">
        <v>15</v>
      </c>
      <c r="C19" s="10" t="s">
        <v>20</v>
      </c>
      <c r="D19" s="16" t="s">
        <v>26</v>
      </c>
      <c r="E19" s="10">
        <v>5</v>
      </c>
      <c r="F19" s="11">
        <v>0</v>
      </c>
      <c r="G19" s="10">
        <v>32</v>
      </c>
      <c r="H19" s="10">
        <v>144</v>
      </c>
      <c r="I19" s="8">
        <f>G19*POWER((1+Prediction!G20),3)</f>
        <v>32</v>
      </c>
      <c r="J19" s="10">
        <f t="shared" si="0"/>
        <v>112</v>
      </c>
      <c r="K19" s="24">
        <f t="shared" si="1"/>
        <v>0.77777777777777779</v>
      </c>
    </row>
    <row r="20" spans="2:11" x14ac:dyDescent="0.2">
      <c r="B20" s="7" t="s">
        <v>15</v>
      </c>
      <c r="C20" s="8" t="s">
        <v>20</v>
      </c>
      <c r="D20" s="17" t="s">
        <v>27</v>
      </c>
      <c r="E20" s="8">
        <v>4</v>
      </c>
      <c r="F20" s="11">
        <v>0</v>
      </c>
      <c r="G20" s="8">
        <v>32</v>
      </c>
      <c r="H20" s="8">
        <v>144</v>
      </c>
      <c r="I20" s="8">
        <f>G20*POWER((1+Prediction!G21),3)</f>
        <v>32</v>
      </c>
      <c r="J20" s="8">
        <f t="shared" si="0"/>
        <v>112</v>
      </c>
      <c r="K20" s="23">
        <f t="shared" si="1"/>
        <v>0.77777777777777779</v>
      </c>
    </row>
    <row r="21" spans="2:11" x14ac:dyDescent="0.2">
      <c r="B21" s="18" t="s">
        <v>15</v>
      </c>
      <c r="C21" s="10" t="s">
        <v>20</v>
      </c>
      <c r="D21" s="16" t="s">
        <v>28</v>
      </c>
      <c r="E21" s="10">
        <v>17</v>
      </c>
      <c r="F21" s="11">
        <v>0</v>
      </c>
      <c r="G21" s="10">
        <v>32</v>
      </c>
      <c r="H21" s="10">
        <v>144</v>
      </c>
      <c r="I21" s="8">
        <f>G21*POWER((1+Prediction!G22),3)</f>
        <v>32</v>
      </c>
      <c r="J21" s="10">
        <f t="shared" si="0"/>
        <v>112</v>
      </c>
      <c r="K21" s="24">
        <f t="shared" si="1"/>
        <v>0.77777777777777779</v>
      </c>
    </row>
    <row r="22" spans="2:11" x14ac:dyDescent="0.2">
      <c r="B22" s="18" t="s">
        <v>15</v>
      </c>
      <c r="C22" s="10" t="s">
        <v>29</v>
      </c>
      <c r="D22" s="16" t="s">
        <v>33</v>
      </c>
      <c r="E22" s="10">
        <v>323</v>
      </c>
      <c r="F22" s="30">
        <v>0.1</v>
      </c>
      <c r="G22" s="31">
        <v>48</v>
      </c>
      <c r="H22" s="31">
        <v>144</v>
      </c>
      <c r="I22" s="32">
        <f>G22*POWER((1+Prediction!G23),3)</f>
        <v>63.888000000000019</v>
      </c>
      <c r="J22" s="10">
        <f t="shared" si="0"/>
        <v>96</v>
      </c>
      <c r="K22" s="24">
        <f t="shared" si="1"/>
        <v>0.66666666666666663</v>
      </c>
    </row>
    <row r="23" spans="2:11" x14ac:dyDescent="0.2">
      <c r="B23" s="7" t="s">
        <v>15</v>
      </c>
      <c r="C23" s="8" t="s">
        <v>41</v>
      </c>
      <c r="D23" s="17" t="s">
        <v>46</v>
      </c>
      <c r="E23" s="8">
        <v>397</v>
      </c>
      <c r="F23" s="30">
        <v>0</v>
      </c>
      <c r="G23" s="32">
        <v>56</v>
      </c>
      <c r="H23" s="32">
        <v>72</v>
      </c>
      <c r="I23" s="32">
        <f>G23*POWER((1+Prediction!G24),3)</f>
        <v>56</v>
      </c>
      <c r="J23" s="8">
        <f t="shared" si="0"/>
        <v>16</v>
      </c>
      <c r="K23" s="23">
        <f t="shared" si="1"/>
        <v>0.22222222222222221</v>
      </c>
    </row>
    <row r="24" spans="2:11" x14ac:dyDescent="0.2">
      <c r="B24" s="18" t="s">
        <v>15</v>
      </c>
      <c r="C24" s="10" t="s">
        <v>41</v>
      </c>
      <c r="D24" s="16" t="s">
        <v>47</v>
      </c>
      <c r="E24" s="10">
        <v>4</v>
      </c>
      <c r="F24" s="30">
        <v>0</v>
      </c>
      <c r="G24" s="31">
        <v>32</v>
      </c>
      <c r="H24" s="31">
        <v>144</v>
      </c>
      <c r="I24" s="32">
        <f>G24*POWER((1+Prediction!G25),3)</f>
        <v>32</v>
      </c>
      <c r="J24" s="10">
        <f t="shared" si="0"/>
        <v>112</v>
      </c>
      <c r="K24" s="24">
        <f t="shared" si="1"/>
        <v>0.77777777777777779</v>
      </c>
    </row>
    <row r="25" spans="2:11" x14ac:dyDescent="0.2">
      <c r="B25" s="7" t="s">
        <v>15</v>
      </c>
      <c r="C25" s="8" t="s">
        <v>41</v>
      </c>
      <c r="D25" s="17" t="s">
        <v>48</v>
      </c>
      <c r="E25" s="8">
        <v>4</v>
      </c>
      <c r="F25" s="30">
        <v>0</v>
      </c>
      <c r="G25" s="32">
        <v>48</v>
      </c>
      <c r="H25" s="32">
        <v>216</v>
      </c>
      <c r="I25" s="32">
        <f>G25*POWER((1+Prediction!G26),3)</f>
        <v>48</v>
      </c>
      <c r="J25" s="8">
        <f t="shared" si="0"/>
        <v>168</v>
      </c>
      <c r="K25" s="23">
        <f t="shared" si="1"/>
        <v>0.77777777777777779</v>
      </c>
    </row>
    <row r="26" spans="2:11" x14ac:dyDescent="0.2">
      <c r="B26" s="18" t="s">
        <v>15</v>
      </c>
      <c r="C26" s="10" t="s">
        <v>41</v>
      </c>
      <c r="D26" s="16" t="s">
        <v>49</v>
      </c>
      <c r="E26" s="10">
        <v>37</v>
      </c>
      <c r="F26" s="30">
        <v>0</v>
      </c>
      <c r="G26" s="31">
        <v>32</v>
      </c>
      <c r="H26" s="31">
        <v>144</v>
      </c>
      <c r="I26" s="32">
        <f>G26*POWER((1+Prediction!G27),3)</f>
        <v>32</v>
      </c>
      <c r="J26" s="10">
        <f t="shared" si="0"/>
        <v>112</v>
      </c>
      <c r="K26" s="24">
        <f t="shared" si="1"/>
        <v>0.77777777777777779</v>
      </c>
    </row>
    <row r="27" spans="2:11" x14ac:dyDescent="0.2">
      <c r="B27" s="7" t="s">
        <v>19</v>
      </c>
      <c r="C27" s="8" t="s">
        <v>53</v>
      </c>
      <c r="D27" s="17" t="s">
        <v>55</v>
      </c>
      <c r="E27" s="8">
        <v>27659</v>
      </c>
      <c r="F27" s="30">
        <v>0.3</v>
      </c>
      <c r="G27" s="32">
        <v>2264</v>
      </c>
      <c r="H27" s="32">
        <v>2512</v>
      </c>
      <c r="I27" s="32">
        <f>G27*POWER((1+Prediction!G28),3)</f>
        <v>4974.0080000000007</v>
      </c>
      <c r="J27" s="8">
        <f t="shared" si="0"/>
        <v>248</v>
      </c>
      <c r="K27" s="23">
        <f t="shared" si="1"/>
        <v>9.8726114649681534E-2</v>
      </c>
    </row>
    <row r="28" spans="2:11" x14ac:dyDescent="0.2">
      <c r="B28" s="18" t="s">
        <v>19</v>
      </c>
      <c r="C28" s="10" t="s">
        <v>53</v>
      </c>
      <c r="D28" s="16" t="s">
        <v>56</v>
      </c>
      <c r="E28" s="10">
        <v>60398</v>
      </c>
      <c r="F28" s="30">
        <v>0.3</v>
      </c>
      <c r="G28" s="31">
        <v>4472</v>
      </c>
      <c r="H28" s="31">
        <v>4752</v>
      </c>
      <c r="I28" s="32">
        <f>G28*POWER((1+Prediction!G29),3)</f>
        <v>9824.9840000000022</v>
      </c>
      <c r="J28" s="10">
        <f t="shared" si="0"/>
        <v>280</v>
      </c>
      <c r="K28" s="24">
        <f t="shared" si="1"/>
        <v>5.8922558922558925E-2</v>
      </c>
    </row>
    <row r="29" spans="2:11" x14ac:dyDescent="0.2">
      <c r="B29" s="7" t="s">
        <v>15</v>
      </c>
      <c r="C29" s="8" t="s">
        <v>29</v>
      </c>
      <c r="D29" s="17" t="s">
        <v>34</v>
      </c>
      <c r="E29" s="8">
        <v>10</v>
      </c>
      <c r="F29" s="11">
        <v>0</v>
      </c>
      <c r="G29" s="8">
        <v>32</v>
      </c>
      <c r="H29" s="8">
        <v>144</v>
      </c>
      <c r="I29" s="8">
        <f>G29*POWER((1+Prediction!G30),3)</f>
        <v>32</v>
      </c>
      <c r="J29" s="8">
        <f t="shared" si="0"/>
        <v>112</v>
      </c>
      <c r="K29" s="23">
        <f t="shared" si="1"/>
        <v>0.77777777777777779</v>
      </c>
    </row>
    <row r="30" spans="2:11" x14ac:dyDescent="0.2">
      <c r="B30" s="7" t="s">
        <v>15</v>
      </c>
      <c r="C30" s="8" t="s">
        <v>41</v>
      </c>
      <c r="D30" s="17" t="s">
        <v>50</v>
      </c>
      <c r="E30" s="8">
        <v>5</v>
      </c>
      <c r="F30" s="11">
        <v>0</v>
      </c>
      <c r="G30" s="8">
        <v>32</v>
      </c>
      <c r="H30" s="8">
        <v>144</v>
      </c>
      <c r="I30" s="8">
        <f>G30*POWER((1+Prediction!G31),3)</f>
        <v>32</v>
      </c>
      <c r="J30" s="8">
        <f t="shared" si="0"/>
        <v>112</v>
      </c>
      <c r="K30" s="23">
        <f t="shared" si="1"/>
        <v>0.77777777777777779</v>
      </c>
    </row>
    <row r="31" spans="2:11" x14ac:dyDescent="0.2">
      <c r="B31" s="18" t="s">
        <v>15</v>
      </c>
      <c r="C31" s="10" t="s">
        <v>41</v>
      </c>
      <c r="D31" s="16" t="s">
        <v>51</v>
      </c>
      <c r="E31" s="10">
        <v>1</v>
      </c>
      <c r="F31" s="11">
        <v>0</v>
      </c>
      <c r="G31" s="10">
        <v>32</v>
      </c>
      <c r="H31" s="10">
        <v>144</v>
      </c>
      <c r="I31" s="8">
        <f>G31*POWER((1+Prediction!G32),3)</f>
        <v>32</v>
      </c>
      <c r="J31" s="10">
        <f t="shared" si="0"/>
        <v>112</v>
      </c>
      <c r="K31" s="24">
        <f t="shared" si="1"/>
        <v>0.77777777777777779</v>
      </c>
    </row>
    <row r="32" spans="2:11" x14ac:dyDescent="0.2">
      <c r="B32" s="18" t="s">
        <v>15</v>
      </c>
      <c r="C32" s="10" t="s">
        <v>29</v>
      </c>
      <c r="D32" s="16" t="s">
        <v>35</v>
      </c>
      <c r="E32" s="10">
        <v>54</v>
      </c>
      <c r="F32" s="30">
        <v>0.02</v>
      </c>
      <c r="G32" s="10">
        <v>48</v>
      </c>
      <c r="H32" s="10">
        <v>216</v>
      </c>
      <c r="I32" s="32">
        <f>G32*POWER((1+Prediction!G33),3)</f>
        <v>50.937984</v>
      </c>
      <c r="J32" s="10">
        <f t="shared" si="0"/>
        <v>168</v>
      </c>
      <c r="K32" s="24">
        <f t="shared" si="1"/>
        <v>0.77777777777777779</v>
      </c>
    </row>
    <row r="33" spans="2:11" x14ac:dyDescent="0.2">
      <c r="B33" s="18" t="s">
        <v>15</v>
      </c>
      <c r="C33" s="10" t="s">
        <v>16</v>
      </c>
      <c r="D33" s="16" t="s">
        <v>17</v>
      </c>
      <c r="E33" s="10">
        <v>0</v>
      </c>
      <c r="F33" s="11">
        <v>0</v>
      </c>
      <c r="G33" s="10">
        <v>0</v>
      </c>
      <c r="H33" s="10">
        <v>0</v>
      </c>
      <c r="I33" s="8">
        <f>G33*POWER((1+Prediction!G34),3)</f>
        <v>0</v>
      </c>
      <c r="J33" s="10">
        <f t="shared" si="0"/>
        <v>0</v>
      </c>
      <c r="K33" s="24">
        <f t="shared" si="1"/>
        <v>0</v>
      </c>
    </row>
    <row r="34" spans="2:11" x14ac:dyDescent="0.2">
      <c r="B34" s="7" t="s">
        <v>15</v>
      </c>
      <c r="C34" s="8" t="s">
        <v>16</v>
      </c>
      <c r="D34" s="17" t="s">
        <v>18</v>
      </c>
      <c r="E34" s="8">
        <v>0</v>
      </c>
      <c r="F34" s="11">
        <v>0</v>
      </c>
      <c r="G34" s="8">
        <v>0</v>
      </c>
      <c r="H34" s="8">
        <v>0</v>
      </c>
      <c r="I34" s="8">
        <f>G34*POWER((1+Prediction!G35),3)</f>
        <v>0</v>
      </c>
      <c r="J34" s="8">
        <f t="shared" si="0"/>
        <v>0</v>
      </c>
      <c r="K34" s="23">
        <f t="shared" si="1"/>
        <v>0</v>
      </c>
    </row>
    <row r="35" spans="2:11" x14ac:dyDescent="0.2">
      <c r="B35" s="19" t="s">
        <v>15</v>
      </c>
      <c r="C35" s="20" t="s">
        <v>41</v>
      </c>
      <c r="D35" s="21" t="s">
        <v>52</v>
      </c>
      <c r="E35" s="20">
        <v>2</v>
      </c>
      <c r="F35" s="11">
        <v>0</v>
      </c>
      <c r="G35" s="20">
        <v>32</v>
      </c>
      <c r="H35" s="20">
        <v>144</v>
      </c>
      <c r="I35" s="8">
        <f>G35*POWER((1+Prediction!G36),3)</f>
        <v>32</v>
      </c>
      <c r="J35" s="20">
        <f t="shared" si="0"/>
        <v>112</v>
      </c>
      <c r="K35" s="25">
        <f t="shared" si="1"/>
        <v>0.77777777777777779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</vt:lpstr>
      <vt:lpstr>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OLIVEIRA</dc:creator>
  <cp:lastModifiedBy>JOSÉ OLIVEIRA</cp:lastModifiedBy>
  <dcterms:created xsi:type="dcterms:W3CDTF">2024-11-21T02:09:38Z</dcterms:created>
  <dcterms:modified xsi:type="dcterms:W3CDTF">2024-11-21T12:34:08Z</dcterms:modified>
</cp:coreProperties>
</file>