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28755" windowHeight="12585"/>
  </bookViews>
  <sheets>
    <sheet name="EFICIENCIA_RAD" sheetId="1" r:id="rId1"/>
    <sheet name="PERDA_TRANSMISSAO" sheetId="2" r:id="rId2"/>
  </sheets>
  <calcPr calcId="144525"/>
</workbook>
</file>

<file path=xl/calcChain.xml><?xml version="1.0" encoding="utf-8"?>
<calcChain xmlns="http://schemas.openxmlformats.org/spreadsheetml/2006/main">
  <c r="U15" i="2" l="1"/>
  <c r="Z12" i="2"/>
  <c r="G12" i="2"/>
  <c r="F12" i="2"/>
  <c r="CI11" i="1"/>
  <c r="CI14" i="1"/>
  <c r="CI19" i="1"/>
  <c r="CI22" i="1"/>
  <c r="CI27" i="1"/>
  <c r="CI30" i="1"/>
  <c r="EE11" i="1"/>
  <c r="EE13" i="1"/>
  <c r="EE15" i="1"/>
  <c r="EE19" i="1"/>
  <c r="EE21" i="1"/>
  <c r="EE23" i="1"/>
  <c r="EE27" i="1"/>
  <c r="EE29" i="1"/>
  <c r="EE31" i="1"/>
  <c r="EE10" i="1"/>
  <c r="ED11" i="1"/>
  <c r="ED12" i="1"/>
  <c r="EE12" i="1" s="1"/>
  <c r="ED13" i="1"/>
  <c r="ED14" i="1"/>
  <c r="EE14" i="1" s="1"/>
  <c r="ED15" i="1"/>
  <c r="ED16" i="1"/>
  <c r="EE16" i="1" s="1"/>
  <c r="ED17" i="1"/>
  <c r="EE17" i="1" s="1"/>
  <c r="ED18" i="1"/>
  <c r="EE18" i="1" s="1"/>
  <c r="ED19" i="1"/>
  <c r="ED20" i="1"/>
  <c r="EE20" i="1" s="1"/>
  <c r="ED21" i="1"/>
  <c r="ED22" i="1"/>
  <c r="EE22" i="1" s="1"/>
  <c r="ED23" i="1"/>
  <c r="ED24" i="1"/>
  <c r="EE24" i="1" s="1"/>
  <c r="ED25" i="1"/>
  <c r="EE25" i="1" s="1"/>
  <c r="ED26" i="1"/>
  <c r="EE26" i="1" s="1"/>
  <c r="ED27" i="1"/>
  <c r="ED28" i="1"/>
  <c r="EE28" i="1" s="1"/>
  <c r="ED29" i="1"/>
  <c r="ED30" i="1"/>
  <c r="EE30" i="1" s="1"/>
  <c r="ED31" i="1"/>
  <c r="ED32" i="1"/>
  <c r="EE32" i="1" s="1"/>
  <c r="ED33" i="1"/>
  <c r="EE33" i="1" s="1"/>
  <c r="ED34" i="1"/>
  <c r="EE34" i="1" s="1"/>
  <c r="ED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10" i="1"/>
  <c r="EC12" i="1"/>
  <c r="EC13" i="1"/>
  <c r="EC15" i="1"/>
  <c r="T5" i="2"/>
  <c r="T8" i="2"/>
  <c r="T4" i="2"/>
  <c r="T6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12" i="2"/>
  <c r="AK7" i="2"/>
  <c r="U23" i="2"/>
  <c r="U27" i="2"/>
  <c r="U31" i="2"/>
  <c r="T36" i="2"/>
  <c r="S36" i="2"/>
  <c r="U36" i="2" s="1"/>
  <c r="T35" i="2"/>
  <c r="S35" i="2"/>
  <c r="T34" i="2"/>
  <c r="S34" i="2"/>
  <c r="U34" i="2" s="1"/>
  <c r="T33" i="2"/>
  <c r="S33" i="2"/>
  <c r="T32" i="2"/>
  <c r="S32" i="2"/>
  <c r="U32" i="2" s="1"/>
  <c r="T31" i="2"/>
  <c r="S31" i="2"/>
  <c r="T30" i="2"/>
  <c r="S30" i="2"/>
  <c r="U30" i="2" s="1"/>
  <c r="T29" i="2"/>
  <c r="S29" i="2"/>
  <c r="U29" i="2" s="1"/>
  <c r="T28" i="2"/>
  <c r="S28" i="2"/>
  <c r="U28" i="2" s="1"/>
  <c r="T27" i="2"/>
  <c r="S27" i="2"/>
  <c r="T26" i="2"/>
  <c r="S26" i="2"/>
  <c r="U26" i="2" s="1"/>
  <c r="T25" i="2"/>
  <c r="S25" i="2"/>
  <c r="T24" i="2"/>
  <c r="S24" i="2"/>
  <c r="U24" i="2" s="1"/>
  <c r="T23" i="2"/>
  <c r="S23" i="2"/>
  <c r="T22" i="2"/>
  <c r="S22" i="2"/>
  <c r="U22" i="2" s="1"/>
  <c r="T21" i="2"/>
  <c r="S21" i="2"/>
  <c r="U21" i="2" s="1"/>
  <c r="T20" i="2"/>
  <c r="S20" i="2"/>
  <c r="U20" i="2" s="1"/>
  <c r="T19" i="2"/>
  <c r="S19" i="2"/>
  <c r="T18" i="2"/>
  <c r="S18" i="2"/>
  <c r="U18" i="2" s="1"/>
  <c r="T17" i="2"/>
  <c r="S17" i="2"/>
  <c r="T16" i="2"/>
  <c r="S16" i="2"/>
  <c r="U16" i="2" s="1"/>
  <c r="T15" i="2"/>
  <c r="S15" i="2"/>
  <c r="T14" i="2"/>
  <c r="S14" i="2"/>
  <c r="T13" i="2"/>
  <c r="S13" i="2"/>
  <c r="T12" i="2"/>
  <c r="S12" i="2"/>
  <c r="AI14" i="2"/>
  <c r="L19" i="2"/>
  <c r="U19" i="2" s="1"/>
  <c r="L21" i="2"/>
  <c r="L27" i="2"/>
  <c r="L29" i="2"/>
  <c r="L35" i="2"/>
  <c r="U35" i="2" s="1"/>
  <c r="L15" i="2"/>
  <c r="J12" i="2"/>
  <c r="J36" i="2"/>
  <c r="L36" i="2" s="1"/>
  <c r="J35" i="2"/>
  <c r="J34" i="2"/>
  <c r="L34" i="2" s="1"/>
  <c r="J33" i="2"/>
  <c r="L33" i="2" s="1"/>
  <c r="M33" i="2" s="1"/>
  <c r="J32" i="2"/>
  <c r="L32" i="2" s="1"/>
  <c r="M32" i="2" s="1"/>
  <c r="J31" i="2"/>
  <c r="L31" i="2" s="1"/>
  <c r="J30" i="2"/>
  <c r="L30" i="2" s="1"/>
  <c r="J29" i="2"/>
  <c r="J28" i="2"/>
  <c r="L28" i="2" s="1"/>
  <c r="J27" i="2"/>
  <c r="J26" i="2"/>
  <c r="L26" i="2" s="1"/>
  <c r="J25" i="2"/>
  <c r="L25" i="2" s="1"/>
  <c r="M25" i="2" s="1"/>
  <c r="J24" i="2"/>
  <c r="L24" i="2" s="1"/>
  <c r="M24" i="2" s="1"/>
  <c r="J23" i="2"/>
  <c r="L23" i="2" s="1"/>
  <c r="J22" i="2"/>
  <c r="L22" i="2" s="1"/>
  <c r="J21" i="2"/>
  <c r="J20" i="2"/>
  <c r="L20" i="2" s="1"/>
  <c r="J19" i="2"/>
  <c r="J18" i="2"/>
  <c r="L18" i="2" s="1"/>
  <c r="J17" i="2"/>
  <c r="L17" i="2" s="1"/>
  <c r="M17" i="2" s="1"/>
  <c r="J16" i="2"/>
  <c r="L16" i="2" s="1"/>
  <c r="M16" i="2" s="1"/>
  <c r="J15" i="2"/>
  <c r="J14" i="2"/>
  <c r="J13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M36" i="2" s="1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12" i="2"/>
  <c r="W40" i="1"/>
  <c r="R40" i="1"/>
  <c r="H39" i="1"/>
  <c r="V40" i="1" s="1"/>
  <c r="F41" i="1"/>
  <c r="F40" i="1"/>
  <c r="F39" i="1"/>
  <c r="F38" i="1"/>
  <c r="DE35" i="1"/>
  <c r="DF21" i="1"/>
  <c r="DF25" i="1"/>
  <c r="DF29" i="1"/>
  <c r="CU58" i="1"/>
  <c r="CU59" i="1"/>
  <c r="CU60" i="1"/>
  <c r="CU38" i="1"/>
  <c r="CU39" i="1"/>
  <c r="CU40" i="1"/>
  <c r="CU42" i="1"/>
  <c r="CU43" i="1"/>
  <c r="CU44" i="1"/>
  <c r="CU46" i="1"/>
  <c r="CU47" i="1"/>
  <c r="CU48" i="1"/>
  <c r="CU50" i="1"/>
  <c r="CU51" i="1"/>
  <c r="CU52" i="1"/>
  <c r="CU54" i="1"/>
  <c r="CU55" i="1"/>
  <c r="CU56" i="1"/>
  <c r="DT10" i="1"/>
  <c r="DS10" i="1"/>
  <c r="DT21" i="1"/>
  <c r="DS11" i="1"/>
  <c r="DS12" i="1"/>
  <c r="DS13" i="1"/>
  <c r="DS14" i="1"/>
  <c r="DS15" i="1"/>
  <c r="DS16" i="1"/>
  <c r="DS17" i="1"/>
  <c r="DS18" i="1"/>
  <c r="DS19" i="1"/>
  <c r="DS20" i="1"/>
  <c r="DS21" i="1"/>
  <c r="DU21" i="1" s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CL11" i="1"/>
  <c r="CQ11" i="1" s="1"/>
  <c r="CV11" i="1" s="1"/>
  <c r="CM11" i="1"/>
  <c r="CS38" i="1" s="1"/>
  <c r="CN11" i="1"/>
  <c r="CS11" i="1" s="1"/>
  <c r="CX11" i="1" s="1"/>
  <c r="CO11" i="1"/>
  <c r="CT11" i="1" s="1"/>
  <c r="CY11" i="1" s="1"/>
  <c r="CL12" i="1"/>
  <c r="CQ12" i="1" s="1"/>
  <c r="CV12" i="1" s="1"/>
  <c r="CM12" i="1"/>
  <c r="CS39" i="1" s="1"/>
  <c r="CN12" i="1"/>
  <c r="CS12" i="1" s="1"/>
  <c r="CX12" i="1" s="1"/>
  <c r="CO12" i="1"/>
  <c r="CL13" i="1"/>
  <c r="CQ13" i="1" s="1"/>
  <c r="CV13" i="1" s="1"/>
  <c r="CM13" i="1"/>
  <c r="CR13" i="1" s="1"/>
  <c r="CW13" i="1" s="1"/>
  <c r="CN13" i="1"/>
  <c r="CS13" i="1" s="1"/>
  <c r="CX13" i="1" s="1"/>
  <c r="CO13" i="1"/>
  <c r="CT13" i="1" s="1"/>
  <c r="CY13" i="1" s="1"/>
  <c r="CL14" i="1"/>
  <c r="CQ14" i="1" s="1"/>
  <c r="CV14" i="1" s="1"/>
  <c r="CM14" i="1"/>
  <c r="CR14" i="1" s="1"/>
  <c r="CW14" i="1" s="1"/>
  <c r="CN14" i="1"/>
  <c r="CS14" i="1" s="1"/>
  <c r="CX14" i="1" s="1"/>
  <c r="CO14" i="1"/>
  <c r="CU41" i="1" s="1"/>
  <c r="CL15" i="1"/>
  <c r="CQ15" i="1" s="1"/>
  <c r="CV15" i="1" s="1"/>
  <c r="CM15" i="1"/>
  <c r="CR15" i="1" s="1"/>
  <c r="CW15" i="1" s="1"/>
  <c r="CN15" i="1"/>
  <c r="CS15" i="1" s="1"/>
  <c r="CX15" i="1" s="1"/>
  <c r="CO15" i="1"/>
  <c r="CT15" i="1" s="1"/>
  <c r="CY15" i="1" s="1"/>
  <c r="CL16" i="1"/>
  <c r="CQ16" i="1" s="1"/>
  <c r="CV16" i="1" s="1"/>
  <c r="CM16" i="1"/>
  <c r="CS43" i="1" s="1"/>
  <c r="CN16" i="1"/>
  <c r="CT43" i="1" s="1"/>
  <c r="CO16" i="1"/>
  <c r="CL17" i="1"/>
  <c r="CQ17" i="1" s="1"/>
  <c r="CV17" i="1" s="1"/>
  <c r="CM17" i="1"/>
  <c r="CR17" i="1" s="1"/>
  <c r="CW17" i="1" s="1"/>
  <c r="CN17" i="1"/>
  <c r="CS17" i="1" s="1"/>
  <c r="CX17" i="1" s="1"/>
  <c r="CO17" i="1"/>
  <c r="CT17" i="1" s="1"/>
  <c r="CY17" i="1" s="1"/>
  <c r="CL18" i="1"/>
  <c r="CQ18" i="1" s="1"/>
  <c r="CV18" i="1" s="1"/>
  <c r="CM18" i="1"/>
  <c r="CS45" i="1" s="1"/>
  <c r="CN18" i="1"/>
  <c r="CT45" i="1" s="1"/>
  <c r="CO18" i="1"/>
  <c r="CU45" i="1" s="1"/>
  <c r="CL19" i="1"/>
  <c r="CQ19" i="1" s="1"/>
  <c r="CV19" i="1" s="1"/>
  <c r="CM19" i="1"/>
  <c r="CR19" i="1" s="1"/>
  <c r="CW19" i="1" s="1"/>
  <c r="CN19" i="1"/>
  <c r="CS19" i="1" s="1"/>
  <c r="CX19" i="1" s="1"/>
  <c r="CO19" i="1"/>
  <c r="CT19" i="1" s="1"/>
  <c r="CY19" i="1" s="1"/>
  <c r="CL20" i="1"/>
  <c r="CQ20" i="1" s="1"/>
  <c r="CV20" i="1" s="1"/>
  <c r="CM20" i="1"/>
  <c r="CR20" i="1" s="1"/>
  <c r="CW20" i="1" s="1"/>
  <c r="CN20" i="1"/>
  <c r="CT47" i="1" s="1"/>
  <c r="CO20" i="1"/>
  <c r="CL21" i="1"/>
  <c r="CQ21" i="1" s="1"/>
  <c r="CV21" i="1" s="1"/>
  <c r="CM21" i="1"/>
  <c r="CR21" i="1" s="1"/>
  <c r="CW21" i="1" s="1"/>
  <c r="CN21" i="1"/>
  <c r="CS21" i="1" s="1"/>
  <c r="CX21" i="1" s="1"/>
  <c r="CO21" i="1"/>
  <c r="CT21" i="1" s="1"/>
  <c r="CY21" i="1" s="1"/>
  <c r="CL22" i="1"/>
  <c r="CQ22" i="1" s="1"/>
  <c r="CV22" i="1" s="1"/>
  <c r="CM22" i="1"/>
  <c r="CS49" i="1" s="1"/>
  <c r="CN22" i="1"/>
  <c r="CT49" i="1" s="1"/>
  <c r="CO22" i="1"/>
  <c r="CU49" i="1" s="1"/>
  <c r="CL23" i="1"/>
  <c r="CQ23" i="1" s="1"/>
  <c r="CV23" i="1" s="1"/>
  <c r="CM23" i="1"/>
  <c r="CR23" i="1" s="1"/>
  <c r="CW23" i="1" s="1"/>
  <c r="CN23" i="1"/>
  <c r="CS23" i="1" s="1"/>
  <c r="CX23" i="1" s="1"/>
  <c r="CO23" i="1"/>
  <c r="CT23" i="1" s="1"/>
  <c r="CY23" i="1" s="1"/>
  <c r="CL24" i="1"/>
  <c r="CQ24" i="1" s="1"/>
  <c r="CV24" i="1" s="1"/>
  <c r="CM24" i="1"/>
  <c r="CS51" i="1" s="1"/>
  <c r="CN24" i="1"/>
  <c r="CT51" i="1" s="1"/>
  <c r="CO24" i="1"/>
  <c r="CL25" i="1"/>
  <c r="CQ25" i="1" s="1"/>
  <c r="CV25" i="1" s="1"/>
  <c r="CM25" i="1"/>
  <c r="CR25" i="1" s="1"/>
  <c r="CW25" i="1" s="1"/>
  <c r="CN25" i="1"/>
  <c r="CS25" i="1" s="1"/>
  <c r="CX25" i="1" s="1"/>
  <c r="CO25" i="1"/>
  <c r="CT25" i="1" s="1"/>
  <c r="CY25" i="1" s="1"/>
  <c r="CL26" i="1"/>
  <c r="CR53" i="1" s="1"/>
  <c r="CM26" i="1"/>
  <c r="CS53" i="1" s="1"/>
  <c r="CN26" i="1"/>
  <c r="CT53" i="1" s="1"/>
  <c r="CO26" i="1"/>
  <c r="CU53" i="1" s="1"/>
  <c r="CL27" i="1"/>
  <c r="CQ27" i="1" s="1"/>
  <c r="CV27" i="1" s="1"/>
  <c r="CM27" i="1"/>
  <c r="CR27" i="1" s="1"/>
  <c r="CW27" i="1" s="1"/>
  <c r="CN27" i="1"/>
  <c r="CS27" i="1" s="1"/>
  <c r="CX27" i="1" s="1"/>
  <c r="CO27" i="1"/>
  <c r="CT27" i="1" s="1"/>
  <c r="CY27" i="1" s="1"/>
  <c r="CL28" i="1"/>
  <c r="CQ28" i="1" s="1"/>
  <c r="CV28" i="1" s="1"/>
  <c r="CM28" i="1"/>
  <c r="CS55" i="1" s="1"/>
  <c r="CN28" i="1"/>
  <c r="CT55" i="1" s="1"/>
  <c r="CO28" i="1"/>
  <c r="CL29" i="1"/>
  <c r="CQ29" i="1" s="1"/>
  <c r="CV29" i="1" s="1"/>
  <c r="CM29" i="1"/>
  <c r="CS56" i="1" s="1"/>
  <c r="CN29" i="1"/>
  <c r="CS29" i="1" s="1"/>
  <c r="CX29" i="1" s="1"/>
  <c r="CO29" i="1"/>
  <c r="CT29" i="1" s="1"/>
  <c r="CY29" i="1" s="1"/>
  <c r="CL30" i="1"/>
  <c r="CQ30" i="1" s="1"/>
  <c r="CV30" i="1" s="1"/>
  <c r="CM30" i="1"/>
  <c r="CR30" i="1" s="1"/>
  <c r="CW30" i="1" s="1"/>
  <c r="CN30" i="1"/>
  <c r="CS30" i="1" s="1"/>
  <c r="CX30" i="1" s="1"/>
  <c r="CO30" i="1"/>
  <c r="CU57" i="1" s="1"/>
  <c r="CL31" i="1"/>
  <c r="CQ31" i="1" s="1"/>
  <c r="CV31" i="1" s="1"/>
  <c r="CM31" i="1"/>
  <c r="CR31" i="1" s="1"/>
  <c r="CW31" i="1" s="1"/>
  <c r="CN31" i="1"/>
  <c r="CS31" i="1" s="1"/>
  <c r="CX31" i="1" s="1"/>
  <c r="CO31" i="1"/>
  <c r="CT31" i="1" s="1"/>
  <c r="CY31" i="1" s="1"/>
  <c r="CL32" i="1"/>
  <c r="CQ32" i="1" s="1"/>
  <c r="CV32" i="1" s="1"/>
  <c r="CM32" i="1"/>
  <c r="CS59" i="1" s="1"/>
  <c r="CN32" i="1"/>
  <c r="CT59" i="1" s="1"/>
  <c r="CO32" i="1"/>
  <c r="CL33" i="1"/>
  <c r="CQ33" i="1" s="1"/>
  <c r="CV33" i="1" s="1"/>
  <c r="CM33" i="1"/>
  <c r="CR33" i="1" s="1"/>
  <c r="CW33" i="1" s="1"/>
  <c r="CN33" i="1"/>
  <c r="CS33" i="1" s="1"/>
  <c r="CX33" i="1" s="1"/>
  <c r="CO33" i="1"/>
  <c r="CT33" i="1" s="1"/>
  <c r="CY33" i="1" s="1"/>
  <c r="CL34" i="1"/>
  <c r="CQ34" i="1" s="1"/>
  <c r="CV34" i="1" s="1"/>
  <c r="CM34" i="1"/>
  <c r="CS61" i="1" s="1"/>
  <c r="CN34" i="1"/>
  <c r="CT61" i="1" s="1"/>
  <c r="CO34" i="1"/>
  <c r="CU61" i="1" s="1"/>
  <c r="CO10" i="1"/>
  <c r="CT10" i="1" s="1"/>
  <c r="CY10" i="1" s="1"/>
  <c r="CN10" i="1"/>
  <c r="CS10" i="1" s="1"/>
  <c r="CX10" i="1" s="1"/>
  <c r="DG42" i="1"/>
  <c r="T9" i="2" s="1"/>
  <c r="DG40" i="1"/>
  <c r="DG43" i="1" s="1"/>
  <c r="DH6" i="1"/>
  <c r="DD11" i="1"/>
  <c r="DT11" i="1" s="1"/>
  <c r="DD12" i="1"/>
  <c r="DT12" i="1" s="1"/>
  <c r="DD13" i="1"/>
  <c r="DF13" i="1" s="1"/>
  <c r="DD14" i="1"/>
  <c r="DF14" i="1" s="1"/>
  <c r="DD15" i="1"/>
  <c r="DF15" i="1" s="1"/>
  <c r="DD16" i="1"/>
  <c r="DT16" i="1" s="1"/>
  <c r="DD17" i="1"/>
  <c r="DF17" i="1" s="1"/>
  <c r="DD18" i="1"/>
  <c r="DD19" i="1"/>
  <c r="DD20" i="1"/>
  <c r="DT20" i="1" s="1"/>
  <c r="DD21" i="1"/>
  <c r="DD22" i="1"/>
  <c r="DF22" i="1" s="1"/>
  <c r="DD23" i="1"/>
  <c r="DF23" i="1" s="1"/>
  <c r="DD24" i="1"/>
  <c r="DT24" i="1" s="1"/>
  <c r="DD25" i="1"/>
  <c r="DT25" i="1" s="1"/>
  <c r="DD26" i="1"/>
  <c r="DD27" i="1"/>
  <c r="DD28" i="1"/>
  <c r="DT28" i="1" s="1"/>
  <c r="DD29" i="1"/>
  <c r="DT29" i="1" s="1"/>
  <c r="DD30" i="1"/>
  <c r="DF30" i="1" s="1"/>
  <c r="DD31" i="1"/>
  <c r="DF31" i="1" s="1"/>
  <c r="DD32" i="1"/>
  <c r="DT32" i="1" s="1"/>
  <c r="DD33" i="1"/>
  <c r="DF33" i="1" s="1"/>
  <c r="DD34" i="1"/>
  <c r="DD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10" i="1"/>
  <c r="CT12" i="1"/>
  <c r="CY12" i="1" s="1"/>
  <c r="CT14" i="1"/>
  <c r="CY14" i="1" s="1"/>
  <c r="CR16" i="1"/>
  <c r="CW16" i="1" s="1"/>
  <c r="CS16" i="1"/>
  <c r="CX16" i="1" s="1"/>
  <c r="CT16" i="1"/>
  <c r="CY16" i="1" s="1"/>
  <c r="CR18" i="1"/>
  <c r="CW18" i="1" s="1"/>
  <c r="CT18" i="1"/>
  <c r="CY18" i="1" s="1"/>
  <c r="CT20" i="1"/>
  <c r="CY20" i="1" s="1"/>
  <c r="CR22" i="1"/>
  <c r="CW22" i="1" s="1"/>
  <c r="CS22" i="1"/>
  <c r="CX22" i="1" s="1"/>
  <c r="CT22" i="1"/>
  <c r="CY22" i="1" s="1"/>
  <c r="CR24" i="1"/>
  <c r="CW24" i="1" s="1"/>
  <c r="CT24" i="1"/>
  <c r="CY24" i="1" s="1"/>
  <c r="CR26" i="1"/>
  <c r="CW26" i="1" s="1"/>
  <c r="CS26" i="1"/>
  <c r="CX26" i="1" s="1"/>
  <c r="CT26" i="1"/>
  <c r="CY26" i="1" s="1"/>
  <c r="CS28" i="1"/>
  <c r="CX28" i="1" s="1"/>
  <c r="CT28" i="1"/>
  <c r="CY28" i="1" s="1"/>
  <c r="CT30" i="1"/>
  <c r="CY30" i="1" s="1"/>
  <c r="CR32" i="1"/>
  <c r="CW32" i="1" s="1"/>
  <c r="CT32" i="1"/>
  <c r="CY32" i="1" s="1"/>
  <c r="CR34" i="1"/>
  <c r="CW34" i="1" s="1"/>
  <c r="CS34" i="1"/>
  <c r="CX34" i="1" s="1"/>
  <c r="CT34" i="1"/>
  <c r="CY34" i="1" s="1"/>
  <c r="CM10" i="1"/>
  <c r="CR10" i="1" s="1"/>
  <c r="CW10" i="1" s="1"/>
  <c r="CL10" i="1"/>
  <c r="CQ10" i="1" s="1"/>
  <c r="CV10" i="1" s="1"/>
  <c r="CA45" i="1"/>
  <c r="CG34" i="1"/>
  <c r="CG62" i="1" s="1"/>
  <c r="CF34" i="1"/>
  <c r="CF62" i="1" s="1"/>
  <c r="CE34" i="1"/>
  <c r="CE62" i="1" s="1"/>
  <c r="CD34" i="1"/>
  <c r="CD62" i="1" s="1"/>
  <c r="CC34" i="1"/>
  <c r="CC62" i="1" s="1"/>
  <c r="CG33" i="1"/>
  <c r="CG61" i="1" s="1"/>
  <c r="CF33" i="1"/>
  <c r="CF61" i="1" s="1"/>
  <c r="CE33" i="1"/>
  <c r="CE61" i="1" s="1"/>
  <c r="CD33" i="1"/>
  <c r="CD61" i="1" s="1"/>
  <c r="CC33" i="1"/>
  <c r="CC61" i="1" s="1"/>
  <c r="CG32" i="1"/>
  <c r="CG60" i="1" s="1"/>
  <c r="CF32" i="1"/>
  <c r="CF60" i="1" s="1"/>
  <c r="CE32" i="1"/>
  <c r="CE60" i="1" s="1"/>
  <c r="CD32" i="1"/>
  <c r="CD60" i="1" s="1"/>
  <c r="CC32" i="1"/>
  <c r="CC60" i="1" s="1"/>
  <c r="CG31" i="1"/>
  <c r="CG59" i="1" s="1"/>
  <c r="CF31" i="1"/>
  <c r="CF59" i="1" s="1"/>
  <c r="CE31" i="1"/>
  <c r="CE59" i="1" s="1"/>
  <c r="CD31" i="1"/>
  <c r="CD59" i="1" s="1"/>
  <c r="CC31" i="1"/>
  <c r="CC59" i="1" s="1"/>
  <c r="CG30" i="1"/>
  <c r="CG58" i="1" s="1"/>
  <c r="CF30" i="1"/>
  <c r="CF58" i="1" s="1"/>
  <c r="CE30" i="1"/>
  <c r="CE58" i="1" s="1"/>
  <c r="CD30" i="1"/>
  <c r="CD58" i="1" s="1"/>
  <c r="CC30" i="1"/>
  <c r="CC58" i="1" s="1"/>
  <c r="CG29" i="1"/>
  <c r="CG57" i="1" s="1"/>
  <c r="CF29" i="1"/>
  <c r="CF57" i="1" s="1"/>
  <c r="CE29" i="1"/>
  <c r="CE57" i="1" s="1"/>
  <c r="CD29" i="1"/>
  <c r="CD57" i="1" s="1"/>
  <c r="CC29" i="1"/>
  <c r="CC57" i="1" s="1"/>
  <c r="CG28" i="1"/>
  <c r="CG56" i="1" s="1"/>
  <c r="CF28" i="1"/>
  <c r="CF56" i="1" s="1"/>
  <c r="CE28" i="1"/>
  <c r="CE56" i="1" s="1"/>
  <c r="CD28" i="1"/>
  <c r="CD56" i="1" s="1"/>
  <c r="CC28" i="1"/>
  <c r="CC56" i="1" s="1"/>
  <c r="CG27" i="1"/>
  <c r="CG55" i="1" s="1"/>
  <c r="CF27" i="1"/>
  <c r="CF55" i="1" s="1"/>
  <c r="CE27" i="1"/>
  <c r="CE55" i="1" s="1"/>
  <c r="CD27" i="1"/>
  <c r="CD55" i="1" s="1"/>
  <c r="CC27" i="1"/>
  <c r="CC55" i="1" s="1"/>
  <c r="CG26" i="1"/>
  <c r="CG54" i="1" s="1"/>
  <c r="CF26" i="1"/>
  <c r="CF54" i="1" s="1"/>
  <c r="CE26" i="1"/>
  <c r="CE54" i="1" s="1"/>
  <c r="CD26" i="1"/>
  <c r="CD54" i="1" s="1"/>
  <c r="CC26" i="1"/>
  <c r="CC54" i="1" s="1"/>
  <c r="CG25" i="1"/>
  <c r="CG53" i="1" s="1"/>
  <c r="CF25" i="1"/>
  <c r="CF53" i="1" s="1"/>
  <c r="CE25" i="1"/>
  <c r="CE53" i="1" s="1"/>
  <c r="CD25" i="1"/>
  <c r="CD53" i="1" s="1"/>
  <c r="CC25" i="1"/>
  <c r="CC53" i="1" s="1"/>
  <c r="CG24" i="1"/>
  <c r="CG52" i="1" s="1"/>
  <c r="CF24" i="1"/>
  <c r="CF52" i="1" s="1"/>
  <c r="CE24" i="1"/>
  <c r="CE52" i="1" s="1"/>
  <c r="CD24" i="1"/>
  <c r="CD52" i="1" s="1"/>
  <c r="CC24" i="1"/>
  <c r="CC52" i="1" s="1"/>
  <c r="CG23" i="1"/>
  <c r="CG51" i="1" s="1"/>
  <c r="CF23" i="1"/>
  <c r="CF51" i="1" s="1"/>
  <c r="CE23" i="1"/>
  <c r="CE51" i="1" s="1"/>
  <c r="CD23" i="1"/>
  <c r="CD51" i="1" s="1"/>
  <c r="CC23" i="1"/>
  <c r="CC51" i="1" s="1"/>
  <c r="CG22" i="1"/>
  <c r="CG50" i="1" s="1"/>
  <c r="CF22" i="1"/>
  <c r="CF50" i="1" s="1"/>
  <c r="CE22" i="1"/>
  <c r="CE50" i="1" s="1"/>
  <c r="CD22" i="1"/>
  <c r="CD50" i="1" s="1"/>
  <c r="CC22" i="1"/>
  <c r="CC50" i="1" s="1"/>
  <c r="CG21" i="1"/>
  <c r="CG49" i="1" s="1"/>
  <c r="CF21" i="1"/>
  <c r="CF49" i="1" s="1"/>
  <c r="CE21" i="1"/>
  <c r="CE49" i="1" s="1"/>
  <c r="CD21" i="1"/>
  <c r="CD49" i="1" s="1"/>
  <c r="CC21" i="1"/>
  <c r="CC49" i="1" s="1"/>
  <c r="CG20" i="1"/>
  <c r="CG48" i="1" s="1"/>
  <c r="CF20" i="1"/>
  <c r="CF48" i="1" s="1"/>
  <c r="CE20" i="1"/>
  <c r="CE48" i="1" s="1"/>
  <c r="CD20" i="1"/>
  <c r="CD48" i="1" s="1"/>
  <c r="CC20" i="1"/>
  <c r="CC48" i="1" s="1"/>
  <c r="CG19" i="1"/>
  <c r="CG47" i="1" s="1"/>
  <c r="CF19" i="1"/>
  <c r="CF47" i="1" s="1"/>
  <c r="CE19" i="1"/>
  <c r="CE47" i="1" s="1"/>
  <c r="CD19" i="1"/>
  <c r="CD47" i="1" s="1"/>
  <c r="CC19" i="1"/>
  <c r="CC47" i="1" s="1"/>
  <c r="CG18" i="1"/>
  <c r="CG46" i="1" s="1"/>
  <c r="CF18" i="1"/>
  <c r="CF46" i="1" s="1"/>
  <c r="CE18" i="1"/>
  <c r="CE46" i="1" s="1"/>
  <c r="CD18" i="1"/>
  <c r="CD46" i="1" s="1"/>
  <c r="CC18" i="1"/>
  <c r="CC46" i="1" s="1"/>
  <c r="CG17" i="1"/>
  <c r="CG45" i="1" s="1"/>
  <c r="CF17" i="1"/>
  <c r="CF45" i="1" s="1"/>
  <c r="CE17" i="1"/>
  <c r="CE45" i="1" s="1"/>
  <c r="CD17" i="1"/>
  <c r="CD45" i="1" s="1"/>
  <c r="CC17" i="1"/>
  <c r="CC45" i="1" s="1"/>
  <c r="CG16" i="1"/>
  <c r="CG44" i="1" s="1"/>
  <c r="CF16" i="1"/>
  <c r="CF44" i="1" s="1"/>
  <c r="CE16" i="1"/>
  <c r="CE44" i="1" s="1"/>
  <c r="CD16" i="1"/>
  <c r="CD44" i="1" s="1"/>
  <c r="CC16" i="1"/>
  <c r="CC44" i="1" s="1"/>
  <c r="CG15" i="1"/>
  <c r="CG43" i="1" s="1"/>
  <c r="CF15" i="1"/>
  <c r="CF43" i="1" s="1"/>
  <c r="CE15" i="1"/>
  <c r="CE43" i="1" s="1"/>
  <c r="CD15" i="1"/>
  <c r="CD43" i="1" s="1"/>
  <c r="CC15" i="1"/>
  <c r="CC43" i="1" s="1"/>
  <c r="CG14" i="1"/>
  <c r="CG42" i="1" s="1"/>
  <c r="CF14" i="1"/>
  <c r="CF42" i="1" s="1"/>
  <c r="CE14" i="1"/>
  <c r="CE42" i="1" s="1"/>
  <c r="CD14" i="1"/>
  <c r="CD42" i="1" s="1"/>
  <c r="CC14" i="1"/>
  <c r="CC42" i="1" s="1"/>
  <c r="CG13" i="1"/>
  <c r="CG41" i="1" s="1"/>
  <c r="CF13" i="1"/>
  <c r="CF41" i="1" s="1"/>
  <c r="CE13" i="1"/>
  <c r="CE41" i="1" s="1"/>
  <c r="CD13" i="1"/>
  <c r="CD41" i="1" s="1"/>
  <c r="CC13" i="1"/>
  <c r="CC41" i="1" s="1"/>
  <c r="CG12" i="1"/>
  <c r="CG40" i="1" s="1"/>
  <c r="CF12" i="1"/>
  <c r="CF40" i="1" s="1"/>
  <c r="CE12" i="1"/>
  <c r="CE40" i="1" s="1"/>
  <c r="CD12" i="1"/>
  <c r="CD40" i="1" s="1"/>
  <c r="CC12" i="1"/>
  <c r="CC40" i="1" s="1"/>
  <c r="CG11" i="1"/>
  <c r="CG39" i="1" s="1"/>
  <c r="CF11" i="1"/>
  <c r="CF39" i="1" s="1"/>
  <c r="CE11" i="1"/>
  <c r="CE39" i="1" s="1"/>
  <c r="CD11" i="1"/>
  <c r="CD39" i="1" s="1"/>
  <c r="CC11" i="1"/>
  <c r="CC39" i="1" s="1"/>
  <c r="CG10" i="1"/>
  <c r="CG38" i="1" s="1"/>
  <c r="CF10" i="1"/>
  <c r="CF38" i="1" s="1"/>
  <c r="CE10" i="1"/>
  <c r="CE38" i="1" s="1"/>
  <c r="CD10" i="1"/>
  <c r="CD38" i="1" s="1"/>
  <c r="CC10" i="1"/>
  <c r="CC38" i="1" s="1"/>
  <c r="CB34" i="1"/>
  <c r="CB62" i="1" s="1"/>
  <c r="CA34" i="1"/>
  <c r="CA62" i="1" s="1"/>
  <c r="BZ34" i="1"/>
  <c r="BZ62" i="1" s="1"/>
  <c r="BY34" i="1"/>
  <c r="BY62" i="1" s="1"/>
  <c r="BX34" i="1"/>
  <c r="BX62" i="1" s="1"/>
  <c r="CB33" i="1"/>
  <c r="CB61" i="1" s="1"/>
  <c r="CA33" i="1"/>
  <c r="CA61" i="1" s="1"/>
  <c r="BZ33" i="1"/>
  <c r="BZ61" i="1" s="1"/>
  <c r="BY33" i="1"/>
  <c r="BY61" i="1" s="1"/>
  <c r="BX33" i="1"/>
  <c r="BX61" i="1" s="1"/>
  <c r="CB32" i="1"/>
  <c r="CB60" i="1" s="1"/>
  <c r="CA32" i="1"/>
  <c r="CA60" i="1" s="1"/>
  <c r="BZ32" i="1"/>
  <c r="BZ60" i="1" s="1"/>
  <c r="BY32" i="1"/>
  <c r="BY60" i="1" s="1"/>
  <c r="BX32" i="1"/>
  <c r="BX60" i="1" s="1"/>
  <c r="CB31" i="1"/>
  <c r="CB59" i="1" s="1"/>
  <c r="CA31" i="1"/>
  <c r="CA59" i="1" s="1"/>
  <c r="BZ31" i="1"/>
  <c r="BZ59" i="1" s="1"/>
  <c r="BY31" i="1"/>
  <c r="BY59" i="1" s="1"/>
  <c r="BX31" i="1"/>
  <c r="BX59" i="1" s="1"/>
  <c r="CB30" i="1"/>
  <c r="CB58" i="1" s="1"/>
  <c r="CA30" i="1"/>
  <c r="CA58" i="1" s="1"/>
  <c r="BZ30" i="1"/>
  <c r="BZ58" i="1" s="1"/>
  <c r="BY30" i="1"/>
  <c r="BY58" i="1" s="1"/>
  <c r="BX30" i="1"/>
  <c r="BX58" i="1" s="1"/>
  <c r="CB29" i="1"/>
  <c r="CB57" i="1" s="1"/>
  <c r="CA29" i="1"/>
  <c r="CA57" i="1" s="1"/>
  <c r="BZ29" i="1"/>
  <c r="BZ57" i="1" s="1"/>
  <c r="BY29" i="1"/>
  <c r="BY57" i="1" s="1"/>
  <c r="BX29" i="1"/>
  <c r="BX57" i="1" s="1"/>
  <c r="CB28" i="1"/>
  <c r="CB56" i="1" s="1"/>
  <c r="CA28" i="1"/>
  <c r="CA56" i="1" s="1"/>
  <c r="BZ28" i="1"/>
  <c r="BZ56" i="1" s="1"/>
  <c r="BY28" i="1"/>
  <c r="BY56" i="1" s="1"/>
  <c r="BX28" i="1"/>
  <c r="BX56" i="1" s="1"/>
  <c r="CB27" i="1"/>
  <c r="CB55" i="1" s="1"/>
  <c r="CA27" i="1"/>
  <c r="CA55" i="1" s="1"/>
  <c r="BZ27" i="1"/>
  <c r="BZ55" i="1" s="1"/>
  <c r="BY27" i="1"/>
  <c r="BY55" i="1" s="1"/>
  <c r="BX27" i="1"/>
  <c r="BX55" i="1" s="1"/>
  <c r="CB26" i="1"/>
  <c r="CB54" i="1" s="1"/>
  <c r="CA26" i="1"/>
  <c r="CA54" i="1" s="1"/>
  <c r="BZ26" i="1"/>
  <c r="BZ54" i="1" s="1"/>
  <c r="BY26" i="1"/>
  <c r="BY54" i="1" s="1"/>
  <c r="BX26" i="1"/>
  <c r="BX54" i="1" s="1"/>
  <c r="CB25" i="1"/>
  <c r="CB53" i="1" s="1"/>
  <c r="CA25" i="1"/>
  <c r="CA53" i="1" s="1"/>
  <c r="BZ25" i="1"/>
  <c r="BZ53" i="1" s="1"/>
  <c r="BY25" i="1"/>
  <c r="BY53" i="1" s="1"/>
  <c r="BX25" i="1"/>
  <c r="BX53" i="1" s="1"/>
  <c r="CB24" i="1"/>
  <c r="CB52" i="1" s="1"/>
  <c r="CA24" i="1"/>
  <c r="CA52" i="1" s="1"/>
  <c r="BZ24" i="1"/>
  <c r="BZ52" i="1" s="1"/>
  <c r="BY24" i="1"/>
  <c r="BY52" i="1" s="1"/>
  <c r="BX24" i="1"/>
  <c r="BX52" i="1" s="1"/>
  <c r="CB23" i="1"/>
  <c r="CB51" i="1" s="1"/>
  <c r="CA23" i="1"/>
  <c r="CA51" i="1" s="1"/>
  <c r="BZ23" i="1"/>
  <c r="BZ51" i="1" s="1"/>
  <c r="BY23" i="1"/>
  <c r="BY51" i="1" s="1"/>
  <c r="BX23" i="1"/>
  <c r="BX51" i="1" s="1"/>
  <c r="CB22" i="1"/>
  <c r="CB50" i="1" s="1"/>
  <c r="CA22" i="1"/>
  <c r="CA50" i="1" s="1"/>
  <c r="BZ22" i="1"/>
  <c r="BZ50" i="1" s="1"/>
  <c r="BY22" i="1"/>
  <c r="BY50" i="1" s="1"/>
  <c r="BX22" i="1"/>
  <c r="BX50" i="1" s="1"/>
  <c r="CB21" i="1"/>
  <c r="CB49" i="1" s="1"/>
  <c r="CA21" i="1"/>
  <c r="CA49" i="1" s="1"/>
  <c r="BZ21" i="1"/>
  <c r="BZ49" i="1" s="1"/>
  <c r="BY21" i="1"/>
  <c r="BY49" i="1" s="1"/>
  <c r="BX21" i="1"/>
  <c r="BX49" i="1" s="1"/>
  <c r="CB20" i="1"/>
  <c r="CB48" i="1" s="1"/>
  <c r="CA20" i="1"/>
  <c r="CA48" i="1" s="1"/>
  <c r="BZ20" i="1"/>
  <c r="BZ48" i="1" s="1"/>
  <c r="BY20" i="1"/>
  <c r="BY48" i="1" s="1"/>
  <c r="BX20" i="1"/>
  <c r="BX48" i="1" s="1"/>
  <c r="CB19" i="1"/>
  <c r="CB47" i="1" s="1"/>
  <c r="CA19" i="1"/>
  <c r="CA47" i="1" s="1"/>
  <c r="BZ19" i="1"/>
  <c r="BZ47" i="1" s="1"/>
  <c r="BY19" i="1"/>
  <c r="BY47" i="1" s="1"/>
  <c r="BX19" i="1"/>
  <c r="BX47" i="1" s="1"/>
  <c r="CB18" i="1"/>
  <c r="CB46" i="1" s="1"/>
  <c r="CA18" i="1"/>
  <c r="CA46" i="1" s="1"/>
  <c r="BZ18" i="1"/>
  <c r="BZ46" i="1" s="1"/>
  <c r="BY18" i="1"/>
  <c r="BY46" i="1" s="1"/>
  <c r="BX18" i="1"/>
  <c r="BX46" i="1" s="1"/>
  <c r="CB17" i="1"/>
  <c r="CB45" i="1" s="1"/>
  <c r="CA17" i="1"/>
  <c r="CI17" i="1" s="1"/>
  <c r="BZ17" i="1"/>
  <c r="BZ45" i="1" s="1"/>
  <c r="BY17" i="1"/>
  <c r="BY45" i="1" s="1"/>
  <c r="BX17" i="1"/>
  <c r="BX45" i="1" s="1"/>
  <c r="CB16" i="1"/>
  <c r="CB44" i="1" s="1"/>
  <c r="CA16" i="1"/>
  <c r="CA44" i="1" s="1"/>
  <c r="BZ16" i="1"/>
  <c r="BZ44" i="1" s="1"/>
  <c r="BY16" i="1"/>
  <c r="BY44" i="1" s="1"/>
  <c r="BX16" i="1"/>
  <c r="BX44" i="1" s="1"/>
  <c r="CB15" i="1"/>
  <c r="CB43" i="1" s="1"/>
  <c r="CA15" i="1"/>
  <c r="CA43" i="1" s="1"/>
  <c r="BZ15" i="1"/>
  <c r="BZ43" i="1" s="1"/>
  <c r="BY15" i="1"/>
  <c r="BY43" i="1" s="1"/>
  <c r="BX15" i="1"/>
  <c r="BX43" i="1" s="1"/>
  <c r="CB14" i="1"/>
  <c r="CB42" i="1" s="1"/>
  <c r="CA14" i="1"/>
  <c r="CA42" i="1" s="1"/>
  <c r="BZ14" i="1"/>
  <c r="BZ42" i="1" s="1"/>
  <c r="BY14" i="1"/>
  <c r="BY42" i="1" s="1"/>
  <c r="BX14" i="1"/>
  <c r="BX42" i="1" s="1"/>
  <c r="CB13" i="1"/>
  <c r="CB41" i="1" s="1"/>
  <c r="CA13" i="1"/>
  <c r="CA41" i="1" s="1"/>
  <c r="BZ13" i="1"/>
  <c r="BZ41" i="1" s="1"/>
  <c r="BY13" i="1"/>
  <c r="BY41" i="1" s="1"/>
  <c r="BX13" i="1"/>
  <c r="BX41" i="1" s="1"/>
  <c r="CB12" i="1"/>
  <c r="CB40" i="1" s="1"/>
  <c r="CA12" i="1"/>
  <c r="CA40" i="1" s="1"/>
  <c r="BZ12" i="1"/>
  <c r="BZ40" i="1" s="1"/>
  <c r="BY12" i="1"/>
  <c r="BY40" i="1" s="1"/>
  <c r="BX12" i="1"/>
  <c r="BX40" i="1" s="1"/>
  <c r="CB11" i="1"/>
  <c r="CB39" i="1" s="1"/>
  <c r="CA11" i="1"/>
  <c r="CA39" i="1" s="1"/>
  <c r="BZ11" i="1"/>
  <c r="BZ39" i="1" s="1"/>
  <c r="BY11" i="1"/>
  <c r="BY39" i="1" s="1"/>
  <c r="BX11" i="1"/>
  <c r="BX39" i="1" s="1"/>
  <c r="CB10" i="1"/>
  <c r="CB38" i="1" s="1"/>
  <c r="CA10" i="1"/>
  <c r="CA38" i="1" s="1"/>
  <c r="BZ10" i="1"/>
  <c r="BZ38" i="1" s="1"/>
  <c r="BY10" i="1"/>
  <c r="BY38" i="1" s="1"/>
  <c r="BX10" i="1"/>
  <c r="BX38" i="1" s="1"/>
  <c r="BS11" i="1"/>
  <c r="BS39" i="1" s="1"/>
  <c r="BT11" i="1"/>
  <c r="BT39" i="1" s="1"/>
  <c r="BU11" i="1"/>
  <c r="BU39" i="1" s="1"/>
  <c r="BV11" i="1"/>
  <c r="BV39" i="1" s="1"/>
  <c r="BW11" i="1"/>
  <c r="BW39" i="1" s="1"/>
  <c r="BS12" i="1"/>
  <c r="BS40" i="1" s="1"/>
  <c r="BT12" i="1"/>
  <c r="BT40" i="1" s="1"/>
  <c r="BU12" i="1"/>
  <c r="BU40" i="1" s="1"/>
  <c r="BV12" i="1"/>
  <c r="BV40" i="1" s="1"/>
  <c r="BW12" i="1"/>
  <c r="BW40" i="1" s="1"/>
  <c r="BS13" i="1"/>
  <c r="BS41" i="1" s="1"/>
  <c r="BT13" i="1"/>
  <c r="BT41" i="1" s="1"/>
  <c r="BU13" i="1"/>
  <c r="BU41" i="1" s="1"/>
  <c r="BV13" i="1"/>
  <c r="BV41" i="1" s="1"/>
  <c r="BW13" i="1"/>
  <c r="BW41" i="1" s="1"/>
  <c r="BS14" i="1"/>
  <c r="BS42" i="1" s="1"/>
  <c r="BT14" i="1"/>
  <c r="BT42" i="1" s="1"/>
  <c r="BU14" i="1"/>
  <c r="BU42" i="1" s="1"/>
  <c r="BV14" i="1"/>
  <c r="BV42" i="1" s="1"/>
  <c r="BW14" i="1"/>
  <c r="BW42" i="1" s="1"/>
  <c r="BS15" i="1"/>
  <c r="BS43" i="1" s="1"/>
  <c r="BT15" i="1"/>
  <c r="BT43" i="1" s="1"/>
  <c r="BU15" i="1"/>
  <c r="BU43" i="1" s="1"/>
  <c r="BV15" i="1"/>
  <c r="BV43" i="1" s="1"/>
  <c r="BW15" i="1"/>
  <c r="BW43" i="1" s="1"/>
  <c r="BS16" i="1"/>
  <c r="BS44" i="1" s="1"/>
  <c r="BT16" i="1"/>
  <c r="BT44" i="1" s="1"/>
  <c r="BU16" i="1"/>
  <c r="BU44" i="1" s="1"/>
  <c r="BV16" i="1"/>
  <c r="BV44" i="1" s="1"/>
  <c r="BW16" i="1"/>
  <c r="BW44" i="1" s="1"/>
  <c r="BS17" i="1"/>
  <c r="BS45" i="1" s="1"/>
  <c r="BT17" i="1"/>
  <c r="BT45" i="1" s="1"/>
  <c r="BU17" i="1"/>
  <c r="BU45" i="1" s="1"/>
  <c r="BV17" i="1"/>
  <c r="BV45" i="1" s="1"/>
  <c r="BW17" i="1"/>
  <c r="BW45" i="1" s="1"/>
  <c r="BS18" i="1"/>
  <c r="BS46" i="1" s="1"/>
  <c r="BT18" i="1"/>
  <c r="BT46" i="1" s="1"/>
  <c r="BU18" i="1"/>
  <c r="BU46" i="1" s="1"/>
  <c r="BV18" i="1"/>
  <c r="BV46" i="1" s="1"/>
  <c r="BW18" i="1"/>
  <c r="BW46" i="1" s="1"/>
  <c r="BS19" i="1"/>
  <c r="BS47" i="1" s="1"/>
  <c r="BT19" i="1"/>
  <c r="BT47" i="1" s="1"/>
  <c r="BU19" i="1"/>
  <c r="BU47" i="1" s="1"/>
  <c r="BV19" i="1"/>
  <c r="BV47" i="1" s="1"/>
  <c r="BW19" i="1"/>
  <c r="BW47" i="1" s="1"/>
  <c r="BS20" i="1"/>
  <c r="BS48" i="1" s="1"/>
  <c r="BT20" i="1"/>
  <c r="BT48" i="1" s="1"/>
  <c r="BU20" i="1"/>
  <c r="BU48" i="1" s="1"/>
  <c r="BV20" i="1"/>
  <c r="BV48" i="1" s="1"/>
  <c r="BW20" i="1"/>
  <c r="BW48" i="1" s="1"/>
  <c r="BS21" i="1"/>
  <c r="BS49" i="1" s="1"/>
  <c r="BT21" i="1"/>
  <c r="BT49" i="1" s="1"/>
  <c r="BU21" i="1"/>
  <c r="BU49" i="1" s="1"/>
  <c r="BV21" i="1"/>
  <c r="BV49" i="1" s="1"/>
  <c r="BW21" i="1"/>
  <c r="BW49" i="1" s="1"/>
  <c r="BS22" i="1"/>
  <c r="BS50" i="1" s="1"/>
  <c r="BT22" i="1"/>
  <c r="BT50" i="1" s="1"/>
  <c r="BU22" i="1"/>
  <c r="BU50" i="1" s="1"/>
  <c r="BV22" i="1"/>
  <c r="BV50" i="1" s="1"/>
  <c r="BW22" i="1"/>
  <c r="BW50" i="1" s="1"/>
  <c r="BS23" i="1"/>
  <c r="BS51" i="1" s="1"/>
  <c r="BT23" i="1"/>
  <c r="BT51" i="1" s="1"/>
  <c r="BU23" i="1"/>
  <c r="BU51" i="1" s="1"/>
  <c r="BV23" i="1"/>
  <c r="BV51" i="1" s="1"/>
  <c r="BW23" i="1"/>
  <c r="BW51" i="1" s="1"/>
  <c r="BS24" i="1"/>
  <c r="BS52" i="1" s="1"/>
  <c r="BT24" i="1"/>
  <c r="BT52" i="1" s="1"/>
  <c r="BU24" i="1"/>
  <c r="BU52" i="1" s="1"/>
  <c r="BV24" i="1"/>
  <c r="BV52" i="1" s="1"/>
  <c r="BW24" i="1"/>
  <c r="BW52" i="1" s="1"/>
  <c r="BS25" i="1"/>
  <c r="BS53" i="1" s="1"/>
  <c r="BT25" i="1"/>
  <c r="BT53" i="1" s="1"/>
  <c r="BU25" i="1"/>
  <c r="BU53" i="1" s="1"/>
  <c r="BV25" i="1"/>
  <c r="BV53" i="1" s="1"/>
  <c r="BW25" i="1"/>
  <c r="BW53" i="1" s="1"/>
  <c r="BS26" i="1"/>
  <c r="BS54" i="1" s="1"/>
  <c r="BT26" i="1"/>
  <c r="BT54" i="1" s="1"/>
  <c r="BU26" i="1"/>
  <c r="BU54" i="1" s="1"/>
  <c r="BV26" i="1"/>
  <c r="BV54" i="1" s="1"/>
  <c r="BW26" i="1"/>
  <c r="BW54" i="1" s="1"/>
  <c r="BS27" i="1"/>
  <c r="BS55" i="1" s="1"/>
  <c r="BT27" i="1"/>
  <c r="BT55" i="1" s="1"/>
  <c r="BU27" i="1"/>
  <c r="BU55" i="1" s="1"/>
  <c r="BV27" i="1"/>
  <c r="BV55" i="1" s="1"/>
  <c r="BW27" i="1"/>
  <c r="BW55" i="1" s="1"/>
  <c r="BS28" i="1"/>
  <c r="BS56" i="1" s="1"/>
  <c r="BT28" i="1"/>
  <c r="BT56" i="1" s="1"/>
  <c r="BU28" i="1"/>
  <c r="BU56" i="1" s="1"/>
  <c r="BV28" i="1"/>
  <c r="BV56" i="1" s="1"/>
  <c r="BW28" i="1"/>
  <c r="BW56" i="1" s="1"/>
  <c r="BS29" i="1"/>
  <c r="BS57" i="1" s="1"/>
  <c r="BT29" i="1"/>
  <c r="BT57" i="1" s="1"/>
  <c r="BU29" i="1"/>
  <c r="BU57" i="1" s="1"/>
  <c r="BV29" i="1"/>
  <c r="BV57" i="1" s="1"/>
  <c r="BW29" i="1"/>
  <c r="BW57" i="1" s="1"/>
  <c r="BS30" i="1"/>
  <c r="BS58" i="1" s="1"/>
  <c r="BT30" i="1"/>
  <c r="BT58" i="1" s="1"/>
  <c r="BU30" i="1"/>
  <c r="BU58" i="1" s="1"/>
  <c r="BV30" i="1"/>
  <c r="BV58" i="1" s="1"/>
  <c r="BW30" i="1"/>
  <c r="BW58" i="1" s="1"/>
  <c r="BS31" i="1"/>
  <c r="BS59" i="1" s="1"/>
  <c r="BT31" i="1"/>
  <c r="BT59" i="1" s="1"/>
  <c r="BU31" i="1"/>
  <c r="BU59" i="1" s="1"/>
  <c r="BV31" i="1"/>
  <c r="BV59" i="1" s="1"/>
  <c r="BW31" i="1"/>
  <c r="BW59" i="1" s="1"/>
  <c r="BS32" i="1"/>
  <c r="BS60" i="1" s="1"/>
  <c r="BT32" i="1"/>
  <c r="BT60" i="1" s="1"/>
  <c r="BU32" i="1"/>
  <c r="BU60" i="1" s="1"/>
  <c r="BV32" i="1"/>
  <c r="BV60" i="1" s="1"/>
  <c r="BW32" i="1"/>
  <c r="BW60" i="1" s="1"/>
  <c r="BS33" i="1"/>
  <c r="BS61" i="1" s="1"/>
  <c r="BT33" i="1"/>
  <c r="BT61" i="1" s="1"/>
  <c r="BU33" i="1"/>
  <c r="BU61" i="1" s="1"/>
  <c r="BV33" i="1"/>
  <c r="BV61" i="1" s="1"/>
  <c r="BW33" i="1"/>
  <c r="BW61" i="1" s="1"/>
  <c r="BS34" i="1"/>
  <c r="BS62" i="1" s="1"/>
  <c r="BT34" i="1"/>
  <c r="BT62" i="1" s="1"/>
  <c r="BU34" i="1"/>
  <c r="BU62" i="1" s="1"/>
  <c r="BV34" i="1"/>
  <c r="BV62" i="1" s="1"/>
  <c r="BW34" i="1"/>
  <c r="BW62" i="1" s="1"/>
  <c r="BW10" i="1"/>
  <c r="BW38" i="1" s="1"/>
  <c r="BV10" i="1"/>
  <c r="BV38" i="1" s="1"/>
  <c r="BU10" i="1"/>
  <c r="BU38" i="1" s="1"/>
  <c r="BT10" i="1"/>
  <c r="BT38" i="1" s="1"/>
  <c r="BS10" i="1"/>
  <c r="BS38" i="1" s="1"/>
  <c r="BN11" i="1"/>
  <c r="BN39" i="1" s="1"/>
  <c r="BO11" i="1"/>
  <c r="BO39" i="1" s="1"/>
  <c r="BP11" i="1"/>
  <c r="BP39" i="1" s="1"/>
  <c r="BQ11" i="1"/>
  <c r="BQ39" i="1" s="1"/>
  <c r="BR11" i="1"/>
  <c r="BR39" i="1" s="1"/>
  <c r="BN12" i="1"/>
  <c r="BN40" i="1" s="1"/>
  <c r="BO12" i="1"/>
  <c r="BO40" i="1" s="1"/>
  <c r="BP12" i="1"/>
  <c r="BP40" i="1" s="1"/>
  <c r="BQ12" i="1"/>
  <c r="BQ40" i="1" s="1"/>
  <c r="BR12" i="1"/>
  <c r="BR40" i="1" s="1"/>
  <c r="BN13" i="1"/>
  <c r="BN41" i="1" s="1"/>
  <c r="BO13" i="1"/>
  <c r="BO41" i="1" s="1"/>
  <c r="BP13" i="1"/>
  <c r="BP41" i="1" s="1"/>
  <c r="BQ13" i="1"/>
  <c r="BQ41" i="1" s="1"/>
  <c r="BR13" i="1"/>
  <c r="BR41" i="1" s="1"/>
  <c r="BN14" i="1"/>
  <c r="BN42" i="1" s="1"/>
  <c r="BO14" i="1"/>
  <c r="BO42" i="1" s="1"/>
  <c r="BP14" i="1"/>
  <c r="BP42" i="1" s="1"/>
  <c r="BQ14" i="1"/>
  <c r="BQ42" i="1" s="1"/>
  <c r="BR14" i="1"/>
  <c r="BR42" i="1" s="1"/>
  <c r="BN15" i="1"/>
  <c r="BN43" i="1" s="1"/>
  <c r="BO15" i="1"/>
  <c r="BO43" i="1" s="1"/>
  <c r="BP15" i="1"/>
  <c r="BP43" i="1" s="1"/>
  <c r="BQ15" i="1"/>
  <c r="BQ43" i="1" s="1"/>
  <c r="BR15" i="1"/>
  <c r="BR43" i="1" s="1"/>
  <c r="BN16" i="1"/>
  <c r="BN44" i="1" s="1"/>
  <c r="BO16" i="1"/>
  <c r="BO44" i="1" s="1"/>
  <c r="BP16" i="1"/>
  <c r="BP44" i="1" s="1"/>
  <c r="BQ16" i="1"/>
  <c r="BQ44" i="1" s="1"/>
  <c r="BR16" i="1"/>
  <c r="BR44" i="1" s="1"/>
  <c r="BN17" i="1"/>
  <c r="BN45" i="1" s="1"/>
  <c r="BO17" i="1"/>
  <c r="BO45" i="1" s="1"/>
  <c r="BP17" i="1"/>
  <c r="BP45" i="1" s="1"/>
  <c r="BQ17" i="1"/>
  <c r="BQ45" i="1" s="1"/>
  <c r="BR17" i="1"/>
  <c r="BR45" i="1" s="1"/>
  <c r="BN18" i="1"/>
  <c r="BN46" i="1" s="1"/>
  <c r="BO18" i="1"/>
  <c r="BO46" i="1" s="1"/>
  <c r="BP18" i="1"/>
  <c r="BP46" i="1" s="1"/>
  <c r="BQ18" i="1"/>
  <c r="BQ46" i="1" s="1"/>
  <c r="BR18" i="1"/>
  <c r="BR46" i="1" s="1"/>
  <c r="BN19" i="1"/>
  <c r="BN47" i="1" s="1"/>
  <c r="BO19" i="1"/>
  <c r="BO47" i="1" s="1"/>
  <c r="BP19" i="1"/>
  <c r="BP47" i="1" s="1"/>
  <c r="BQ19" i="1"/>
  <c r="BQ47" i="1" s="1"/>
  <c r="BR19" i="1"/>
  <c r="BR47" i="1" s="1"/>
  <c r="BN20" i="1"/>
  <c r="BN48" i="1" s="1"/>
  <c r="BO20" i="1"/>
  <c r="BO48" i="1" s="1"/>
  <c r="BP20" i="1"/>
  <c r="BP48" i="1" s="1"/>
  <c r="BQ20" i="1"/>
  <c r="BQ48" i="1" s="1"/>
  <c r="BR20" i="1"/>
  <c r="BR48" i="1" s="1"/>
  <c r="BN21" i="1"/>
  <c r="BN49" i="1" s="1"/>
  <c r="BO21" i="1"/>
  <c r="BO49" i="1" s="1"/>
  <c r="BP21" i="1"/>
  <c r="BP49" i="1" s="1"/>
  <c r="BQ21" i="1"/>
  <c r="BQ49" i="1" s="1"/>
  <c r="BR21" i="1"/>
  <c r="BR49" i="1" s="1"/>
  <c r="BN22" i="1"/>
  <c r="BN50" i="1" s="1"/>
  <c r="BO22" i="1"/>
  <c r="BO50" i="1" s="1"/>
  <c r="BP22" i="1"/>
  <c r="BP50" i="1" s="1"/>
  <c r="BQ22" i="1"/>
  <c r="BQ50" i="1" s="1"/>
  <c r="BR22" i="1"/>
  <c r="BR50" i="1" s="1"/>
  <c r="BN23" i="1"/>
  <c r="BN51" i="1" s="1"/>
  <c r="BO23" i="1"/>
  <c r="BO51" i="1" s="1"/>
  <c r="BP23" i="1"/>
  <c r="BP51" i="1" s="1"/>
  <c r="BQ23" i="1"/>
  <c r="BQ51" i="1" s="1"/>
  <c r="BR23" i="1"/>
  <c r="BR51" i="1" s="1"/>
  <c r="BN24" i="1"/>
  <c r="BN52" i="1" s="1"/>
  <c r="BO24" i="1"/>
  <c r="BO52" i="1" s="1"/>
  <c r="BP24" i="1"/>
  <c r="BP52" i="1" s="1"/>
  <c r="BQ24" i="1"/>
  <c r="BQ52" i="1" s="1"/>
  <c r="BR24" i="1"/>
  <c r="BR52" i="1" s="1"/>
  <c r="BN25" i="1"/>
  <c r="BN53" i="1" s="1"/>
  <c r="BO25" i="1"/>
  <c r="BO53" i="1" s="1"/>
  <c r="BP25" i="1"/>
  <c r="BP53" i="1" s="1"/>
  <c r="BQ25" i="1"/>
  <c r="BQ53" i="1" s="1"/>
  <c r="BR25" i="1"/>
  <c r="BR53" i="1" s="1"/>
  <c r="BN26" i="1"/>
  <c r="BN54" i="1" s="1"/>
  <c r="BO26" i="1"/>
  <c r="BO54" i="1" s="1"/>
  <c r="BP26" i="1"/>
  <c r="BP54" i="1" s="1"/>
  <c r="BQ26" i="1"/>
  <c r="BQ54" i="1" s="1"/>
  <c r="BR26" i="1"/>
  <c r="BR54" i="1" s="1"/>
  <c r="BN27" i="1"/>
  <c r="BN55" i="1" s="1"/>
  <c r="BO27" i="1"/>
  <c r="BO55" i="1" s="1"/>
  <c r="BP27" i="1"/>
  <c r="BP55" i="1" s="1"/>
  <c r="BQ27" i="1"/>
  <c r="BQ55" i="1" s="1"/>
  <c r="BR27" i="1"/>
  <c r="BR55" i="1" s="1"/>
  <c r="BN28" i="1"/>
  <c r="BN56" i="1" s="1"/>
  <c r="BO28" i="1"/>
  <c r="BO56" i="1" s="1"/>
  <c r="BP28" i="1"/>
  <c r="BP56" i="1" s="1"/>
  <c r="BQ28" i="1"/>
  <c r="BQ56" i="1" s="1"/>
  <c r="BR28" i="1"/>
  <c r="BR56" i="1" s="1"/>
  <c r="BN29" i="1"/>
  <c r="BN57" i="1" s="1"/>
  <c r="BO29" i="1"/>
  <c r="BO57" i="1" s="1"/>
  <c r="BP29" i="1"/>
  <c r="BP57" i="1" s="1"/>
  <c r="BQ29" i="1"/>
  <c r="BQ57" i="1" s="1"/>
  <c r="BR29" i="1"/>
  <c r="BR57" i="1" s="1"/>
  <c r="BN30" i="1"/>
  <c r="BN58" i="1" s="1"/>
  <c r="BO30" i="1"/>
  <c r="BO58" i="1" s="1"/>
  <c r="BP30" i="1"/>
  <c r="BP58" i="1" s="1"/>
  <c r="BQ30" i="1"/>
  <c r="BQ58" i="1" s="1"/>
  <c r="BR30" i="1"/>
  <c r="BR58" i="1" s="1"/>
  <c r="BN31" i="1"/>
  <c r="BN59" i="1" s="1"/>
  <c r="BO31" i="1"/>
  <c r="BO59" i="1" s="1"/>
  <c r="BP31" i="1"/>
  <c r="BP59" i="1" s="1"/>
  <c r="BQ31" i="1"/>
  <c r="BQ59" i="1" s="1"/>
  <c r="BR31" i="1"/>
  <c r="BR59" i="1" s="1"/>
  <c r="BN32" i="1"/>
  <c r="BN60" i="1" s="1"/>
  <c r="BO32" i="1"/>
  <c r="BO60" i="1" s="1"/>
  <c r="BP32" i="1"/>
  <c r="BP60" i="1" s="1"/>
  <c r="BQ32" i="1"/>
  <c r="BQ60" i="1" s="1"/>
  <c r="BR32" i="1"/>
  <c r="BR60" i="1" s="1"/>
  <c r="BN33" i="1"/>
  <c r="BN61" i="1" s="1"/>
  <c r="BO33" i="1"/>
  <c r="BO61" i="1" s="1"/>
  <c r="BP33" i="1"/>
  <c r="BP61" i="1" s="1"/>
  <c r="BQ33" i="1"/>
  <c r="BQ61" i="1" s="1"/>
  <c r="BR33" i="1"/>
  <c r="BR61" i="1" s="1"/>
  <c r="BN34" i="1"/>
  <c r="BN62" i="1" s="1"/>
  <c r="BO34" i="1"/>
  <c r="BO62" i="1" s="1"/>
  <c r="BP34" i="1"/>
  <c r="BP62" i="1" s="1"/>
  <c r="BQ34" i="1"/>
  <c r="BQ62" i="1" s="1"/>
  <c r="BR34" i="1"/>
  <c r="BR62" i="1" s="1"/>
  <c r="BR10" i="1"/>
  <c r="BR38" i="1" s="1"/>
  <c r="BQ10" i="1"/>
  <c r="BQ38" i="1" s="1"/>
  <c r="BP10" i="1"/>
  <c r="BP38" i="1" s="1"/>
  <c r="BO10" i="1"/>
  <c r="BO38" i="1" s="1"/>
  <c r="BN10" i="1"/>
  <c r="BN38" i="1" s="1"/>
  <c r="U17" i="2" l="1"/>
  <c r="U25" i="2"/>
  <c r="U33" i="2"/>
  <c r="DU29" i="1"/>
  <c r="CI28" i="1"/>
  <c r="CI12" i="1"/>
  <c r="CJ13" i="1"/>
  <c r="CQ26" i="1"/>
  <c r="CV26" i="1" s="1"/>
  <c r="CS24" i="1"/>
  <c r="CX24" i="1" s="1"/>
  <c r="CS18" i="1"/>
  <c r="CX18" i="1" s="1"/>
  <c r="DU28" i="1"/>
  <c r="DU12" i="1"/>
  <c r="CR37" i="1"/>
  <c r="CT54" i="1"/>
  <c r="CT50" i="1"/>
  <c r="CT46" i="1"/>
  <c r="CT42" i="1"/>
  <c r="CT38" i="1"/>
  <c r="CT58" i="1"/>
  <c r="DF20" i="1"/>
  <c r="M30" i="2"/>
  <c r="T7" i="2"/>
  <c r="X13" i="2" s="1"/>
  <c r="CI10" i="1"/>
  <c r="CJ12" i="1"/>
  <c r="DT33" i="1"/>
  <c r="DT17" i="1"/>
  <c r="DU17" i="1" s="1"/>
  <c r="CT57" i="1"/>
  <c r="CT41" i="1"/>
  <c r="DF32" i="1"/>
  <c r="DF16" i="1"/>
  <c r="N38" i="1"/>
  <c r="M29" i="2"/>
  <c r="M21" i="2"/>
  <c r="CI33" i="1"/>
  <c r="CI25" i="1"/>
  <c r="CJ34" i="1"/>
  <c r="CJ26" i="1"/>
  <c r="CJ18" i="1"/>
  <c r="DU33" i="1"/>
  <c r="DU25" i="1"/>
  <c r="CI32" i="1"/>
  <c r="CI24" i="1"/>
  <c r="CI16" i="1"/>
  <c r="CJ33" i="1"/>
  <c r="CJ25" i="1"/>
  <c r="CJ17" i="1"/>
  <c r="DU32" i="1"/>
  <c r="DU24" i="1"/>
  <c r="DU16" i="1"/>
  <c r="DT13" i="1"/>
  <c r="DU13" i="1" s="1"/>
  <c r="CT56" i="1"/>
  <c r="CT52" i="1"/>
  <c r="CT48" i="1"/>
  <c r="CT44" i="1"/>
  <c r="CT40" i="1"/>
  <c r="CT60" i="1"/>
  <c r="DF28" i="1"/>
  <c r="W38" i="1"/>
  <c r="CI31" i="1"/>
  <c r="CI23" i="1"/>
  <c r="CI15" i="1"/>
  <c r="CJ32" i="1"/>
  <c r="CJ24" i="1"/>
  <c r="CJ16" i="1"/>
  <c r="M28" i="2"/>
  <c r="M20" i="2"/>
  <c r="CJ31" i="1"/>
  <c r="CJ23" i="1"/>
  <c r="CJ15" i="1"/>
  <c r="CS32" i="1"/>
  <c r="CX32" i="1" s="1"/>
  <c r="CS20" i="1"/>
  <c r="CX20" i="1" s="1"/>
  <c r="DU10" i="1"/>
  <c r="CT39" i="1"/>
  <c r="DF24" i="1"/>
  <c r="M35" i="2"/>
  <c r="M31" i="2"/>
  <c r="M27" i="2"/>
  <c r="M23" i="2"/>
  <c r="M19" i="2"/>
  <c r="M15" i="2"/>
  <c r="CI29" i="1"/>
  <c r="CI21" i="1"/>
  <c r="CI13" i="1"/>
  <c r="CJ30" i="1"/>
  <c r="CJ22" i="1"/>
  <c r="CJ14" i="1"/>
  <c r="CI20" i="1"/>
  <c r="CJ29" i="1"/>
  <c r="CJ21" i="1"/>
  <c r="DU20" i="1"/>
  <c r="V42" i="1"/>
  <c r="M22" i="2"/>
  <c r="CJ28" i="1"/>
  <c r="CJ20" i="1"/>
  <c r="DC31" i="1"/>
  <c r="DC19" i="1"/>
  <c r="DJ19" i="1" s="1"/>
  <c r="J38" i="1"/>
  <c r="CI34" i="1"/>
  <c r="CI26" i="1"/>
  <c r="CI18" i="1"/>
  <c r="CJ10" i="1"/>
  <c r="CJ27" i="1"/>
  <c r="CJ19" i="1"/>
  <c r="CJ11" i="1"/>
  <c r="DU34" i="1"/>
  <c r="DU18" i="1"/>
  <c r="DU11" i="1"/>
  <c r="DU14" i="1"/>
  <c r="CV53" i="1"/>
  <c r="CW53" i="1" s="1"/>
  <c r="CU37" i="1"/>
  <c r="M40" i="1"/>
  <c r="M42" i="1" s="1"/>
  <c r="S40" i="1"/>
  <c r="X38" i="1"/>
  <c r="W42" i="1" s="1"/>
  <c r="X40" i="1"/>
  <c r="CR29" i="1"/>
  <c r="CW29" i="1" s="1"/>
  <c r="DT30" i="1"/>
  <c r="DU30" i="1" s="1"/>
  <c r="DT22" i="1"/>
  <c r="DU22" i="1" s="1"/>
  <c r="DT14" i="1"/>
  <c r="DL30" i="1"/>
  <c r="DM30" i="1" s="1"/>
  <c r="CR57" i="1"/>
  <c r="CR55" i="1"/>
  <c r="CV55" i="1" s="1"/>
  <c r="CW55" i="1" s="1"/>
  <c r="CR51" i="1"/>
  <c r="CV51" i="1" s="1"/>
  <c r="CW51" i="1" s="1"/>
  <c r="CR49" i="1"/>
  <c r="CV49" i="1" s="1"/>
  <c r="CW49" i="1" s="1"/>
  <c r="CR47" i="1"/>
  <c r="CR45" i="1"/>
  <c r="CV45" i="1" s="1"/>
  <c r="CW45" i="1" s="1"/>
  <c r="CR43" i="1"/>
  <c r="CV43" i="1" s="1"/>
  <c r="CW43" i="1" s="1"/>
  <c r="CR41" i="1"/>
  <c r="CR39" i="1"/>
  <c r="CV39" i="1" s="1"/>
  <c r="CW39" i="1" s="1"/>
  <c r="CR61" i="1"/>
  <c r="CV61" i="1" s="1"/>
  <c r="CW61" i="1" s="1"/>
  <c r="CR59" i="1"/>
  <c r="CV59" i="1" s="1"/>
  <c r="CW59" i="1" s="1"/>
  <c r="DF34" i="1"/>
  <c r="DF26" i="1"/>
  <c r="DF18" i="1"/>
  <c r="M38" i="1"/>
  <c r="O38" i="1"/>
  <c r="Y38" i="1"/>
  <c r="Y40" i="1"/>
  <c r="Y42" i="1" s="1"/>
  <c r="AD40" i="1"/>
  <c r="CR28" i="1"/>
  <c r="CW28" i="1" s="1"/>
  <c r="CR12" i="1"/>
  <c r="CW12" i="1" s="1"/>
  <c r="DT31" i="1"/>
  <c r="DU31" i="1" s="1"/>
  <c r="DT23" i="1"/>
  <c r="DU23" i="1" s="1"/>
  <c r="DT15" i="1"/>
  <c r="DU15" i="1" s="1"/>
  <c r="DL31" i="1"/>
  <c r="DM31" i="1" s="1"/>
  <c r="DL23" i="1"/>
  <c r="DM23" i="1" s="1"/>
  <c r="DL15" i="1"/>
  <c r="DM15" i="1" s="1"/>
  <c r="CS57" i="1"/>
  <c r="CS47" i="1"/>
  <c r="CS41" i="1"/>
  <c r="DF27" i="1"/>
  <c r="DF19" i="1"/>
  <c r="L40" i="1"/>
  <c r="L42" i="1" s="1"/>
  <c r="P38" i="1"/>
  <c r="O42" i="1" s="1"/>
  <c r="Z38" i="1"/>
  <c r="Z40" i="1"/>
  <c r="AB40" i="1"/>
  <c r="AD38" i="1"/>
  <c r="L38" i="1"/>
  <c r="AA38" i="1"/>
  <c r="AB38" i="1"/>
  <c r="R38" i="1"/>
  <c r="Q42" i="1" s="1"/>
  <c r="T38" i="1"/>
  <c r="T40" i="1"/>
  <c r="DT34" i="1"/>
  <c r="DT26" i="1"/>
  <c r="DU26" i="1" s="1"/>
  <c r="DT18" i="1"/>
  <c r="CS37" i="1"/>
  <c r="CR56" i="1"/>
  <c r="CV56" i="1" s="1"/>
  <c r="CW56" i="1" s="1"/>
  <c r="CR54" i="1"/>
  <c r="CV54" i="1" s="1"/>
  <c r="CW54" i="1" s="1"/>
  <c r="CR52" i="1"/>
  <c r="CR50" i="1"/>
  <c r="CR48" i="1"/>
  <c r="CR46" i="1"/>
  <c r="CR44" i="1"/>
  <c r="CR42" i="1"/>
  <c r="CR40" i="1"/>
  <c r="CR38" i="1"/>
  <c r="CV38" i="1" s="1"/>
  <c r="CW38" i="1" s="1"/>
  <c r="CR60" i="1"/>
  <c r="CR58" i="1"/>
  <c r="K38" i="1"/>
  <c r="S38" i="1"/>
  <c r="R42" i="1" s="1"/>
  <c r="P40" i="1"/>
  <c r="U38" i="1"/>
  <c r="U40" i="1"/>
  <c r="Q38" i="1"/>
  <c r="P42" i="1" s="1"/>
  <c r="AA40" i="1"/>
  <c r="AC40" i="1"/>
  <c r="K40" i="1"/>
  <c r="O40" i="1"/>
  <c r="AC38" i="1"/>
  <c r="CR11" i="1"/>
  <c r="CW11" i="1" s="1"/>
  <c r="DC11" i="1" s="1"/>
  <c r="DJ11" i="1" s="1"/>
  <c r="DT27" i="1"/>
  <c r="DU27" i="1" s="1"/>
  <c r="DT19" i="1"/>
  <c r="DU19" i="1" s="1"/>
  <c r="CT37" i="1"/>
  <c r="CS54" i="1"/>
  <c r="CS52" i="1"/>
  <c r="CS50" i="1"/>
  <c r="CS48" i="1"/>
  <c r="CS46" i="1"/>
  <c r="CS44" i="1"/>
  <c r="CS42" i="1"/>
  <c r="CS40" i="1"/>
  <c r="CS60" i="1"/>
  <c r="CS58" i="1"/>
  <c r="J40" i="1"/>
  <c r="J42" i="1" s="1"/>
  <c r="N40" i="1"/>
  <c r="Q40" i="1"/>
  <c r="V38" i="1"/>
  <c r="EC16" i="1"/>
  <c r="EC11" i="1"/>
  <c r="AK22" i="2"/>
  <c r="AN22" i="2" s="1"/>
  <c r="AP22" i="2" s="1"/>
  <c r="Y32" i="2"/>
  <c r="X15" i="2"/>
  <c r="Y18" i="2"/>
  <c r="Y36" i="2"/>
  <c r="AK12" i="2"/>
  <c r="Y12" i="2"/>
  <c r="AK33" i="2"/>
  <c r="AL33" i="2" s="1"/>
  <c r="AM33" i="2" s="1"/>
  <c r="Y30" i="2"/>
  <c r="M34" i="2"/>
  <c r="M26" i="2"/>
  <c r="M18" i="2"/>
  <c r="U42" i="1"/>
  <c r="DC14" i="1"/>
  <c r="DJ14" i="1" s="1"/>
  <c r="DC15" i="1"/>
  <c r="DJ15" i="1" s="1"/>
  <c r="CI49" i="1"/>
  <c r="CJ49" i="1" s="1"/>
  <c r="CM49" i="1" s="1"/>
  <c r="CN49" i="1" s="1"/>
  <c r="CI41" i="1"/>
  <c r="CJ41" i="1" s="1"/>
  <c r="CM41" i="1" s="1"/>
  <c r="CN41" i="1" s="1"/>
  <c r="CI54" i="1"/>
  <c r="CJ54" i="1" s="1"/>
  <c r="CM54" i="1" s="1"/>
  <c r="CN54" i="1" s="1"/>
  <c r="DH7" i="1"/>
  <c r="DC24" i="1"/>
  <c r="DC17" i="1"/>
  <c r="DC20" i="1"/>
  <c r="DC32" i="1"/>
  <c r="DC16" i="1"/>
  <c r="CI62" i="1"/>
  <c r="CJ62" i="1" s="1"/>
  <c r="CM62" i="1" s="1"/>
  <c r="CN62" i="1" s="1"/>
  <c r="CI46" i="1"/>
  <c r="CJ46" i="1" s="1"/>
  <c r="CM46" i="1" s="1"/>
  <c r="CN46" i="1" s="1"/>
  <c r="DC34" i="1"/>
  <c r="DJ34" i="1" s="1"/>
  <c r="CI44" i="1"/>
  <c r="CJ44" i="1" s="1"/>
  <c r="CM44" i="1" s="1"/>
  <c r="CN44" i="1" s="1"/>
  <c r="DJ31" i="1"/>
  <c r="DC23" i="1"/>
  <c r="DJ23" i="1" s="1"/>
  <c r="DC29" i="1"/>
  <c r="DC13" i="1"/>
  <c r="DL13" i="1" s="1"/>
  <c r="DM13" i="1" s="1"/>
  <c r="DN13" i="1" s="1"/>
  <c r="DC30" i="1"/>
  <c r="DJ30" i="1" s="1"/>
  <c r="DC33" i="1"/>
  <c r="CI60" i="1"/>
  <c r="CJ60" i="1" s="1"/>
  <c r="CM60" i="1" s="1"/>
  <c r="CN60" i="1" s="1"/>
  <c r="CI48" i="1"/>
  <c r="CJ48" i="1" s="1"/>
  <c r="CM48" i="1" s="1"/>
  <c r="CN48" i="1" s="1"/>
  <c r="DC21" i="1"/>
  <c r="CI53" i="1"/>
  <c r="CJ53" i="1" s="1"/>
  <c r="CM53" i="1" s="1"/>
  <c r="CN53" i="1" s="1"/>
  <c r="CI58" i="1"/>
  <c r="CJ58" i="1" s="1"/>
  <c r="CM58" i="1" s="1"/>
  <c r="CN58" i="1" s="1"/>
  <c r="DC22" i="1"/>
  <c r="DJ22" i="1" s="1"/>
  <c r="DC25" i="1"/>
  <c r="CI51" i="1"/>
  <c r="CJ51" i="1" s="1"/>
  <c r="CM51" i="1" s="1"/>
  <c r="CN51" i="1" s="1"/>
  <c r="DC26" i="1"/>
  <c r="DJ26" i="1" s="1"/>
  <c r="CI56" i="1"/>
  <c r="CJ56" i="1" s="1"/>
  <c r="CM56" i="1" s="1"/>
  <c r="CN56" i="1" s="1"/>
  <c r="CI40" i="1"/>
  <c r="CJ40" i="1" s="1"/>
  <c r="CM40" i="1" s="1"/>
  <c r="CN40" i="1" s="1"/>
  <c r="CI50" i="1"/>
  <c r="CJ50" i="1" s="1"/>
  <c r="CM50" i="1" s="1"/>
  <c r="CN50" i="1" s="1"/>
  <c r="CI42" i="1"/>
  <c r="CJ42" i="1" s="1"/>
  <c r="CM42" i="1" s="1"/>
  <c r="CN42" i="1" s="1"/>
  <c r="DC27" i="1"/>
  <c r="DJ27" i="1" s="1"/>
  <c r="CI59" i="1"/>
  <c r="CJ59" i="1" s="1"/>
  <c r="CM59" i="1" s="1"/>
  <c r="CN59" i="1" s="1"/>
  <c r="CI43" i="1"/>
  <c r="CJ43" i="1" s="1"/>
  <c r="CM43" i="1" s="1"/>
  <c r="CN43" i="1" s="1"/>
  <c r="DC18" i="1"/>
  <c r="DJ18" i="1" s="1"/>
  <c r="CI61" i="1"/>
  <c r="CJ61" i="1" s="1"/>
  <c r="CM61" i="1" s="1"/>
  <c r="CN61" i="1" s="1"/>
  <c r="CI55" i="1"/>
  <c r="CJ55" i="1" s="1"/>
  <c r="CM55" i="1" s="1"/>
  <c r="CN55" i="1" s="1"/>
  <c r="CI47" i="1"/>
  <c r="CJ47" i="1" s="1"/>
  <c r="CM47" i="1" s="1"/>
  <c r="CN47" i="1" s="1"/>
  <c r="CI45" i="1"/>
  <c r="CJ45" i="1" s="1"/>
  <c r="CM45" i="1" s="1"/>
  <c r="CN45" i="1" s="1"/>
  <c r="CI39" i="1"/>
  <c r="CJ39" i="1" s="1"/>
  <c r="CM39" i="1" s="1"/>
  <c r="CN39" i="1" s="1"/>
  <c r="CI52" i="1"/>
  <c r="CJ52" i="1" s="1"/>
  <c r="CM52" i="1" s="1"/>
  <c r="CN52" i="1" s="1"/>
  <c r="CI38" i="1"/>
  <c r="CJ38" i="1" s="1"/>
  <c r="CM38" i="1" s="1"/>
  <c r="CN38" i="1" s="1"/>
  <c r="CI57" i="1"/>
  <c r="CJ57" i="1" s="1"/>
  <c r="CM57" i="1" s="1"/>
  <c r="CN57" i="1" s="1"/>
  <c r="DC28" i="1"/>
  <c r="DC12" i="1"/>
  <c r="DJ12" i="1" s="1"/>
  <c r="DC10" i="1"/>
  <c r="DJ10" i="1" s="1"/>
  <c r="X23" i="2" l="1"/>
  <c r="X31" i="2"/>
  <c r="CV37" i="1"/>
  <c r="CW37" i="1" s="1"/>
  <c r="AK21" i="2"/>
  <c r="AN21" i="2" s="1"/>
  <c r="AP21" i="2" s="1"/>
  <c r="AK26" i="2"/>
  <c r="AN26" i="2" s="1"/>
  <c r="AP26" i="2" s="1"/>
  <c r="AK32" i="2"/>
  <c r="AN32" i="2" s="1"/>
  <c r="AP32" i="2" s="1"/>
  <c r="Y22" i="2"/>
  <c r="Z22" i="2" s="1"/>
  <c r="AK17" i="2"/>
  <c r="AL17" i="2" s="1"/>
  <c r="AM17" i="2" s="1"/>
  <c r="Y29" i="2"/>
  <c r="X33" i="2"/>
  <c r="Y28" i="2"/>
  <c r="AK25" i="2"/>
  <c r="AN25" i="2" s="1"/>
  <c r="AP25" i="2" s="1"/>
  <c r="Y33" i="2"/>
  <c r="Y24" i="2"/>
  <c r="AK30" i="2"/>
  <c r="AN30" i="2" s="1"/>
  <c r="AP30" i="2" s="1"/>
  <c r="AA42" i="1"/>
  <c r="CV60" i="1"/>
  <c r="CW60" i="1" s="1"/>
  <c r="CV52" i="1"/>
  <c r="CW52" i="1" s="1"/>
  <c r="S42" i="1"/>
  <c r="DL26" i="1"/>
  <c r="DM26" i="1" s="1"/>
  <c r="DN26" i="1" s="1"/>
  <c r="DO26" i="1" s="1"/>
  <c r="DP26" i="1" s="1"/>
  <c r="Y34" i="2"/>
  <c r="X18" i="2"/>
  <c r="Z18" i="2" s="1"/>
  <c r="AK14" i="2"/>
  <c r="AN14" i="2" s="1"/>
  <c r="AP14" i="2" s="1"/>
  <c r="X28" i="2"/>
  <c r="X26" i="2"/>
  <c r="X29" i="2"/>
  <c r="X36" i="2"/>
  <c r="AK20" i="2"/>
  <c r="AN20" i="2" s="1"/>
  <c r="AP20" i="2" s="1"/>
  <c r="X35" i="2"/>
  <c r="AK19" i="2"/>
  <c r="AL19" i="2" s="1"/>
  <c r="AM19" i="2" s="1"/>
  <c r="X34" i="2"/>
  <c r="Z34" i="2" s="1"/>
  <c r="AK24" i="2"/>
  <c r="AL24" i="2" s="1"/>
  <c r="AM24" i="2" s="1"/>
  <c r="AK15" i="2"/>
  <c r="AN15" i="2" s="1"/>
  <c r="AP15" i="2" s="1"/>
  <c r="X30" i="2"/>
  <c r="AK13" i="2"/>
  <c r="AN13" i="2" s="1"/>
  <c r="N42" i="1"/>
  <c r="X20" i="2"/>
  <c r="Y26" i="2"/>
  <c r="Z26" i="2" s="1"/>
  <c r="X14" i="2"/>
  <c r="Z14" i="2" s="1"/>
  <c r="X32" i="2"/>
  <c r="X24" i="2"/>
  <c r="X22" i="2"/>
  <c r="AK28" i="2"/>
  <c r="AN28" i="2" s="1"/>
  <c r="AP28" i="2" s="1"/>
  <c r="AK27" i="2"/>
  <c r="AN27" i="2" s="1"/>
  <c r="AP27" i="2" s="1"/>
  <c r="AK23" i="2"/>
  <c r="AN23" i="2" s="1"/>
  <c r="AP23" i="2" s="1"/>
  <c r="DO13" i="1"/>
  <c r="DP13" i="1" s="1"/>
  <c r="AK29" i="2"/>
  <c r="AN29" i="2" s="1"/>
  <c r="AP29" i="2" s="1"/>
  <c r="Y27" i="2"/>
  <c r="Z27" i="2" s="1"/>
  <c r="Y13" i="2"/>
  <c r="AK34" i="2"/>
  <c r="AN34" i="2" s="1"/>
  <c r="AP34" i="2" s="1"/>
  <c r="AK35" i="2"/>
  <c r="AL35" i="2" s="1"/>
  <c r="AM35" i="2" s="1"/>
  <c r="Y19" i="2"/>
  <c r="Y17" i="2"/>
  <c r="Z17" i="2" s="1"/>
  <c r="AK31" i="2"/>
  <c r="AN31" i="2" s="1"/>
  <c r="AP31" i="2" s="1"/>
  <c r="Y23" i="2"/>
  <c r="Z23" i="2" s="1"/>
  <c r="Y31" i="2"/>
  <c r="X19" i="2"/>
  <c r="X16" i="2"/>
  <c r="X27" i="2"/>
  <c r="AK16" i="2"/>
  <c r="AL16" i="2" s="1"/>
  <c r="AM16" i="2" s="1"/>
  <c r="AK18" i="2"/>
  <c r="AN18" i="2" s="1"/>
  <c r="AP18" i="2" s="1"/>
  <c r="AK36" i="2"/>
  <c r="AL36" i="2" s="1"/>
  <c r="AM36" i="2" s="1"/>
  <c r="X12" i="2"/>
  <c r="X21" i="2"/>
  <c r="CV46" i="1"/>
  <c r="CW46" i="1" s="1"/>
  <c r="Y14" i="2"/>
  <c r="X25" i="2"/>
  <c r="Y21" i="2"/>
  <c r="Z21" i="2" s="1"/>
  <c r="Y35" i="2"/>
  <c r="Z35" i="2" s="1"/>
  <c r="Y20" i="2"/>
  <c r="Z20" i="2" s="1"/>
  <c r="X17" i="2"/>
  <c r="Y25" i="2"/>
  <c r="Y16" i="2"/>
  <c r="Y15" i="2"/>
  <c r="CV58" i="1"/>
  <c r="CW58" i="1" s="1"/>
  <c r="T42" i="1"/>
  <c r="Z42" i="1"/>
  <c r="DL19" i="1"/>
  <c r="DM19" i="1" s="1"/>
  <c r="DN19" i="1" s="1"/>
  <c r="DO19" i="1" s="1"/>
  <c r="DP19" i="1" s="1"/>
  <c r="DJ32" i="1"/>
  <c r="DL32" i="1"/>
  <c r="DM32" i="1" s="1"/>
  <c r="DN32" i="1" s="1"/>
  <c r="DO32" i="1" s="1"/>
  <c r="DP32" i="1" s="1"/>
  <c r="DJ28" i="1"/>
  <c r="DL28" i="1"/>
  <c r="DM28" i="1" s="1"/>
  <c r="DN28" i="1" s="1"/>
  <c r="DO28" i="1" s="1"/>
  <c r="DP28" i="1" s="1"/>
  <c r="DJ33" i="1"/>
  <c r="DL33" i="1"/>
  <c r="DM33" i="1" s="1"/>
  <c r="DN33" i="1" s="1"/>
  <c r="DO33" i="1" s="1"/>
  <c r="DP33" i="1" s="1"/>
  <c r="DL27" i="1"/>
  <c r="DM27" i="1" s="1"/>
  <c r="DN27" i="1" s="1"/>
  <c r="DO27" i="1" s="1"/>
  <c r="DP27" i="1" s="1"/>
  <c r="CV50" i="1"/>
  <c r="CW50" i="1" s="1"/>
  <c r="K42" i="1"/>
  <c r="CV48" i="1"/>
  <c r="CW48" i="1" s="1"/>
  <c r="AB42" i="1"/>
  <c r="CV47" i="1"/>
  <c r="CW47" i="1" s="1"/>
  <c r="DL34" i="1"/>
  <c r="DM34" i="1" s="1"/>
  <c r="DN34" i="1" s="1"/>
  <c r="DO34" i="1" s="1"/>
  <c r="DP34" i="1" s="1"/>
  <c r="DJ17" i="1"/>
  <c r="DL17" i="1"/>
  <c r="DM17" i="1" s="1"/>
  <c r="DN17" i="1" s="1"/>
  <c r="DO17" i="1" s="1"/>
  <c r="DP17" i="1" s="1"/>
  <c r="CV44" i="1"/>
  <c r="CW44" i="1" s="1"/>
  <c r="DL22" i="1"/>
  <c r="DM22" i="1" s="1"/>
  <c r="DN22" i="1" s="1"/>
  <c r="DO22" i="1" s="1"/>
  <c r="DP22" i="1" s="1"/>
  <c r="DL18" i="1"/>
  <c r="DM18" i="1" s="1"/>
  <c r="DN18" i="1" s="1"/>
  <c r="DO18" i="1" s="1"/>
  <c r="DP18" i="1" s="1"/>
  <c r="DJ29" i="1"/>
  <c r="DL29" i="1"/>
  <c r="DM29" i="1" s="1"/>
  <c r="DN29" i="1" s="1"/>
  <c r="DO29" i="1" s="1"/>
  <c r="DP29" i="1" s="1"/>
  <c r="DJ16" i="1"/>
  <c r="DL16" i="1"/>
  <c r="DM16" i="1" s="1"/>
  <c r="DN16" i="1" s="1"/>
  <c r="DO16" i="1" s="1"/>
  <c r="DP16" i="1" s="1"/>
  <c r="DJ21" i="1"/>
  <c r="DL21" i="1"/>
  <c r="DM21" i="1" s="1"/>
  <c r="DN21" i="1" s="1"/>
  <c r="DO21" i="1" s="1"/>
  <c r="DP21" i="1" s="1"/>
  <c r="CV42" i="1"/>
  <c r="CW42" i="1" s="1"/>
  <c r="CV41" i="1"/>
  <c r="CW41" i="1" s="1"/>
  <c r="DL14" i="1"/>
  <c r="DM14" i="1" s="1"/>
  <c r="DN14" i="1" s="1"/>
  <c r="DO14" i="1" s="1"/>
  <c r="DP14" i="1" s="1"/>
  <c r="DJ25" i="1"/>
  <c r="DL25" i="1"/>
  <c r="DM25" i="1" s="1"/>
  <c r="DJ24" i="1"/>
  <c r="DL24" i="1"/>
  <c r="DM24" i="1" s="1"/>
  <c r="DN24" i="1" s="1"/>
  <c r="DO24" i="1" s="1"/>
  <c r="DP24" i="1" s="1"/>
  <c r="DJ20" i="1"/>
  <c r="DL20" i="1"/>
  <c r="DM20" i="1" s="1"/>
  <c r="DN20" i="1" s="1"/>
  <c r="DO20" i="1" s="1"/>
  <c r="DP20" i="1" s="1"/>
  <c r="CV40" i="1"/>
  <c r="CW40" i="1" s="1"/>
  <c r="CV57" i="1"/>
  <c r="CW57" i="1" s="1"/>
  <c r="X42" i="1"/>
  <c r="AL25" i="2"/>
  <c r="AM25" i="2" s="1"/>
  <c r="AO25" i="2" s="1"/>
  <c r="AL22" i="2"/>
  <c r="AM22" i="2" s="1"/>
  <c r="AO22" i="2" s="1"/>
  <c r="Z36" i="2"/>
  <c r="AN33" i="2"/>
  <c r="AO33" i="2" s="1"/>
  <c r="Z13" i="2"/>
  <c r="Z15" i="2"/>
  <c r="AL34" i="2"/>
  <c r="AM34" i="2" s="1"/>
  <c r="AO34" i="2" s="1"/>
  <c r="Z31" i="2"/>
  <c r="AL27" i="2"/>
  <c r="AM27" i="2" s="1"/>
  <c r="AO27" i="2" s="1"/>
  <c r="Z29" i="2"/>
  <c r="AL26" i="2"/>
  <c r="AM26" i="2" s="1"/>
  <c r="AO26" i="2" s="1"/>
  <c r="AL21" i="2"/>
  <c r="AM21" i="2" s="1"/>
  <c r="AO21" i="2" s="1"/>
  <c r="AN16" i="2"/>
  <c r="AO16" i="2" s="1"/>
  <c r="AL15" i="2"/>
  <c r="AM15" i="2" s="1"/>
  <c r="AO15" i="2" s="1"/>
  <c r="AN17" i="2"/>
  <c r="AP17" i="2" s="1"/>
  <c r="Z30" i="2"/>
  <c r="Z16" i="2"/>
  <c r="AN36" i="2"/>
  <c r="Z25" i="2"/>
  <c r="AN12" i="2"/>
  <c r="AP12" i="2" s="1"/>
  <c r="AL12" i="2"/>
  <c r="AM12" i="2" s="1"/>
  <c r="Z19" i="2"/>
  <c r="AL31" i="2"/>
  <c r="AM31" i="2" s="1"/>
  <c r="AO31" i="2" s="1"/>
  <c r="AN35" i="2"/>
  <c r="AO35" i="2" s="1"/>
  <c r="Z32" i="2"/>
  <c r="Z28" i="2"/>
  <c r="Z33" i="2"/>
  <c r="Z24" i="2"/>
  <c r="AP13" i="2"/>
  <c r="DN15" i="1"/>
  <c r="DO15" i="1" s="1"/>
  <c r="DP15" i="1" s="1"/>
  <c r="DN31" i="1"/>
  <c r="DO31" i="1" s="1"/>
  <c r="DP31" i="1" s="1"/>
  <c r="DN30" i="1"/>
  <c r="DO30" i="1" s="1"/>
  <c r="DP30" i="1" s="1"/>
  <c r="DJ13" i="1"/>
  <c r="DN23" i="1"/>
  <c r="DO23" i="1" s="1"/>
  <c r="DP23" i="1" s="1"/>
  <c r="DN25" i="1"/>
  <c r="DO25" i="1" s="1"/>
  <c r="DP25" i="1" s="1"/>
  <c r="AL18" i="2" l="1"/>
  <c r="AM18" i="2" s="1"/>
  <c r="AO18" i="2" s="1"/>
  <c r="AL23" i="2"/>
  <c r="AM23" i="2" s="1"/>
  <c r="AO23" i="2" s="1"/>
  <c r="AL14" i="2"/>
  <c r="AM14" i="2" s="1"/>
  <c r="AO14" i="2" s="1"/>
  <c r="AL30" i="2"/>
  <c r="AM30" i="2" s="1"/>
  <c r="AO30" i="2" s="1"/>
  <c r="AN19" i="2"/>
  <c r="AO19" i="2" s="1"/>
  <c r="AL32" i="2"/>
  <c r="AM32" i="2" s="1"/>
  <c r="AO32" i="2" s="1"/>
  <c r="AL20" i="2"/>
  <c r="AM20" i="2" s="1"/>
  <c r="AO20" i="2" s="1"/>
  <c r="AN24" i="2"/>
  <c r="AP24" i="2" s="1"/>
  <c r="AL29" i="2"/>
  <c r="AM29" i="2" s="1"/>
  <c r="AO29" i="2" s="1"/>
  <c r="AL28" i="2"/>
  <c r="AM28" i="2" s="1"/>
  <c r="AO28" i="2" s="1"/>
  <c r="AL13" i="2"/>
  <c r="AM13" i="2" s="1"/>
  <c r="AO13" i="2" s="1"/>
  <c r="AP33" i="2"/>
  <c r="AP16" i="2"/>
  <c r="AO17" i="2"/>
  <c r="AP35" i="2"/>
  <c r="AP36" i="2"/>
  <c r="AO36" i="2"/>
  <c r="AO12" i="2"/>
  <c r="AO24" i="2" l="1"/>
  <c r="AP19" i="2"/>
</calcChain>
</file>

<file path=xl/sharedStrings.xml><?xml version="1.0" encoding="utf-8"?>
<sst xmlns="http://schemas.openxmlformats.org/spreadsheetml/2006/main" count="181" uniqueCount="74">
  <si>
    <t>Frequência [Hz]</t>
  </si>
  <si>
    <t>Ponto 1</t>
  </si>
  <si>
    <t>Ponto 2</t>
  </si>
  <si>
    <t>Ponto 3</t>
  </si>
  <si>
    <t>Ponto 4</t>
  </si>
  <si>
    <t>Ponto 5</t>
  </si>
  <si>
    <t>Im</t>
  </si>
  <si>
    <t>Re</t>
  </si>
  <si>
    <t>Velocidade pontual [m/s]</t>
  </si>
  <si>
    <t>Medição 1</t>
  </si>
  <si>
    <t>Ponto 6</t>
  </si>
  <si>
    <t>Ponto 7</t>
  </si>
  <si>
    <t>Ponto 8</t>
  </si>
  <si>
    <t>Ponto 9</t>
  </si>
  <si>
    <t>Ponto 10</t>
  </si>
  <si>
    <t>Pressão sonora [Pa]</t>
  </si>
  <si>
    <t>Medição 2</t>
  </si>
  <si>
    <t>Medição 3</t>
  </si>
  <si>
    <t>Ponto 11</t>
  </si>
  <si>
    <t>Ponto 12</t>
  </si>
  <si>
    <t>Ponto 13</t>
  </si>
  <si>
    <t>Ponto 14</t>
  </si>
  <si>
    <t>Ponto 15</t>
  </si>
  <si>
    <t>Ponto 16</t>
  </si>
  <si>
    <t>Ponto 17</t>
  </si>
  <si>
    <t>Ponto 18</t>
  </si>
  <si>
    <t>Ponto 19</t>
  </si>
  <si>
    <t>Ponto 20</t>
  </si>
  <si>
    <t>Medição 4</t>
  </si>
  <si>
    <t>AMPLITUDE DA VELOCIDADE [m/s]</t>
  </si>
  <si>
    <t>Pressão [Pa]</t>
  </si>
  <si>
    <t>Nível de pressão sonora - NPS [dB]</t>
  </si>
  <si>
    <t>10.log(sum(NPSi/10))</t>
  </si>
  <si>
    <t>Pressão média [Pa] - Ruído de fundo</t>
  </si>
  <si>
    <t>Variação de NPS</t>
  </si>
  <si>
    <t>NPS médio [dB]</t>
  </si>
  <si>
    <t>NPS fonte de referência [dB]</t>
  </si>
  <si>
    <t>Fonte de referência (Câmara II)</t>
  </si>
  <si>
    <t>Superfície radiadora</t>
  </si>
  <si>
    <t>[m²]</t>
  </si>
  <si>
    <t>L</t>
  </si>
  <si>
    <t>h</t>
  </si>
  <si>
    <t>[m]</t>
  </si>
  <si>
    <t>Impedância do ar</t>
  </si>
  <si>
    <t>[Rayls]</t>
  </si>
  <si>
    <t>P</t>
  </si>
  <si>
    <t>T</t>
  </si>
  <si>
    <t>[K]</t>
  </si>
  <si>
    <t>[°C]</t>
  </si>
  <si>
    <t>[Pa]</t>
  </si>
  <si>
    <t>[J.kg/K]</t>
  </si>
  <si>
    <t>R</t>
  </si>
  <si>
    <t>rho</t>
  </si>
  <si>
    <t>[kg/m³]</t>
  </si>
  <si>
    <t>[m/s]</t>
  </si>
  <si>
    <t>c_o</t>
  </si>
  <si>
    <t>rho_o</t>
  </si>
  <si>
    <t>NWS da Fonte de referência [dB]</t>
  </si>
  <si>
    <t>Potência radiada Wrad [watt]</t>
  </si>
  <si>
    <t>NWS da Placa [dB]</t>
  </si>
  <si>
    <t>Fonte Hinor</t>
  </si>
  <si>
    <t>Câmara receptora</t>
  </si>
  <si>
    <t>Câmara emissora</t>
  </si>
  <si>
    <t>NPS_2</t>
  </si>
  <si>
    <t>NPS_1</t>
  </si>
  <si>
    <t xml:space="preserve">omega </t>
  </si>
  <si>
    <t>rho_S</t>
  </si>
  <si>
    <t>S_p</t>
  </si>
  <si>
    <t>1.o TERMO</t>
  </si>
  <si>
    <t>2.o TERMO</t>
  </si>
  <si>
    <t>PT_al</t>
  </si>
  <si>
    <t>NPS - ruído de fundo</t>
  </si>
  <si>
    <t>Média espacial com 13 pontos</t>
  </si>
  <si>
    <t>Próximo ao ponto de excitação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</si>
</sst>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E+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3" borderId="0" xfId="0" applyFill="1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Eficiência de Radiação</a:t>
            </a:r>
          </a:p>
        </c:rich>
      </c:tx>
      <c:layout>
        <c:manualLayout>
          <c:xMode val="edge"/>
          <c:yMode val="edge"/>
          <c:x val="0.37974369221775572"/>
          <c:y val="2.444806721564557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9958041339790314E-2"/>
          <c:y val="9.5282368184989641E-2"/>
          <c:w val="0.8935471531982766"/>
          <c:h val="0.7973086451959206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25400">
                <a:solidFill>
                  <a:srgbClr val="FF0000"/>
                </a:solidFill>
              </a:ln>
            </c:spPr>
          </c:marker>
          <c:xVal>
            <c:numRef>
              <c:f>EFICIENCIA_RAD!$DA$13:$DA$34</c:f>
              <c:numCache>
                <c:formatCode>0.00</c:formatCode>
                <c:ptCount val="22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</c:numCache>
            </c:numRef>
          </c:xVal>
          <c:yVal>
            <c:numRef>
              <c:f>EFICIENCIA_RAD!$DP$13:$DP$34</c:f>
              <c:numCache>
                <c:formatCode>General</c:formatCode>
                <c:ptCount val="22"/>
                <c:pt idx="0">
                  <c:v>-38.148372026635343</c:v>
                </c:pt>
                <c:pt idx="1">
                  <c:v>-33.177694604421639</c:v>
                </c:pt>
                <c:pt idx="2">
                  <c:v>-30.629280106802309</c:v>
                </c:pt>
                <c:pt idx="3">
                  <c:v>-29.700640677252586</c:v>
                </c:pt>
                <c:pt idx="4">
                  <c:v>-24.703580164531672</c:v>
                </c:pt>
                <c:pt idx="5">
                  <c:v>-28.981132108695288</c:v>
                </c:pt>
                <c:pt idx="6">
                  <c:v>-23.992798138947084</c:v>
                </c:pt>
                <c:pt idx="7">
                  <c:v>-27.752917754047097</c:v>
                </c:pt>
                <c:pt idx="8">
                  <c:v>-25.677799447869315</c:v>
                </c:pt>
                <c:pt idx="9">
                  <c:v>-25.576474801802107</c:v>
                </c:pt>
                <c:pt idx="10">
                  <c:v>-26.363022851759204</c:v>
                </c:pt>
                <c:pt idx="11">
                  <c:v>-26.266799092901177</c:v>
                </c:pt>
                <c:pt idx="12">
                  <c:v>-26.232381659160147</c:v>
                </c:pt>
                <c:pt idx="13">
                  <c:v>-26.572629309814207</c:v>
                </c:pt>
                <c:pt idx="14">
                  <c:v>-26.224847004224934</c:v>
                </c:pt>
                <c:pt idx="15">
                  <c:v>-27.544214297480426</c:v>
                </c:pt>
                <c:pt idx="16">
                  <c:v>-25.242805150631487</c:v>
                </c:pt>
                <c:pt idx="17">
                  <c:v>-23.908000742285513</c:v>
                </c:pt>
                <c:pt idx="18">
                  <c:v>-22.17004881435852</c:v>
                </c:pt>
                <c:pt idx="19">
                  <c:v>-23.252018816952837</c:v>
                </c:pt>
                <c:pt idx="20">
                  <c:v>-23.40087457085399</c:v>
                </c:pt>
                <c:pt idx="21">
                  <c:v>-24.522324268825045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4224"/>
        <c:axId val="105534976"/>
      </c:scatterChart>
      <c:valAx>
        <c:axId val="105524224"/>
        <c:scaling>
          <c:logBase val="10"/>
          <c:orientation val="minMax"/>
          <c:min val="5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Frequência [Hz]</a:t>
                </a:r>
              </a:p>
            </c:rich>
          </c:tx>
          <c:layout>
            <c:manualLayout>
              <c:xMode val="edge"/>
              <c:yMode val="edge"/>
              <c:x val="0.44065655337386639"/>
              <c:y val="0.9368377686966344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05534976"/>
        <c:crossesAt val="-40"/>
        <c:crossBetween val="midCat"/>
      </c:valAx>
      <c:valAx>
        <c:axId val="105534976"/>
        <c:scaling>
          <c:orientation val="minMax"/>
          <c:max val="-20"/>
          <c:min val="-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n-US" sz="1600" b="1"/>
                  <a:t>Eficiência de Radiação [dB]</a:t>
                </a:r>
              </a:p>
            </c:rich>
          </c:tx>
          <c:layout>
            <c:manualLayout>
              <c:xMode val="edge"/>
              <c:yMode val="edge"/>
              <c:x val="9.0274043909092921E-3"/>
              <c:y val="0.2643242406119835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05524224"/>
        <c:crosses val="autoZero"/>
        <c:crossBetween val="midCat"/>
        <c:majorUnit val="5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>
                <a:solidFill>
                  <a:sysClr val="windowText" lastClr="000000"/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itchFamily="18" charset="0"/>
                <a:cs typeface="Times New Roman" pitchFamily="18" charset="0"/>
              </a:rPr>
              <a:t>Ruído de fundo da Câmara Reverberante</a:t>
            </a:r>
            <a:r>
              <a:rPr lang="en-US" baseline="0">
                <a:solidFill>
                  <a:sysClr val="windowText" lastClr="000000"/>
                </a:solidFill>
                <a:latin typeface="Times New Roman" pitchFamily="18" charset="0"/>
                <a:cs typeface="Times New Roman" pitchFamily="18" charset="0"/>
              </a:rPr>
              <a:t> II</a:t>
            </a:r>
            <a:endParaRPr lang="en-US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23024256611658186"/>
          <c:y val="1.012658227848101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5640360616925065E-2"/>
          <c:y val="9.0352877337829152E-2"/>
          <c:w val="0.86138141577511662"/>
          <c:h val="0.785374015748031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EFICIENCIA_RAD!$DH$9</c:f>
              <c:strCache>
                <c:ptCount val="1"/>
                <c:pt idx="0">
                  <c:v>NPS - ruído de fundo</c:v>
                </c:pt>
              </c:strCache>
            </c:strRef>
          </c:tx>
          <c:invertIfNegative val="0"/>
          <c:cat>
            <c:numRef>
              <c:f>EFICIENCIA_RAD!$DA$13:$DA$34</c:f>
              <c:numCache>
                <c:formatCode>0.00</c:formatCode>
                <c:ptCount val="22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</c:numCache>
            </c:numRef>
          </c:cat>
          <c:val>
            <c:numRef>
              <c:f>EFICIENCIA_RAD!$DH$13:$DH$34</c:f>
              <c:numCache>
                <c:formatCode>0.00</c:formatCode>
                <c:ptCount val="22"/>
                <c:pt idx="0">
                  <c:v>20.111177066458268</c:v>
                </c:pt>
                <c:pt idx="1">
                  <c:v>46.528523859603261</c:v>
                </c:pt>
                <c:pt idx="2">
                  <c:v>14.718107047237831</c:v>
                </c:pt>
                <c:pt idx="3">
                  <c:v>12.671180839608843</c:v>
                </c:pt>
                <c:pt idx="4">
                  <c:v>21.672062388480754</c:v>
                </c:pt>
                <c:pt idx="5">
                  <c:v>11.97958013078688</c:v>
                </c:pt>
                <c:pt idx="6">
                  <c:v>29.916422587982655</c:v>
                </c:pt>
                <c:pt idx="7">
                  <c:v>16.876243553630015</c:v>
                </c:pt>
                <c:pt idx="8">
                  <c:v>20.883642867356535</c:v>
                </c:pt>
                <c:pt idx="9">
                  <c:v>17.951865619471668</c:v>
                </c:pt>
                <c:pt idx="10">
                  <c:v>17.162210265187085</c:v>
                </c:pt>
                <c:pt idx="11">
                  <c:v>12.360082835865525</c:v>
                </c:pt>
                <c:pt idx="12">
                  <c:v>11.659900319703214</c:v>
                </c:pt>
                <c:pt idx="13">
                  <c:v>11.787611417576739</c:v>
                </c:pt>
                <c:pt idx="14">
                  <c:v>16.787719243082243</c:v>
                </c:pt>
                <c:pt idx="15">
                  <c:v>7.8986825514456793</c:v>
                </c:pt>
                <c:pt idx="16">
                  <c:v>8.2313588207204091</c:v>
                </c:pt>
                <c:pt idx="17">
                  <c:v>11.497156811605327</c:v>
                </c:pt>
                <c:pt idx="18">
                  <c:v>8.4732846783351032</c:v>
                </c:pt>
                <c:pt idx="19">
                  <c:v>7.3225208231565269</c:v>
                </c:pt>
                <c:pt idx="20">
                  <c:v>7.1972539202090484</c:v>
                </c:pt>
                <c:pt idx="21">
                  <c:v>7.235984110140512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77"/>
        <c:axId val="105571840"/>
        <c:axId val="105573760"/>
      </c:barChart>
      <c:catAx>
        <c:axId val="10557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>
                    <a:solidFill>
                      <a:sysClr val="windowText" lastClr="000000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itchFamily="18" charset="0"/>
                    <a:cs typeface="Times New Roman" pitchFamily="18" charset="0"/>
                  </a:rPr>
                  <a:t>Frequência [Hz]</a:t>
                </a:r>
              </a:p>
            </c:rich>
          </c:tx>
          <c:layout>
            <c:manualLayout>
              <c:xMode val="edge"/>
              <c:yMode val="edge"/>
              <c:x val="0.4406565533738665"/>
              <c:y val="0.9368377686966344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>
                <a:solidFill>
                  <a:sysClr val="windowText" lastClr="000000"/>
                </a:solidFill>
                <a:latin typeface="Times New Roman" pitchFamily="18" charset="0"/>
                <a:cs typeface="Times New Roman" pitchFamily="18" charset="0"/>
              </a:defRPr>
            </a:pPr>
            <a:endParaRPr lang="pt-BR"/>
          </a:p>
        </c:txPr>
        <c:crossAx val="105573760"/>
        <c:crosses val="autoZero"/>
        <c:auto val="1"/>
        <c:lblAlgn val="ctr"/>
        <c:lblOffset val="100"/>
        <c:noMultiLvlLbl val="0"/>
      </c:catAx>
      <c:valAx>
        <c:axId val="105573760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ysClr val="windowText" lastClr="000000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itchFamily="18" charset="0"/>
                    <a:cs typeface="Times New Roman" pitchFamily="18" charset="0"/>
                  </a:rPr>
                  <a:t>Nível de potência sonora [dB]</a:t>
                </a:r>
              </a:p>
            </c:rich>
          </c:tx>
          <c:layout>
            <c:manualLayout>
              <c:xMode val="edge"/>
              <c:yMode val="edge"/>
              <c:x val="1.9052486793581198E-2"/>
              <c:y val="0.281032592444931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  <a:latin typeface="Times New Roman" pitchFamily="18" charset="0"/>
                <a:cs typeface="Times New Roman" pitchFamily="18" charset="0"/>
              </a:defRPr>
            </a:pPr>
            <a:endParaRPr lang="pt-BR"/>
          </a:p>
        </c:txPr>
        <c:crossAx val="105571840"/>
        <c:crosses val="autoZero"/>
        <c:crossBetween val="between"/>
      </c:valAx>
      <c:spPr>
        <a:solidFill>
          <a:sysClr val="window" lastClr="FFFFFF"/>
        </a:solidFill>
        <a:ln>
          <a:solidFill>
            <a:sysClr val="windowText" lastClr="000000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400">
                <a:solidFill>
                  <a:sysClr val="windowText" lastClr="000000"/>
                </a:solidFill>
              </a:defRPr>
            </a:pPr>
            <a:endParaRPr lang="pt-BR"/>
          </a:p>
        </c:txPr>
      </c:legendEntry>
      <c:layout>
        <c:manualLayout>
          <c:xMode val="edge"/>
          <c:yMode val="edge"/>
          <c:x val="0.65190781722790592"/>
          <c:y val="0.10811755474851328"/>
          <c:w val="0.27594879488287888"/>
          <c:h val="0.1199987113544615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pt-BR"/>
        </a:p>
      </c:txPr>
    </c:legend>
    <c:plotVisOnly val="1"/>
    <c:dispBlanksAs val="gap"/>
    <c:showDLblsOverMax val="0"/>
  </c:chart>
  <c:spPr>
    <a:solidFill>
      <a:sysClr val="window" lastClr="FFFFFF"/>
    </a:solidFill>
    <a:ln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Potência</a:t>
            </a:r>
            <a:r>
              <a:rPr lang="en-US" baseline="0"/>
              <a:t> sonora radiada pela Placa</a:t>
            </a:r>
            <a:endParaRPr lang="en-US"/>
          </a:p>
        </c:rich>
      </c:tx>
      <c:layout>
        <c:manualLayout>
          <c:xMode val="edge"/>
          <c:yMode val="edge"/>
          <c:x val="0.27329959965983802"/>
          <c:y val="1.752072749474692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2723245439314729E-2"/>
          <c:y val="9.5282368184989766E-2"/>
          <c:w val="0.89582702592746388"/>
          <c:h val="0.80016232276029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EFICIENCIA_RAD!$DL$9</c:f>
              <c:strCache>
                <c:ptCount val="1"/>
                <c:pt idx="0">
                  <c:v>NWS da Placa [dB]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25400">
                <a:solidFill>
                  <a:srgbClr val="FF0000"/>
                </a:solidFill>
              </a:ln>
            </c:spPr>
          </c:marker>
          <c:xVal>
            <c:numRef>
              <c:f>EFICIENCIA_RAD!$DA$13:$DA$34</c:f>
              <c:numCache>
                <c:formatCode>0.00</c:formatCode>
                <c:ptCount val="22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</c:numCache>
            </c:numRef>
          </c:xVal>
          <c:yVal>
            <c:numRef>
              <c:f>EFICIENCIA_RAD!$DL$13:$DL$34</c:f>
              <c:numCache>
                <c:formatCode>0.00</c:formatCode>
                <c:ptCount val="22"/>
                <c:pt idx="0">
                  <c:v>57.698508619834911</c:v>
                </c:pt>
                <c:pt idx="1">
                  <c:v>63.291788610664682</c:v>
                </c:pt>
                <c:pt idx="2">
                  <c:v>67.256379319728154</c:v>
                </c:pt>
                <c:pt idx="3">
                  <c:v>66.282488727753758</c:v>
                </c:pt>
                <c:pt idx="4">
                  <c:v>71.701012758983069</c:v>
                </c:pt>
                <c:pt idx="5">
                  <c:v>68.03408205484196</c:v>
                </c:pt>
                <c:pt idx="6">
                  <c:v>71.281009917535869</c:v>
                </c:pt>
                <c:pt idx="7">
                  <c:v>66.173009909603905</c:v>
                </c:pt>
                <c:pt idx="8">
                  <c:v>67.896641734814523</c:v>
                </c:pt>
                <c:pt idx="9">
                  <c:v>65.977218294035652</c:v>
                </c:pt>
                <c:pt idx="10">
                  <c:v>63.482349534067779</c:v>
                </c:pt>
                <c:pt idx="11">
                  <c:v>62.479322702071293</c:v>
                </c:pt>
                <c:pt idx="12">
                  <c:v>61.797200685778598</c:v>
                </c:pt>
                <c:pt idx="13">
                  <c:v>61.184528306808531</c:v>
                </c:pt>
                <c:pt idx="14">
                  <c:v>61.084951026795309</c:v>
                </c:pt>
                <c:pt idx="15">
                  <c:v>60.623699678882808</c:v>
                </c:pt>
                <c:pt idx="16">
                  <c:v>65.104880321862595</c:v>
                </c:pt>
                <c:pt idx="17">
                  <c:v>71.271972208020316</c:v>
                </c:pt>
                <c:pt idx="18">
                  <c:v>66.547122869154407</c:v>
                </c:pt>
                <c:pt idx="19">
                  <c:v>58.393880849332135</c:v>
                </c:pt>
                <c:pt idx="20">
                  <c:v>54.268656859684285</c:v>
                </c:pt>
                <c:pt idx="21">
                  <c:v>55.696188625563593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EFICIENCIA_RAD!$DE$9</c:f>
              <c:strCache>
                <c:ptCount val="1"/>
                <c:pt idx="0">
                  <c:v>NWS da Fonte de referência [dB]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8"/>
            <c:spPr>
              <a:solidFill>
                <a:sysClr val="windowText" lastClr="000000"/>
              </a:solidFill>
              <a:ln w="25400">
                <a:solidFill>
                  <a:srgbClr val="00B0F0"/>
                </a:solidFill>
              </a:ln>
            </c:spPr>
          </c:marker>
          <c:xVal>
            <c:numRef>
              <c:f>EFICIENCIA_RAD!$DA$13:$DA$34</c:f>
              <c:numCache>
                <c:formatCode>0.00</c:formatCode>
                <c:ptCount val="22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</c:numCache>
            </c:numRef>
          </c:xVal>
          <c:yVal>
            <c:numRef>
              <c:f>EFICIENCIA_RAD!$DE$13:$DE$34</c:f>
              <c:numCache>
                <c:formatCode>General</c:formatCode>
                <c:ptCount val="22"/>
                <c:pt idx="0">
                  <c:v>79.8</c:v>
                </c:pt>
                <c:pt idx="1">
                  <c:v>80.900000000000006</c:v>
                </c:pt>
                <c:pt idx="2">
                  <c:v>79.7</c:v>
                </c:pt>
                <c:pt idx="3">
                  <c:v>81.3</c:v>
                </c:pt>
                <c:pt idx="4">
                  <c:v>79.8</c:v>
                </c:pt>
                <c:pt idx="5">
                  <c:v>80.099999999999994</c:v>
                </c:pt>
                <c:pt idx="6">
                  <c:v>80.599999999999994</c:v>
                </c:pt>
                <c:pt idx="7">
                  <c:v>80.3</c:v>
                </c:pt>
                <c:pt idx="8">
                  <c:v>80</c:v>
                </c:pt>
                <c:pt idx="9">
                  <c:v>79.900000000000006</c:v>
                </c:pt>
                <c:pt idx="10">
                  <c:v>80.099999999999994</c:v>
                </c:pt>
                <c:pt idx="11">
                  <c:v>80.599999999999994</c:v>
                </c:pt>
                <c:pt idx="12">
                  <c:v>82.4</c:v>
                </c:pt>
                <c:pt idx="13">
                  <c:v>83.3</c:v>
                </c:pt>
                <c:pt idx="14">
                  <c:v>84.6</c:v>
                </c:pt>
                <c:pt idx="15">
                  <c:v>83.3</c:v>
                </c:pt>
                <c:pt idx="16">
                  <c:v>85.6</c:v>
                </c:pt>
                <c:pt idx="17">
                  <c:v>84.2</c:v>
                </c:pt>
                <c:pt idx="18">
                  <c:v>83.1</c:v>
                </c:pt>
                <c:pt idx="19">
                  <c:v>83</c:v>
                </c:pt>
                <c:pt idx="20">
                  <c:v>82.3</c:v>
                </c:pt>
                <c:pt idx="21">
                  <c:v>81.5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648"/>
        <c:axId val="107598208"/>
      </c:scatterChart>
      <c:valAx>
        <c:axId val="107595648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Frequência [Hz]</a:t>
                </a:r>
              </a:p>
            </c:rich>
          </c:tx>
          <c:layout>
            <c:manualLayout>
              <c:xMode val="edge"/>
              <c:yMode val="edge"/>
              <c:x val="0.44065655337386661"/>
              <c:y val="0.9368377686966344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07598208"/>
        <c:crosses val="autoZero"/>
        <c:crossBetween val="midCat"/>
      </c:valAx>
      <c:valAx>
        <c:axId val="10759820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Nível de potência sonora [dB]</a:t>
                </a:r>
              </a:p>
            </c:rich>
          </c:tx>
          <c:layout>
            <c:manualLayout>
              <c:xMode val="edge"/>
              <c:yMode val="edge"/>
              <c:x val="9.0058172222551858E-3"/>
              <c:y val="0.298285732694936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0759564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67487157754365856"/>
          <c:y val="0.73662336442449516"/>
          <c:w val="0.27594879488287904"/>
          <c:h val="0.11999871135446155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</c:spPr>
      <c:txPr>
        <a:bodyPr/>
        <a:lstStyle/>
        <a:p>
          <a:pPr>
            <a:defRPr sz="1100"/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>
                <a:solidFill>
                  <a:sysClr val="windowText" lastClr="000000"/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itchFamily="18" charset="0"/>
                <a:cs typeface="Times New Roman" pitchFamily="18" charset="0"/>
              </a:rPr>
              <a:t>Ruído de fundo da Câmara Reverberante</a:t>
            </a:r>
            <a:r>
              <a:rPr lang="en-US" baseline="0">
                <a:solidFill>
                  <a:sysClr val="windowText" lastClr="000000"/>
                </a:solidFill>
                <a:latin typeface="Times New Roman" pitchFamily="18" charset="0"/>
                <a:cs typeface="Times New Roman" pitchFamily="18" charset="0"/>
              </a:rPr>
              <a:t> I</a:t>
            </a:r>
            <a:endParaRPr lang="en-US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26612342456116556"/>
          <c:y val="1.012654149855891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5640360616925065E-2"/>
          <c:y val="9.0352877337829221E-2"/>
          <c:w val="0.88147467573011917"/>
          <c:h val="0.785374015748031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EFICIENCIA_RAD!$EE$9</c:f>
              <c:strCache>
                <c:ptCount val="1"/>
                <c:pt idx="0">
                  <c:v>NPS - ruído de fundo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C00000"/>
              </a:solidFill>
            </a:ln>
          </c:spPr>
          <c:invertIfNegative val="0"/>
          <c:cat>
            <c:numRef>
              <c:f>EFICIENCIA_RAD!$DA$13:$DA$34</c:f>
              <c:numCache>
                <c:formatCode>0.00</c:formatCode>
                <c:ptCount val="22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</c:numCache>
            </c:numRef>
          </c:cat>
          <c:val>
            <c:numRef>
              <c:f>EFICIENCIA_RAD!$EE$13:$EE$34</c:f>
              <c:numCache>
                <c:formatCode>0.00E+00</c:formatCode>
                <c:ptCount val="22"/>
                <c:pt idx="0">
                  <c:v>26.503877144913595</c:v>
                </c:pt>
                <c:pt idx="1">
                  <c:v>28.620384302186096</c:v>
                </c:pt>
                <c:pt idx="2">
                  <c:v>18.054582268884751</c:v>
                </c:pt>
                <c:pt idx="3">
                  <c:v>19.809340420942515</c:v>
                </c:pt>
                <c:pt idx="4">
                  <c:v>27.699465292940211</c:v>
                </c:pt>
                <c:pt idx="5">
                  <c:v>15.162760249902909</c:v>
                </c:pt>
                <c:pt idx="6">
                  <c:v>10.867875821619757</c:v>
                </c:pt>
                <c:pt idx="7">
                  <c:v>11.939517016632227</c:v>
                </c:pt>
                <c:pt idx="8">
                  <c:v>8.9082087416002693</c:v>
                </c:pt>
                <c:pt idx="9">
                  <c:v>3.4391265359674206</c:v>
                </c:pt>
                <c:pt idx="10">
                  <c:v>4.6454769642074609</c:v>
                </c:pt>
                <c:pt idx="11">
                  <c:v>6.5020771632775016</c:v>
                </c:pt>
                <c:pt idx="12">
                  <c:v>7.5918411460030022</c:v>
                </c:pt>
                <c:pt idx="13">
                  <c:v>5.2818080141659784</c:v>
                </c:pt>
                <c:pt idx="14">
                  <c:v>4.8664229885590711</c:v>
                </c:pt>
                <c:pt idx="15">
                  <c:v>4.3764585339102631</c:v>
                </c:pt>
                <c:pt idx="16">
                  <c:v>4.7101528924275708</c:v>
                </c:pt>
                <c:pt idx="17">
                  <c:v>4.4916669359636154</c:v>
                </c:pt>
                <c:pt idx="18">
                  <c:v>5.1943880317403144</c:v>
                </c:pt>
                <c:pt idx="19">
                  <c:v>5.7968788419322692</c:v>
                </c:pt>
                <c:pt idx="20">
                  <c:v>6.5016389353887707</c:v>
                </c:pt>
                <c:pt idx="21">
                  <c:v>7.0501718077497859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77"/>
        <c:axId val="107646976"/>
        <c:axId val="107648896"/>
      </c:barChart>
      <c:catAx>
        <c:axId val="10764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>
                    <a:solidFill>
                      <a:sysClr val="windowText" lastClr="000000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itchFamily="18" charset="0"/>
                    <a:cs typeface="Times New Roman" pitchFamily="18" charset="0"/>
                  </a:rPr>
                  <a:t>Frequência [Hz]</a:t>
                </a:r>
              </a:p>
            </c:rich>
          </c:tx>
          <c:layout>
            <c:manualLayout>
              <c:xMode val="edge"/>
              <c:yMode val="edge"/>
              <c:x val="0.44065655337386661"/>
              <c:y val="0.9368377686966344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>
                <a:solidFill>
                  <a:sysClr val="windowText" lastClr="000000"/>
                </a:solidFill>
                <a:latin typeface="Times New Roman" pitchFamily="18" charset="0"/>
                <a:cs typeface="Times New Roman" pitchFamily="18" charset="0"/>
              </a:defRPr>
            </a:pPr>
            <a:endParaRPr lang="pt-BR"/>
          </a:p>
        </c:txPr>
        <c:crossAx val="107648896"/>
        <c:crosses val="autoZero"/>
        <c:auto val="1"/>
        <c:lblAlgn val="ctr"/>
        <c:lblOffset val="100"/>
        <c:noMultiLvlLbl val="0"/>
      </c:catAx>
      <c:valAx>
        <c:axId val="107648896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ysClr val="windowText" lastClr="000000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itchFamily="18" charset="0"/>
                    <a:cs typeface="Times New Roman" pitchFamily="18" charset="0"/>
                  </a:rPr>
                  <a:t>Nível de potência sonora [dB]</a:t>
                </a:r>
              </a:p>
            </c:rich>
          </c:tx>
          <c:layout>
            <c:manualLayout>
              <c:xMode val="edge"/>
              <c:yMode val="edge"/>
              <c:x val="1.9052486793581201E-2"/>
              <c:y val="0.281032592444931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  <a:latin typeface="Times New Roman" pitchFamily="18" charset="0"/>
                <a:cs typeface="Times New Roman" pitchFamily="18" charset="0"/>
              </a:defRPr>
            </a:pPr>
            <a:endParaRPr lang="pt-BR"/>
          </a:p>
        </c:txPr>
        <c:crossAx val="107646976"/>
        <c:crosses val="autoZero"/>
        <c:crossBetween val="between"/>
      </c:valAx>
      <c:spPr>
        <a:solidFill>
          <a:sysClr val="window" lastClr="FFFFFF"/>
        </a:solidFill>
        <a:ln>
          <a:solidFill>
            <a:sysClr val="windowText" lastClr="000000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400">
                <a:solidFill>
                  <a:sysClr val="windowText" lastClr="000000"/>
                </a:solidFill>
              </a:defRPr>
            </a:pPr>
            <a:endParaRPr lang="pt-BR"/>
          </a:p>
        </c:txPr>
      </c:legendEntry>
      <c:layout>
        <c:manualLayout>
          <c:xMode val="edge"/>
          <c:yMode val="edge"/>
          <c:x val="0.71505815809622286"/>
          <c:y val="0.11058228341390927"/>
          <c:w val="0.23432697931057864"/>
          <c:h val="8.795723870431350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pt-BR"/>
        </a:p>
      </c:txPr>
    </c:legend>
    <c:plotVisOnly val="1"/>
    <c:dispBlanksAs val="gap"/>
    <c:showDLblsOverMax val="0"/>
  </c:chart>
  <c:spPr>
    <a:solidFill>
      <a:sysClr val="window" lastClr="FFFFFF"/>
    </a:solidFill>
    <a:ln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Times New Roman" pitchFamily="18" charset="0"/>
                <a:cs typeface="Times New Roman" pitchFamily="18" charset="0"/>
              </a:defRPr>
            </a:pPr>
            <a:r>
              <a:rPr lang="en-US" sz="2000">
                <a:latin typeface="Times New Roman" pitchFamily="18" charset="0"/>
                <a:cs typeface="Times New Roman" pitchFamily="18" charset="0"/>
              </a:rPr>
              <a:t>Comparação das velocidades quadráticas da placa</a:t>
            </a:r>
          </a:p>
        </c:rich>
      </c:tx>
      <c:layout>
        <c:manualLayout>
          <c:xMode val="edge"/>
          <c:yMode val="edge"/>
          <c:x val="0.29499201808173825"/>
          <c:y val="2.658486279489512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9451729412845942E-2"/>
          <c:y val="0.1064698796402944"/>
          <c:w val="0.90846628267580865"/>
          <c:h val="0.803652351150129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EFICIENCIA_RAD!$CI$9</c:f>
              <c:strCache>
                <c:ptCount val="1"/>
                <c:pt idx="0">
                  <c:v>Próximo ao ponto de excitação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EFICIENCIA_RAD!$BJ$10:$BJ$34</c:f>
              <c:numCache>
                <c:formatCode>0.00E+00</c:formatCode>
                <c:ptCount val="25"/>
                <c:pt idx="0">
                  <c:v>25</c:v>
                </c:pt>
                <c:pt idx="1">
                  <c:v>31.5</c:v>
                </c:pt>
                <c:pt idx="2">
                  <c:v>40</c:v>
                </c:pt>
                <c:pt idx="3">
                  <c:v>50</c:v>
                </c:pt>
                <c:pt idx="4">
                  <c:v>63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160</c:v>
                </c:pt>
                <c:pt idx="9">
                  <c:v>200</c:v>
                </c:pt>
                <c:pt idx="10">
                  <c:v>250</c:v>
                </c:pt>
                <c:pt idx="11">
                  <c:v>315</c:v>
                </c:pt>
                <c:pt idx="12">
                  <c:v>400</c:v>
                </c:pt>
                <c:pt idx="13">
                  <c:v>500</c:v>
                </c:pt>
                <c:pt idx="14">
                  <c:v>630</c:v>
                </c:pt>
                <c:pt idx="15">
                  <c:v>800</c:v>
                </c:pt>
                <c:pt idx="16">
                  <c:v>1000</c:v>
                </c:pt>
                <c:pt idx="17">
                  <c:v>1250</c:v>
                </c:pt>
                <c:pt idx="18">
                  <c:v>1600</c:v>
                </c:pt>
                <c:pt idx="19">
                  <c:v>2000</c:v>
                </c:pt>
                <c:pt idx="20">
                  <c:v>2500</c:v>
                </c:pt>
                <c:pt idx="21">
                  <c:v>3150</c:v>
                </c:pt>
                <c:pt idx="22">
                  <c:v>4000</c:v>
                </c:pt>
                <c:pt idx="23">
                  <c:v>5000</c:v>
                </c:pt>
                <c:pt idx="24">
                  <c:v>6300</c:v>
                </c:pt>
              </c:numCache>
            </c:numRef>
          </c:xVal>
          <c:yVal>
            <c:numRef>
              <c:f>EFICIENCIA_RAD!$CI$10:$CI$34</c:f>
              <c:numCache>
                <c:formatCode>General</c:formatCode>
                <c:ptCount val="25"/>
                <c:pt idx="0">
                  <c:v>67.166130099151587</c:v>
                </c:pt>
                <c:pt idx="1">
                  <c:v>70.29413132987527</c:v>
                </c:pt>
                <c:pt idx="2">
                  <c:v>68.604865757525658</c:v>
                </c:pt>
                <c:pt idx="3">
                  <c:v>72.231256672577075</c:v>
                </c:pt>
                <c:pt idx="4">
                  <c:v>73.63903987249509</c:v>
                </c:pt>
                <c:pt idx="5">
                  <c:v>73.859240810126551</c:v>
                </c:pt>
                <c:pt idx="6">
                  <c:v>75.712989155603324</c:v>
                </c:pt>
                <c:pt idx="7">
                  <c:v>73.947753662482796</c:v>
                </c:pt>
                <c:pt idx="8">
                  <c:v>74.993540807466005</c:v>
                </c:pt>
                <c:pt idx="9">
                  <c:v>74.180978809247108</c:v>
                </c:pt>
                <c:pt idx="10">
                  <c:v>73.608563302183427</c:v>
                </c:pt>
                <c:pt idx="11">
                  <c:v>72.872460099232384</c:v>
                </c:pt>
                <c:pt idx="12">
                  <c:v>71.940157735950436</c:v>
                </c:pt>
                <c:pt idx="13">
                  <c:v>70.956146140153294</c:v>
                </c:pt>
                <c:pt idx="14">
                  <c:v>69.743364467112244</c:v>
                </c:pt>
                <c:pt idx="15">
                  <c:v>69.55826239583682</c:v>
                </c:pt>
                <c:pt idx="16">
                  <c:v>69.584049318318463</c:v>
                </c:pt>
                <c:pt idx="17">
                  <c:v>69.513072256818802</c:v>
                </c:pt>
                <c:pt idx="18">
                  <c:v>70.430081421836377</c:v>
                </c:pt>
                <c:pt idx="19">
                  <c:v>72.938324882059476</c:v>
                </c:pt>
                <c:pt idx="20">
                  <c:v>77.781958010701274</c:v>
                </c:pt>
                <c:pt idx="21">
                  <c:v>71.328768700629141</c:v>
                </c:pt>
                <c:pt idx="22">
                  <c:v>64.615669094390014</c:v>
                </c:pt>
                <c:pt idx="23">
                  <c:v>61.101944976916009</c:v>
                </c:pt>
                <c:pt idx="24">
                  <c:v>63.935181836098593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EFICIENCIA_RAD!$CJ$9</c:f>
              <c:strCache>
                <c:ptCount val="1"/>
                <c:pt idx="0">
                  <c:v>Média espacial com 13 pontos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EFICIENCIA_RAD!$BJ$10:$BJ$34</c:f>
              <c:numCache>
                <c:formatCode>0.00E+00</c:formatCode>
                <c:ptCount val="25"/>
                <c:pt idx="0">
                  <c:v>25</c:v>
                </c:pt>
                <c:pt idx="1">
                  <c:v>31.5</c:v>
                </c:pt>
                <c:pt idx="2">
                  <c:v>40</c:v>
                </c:pt>
                <c:pt idx="3">
                  <c:v>50</c:v>
                </c:pt>
                <c:pt idx="4">
                  <c:v>63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160</c:v>
                </c:pt>
                <c:pt idx="9">
                  <c:v>200</c:v>
                </c:pt>
                <c:pt idx="10">
                  <c:v>250</c:v>
                </c:pt>
                <c:pt idx="11">
                  <c:v>315</c:v>
                </c:pt>
                <c:pt idx="12">
                  <c:v>400</c:v>
                </c:pt>
                <c:pt idx="13">
                  <c:v>500</c:v>
                </c:pt>
                <c:pt idx="14">
                  <c:v>630</c:v>
                </c:pt>
                <c:pt idx="15">
                  <c:v>800</c:v>
                </c:pt>
                <c:pt idx="16">
                  <c:v>1000</c:v>
                </c:pt>
                <c:pt idx="17">
                  <c:v>1250</c:v>
                </c:pt>
                <c:pt idx="18">
                  <c:v>1600</c:v>
                </c:pt>
                <c:pt idx="19">
                  <c:v>2000</c:v>
                </c:pt>
                <c:pt idx="20">
                  <c:v>2500</c:v>
                </c:pt>
                <c:pt idx="21">
                  <c:v>3150</c:v>
                </c:pt>
                <c:pt idx="22">
                  <c:v>4000</c:v>
                </c:pt>
                <c:pt idx="23">
                  <c:v>5000</c:v>
                </c:pt>
                <c:pt idx="24">
                  <c:v>6300</c:v>
                </c:pt>
              </c:numCache>
            </c:numRef>
          </c:xVal>
          <c:yVal>
            <c:numRef>
              <c:f>EFICIENCIA_RAD!$CJ$10:$CJ$34</c:f>
              <c:numCache>
                <c:formatCode>General</c:formatCode>
                <c:ptCount val="25"/>
                <c:pt idx="0">
                  <c:v>61.164339661542115</c:v>
                </c:pt>
                <c:pt idx="1">
                  <c:v>63.436688916196651</c:v>
                </c:pt>
                <c:pt idx="2">
                  <c:v>66.640419460339814</c:v>
                </c:pt>
                <c:pt idx="3">
                  <c:v>64.371122252174587</c:v>
                </c:pt>
                <c:pt idx="4">
                  <c:v>66.977686192784887</c:v>
                </c:pt>
                <c:pt idx="5">
                  <c:v>68.239590895226883</c:v>
                </c:pt>
                <c:pt idx="6">
                  <c:v>65.046101761649155</c:v>
                </c:pt>
                <c:pt idx="7">
                  <c:v>66.894597284425473</c:v>
                </c:pt>
                <c:pt idx="8">
                  <c:v>67.381808328399416</c:v>
                </c:pt>
                <c:pt idx="9">
                  <c:v>65.128814427631141</c:v>
                </c:pt>
                <c:pt idx="10">
                  <c:v>63.436087444169374</c:v>
                </c:pt>
                <c:pt idx="11">
                  <c:v>63.003138152176057</c:v>
                </c:pt>
                <c:pt idx="12">
                  <c:v>60.540583250109783</c:v>
                </c:pt>
                <c:pt idx="13">
                  <c:v>58.481408410714906</c:v>
                </c:pt>
                <c:pt idx="14">
                  <c:v>56.973141755389946</c:v>
                </c:pt>
                <c:pt idx="15">
                  <c:v>55.947940639281327</c:v>
                </c:pt>
                <c:pt idx="16">
                  <c:v>55.565027542519516</c:v>
                </c:pt>
                <c:pt idx="17">
                  <c:v>54.022553652312837</c:v>
                </c:pt>
                <c:pt idx="18">
                  <c:v>55.119435690820609</c:v>
                </c:pt>
                <c:pt idx="19">
                  <c:v>56.793360326070292</c:v>
                </c:pt>
                <c:pt idx="20">
                  <c:v>61.291274034458553</c:v>
                </c:pt>
                <c:pt idx="21">
                  <c:v>54.804551025156783</c:v>
                </c:pt>
                <c:pt idx="22">
                  <c:v>46.825634749125804</c:v>
                </c:pt>
                <c:pt idx="23">
                  <c:v>41.029583106612634</c:v>
                </c:pt>
                <c:pt idx="24">
                  <c:v>41.037223931208437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94048"/>
        <c:axId val="109795968"/>
      </c:scatterChart>
      <c:valAx>
        <c:axId val="10979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Frequência [Hz]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pt-BR"/>
          </a:p>
        </c:txPr>
        <c:crossAx val="109795968"/>
        <c:crosses val="autoZero"/>
        <c:crossBetween val="midCat"/>
      </c:valAx>
      <c:valAx>
        <c:axId val="109795968"/>
        <c:scaling>
          <c:orientation val="minMax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Amplitude da velocidade quadrática </a:t>
                </a:r>
              </a:p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em dB [v</a:t>
                </a:r>
                <a:r>
                  <a:rPr lang="en-US" sz="1050" b="0">
                    <a:latin typeface="Times New Roman" pitchFamily="18" charset="0"/>
                    <a:cs typeface="Times New Roman" pitchFamily="18" charset="0"/>
                  </a:rPr>
                  <a:t>ref</a:t>
                </a: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 = 1 mm/s]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pt-BR"/>
          </a:p>
        </c:txPr>
        <c:crossAx val="10979404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4949716706268654"/>
          <c:y val="0.11983557640764916"/>
          <c:w val="0.21956811902111245"/>
          <c:h val="0.1191992143375981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400">
              <a:latin typeface="Times New Roman" pitchFamily="18" charset="0"/>
              <a:cs typeface="Times New Roman" pitchFamily="18" charset="0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Perda</a:t>
            </a:r>
            <a:r>
              <a:rPr lang="en-US" baseline="0"/>
              <a:t> de transmissão através da Placa fina de alumínio</a:t>
            </a:r>
            <a:endParaRPr lang="en-US"/>
          </a:p>
        </c:rich>
      </c:tx>
      <c:layout>
        <c:manualLayout>
          <c:xMode val="edge"/>
          <c:yMode val="edge"/>
          <c:x val="0.17924246169501809"/>
          <c:y val="2.444806721564557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9958041339790314E-2"/>
          <c:y val="9.528236818498971E-2"/>
          <c:w val="0.88280906058069142"/>
          <c:h val="0.79730864519592048"/>
        </c:manualLayout>
      </c:layout>
      <c:scatterChart>
        <c:scatterStyle val="smoothMarker"/>
        <c:varyColors val="0"/>
        <c:ser>
          <c:idx val="1"/>
          <c:order val="0"/>
          <c:tx>
            <c:v>FONTE - CAIXA DE SOM HINOR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 w="25400">
                <a:solidFill>
                  <a:srgbClr val="00B050"/>
                </a:solidFill>
              </a:ln>
            </c:spPr>
          </c:marker>
          <c:xVal>
            <c:numRef>
              <c:f>PERDA_TRANSMISSAO!$C$15:$C$36</c:f>
              <c:numCache>
                <c:formatCode>0.00</c:formatCode>
                <c:ptCount val="22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</c:numCache>
            </c:numRef>
          </c:xVal>
          <c:yVal>
            <c:numRef>
              <c:f>PERDA_TRANSMISSAO!$M$15:$M$36</c:f>
              <c:numCache>
                <c:formatCode>General</c:formatCode>
                <c:ptCount val="22"/>
                <c:pt idx="0">
                  <c:v>8.3831999530697576</c:v>
                </c:pt>
                <c:pt idx="1">
                  <c:v>12.000907549830945</c:v>
                </c:pt>
                <c:pt idx="2">
                  <c:v>11.175205994357167</c:v>
                </c:pt>
                <c:pt idx="3">
                  <c:v>2.6732896638201513</c:v>
                </c:pt>
                <c:pt idx="4">
                  <c:v>7.090608700225264</c:v>
                </c:pt>
                <c:pt idx="5">
                  <c:v>12.412739651892398</c:v>
                </c:pt>
                <c:pt idx="6">
                  <c:v>11.414636091651364</c:v>
                </c:pt>
                <c:pt idx="7">
                  <c:v>13.22753775871838</c:v>
                </c:pt>
                <c:pt idx="8">
                  <c:v>12.856064703864615</c:v>
                </c:pt>
                <c:pt idx="9">
                  <c:v>15.795269308357884</c:v>
                </c:pt>
                <c:pt idx="10">
                  <c:v>17.44841685448203</c:v>
                </c:pt>
                <c:pt idx="11">
                  <c:v>19.068874130917205</c:v>
                </c:pt>
                <c:pt idx="12">
                  <c:v>20.683070650228931</c:v>
                </c:pt>
                <c:pt idx="13">
                  <c:v>23.332659553603239</c:v>
                </c:pt>
                <c:pt idx="14">
                  <c:v>24.990504397140523</c:v>
                </c:pt>
                <c:pt idx="15">
                  <c:v>28.274003832253374</c:v>
                </c:pt>
                <c:pt idx="16">
                  <c:v>28.127528749499877</c:v>
                </c:pt>
                <c:pt idx="17">
                  <c:v>29.942395428418532</c:v>
                </c:pt>
                <c:pt idx="18">
                  <c:v>31.241379879039204</c:v>
                </c:pt>
                <c:pt idx="19">
                  <c:v>32.971780670107293</c:v>
                </c:pt>
                <c:pt idx="20">
                  <c:v>33.898052576482556</c:v>
                </c:pt>
                <c:pt idx="21">
                  <c:v>35.244852189162486</c:v>
                </c:pt>
              </c:numCache>
            </c:numRef>
          </c:yVal>
          <c:smooth val="1"/>
        </c:ser>
        <c:ser>
          <c:idx val="0"/>
          <c:order val="1"/>
          <c:tx>
            <c:v>FONTE DE REFERÊNCIA AERODINÂMICA</c:v>
          </c:tx>
          <c:spPr>
            <a:ln w="19050">
              <a:solidFill>
                <a:srgbClr val="FF0000"/>
              </a:solidFill>
            </a:ln>
          </c:spPr>
          <c:marker>
            <c:spPr>
              <a:ln w="19050">
                <a:solidFill>
                  <a:srgbClr val="FF0000"/>
                </a:solidFill>
              </a:ln>
            </c:spPr>
          </c:marker>
          <c:xVal>
            <c:numRef>
              <c:f>PERDA_TRANSMISSAO!$P$15:$P$36</c:f>
              <c:numCache>
                <c:formatCode>0.00</c:formatCode>
                <c:ptCount val="22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</c:numCache>
            </c:numRef>
          </c:xVal>
          <c:yVal>
            <c:numRef>
              <c:f>PERDA_TRANSMISSAO!$U$15:$U$36</c:f>
              <c:numCache>
                <c:formatCode>0.00</c:formatCode>
                <c:ptCount val="22"/>
                <c:pt idx="0">
                  <c:v>5.0427072332359888</c:v>
                </c:pt>
                <c:pt idx="1">
                  <c:v>11.999145232701036</c:v>
                </c:pt>
                <c:pt idx="2">
                  <c:v>10.0394125398205</c:v>
                </c:pt>
                <c:pt idx="3">
                  <c:v>3.5236901095285607</c:v>
                </c:pt>
                <c:pt idx="4">
                  <c:v>7.511145612487848</c:v>
                </c:pt>
                <c:pt idx="5">
                  <c:v>12.080457127930156</c:v>
                </c:pt>
                <c:pt idx="6">
                  <c:v>10.021067679577509</c:v>
                </c:pt>
                <c:pt idx="7">
                  <c:v>13.520483920464553</c:v>
                </c:pt>
                <c:pt idx="8">
                  <c:v>14.29416692461032</c:v>
                </c:pt>
                <c:pt idx="9">
                  <c:v>16.348286409495142</c:v>
                </c:pt>
                <c:pt idx="10">
                  <c:v>17.666237148863242</c:v>
                </c:pt>
                <c:pt idx="11">
                  <c:v>19.636043038476142</c:v>
                </c:pt>
                <c:pt idx="12">
                  <c:v>21.219241975313569</c:v>
                </c:pt>
                <c:pt idx="13">
                  <c:v>22.667458299602313</c:v>
                </c:pt>
                <c:pt idx="14">
                  <c:v>24.815606866028109</c:v>
                </c:pt>
                <c:pt idx="15">
                  <c:v>28.071710191027602</c:v>
                </c:pt>
                <c:pt idx="16">
                  <c:v>28.176460269559104</c:v>
                </c:pt>
                <c:pt idx="17">
                  <c:v>29.97579295795752</c:v>
                </c:pt>
                <c:pt idx="18">
                  <c:v>31.151855885055166</c:v>
                </c:pt>
                <c:pt idx="19">
                  <c:v>32.6396376471357</c:v>
                </c:pt>
                <c:pt idx="20">
                  <c:v>33.961327287160046</c:v>
                </c:pt>
                <c:pt idx="21">
                  <c:v>35.207768954623219</c:v>
                </c:pt>
              </c:numCache>
            </c:numRef>
          </c:yVal>
          <c:smooth val="1"/>
        </c:ser>
        <c:ser>
          <c:idx val="2"/>
          <c:order val="2"/>
          <c:tx>
            <c:v>PERDA DE TRANSMISSÃO - LEI DA MASSA</c:v>
          </c:tx>
          <c:spPr>
            <a:ln w="28575">
              <a:solidFill>
                <a:srgbClr val="002060"/>
              </a:solidFill>
              <a:prstDash val="sysDash"/>
            </a:ln>
          </c:spPr>
          <c:marker>
            <c:symbol val="none"/>
          </c:marker>
          <c:xVal>
            <c:numRef>
              <c:f>PERDA_TRANSMISSAO!$P$15:$P$36</c:f>
              <c:numCache>
                <c:formatCode>0.00</c:formatCode>
                <c:ptCount val="22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</c:numCache>
            </c:numRef>
          </c:xVal>
          <c:yVal>
            <c:numRef>
              <c:f>PERDA_TRANSMISSAO!$AP$15:$AP$36</c:f>
              <c:numCache>
                <c:formatCode>General</c:formatCode>
                <c:ptCount val="22"/>
                <c:pt idx="0">
                  <c:v>-3.9041497410001473</c:v>
                </c:pt>
                <c:pt idx="1">
                  <c:v>-1.896738838648889</c:v>
                </c:pt>
                <c:pt idx="2">
                  <c:v>0.17824991211834806</c:v>
                </c:pt>
                <c:pt idx="3">
                  <c:v>2.1164501722794764</c:v>
                </c:pt>
                <c:pt idx="4">
                  <c:v>4.0546504324406047</c:v>
                </c:pt>
                <c:pt idx="5">
                  <c:v>6.1988498253979714</c:v>
                </c:pt>
                <c:pt idx="6">
                  <c:v>8.1370500855591015</c:v>
                </c:pt>
                <c:pt idx="7">
                  <c:v>10.07525034572023</c:v>
                </c:pt>
                <c:pt idx="8">
                  <c:v>12.082661248071489</c:v>
                </c:pt>
                <c:pt idx="9">
                  <c:v>14.157649998838725</c:v>
                </c:pt>
                <c:pt idx="10">
                  <c:v>16.095850258999853</c:v>
                </c:pt>
                <c:pt idx="11">
                  <c:v>18.103261161351114</c:v>
                </c:pt>
                <c:pt idx="12">
                  <c:v>20.17824991211835</c:v>
                </c:pt>
                <c:pt idx="13">
                  <c:v>22.116450172279478</c:v>
                </c:pt>
                <c:pt idx="14">
                  <c:v>24.054650432440603</c:v>
                </c:pt>
                <c:pt idx="15">
                  <c:v>26.198849825397975</c:v>
                </c:pt>
                <c:pt idx="16">
                  <c:v>28.137050085559103</c:v>
                </c:pt>
                <c:pt idx="17">
                  <c:v>30.075250345720228</c:v>
                </c:pt>
                <c:pt idx="18">
                  <c:v>32.082661248071489</c:v>
                </c:pt>
                <c:pt idx="19">
                  <c:v>34.157649998838721</c:v>
                </c:pt>
                <c:pt idx="20">
                  <c:v>36.095850258999853</c:v>
                </c:pt>
                <c:pt idx="21">
                  <c:v>38.103261161351114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19808"/>
        <c:axId val="105330176"/>
      </c:scatterChart>
      <c:valAx>
        <c:axId val="105319808"/>
        <c:scaling>
          <c:logBase val="10"/>
          <c:orientation val="minMax"/>
          <c:min val="5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Frequência [Hz]</a:t>
                </a:r>
              </a:p>
            </c:rich>
          </c:tx>
          <c:layout>
            <c:manualLayout>
              <c:xMode val="edge"/>
              <c:yMode val="edge"/>
              <c:x val="0.4406565533738665"/>
              <c:y val="0.9368377686966344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05330176"/>
        <c:crossesAt val="-40"/>
        <c:crossBetween val="midCat"/>
      </c:valAx>
      <c:valAx>
        <c:axId val="105330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/>
                </a:pPr>
                <a:r>
                  <a:rPr lang="en-US" sz="1400" b="1"/>
                  <a:t>Perda de transmissão</a:t>
                </a:r>
                <a:r>
                  <a:rPr lang="en-US" sz="1400" b="1" baseline="0"/>
                  <a:t> </a:t>
                </a:r>
                <a:r>
                  <a:rPr lang="en-US" sz="1400" b="1"/>
                  <a:t>[dB]</a:t>
                </a:r>
              </a:p>
            </c:rich>
          </c:tx>
          <c:layout>
            <c:manualLayout>
              <c:xMode val="edge"/>
              <c:yMode val="edge"/>
              <c:x val="1.1891707684091255E-2"/>
              <c:y val="0.3263841406320187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05319808"/>
        <c:crosses val="autoZero"/>
        <c:crossBetween val="midCat"/>
        <c:majorUnit val="5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61081279003890043"/>
          <c:y val="0.75910891606426734"/>
          <c:w val="0.33762975068382445"/>
          <c:h val="0.121476333977738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139</xdr:col>
      <xdr:colOff>28574</xdr:colOff>
      <xdr:row>9</xdr:row>
      <xdr:rowOff>28574</xdr:rowOff>
    </xdr:from>
    <xdr:to>
      <xdr:col>153</xdr:col>
      <xdr:colOff>361950</xdr:colOff>
      <xdr:row>37</xdr:row>
      <xdr:rowOff>5715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139</xdr:col>
      <xdr:colOff>28575</xdr:colOff>
      <xdr:row>37</xdr:row>
      <xdr:rowOff>95250</xdr:rowOff>
    </xdr:from>
    <xdr:to>
      <xdr:col>153</xdr:col>
      <xdr:colOff>342900</xdr:colOff>
      <xdr:row>64</xdr:row>
      <xdr:rowOff>94922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149</xdr:col>
      <xdr:colOff>304801</xdr:colOff>
      <xdr:row>28</xdr:row>
      <xdr:rowOff>125129</xdr:rowOff>
    </xdr:from>
    <xdr:to>
      <xdr:col>153</xdr:col>
      <xdr:colOff>9525</xdr:colOff>
      <xdr:row>33</xdr:row>
      <xdr:rowOff>123824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6754951" y="5840129"/>
          <a:ext cx="2143124" cy="9511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139</xdr:col>
      <xdr:colOff>0</xdr:colOff>
      <xdr:row>65</xdr:row>
      <xdr:rowOff>0</xdr:rowOff>
    </xdr:from>
    <xdr:to>
      <xdr:col>153</xdr:col>
      <xdr:colOff>314325</xdr:colOff>
      <xdr:row>92</xdr:row>
      <xdr:rowOff>9197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139</xdr:col>
      <xdr:colOff>0</xdr:colOff>
      <xdr:row>93</xdr:row>
      <xdr:rowOff>0</xdr:rowOff>
    </xdr:from>
    <xdr:to>
      <xdr:col>153</xdr:col>
      <xdr:colOff>314325</xdr:colOff>
      <xdr:row>120</xdr:row>
      <xdr:rowOff>9197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9524</xdr:colOff>
      <xdr:row>64</xdr:row>
      <xdr:rowOff>114299</xdr:rowOff>
    </xdr:from>
    <xdr:to>
      <xdr:col>84</xdr:col>
      <xdr:colOff>238125</xdr:colOff>
      <xdr:row>97</xdr:row>
      <xdr:rowOff>38100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514351</xdr:colOff>
      <xdr:row>1</xdr:row>
      <xdr:rowOff>140933</xdr:rowOff>
    </xdr:from>
    <xdr:to>
      <xdr:col>8</xdr:col>
      <xdr:colOff>285751</xdr:colOff>
      <xdr:row>8</xdr:row>
      <xdr:rowOff>15413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33551" y="331433"/>
          <a:ext cx="3848100" cy="12079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42</xdr:col>
      <xdr:colOff>581025</xdr:colOff>
      <xdr:row>9</xdr:row>
      <xdr:rowOff>161925</xdr:rowOff>
    </xdr:from>
    <xdr:to>
      <xdr:col>57</xdr:col>
      <xdr:colOff>304801</xdr:colOff>
      <xdr:row>35</xdr:row>
      <xdr:rowOff>24766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Y137"/>
  <sheetViews>
    <sheetView tabSelected="1" workbookViewId="0">
      <selection activeCell="F4" sqref="F4"/>
    </sheetView>
  </sheetViews>
  <sheetFormatPr defaultRowHeight="15" x14ac:dyDescent="0.25"/>
  <cols>
    <col min="1" max="3" width="9.140625" style="2"/>
    <col min="4" max="4" width="11.5703125" style="2" customWidth="1"/>
    <col min="5" max="15" width="9.140625" style="2"/>
    <col min="16" max="16" width="10.7109375" style="2" customWidth="1"/>
    <col min="17" max="17" width="11" style="2" customWidth="1"/>
    <col min="18" max="19" width="9.140625" style="2"/>
    <col min="20" max="20" width="11.85546875" style="2" customWidth="1"/>
    <col min="21" max="31" width="9.140625" style="2"/>
    <col min="32" max="32" width="11.140625" style="2" customWidth="1"/>
    <col min="33" max="33" width="12.140625" style="2" customWidth="1"/>
    <col min="34" max="46" width="9.140625" style="2"/>
    <col min="47" max="47" width="11.42578125" style="2" customWidth="1"/>
    <col min="48" max="48" width="13.140625" style="2" customWidth="1"/>
    <col min="49" max="61" width="9.140625" style="2"/>
    <col min="62" max="62" width="11.7109375" style="2" customWidth="1"/>
    <col min="63" max="63" width="12.140625" style="2" customWidth="1"/>
    <col min="64" max="65" width="9.140625" style="2"/>
    <col min="66" max="66" width="12" style="2" bestFit="1" customWidth="1"/>
    <col min="67" max="85" width="9.140625" style="2"/>
    <col min="86" max="86" width="9.140625" style="29"/>
    <col min="87" max="87" width="13.140625" style="2" customWidth="1"/>
    <col min="88" max="88" width="12" style="2" bestFit="1" customWidth="1"/>
    <col min="89" max="89" width="12" style="29" customWidth="1"/>
    <col min="90" max="91" width="10" style="2" bestFit="1" customWidth="1"/>
    <col min="92" max="92" width="12" style="2" bestFit="1" customWidth="1"/>
    <col min="93" max="93" width="10" style="2" bestFit="1" customWidth="1"/>
    <col min="94" max="94" width="9.140625" style="2"/>
    <col min="95" max="95" width="10" style="2" bestFit="1" customWidth="1"/>
    <col min="96" max="96" width="12" style="2" bestFit="1" customWidth="1"/>
    <col min="97" max="98" width="10" style="2" bestFit="1" customWidth="1"/>
    <col min="99" max="99" width="9.140625" style="2"/>
    <col min="100" max="100" width="12" style="2" bestFit="1" customWidth="1"/>
    <col min="101" max="103" width="10" style="2" bestFit="1" customWidth="1"/>
    <col min="104" max="104" width="9.140625" style="2"/>
    <col min="105" max="105" width="13.85546875" style="2" customWidth="1"/>
    <col min="106" max="106" width="15.85546875" style="2" customWidth="1"/>
    <col min="107" max="108" width="13.85546875" style="2" customWidth="1"/>
    <col min="109" max="109" width="14.5703125" style="2" customWidth="1"/>
    <col min="110" max="110" width="10.85546875" style="2" customWidth="1"/>
    <col min="111" max="111" width="19.28515625" style="2" customWidth="1"/>
    <col min="112" max="112" width="10.5703125" style="2" customWidth="1"/>
    <col min="113" max="115" width="9.140625" style="2"/>
    <col min="116" max="116" width="11.85546875" style="2" customWidth="1"/>
    <col min="117" max="117" width="9.140625" style="2"/>
    <col min="118" max="118" width="13.42578125" style="2" bestFit="1" customWidth="1"/>
    <col min="119" max="131" width="9.140625" style="2"/>
    <col min="132" max="132" width="9.140625" style="26"/>
    <col min="133" max="134" width="12" style="2" bestFit="1" customWidth="1"/>
    <col min="135" max="16384" width="9.140625" style="2"/>
  </cols>
  <sheetData>
    <row r="4" spans="4:155" x14ac:dyDescent="0.25">
      <c r="DG4" s="2" t="s">
        <v>40</v>
      </c>
      <c r="DH4" s="2">
        <v>1.08</v>
      </c>
      <c r="DI4" s="2" t="s">
        <v>42</v>
      </c>
    </row>
    <row r="5" spans="4:155" x14ac:dyDescent="0.25">
      <c r="DG5" s="2" t="s">
        <v>41</v>
      </c>
      <c r="DH5" s="2">
        <v>1.76</v>
      </c>
      <c r="DI5" s="2" t="s">
        <v>42</v>
      </c>
    </row>
    <row r="6" spans="4:155" x14ac:dyDescent="0.25">
      <c r="E6" s="34" t="s">
        <v>8</v>
      </c>
      <c r="F6" s="34"/>
      <c r="G6" s="34"/>
      <c r="H6" s="34"/>
      <c r="I6" s="34"/>
      <c r="J6" s="34"/>
      <c r="K6" s="34"/>
      <c r="L6" s="34"/>
      <c r="M6" s="34"/>
      <c r="N6" s="34"/>
      <c r="U6" s="34" t="s">
        <v>8</v>
      </c>
      <c r="V6" s="34"/>
      <c r="W6" s="34"/>
      <c r="X6" s="34"/>
      <c r="Y6" s="34"/>
      <c r="Z6" s="34"/>
      <c r="AA6" s="34"/>
      <c r="AB6" s="34"/>
      <c r="AC6" s="34"/>
      <c r="AD6" s="34"/>
      <c r="AJ6" s="34" t="s">
        <v>8</v>
      </c>
      <c r="AK6" s="34"/>
      <c r="AL6" s="34"/>
      <c r="AM6" s="34"/>
      <c r="AN6" s="34"/>
      <c r="AO6" s="34"/>
      <c r="AP6" s="34"/>
      <c r="AQ6" s="34"/>
      <c r="AR6" s="34"/>
      <c r="AS6" s="34"/>
      <c r="AY6" s="34" t="s">
        <v>8</v>
      </c>
      <c r="AZ6" s="34"/>
      <c r="BA6" s="34"/>
      <c r="BB6" s="34"/>
      <c r="BC6" s="34"/>
      <c r="BD6" s="34"/>
      <c r="BE6" s="34"/>
      <c r="BF6" s="34"/>
      <c r="BG6" s="34"/>
      <c r="BH6" s="34"/>
      <c r="DG6" s="2" t="s">
        <v>38</v>
      </c>
      <c r="DH6" s="2">
        <f>DH4*DH5</f>
        <v>1.9008</v>
      </c>
      <c r="DI6" s="2" t="s">
        <v>39</v>
      </c>
    </row>
    <row r="7" spans="4:155" x14ac:dyDescent="0.25">
      <c r="E7" s="34"/>
      <c r="F7" s="34"/>
      <c r="G7" s="34"/>
      <c r="H7" s="34"/>
      <c r="I7" s="34"/>
      <c r="J7" s="34"/>
      <c r="K7" s="34"/>
      <c r="L7" s="34"/>
      <c r="M7" s="34"/>
      <c r="N7" s="34"/>
      <c r="U7" s="34"/>
      <c r="V7" s="34"/>
      <c r="W7" s="34"/>
      <c r="X7" s="34"/>
      <c r="Y7" s="34"/>
      <c r="Z7" s="34"/>
      <c r="AA7" s="34"/>
      <c r="AB7" s="34"/>
      <c r="AC7" s="34"/>
      <c r="AD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N7" s="34" t="s">
        <v>29</v>
      </c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DG7" s="2" t="s">
        <v>43</v>
      </c>
      <c r="DH7" s="2">
        <f>DG43*DG42</f>
        <v>411.2290755098042</v>
      </c>
      <c r="DI7" s="2" t="s">
        <v>44</v>
      </c>
    </row>
    <row r="8" spans="4:155" x14ac:dyDescent="0.25">
      <c r="E8" s="34" t="s">
        <v>1</v>
      </c>
      <c r="F8" s="34"/>
      <c r="G8" s="34" t="s">
        <v>2</v>
      </c>
      <c r="H8" s="34"/>
      <c r="I8" s="34" t="s">
        <v>3</v>
      </c>
      <c r="J8" s="34"/>
      <c r="K8" s="34" t="s">
        <v>4</v>
      </c>
      <c r="L8" s="34"/>
      <c r="M8" s="34" t="s">
        <v>5</v>
      </c>
      <c r="N8" s="34"/>
      <c r="P8" s="34" t="s">
        <v>9</v>
      </c>
      <c r="Q8" s="34"/>
      <c r="U8" s="34" t="s">
        <v>10</v>
      </c>
      <c r="V8" s="34"/>
      <c r="W8" s="34" t="s">
        <v>11</v>
      </c>
      <c r="X8" s="34"/>
      <c r="Y8" s="34" t="s">
        <v>12</v>
      </c>
      <c r="Z8" s="34"/>
      <c r="AA8" s="34" t="s">
        <v>13</v>
      </c>
      <c r="AB8" s="34"/>
      <c r="AC8" s="34" t="s">
        <v>14</v>
      </c>
      <c r="AD8" s="34"/>
      <c r="AF8" s="34" t="s">
        <v>16</v>
      </c>
      <c r="AG8" s="34"/>
      <c r="AJ8" s="34" t="s">
        <v>18</v>
      </c>
      <c r="AK8" s="34"/>
      <c r="AL8" s="34" t="s">
        <v>19</v>
      </c>
      <c r="AM8" s="34"/>
      <c r="AN8" s="34" t="s">
        <v>20</v>
      </c>
      <c r="AO8" s="34"/>
      <c r="AP8" s="34" t="s">
        <v>21</v>
      </c>
      <c r="AQ8" s="34"/>
      <c r="AR8" s="34" t="s">
        <v>22</v>
      </c>
      <c r="AS8" s="34"/>
      <c r="AU8" s="34" t="s">
        <v>17</v>
      </c>
      <c r="AV8" s="34"/>
      <c r="AY8" s="34" t="s">
        <v>23</v>
      </c>
      <c r="AZ8" s="34"/>
      <c r="BA8" s="34" t="s">
        <v>24</v>
      </c>
      <c r="BB8" s="34"/>
      <c r="BC8" s="34" t="s">
        <v>25</v>
      </c>
      <c r="BD8" s="34"/>
      <c r="BE8" s="34" t="s">
        <v>26</v>
      </c>
      <c r="BF8" s="34"/>
      <c r="BG8" s="34" t="s">
        <v>27</v>
      </c>
      <c r="BH8" s="34"/>
      <c r="BJ8" s="34" t="s">
        <v>28</v>
      </c>
      <c r="BK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L8" s="35" t="s">
        <v>30</v>
      </c>
      <c r="CM8" s="35"/>
      <c r="CN8" s="35"/>
      <c r="CO8" s="35"/>
      <c r="CQ8" s="34" t="s">
        <v>31</v>
      </c>
      <c r="CR8" s="34"/>
      <c r="CS8" s="34"/>
      <c r="CT8" s="34"/>
      <c r="CV8" s="34" t="s">
        <v>32</v>
      </c>
      <c r="CW8" s="34"/>
      <c r="CX8" s="34"/>
      <c r="CY8" s="34"/>
      <c r="DB8" s="2" t="s">
        <v>30</v>
      </c>
    </row>
    <row r="9" spans="4:155" ht="60" x14ac:dyDescent="0.25">
      <c r="D9" s="1" t="s">
        <v>0</v>
      </c>
      <c r="E9" s="2" t="s">
        <v>7</v>
      </c>
      <c r="F9" s="2" t="s">
        <v>6</v>
      </c>
      <c r="G9" s="2" t="s">
        <v>7</v>
      </c>
      <c r="H9" s="2" t="s">
        <v>6</v>
      </c>
      <c r="I9" s="2" t="s">
        <v>7</v>
      </c>
      <c r="J9" s="2" t="s">
        <v>6</v>
      </c>
      <c r="K9" s="2" t="s">
        <v>7</v>
      </c>
      <c r="L9" s="2" t="s">
        <v>6</v>
      </c>
      <c r="M9" s="2" t="s">
        <v>7</v>
      </c>
      <c r="N9" s="2" t="s">
        <v>6</v>
      </c>
      <c r="P9" s="1" t="s">
        <v>0</v>
      </c>
      <c r="Q9" s="1" t="s">
        <v>15</v>
      </c>
      <c r="T9" s="1" t="s">
        <v>0</v>
      </c>
      <c r="U9" s="2" t="s">
        <v>7</v>
      </c>
      <c r="V9" s="2" t="s">
        <v>6</v>
      </c>
      <c r="W9" s="2" t="s">
        <v>7</v>
      </c>
      <c r="X9" s="2" t="s">
        <v>6</v>
      </c>
      <c r="Y9" s="2" t="s">
        <v>7</v>
      </c>
      <c r="Z9" s="2" t="s">
        <v>6</v>
      </c>
      <c r="AA9" s="2" t="s">
        <v>7</v>
      </c>
      <c r="AB9" s="2" t="s">
        <v>6</v>
      </c>
      <c r="AC9" s="2" t="s">
        <v>7</v>
      </c>
      <c r="AD9" s="2" t="s">
        <v>6</v>
      </c>
      <c r="AF9" s="1" t="s">
        <v>0</v>
      </c>
      <c r="AG9" s="1" t="s">
        <v>15</v>
      </c>
      <c r="AI9" s="1" t="s">
        <v>0</v>
      </c>
      <c r="AJ9" s="2" t="s">
        <v>7</v>
      </c>
      <c r="AK9" s="2" t="s">
        <v>6</v>
      </c>
      <c r="AL9" s="2" t="s">
        <v>7</v>
      </c>
      <c r="AM9" s="2" t="s">
        <v>6</v>
      </c>
      <c r="AN9" s="2" t="s">
        <v>7</v>
      </c>
      <c r="AO9" s="2" t="s">
        <v>6</v>
      </c>
      <c r="AP9" s="2" t="s">
        <v>7</v>
      </c>
      <c r="AQ9" s="2" t="s">
        <v>6</v>
      </c>
      <c r="AR9" s="2" t="s">
        <v>7</v>
      </c>
      <c r="AS9" s="2" t="s">
        <v>6</v>
      </c>
      <c r="AU9" s="1" t="s">
        <v>0</v>
      </c>
      <c r="AV9" s="1" t="s">
        <v>15</v>
      </c>
      <c r="AX9" s="1" t="s">
        <v>0</v>
      </c>
      <c r="AY9" s="2" t="s">
        <v>7</v>
      </c>
      <c r="AZ9" s="2" t="s">
        <v>6</v>
      </c>
      <c r="BA9" s="2" t="s">
        <v>7</v>
      </c>
      <c r="BB9" s="2" t="s">
        <v>6</v>
      </c>
      <c r="BC9" s="2" t="s">
        <v>7</v>
      </c>
      <c r="BD9" s="2" t="s">
        <v>6</v>
      </c>
      <c r="BE9" s="2" t="s">
        <v>7</v>
      </c>
      <c r="BF9" s="2" t="s">
        <v>6</v>
      </c>
      <c r="BG9" s="2" t="s">
        <v>7</v>
      </c>
      <c r="BH9" s="2" t="s">
        <v>6</v>
      </c>
      <c r="BJ9" s="1" t="s">
        <v>0</v>
      </c>
      <c r="BK9" s="1" t="s">
        <v>15</v>
      </c>
      <c r="BN9" s="2" t="s">
        <v>1</v>
      </c>
      <c r="BO9" s="2" t="s">
        <v>2</v>
      </c>
      <c r="BP9" s="2" t="s">
        <v>3</v>
      </c>
      <c r="BQ9" s="2" t="s">
        <v>4</v>
      </c>
      <c r="BR9" s="2" t="s">
        <v>5</v>
      </c>
      <c r="BS9" s="2" t="s">
        <v>10</v>
      </c>
      <c r="BT9" s="2" t="s">
        <v>11</v>
      </c>
      <c r="BU9" s="2" t="s">
        <v>12</v>
      </c>
      <c r="BV9" s="2" t="s">
        <v>13</v>
      </c>
      <c r="BW9" s="2" t="s">
        <v>14</v>
      </c>
      <c r="BX9" s="2" t="s">
        <v>18</v>
      </c>
      <c r="BY9" s="2" t="s">
        <v>19</v>
      </c>
      <c r="BZ9" s="2" t="s">
        <v>20</v>
      </c>
      <c r="CA9" s="2" t="s">
        <v>21</v>
      </c>
      <c r="CB9" s="2" t="s">
        <v>22</v>
      </c>
      <c r="CC9" s="2" t="s">
        <v>23</v>
      </c>
      <c r="CD9" s="2" t="s">
        <v>24</v>
      </c>
      <c r="CE9" s="2" t="s">
        <v>25</v>
      </c>
      <c r="CF9" s="2" t="s">
        <v>26</v>
      </c>
      <c r="CG9" s="2" t="s">
        <v>27</v>
      </c>
      <c r="CI9" s="30" t="s">
        <v>73</v>
      </c>
      <c r="CJ9" s="30" t="s">
        <v>72</v>
      </c>
      <c r="CL9" s="2" t="s">
        <v>9</v>
      </c>
      <c r="CM9" s="2" t="s">
        <v>16</v>
      </c>
      <c r="CN9" s="2" t="s">
        <v>17</v>
      </c>
      <c r="CO9" s="2" t="s">
        <v>28</v>
      </c>
      <c r="CQ9" s="2" t="s">
        <v>9</v>
      </c>
      <c r="CR9" s="2" t="s">
        <v>16</v>
      </c>
      <c r="CS9" s="2" t="s">
        <v>17</v>
      </c>
      <c r="CT9" s="2" t="s">
        <v>28</v>
      </c>
      <c r="CV9" s="2" t="s">
        <v>9</v>
      </c>
      <c r="CW9" s="2" t="s">
        <v>16</v>
      </c>
      <c r="CX9" s="2" t="s">
        <v>17</v>
      </c>
      <c r="CY9" s="2" t="s">
        <v>28</v>
      </c>
      <c r="DA9" s="1" t="s">
        <v>0</v>
      </c>
      <c r="DB9" s="1" t="s">
        <v>37</v>
      </c>
      <c r="DC9" s="1" t="s">
        <v>35</v>
      </c>
      <c r="DD9" s="1" t="s">
        <v>36</v>
      </c>
      <c r="DE9" s="1" t="s">
        <v>57</v>
      </c>
      <c r="DG9" s="1" t="s">
        <v>33</v>
      </c>
      <c r="DH9" s="8" t="s">
        <v>71</v>
      </c>
      <c r="DJ9" s="1" t="s">
        <v>34</v>
      </c>
      <c r="DL9" s="1" t="s">
        <v>59</v>
      </c>
      <c r="DN9" s="1" t="s">
        <v>58</v>
      </c>
      <c r="EE9" s="27" t="s">
        <v>71</v>
      </c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</row>
    <row r="10" spans="4:155" x14ac:dyDescent="0.25">
      <c r="D10" s="19">
        <v>25</v>
      </c>
      <c r="E10" s="4">
        <v>0</v>
      </c>
      <c r="F10" s="4">
        <v>-1.4503719999999999E-3</v>
      </c>
      <c r="G10" s="4">
        <v>0</v>
      </c>
      <c r="H10" s="4">
        <v>-2.2397710000000002E-3</v>
      </c>
      <c r="I10" s="4">
        <v>0</v>
      </c>
      <c r="J10" s="4">
        <v>-6.0683980000000002E-4</v>
      </c>
      <c r="K10" s="4">
        <v>0</v>
      </c>
      <c r="L10" s="4">
        <v>-1.76311E-3</v>
      </c>
      <c r="M10" s="4">
        <v>0</v>
      </c>
      <c r="N10" s="4">
        <v>-2.530616E-4</v>
      </c>
      <c r="P10" s="4">
        <v>25</v>
      </c>
      <c r="Q10" s="7">
        <v>4.2023370000000004E-3</v>
      </c>
      <c r="T10" s="4">
        <v>25</v>
      </c>
      <c r="U10" s="4">
        <v>0</v>
      </c>
      <c r="V10" s="4">
        <v>-1.21983E-4</v>
      </c>
      <c r="W10" s="4">
        <v>0</v>
      </c>
      <c r="X10" s="4">
        <v>-8.0493120000000001E-4</v>
      </c>
      <c r="Y10" s="4">
        <v>0</v>
      </c>
      <c r="Z10" s="4">
        <v>-7.1032460000000001E-4</v>
      </c>
      <c r="AA10" s="4">
        <v>0</v>
      </c>
      <c r="AB10" s="4">
        <v>-2.8865199999999997E-4</v>
      </c>
      <c r="AC10" s="4">
        <v>0</v>
      </c>
      <c r="AD10" s="4">
        <v>-1.34826E-3</v>
      </c>
      <c r="AF10" s="4">
        <v>25</v>
      </c>
      <c r="AG10" s="4">
        <v>4.321681E-3</v>
      </c>
      <c r="AI10" s="4">
        <v>25</v>
      </c>
      <c r="AJ10" s="4">
        <v>0</v>
      </c>
      <c r="AK10" s="4">
        <v>-4.7665620000000002E-3</v>
      </c>
      <c r="AL10" s="4">
        <v>0</v>
      </c>
      <c r="AM10" s="4">
        <v>-2.5674420000000001E-4</v>
      </c>
      <c r="AN10" s="4">
        <v>0</v>
      </c>
      <c r="AO10" s="4">
        <v>-2.5423189999999998E-4</v>
      </c>
      <c r="AP10" s="4">
        <v>0</v>
      </c>
      <c r="AQ10" s="4">
        <v>-2.2819519999999999E-3</v>
      </c>
      <c r="AR10" s="4">
        <v>0</v>
      </c>
      <c r="AS10" s="4">
        <v>-3.9597569999999998E-4</v>
      </c>
      <c r="AU10" s="4">
        <v>25</v>
      </c>
      <c r="AV10" s="4">
        <v>4.858869E-3</v>
      </c>
      <c r="AX10" s="4">
        <v>25</v>
      </c>
      <c r="AY10" s="4">
        <v>0</v>
      </c>
      <c r="AZ10" s="4">
        <v>-2.4527549999999999E-4</v>
      </c>
      <c r="BA10" s="4">
        <v>0</v>
      </c>
      <c r="BB10" s="4">
        <v>-2.2862590000000001E-3</v>
      </c>
      <c r="BC10" s="4">
        <v>0</v>
      </c>
      <c r="BD10" s="4">
        <v>-8.1579639999999995E-4</v>
      </c>
      <c r="BE10" s="4">
        <v>0</v>
      </c>
      <c r="BF10" s="4">
        <v>-3.9771160000000002E-4</v>
      </c>
      <c r="BG10" s="4">
        <v>0</v>
      </c>
      <c r="BH10" s="4">
        <v>-2.770626E-4</v>
      </c>
      <c r="BJ10" s="4">
        <v>25</v>
      </c>
      <c r="BK10" s="4">
        <v>4.8093959999999996E-3</v>
      </c>
      <c r="BN10" s="2">
        <f>((E10^2)+(F10^2))^(1/2)</f>
        <v>1.4503719999999999E-3</v>
      </c>
      <c r="BO10" s="2">
        <f>((G10^2)+(H10^2))^(1/2)</f>
        <v>2.2397710000000002E-3</v>
      </c>
      <c r="BP10" s="2">
        <f>((I10^2)+(J10^2))^(1/2)</f>
        <v>6.0683980000000002E-4</v>
      </c>
      <c r="BQ10" s="2">
        <f>((K10^2)+(L10^2))^(1/2)</f>
        <v>1.76311E-3</v>
      </c>
      <c r="BR10" s="2">
        <f>((M10^2)+(N10^2))^(1/2)</f>
        <v>2.530616E-4</v>
      </c>
      <c r="BS10" s="2">
        <f t="shared" ref="BS10:BS34" si="0">((U10^2)+(V10^2))^(1/2)</f>
        <v>1.21983E-4</v>
      </c>
      <c r="BT10" s="2">
        <f t="shared" ref="BT10:BT34" si="1">((W10^2)+(X10^2))^(1/2)</f>
        <v>8.0493120000000001E-4</v>
      </c>
      <c r="BU10" s="2">
        <f t="shared" ref="BU10:BU34" si="2">((Y10^2)+(Z10^2))^(1/2)</f>
        <v>7.1032460000000001E-4</v>
      </c>
      <c r="BV10" s="2">
        <f t="shared" ref="BV10:BV34" si="3">((AA10^2)+(AB10^2))^(1/2)</f>
        <v>2.8865199999999997E-4</v>
      </c>
      <c r="BW10" s="2">
        <f t="shared" ref="BW10:BW34" si="4">((AC10^2)+(AD10^2))^(1/2)</f>
        <v>1.34826E-3</v>
      </c>
      <c r="BX10" s="2">
        <f t="shared" ref="BX10:BX34" si="5">((AJ10^2)+(AK10^2))^(1/2)</f>
        <v>4.7665620000000002E-3</v>
      </c>
      <c r="BY10" s="2">
        <f t="shared" ref="BY10:BY34" si="6">((AL10^2)+(AM10^2))^(1/2)</f>
        <v>2.5674420000000001E-4</v>
      </c>
      <c r="BZ10" s="2">
        <f t="shared" ref="BZ10:BZ34" si="7">((AN10^2)+(AO10^2))^(1/2)</f>
        <v>2.5423189999999998E-4</v>
      </c>
      <c r="CA10" s="2">
        <f t="shared" ref="CA10:CA34" si="8">((AP10^2)+(AQ10^2))^(1/2)</f>
        <v>2.2819519999999999E-3</v>
      </c>
      <c r="CB10" s="2">
        <f t="shared" ref="CB10:CB34" si="9">((AR10^2)+(AS10^2))^(1/2)</f>
        <v>3.9597569999999998E-4</v>
      </c>
      <c r="CC10" s="2">
        <f t="shared" ref="CC10:CC34" si="10">((AY10^2)+(AZ10^2))^(1/2)</f>
        <v>2.4527549999999999E-4</v>
      </c>
      <c r="CD10" s="2">
        <f t="shared" ref="CD10:CD34" si="11">((BA10^2)+(BB10^2))^(1/2)</f>
        <v>2.2862590000000001E-3</v>
      </c>
      <c r="CE10" s="2">
        <f t="shared" ref="CE10:CE34" si="12">((BC10^2)+(BD10^2))^(1/2)</f>
        <v>8.1579639999999995E-4</v>
      </c>
      <c r="CF10" s="2">
        <f t="shared" ref="CF10:CF34" si="13">((BE10^2)+(BF10^2))^(1/2)</f>
        <v>3.9771160000000002E-4</v>
      </c>
      <c r="CG10" s="2">
        <f t="shared" ref="CG10:CG34" si="14">((BG10^2)+(BH10^2))^(1/2)</f>
        <v>2.770626E-4</v>
      </c>
      <c r="CI10" s="2">
        <f>20*LOG10(CA10/(0.001^2))</f>
        <v>67.166130099151587</v>
      </c>
      <c r="CJ10" s="2">
        <f>20*LOG10(AVERAGE(BN10:BZ10)/(0.001^2))</f>
        <v>61.164339661542115</v>
      </c>
      <c r="CL10" s="4">
        <f>Q10</f>
        <v>4.2023370000000004E-3</v>
      </c>
      <c r="CM10" s="4">
        <f>AG10</f>
        <v>4.321681E-3</v>
      </c>
      <c r="CN10" s="4">
        <f>AV10</f>
        <v>4.858869E-3</v>
      </c>
      <c r="CO10" s="4">
        <f>BK10</f>
        <v>4.8093959999999996E-3</v>
      </c>
      <c r="CQ10" s="5">
        <f>20*LOG10(CL10/0.00002)</f>
        <v>46.449217627708762</v>
      </c>
      <c r="CR10" s="5">
        <f>20*LOG10(CM10/0.00002)</f>
        <v>46.692454222196595</v>
      </c>
      <c r="CS10" s="5">
        <f>20*LOG10(CN10/0.00002)</f>
        <v>47.710103890807986</v>
      </c>
      <c r="CT10" s="5">
        <f>20*LOG10(CO10/0.00002)</f>
        <v>47.621210843560618</v>
      </c>
      <c r="CV10" s="4">
        <f>10^(CQ10/10)</f>
        <v>44149.090653922583</v>
      </c>
      <c r="CW10" s="4">
        <f>10^(CR10/10)</f>
        <v>46692.316664402613</v>
      </c>
      <c r="CX10" s="4">
        <f>10^(CS10/10)</f>
        <v>59021.519897902566</v>
      </c>
      <c r="CY10" s="4">
        <f>10^(CT10/10)</f>
        <v>57825.72471204005</v>
      </c>
      <c r="DA10" s="5">
        <v>25</v>
      </c>
      <c r="DB10" s="4">
        <v>1.516869E-2</v>
      </c>
      <c r="DC10" s="5">
        <f t="shared" ref="DC10:DC34" si="15">10*LOG10(AVERAGE(CV10:CY10))</f>
        <v>47.153527760806341</v>
      </c>
      <c r="DD10" s="5">
        <f t="shared" ref="DD10:DD34" si="16">20*LOG10(DB10/0.00002)</f>
        <v>57.59836160313079</v>
      </c>
      <c r="DG10" s="4">
        <v>4.2399590000000002E-4</v>
      </c>
      <c r="DH10" s="5">
        <f>20*LOG10(DG10/0.00002)</f>
        <v>26.526633227254983</v>
      </c>
      <c r="DJ10" s="5">
        <f>DC10-DH10</f>
        <v>20.626894533551358</v>
      </c>
      <c r="DQ10" s="19">
        <v>25</v>
      </c>
      <c r="DR10" s="4">
        <v>1.481761E-2</v>
      </c>
      <c r="DS10" s="5">
        <f>20*LOG10(DR10/(20*10^(-6)))</f>
        <v>57.394963285745526</v>
      </c>
      <c r="DT10" s="5">
        <f>DD10</f>
        <v>57.59836160313079</v>
      </c>
      <c r="DU10" s="5">
        <f t="shared" ref="DU10:DU33" si="17">DS10-DT10</f>
        <v>-0.2033983173852647</v>
      </c>
      <c r="DV10" s="33">
        <v>25</v>
      </c>
      <c r="DW10" s="33">
        <v>7.7453090000000004E-4</v>
      </c>
      <c r="DX10" s="33">
        <f>20*LOG10(DW10/0.00002)</f>
        <v>31.760175060110917</v>
      </c>
      <c r="DY10" s="32"/>
      <c r="DZ10" s="33">
        <v>25</v>
      </c>
      <c r="EA10" s="33">
        <v>1.4694790000000001E-3</v>
      </c>
      <c r="EB10" s="33">
        <f>20*LOG10(EA10/0.00002)</f>
        <v>37.322667767648539</v>
      </c>
      <c r="EC10" s="26"/>
      <c r="ED10" s="2">
        <f>((DW10^2)+(EA10^2))/2</f>
        <v>1.3796333232479051E-6</v>
      </c>
      <c r="EE10" s="33">
        <f>10*LOG10(ED10/(0.00002^2))</f>
        <v>35.377036843122333</v>
      </c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</row>
    <row r="11" spans="4:155" x14ac:dyDescent="0.25">
      <c r="D11" s="20">
        <v>31.5</v>
      </c>
      <c r="E11" s="4">
        <v>0</v>
      </c>
      <c r="F11" s="4">
        <v>-1.044176E-3</v>
      </c>
      <c r="G11" s="4">
        <v>0</v>
      </c>
      <c r="H11" s="4">
        <v>-1.969663E-3</v>
      </c>
      <c r="I11" s="4">
        <v>0</v>
      </c>
      <c r="J11" s="4">
        <v>-1.8066969999999999E-3</v>
      </c>
      <c r="K11" s="4">
        <v>0</v>
      </c>
      <c r="L11" s="4">
        <v>-1.6944200000000001E-3</v>
      </c>
      <c r="M11" s="4">
        <v>0</v>
      </c>
      <c r="N11" s="4">
        <v>-3.765927E-4</v>
      </c>
      <c r="P11" s="4">
        <v>31.5</v>
      </c>
      <c r="Q11" s="4">
        <v>1.6539749999999999E-2</v>
      </c>
      <c r="T11" s="4">
        <v>31.5</v>
      </c>
      <c r="U11" s="4">
        <v>0</v>
      </c>
      <c r="V11" s="4">
        <v>-3.8463599999999999E-4</v>
      </c>
      <c r="W11" s="4">
        <v>0</v>
      </c>
      <c r="X11" s="4">
        <v>-2.7611889999999998E-3</v>
      </c>
      <c r="Y11" s="4">
        <v>0</v>
      </c>
      <c r="Z11" s="4">
        <v>-2.3472839999999998E-3</v>
      </c>
      <c r="AA11" s="4">
        <v>0</v>
      </c>
      <c r="AB11" s="4">
        <v>-9.742714E-4</v>
      </c>
      <c r="AC11" s="4">
        <v>0</v>
      </c>
      <c r="AD11" s="4">
        <v>-1.5071010000000001E-3</v>
      </c>
      <c r="AF11" s="4">
        <v>31.5</v>
      </c>
      <c r="AG11" s="4">
        <v>1.9691070000000001E-2</v>
      </c>
      <c r="AI11" s="4">
        <v>31.5</v>
      </c>
      <c r="AJ11" s="4">
        <v>0</v>
      </c>
      <c r="AK11" s="4">
        <v>-3.9567689999999997E-3</v>
      </c>
      <c r="AL11" s="4">
        <v>0</v>
      </c>
      <c r="AM11" s="4">
        <v>-2.5445539999999998E-4</v>
      </c>
      <c r="AN11" s="4">
        <v>0</v>
      </c>
      <c r="AO11" s="4">
        <v>-2.3254649999999999E-4</v>
      </c>
      <c r="AP11" s="4">
        <v>0</v>
      </c>
      <c r="AQ11" s="4">
        <v>-3.2711960000000001E-3</v>
      </c>
      <c r="AR11" s="4">
        <v>0</v>
      </c>
      <c r="AS11" s="4">
        <v>-1.2685640000000001E-4</v>
      </c>
      <c r="AU11" s="4">
        <v>31.5</v>
      </c>
      <c r="AV11" s="4">
        <v>2.1108120000000001E-2</v>
      </c>
      <c r="AX11" s="4">
        <v>31.5</v>
      </c>
      <c r="AY11" s="4">
        <v>0</v>
      </c>
      <c r="AZ11" s="4">
        <v>-2.0738080000000001E-4</v>
      </c>
      <c r="BA11" s="4">
        <v>0</v>
      </c>
      <c r="BB11" s="4">
        <v>-3.3793289999999999E-3</v>
      </c>
      <c r="BC11" s="4">
        <v>0</v>
      </c>
      <c r="BD11" s="4">
        <v>-2.7327789999999997E-4</v>
      </c>
      <c r="BE11" s="4">
        <v>0</v>
      </c>
      <c r="BF11" s="4">
        <v>-3.425209E-4</v>
      </c>
      <c r="BG11" s="4">
        <v>0</v>
      </c>
      <c r="BH11" s="4">
        <v>-2.036285E-4</v>
      </c>
      <c r="BJ11" s="4">
        <v>31.5</v>
      </c>
      <c r="BK11" s="4">
        <v>2.04634E-2</v>
      </c>
      <c r="BN11" s="2">
        <f t="shared" ref="BN11:BN34" si="18">((E11^2)+(F11^2))^(1/2)</f>
        <v>1.044176E-3</v>
      </c>
      <c r="BO11" s="2">
        <f t="shared" ref="BO11:BO34" si="19">((G11^2)+(H11^2))^(1/2)</f>
        <v>1.969663E-3</v>
      </c>
      <c r="BP11" s="2">
        <f t="shared" ref="BP11:BP34" si="20">((I11^2)+(J11^2))^(1/2)</f>
        <v>1.8066969999999999E-3</v>
      </c>
      <c r="BQ11" s="2">
        <f t="shared" ref="BQ11:BQ34" si="21">((K11^2)+(L11^2))^(1/2)</f>
        <v>1.6944200000000001E-3</v>
      </c>
      <c r="BR11" s="2">
        <f t="shared" ref="BR11:BR34" si="22">((M11^2)+(N11^2))^(1/2)</f>
        <v>3.765927E-4</v>
      </c>
      <c r="BS11" s="2">
        <f t="shared" si="0"/>
        <v>3.8463599999999999E-4</v>
      </c>
      <c r="BT11" s="2">
        <f t="shared" si="1"/>
        <v>2.7611889999999998E-3</v>
      </c>
      <c r="BU11" s="2">
        <f t="shared" si="2"/>
        <v>2.3472839999999998E-3</v>
      </c>
      <c r="BV11" s="2">
        <f t="shared" si="3"/>
        <v>9.742714E-4</v>
      </c>
      <c r="BW11" s="2">
        <f t="shared" si="4"/>
        <v>1.5071010000000001E-3</v>
      </c>
      <c r="BX11" s="2">
        <f t="shared" si="5"/>
        <v>3.9567689999999997E-3</v>
      </c>
      <c r="BY11" s="2">
        <f t="shared" si="6"/>
        <v>2.5445539999999998E-4</v>
      </c>
      <c r="BZ11" s="2">
        <f t="shared" si="7"/>
        <v>2.3254649999999999E-4</v>
      </c>
      <c r="CA11" s="2">
        <f t="shared" si="8"/>
        <v>3.2711960000000001E-3</v>
      </c>
      <c r="CB11" s="2">
        <f t="shared" si="9"/>
        <v>1.2685640000000001E-4</v>
      </c>
      <c r="CC11" s="2">
        <f t="shared" si="10"/>
        <v>2.0738080000000001E-4</v>
      </c>
      <c r="CD11" s="2">
        <f t="shared" si="11"/>
        <v>3.3793289999999999E-3</v>
      </c>
      <c r="CE11" s="2">
        <f t="shared" si="12"/>
        <v>2.7327789999999997E-4</v>
      </c>
      <c r="CF11" s="2">
        <f t="shared" si="13"/>
        <v>3.425209E-4</v>
      </c>
      <c r="CG11" s="2">
        <f t="shared" si="14"/>
        <v>2.036285E-4</v>
      </c>
      <c r="CI11" s="29">
        <f t="shared" ref="CI11:CI34" si="23">20*LOG10(CA11/(0.001^2))</f>
        <v>70.29413132987527</v>
      </c>
      <c r="CJ11" s="29">
        <f t="shared" ref="CJ11:CJ34" si="24">20*LOG10(AVERAGE(BN11:BZ11)/(0.001^2))</f>
        <v>63.436688916196651</v>
      </c>
      <c r="CL11" s="4">
        <f t="shared" ref="CL11:CL34" si="25">Q11</f>
        <v>1.6539749999999999E-2</v>
      </c>
      <c r="CM11" s="4">
        <f t="shared" ref="CM11:CM34" si="26">AG11</f>
        <v>1.9691070000000001E-2</v>
      </c>
      <c r="CN11" s="4">
        <f t="shared" ref="CN11:CN34" si="27">AV11</f>
        <v>2.1108120000000001E-2</v>
      </c>
      <c r="CO11" s="4">
        <f t="shared" ref="CO11:CO34" si="28">BK11</f>
        <v>2.04634E-2</v>
      </c>
      <c r="CQ11" s="5">
        <f t="shared" ref="CQ11:CQ34" si="29">20*LOG10(CL11/0.00002)</f>
        <v>58.349978903939657</v>
      </c>
      <c r="CR11" s="5">
        <f t="shared" ref="CR11:CR25" si="30">20*LOG10(CM11/0.00002)</f>
        <v>59.864786407928449</v>
      </c>
      <c r="CS11" s="5">
        <f t="shared" ref="CS11:CS25" si="31">20*LOG10(CN11/0.00002)</f>
        <v>60.468391176384053</v>
      </c>
      <c r="CT11" s="5">
        <f t="shared" ref="CT11:CT25" si="32">20*LOG10(CO11/0.00002)</f>
        <v>60.198955957295802</v>
      </c>
      <c r="CV11" s="4">
        <f t="shared" ref="CV11:CV34" si="33">10^(CQ11/10)</f>
        <v>683908.3251562505</v>
      </c>
      <c r="CW11" s="4">
        <f t="shared" ref="CW11:CW34" si="34">10^(CR11/10)</f>
        <v>969345.59436225239</v>
      </c>
      <c r="CX11" s="4">
        <f t="shared" ref="CX11:CX34" si="35">10^(CS11/10)</f>
        <v>1113881.8248360003</v>
      </c>
      <c r="CY11" s="4">
        <f t="shared" ref="CY11:CY34" si="36">10^(CT11/10)</f>
        <v>1046876.8489000017</v>
      </c>
      <c r="DA11" s="5">
        <v>31.5</v>
      </c>
      <c r="DB11" s="4">
        <v>3.0122360000000001E-2</v>
      </c>
      <c r="DC11" s="5">
        <f t="shared" si="15"/>
        <v>59.793221313547335</v>
      </c>
      <c r="DD11" s="5">
        <f t="shared" si="16"/>
        <v>63.557179978346682</v>
      </c>
      <c r="DG11" s="4">
        <v>2.6900719999999999E-4</v>
      </c>
      <c r="DH11" s="5">
        <f t="shared" ref="DH11:DH34" si="37">20*LOG10(DG11/0.00002)</f>
        <v>22.574678168435685</v>
      </c>
      <c r="DJ11" s="5">
        <f t="shared" ref="DJ11:DJ34" si="38">DC11-DH11</f>
        <v>37.218543145111653</v>
      </c>
      <c r="DQ11" s="20">
        <v>31.5</v>
      </c>
      <c r="DR11" s="4">
        <v>4.5554989999999997E-2</v>
      </c>
      <c r="DS11" s="5">
        <f t="shared" ref="DS11:DS34" si="39">20*LOG10(DR11/(20*10^(-6)))</f>
        <v>67.15011919951715</v>
      </c>
      <c r="DT11" s="5">
        <f t="shared" ref="DT11:DT34" si="40">DD11</f>
        <v>63.557179978346682</v>
      </c>
      <c r="DU11" s="5">
        <f t="shared" si="17"/>
        <v>3.592939221170468</v>
      </c>
      <c r="DV11" s="33">
        <v>31.5</v>
      </c>
      <c r="DW11" s="33">
        <v>8.7686440000000004E-5</v>
      </c>
      <c r="DX11" s="33">
        <f t="shared" ref="DX11:DX34" si="41">20*LOG10(DW11/0.00002)</f>
        <v>12.838048855182153</v>
      </c>
      <c r="DY11" s="32"/>
      <c r="DZ11" s="33">
        <v>31.5</v>
      </c>
      <c r="EA11" s="33">
        <v>8.2711640000000006E-5</v>
      </c>
      <c r="EB11" s="33">
        <f t="shared" ref="EB11:EB34" si="42">20*LOG10(EA11/0.00002)</f>
        <v>12.330732728084408</v>
      </c>
      <c r="EC11" s="26">
        <f>((EC15^3)/12)</f>
        <v>8.3333333333333343E-11</v>
      </c>
      <c r="ED11" s="26">
        <f t="shared" ref="ED11:ED34" si="43">((DW11^2)+(EA11^2))/2</f>
        <v>7.265063575681601E-9</v>
      </c>
      <c r="EE11" s="33">
        <f t="shared" ref="EE11:EE34" si="44">10*LOG10(ED11/(0.00002^2))</f>
        <v>12.591794277805299</v>
      </c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</row>
    <row r="12" spans="4:155" x14ac:dyDescent="0.25">
      <c r="D12" s="19">
        <v>40</v>
      </c>
      <c r="E12" s="4">
        <v>0</v>
      </c>
      <c r="F12" s="4">
        <v>-7.5258639999999999E-4</v>
      </c>
      <c r="G12" s="4">
        <v>0</v>
      </c>
      <c r="H12" s="4">
        <v>-2.131333E-3</v>
      </c>
      <c r="I12" s="4">
        <v>0</v>
      </c>
      <c r="J12" s="4">
        <v>-3.1535349999999998E-3</v>
      </c>
      <c r="K12" s="4">
        <v>0</v>
      </c>
      <c r="L12" s="4">
        <v>-2.9018120000000001E-3</v>
      </c>
      <c r="M12" s="4">
        <v>0</v>
      </c>
      <c r="N12" s="4">
        <v>-8.1029620000000002E-4</v>
      </c>
      <c r="P12" s="4">
        <v>40</v>
      </c>
      <c r="Q12" s="4">
        <v>1.2970809999999999E-2</v>
      </c>
      <c r="T12" s="4">
        <v>40</v>
      </c>
      <c r="U12" s="4">
        <v>0</v>
      </c>
      <c r="V12" s="4">
        <v>-8.1370770000000002E-4</v>
      </c>
      <c r="W12" s="4">
        <v>0</v>
      </c>
      <c r="X12" s="4">
        <v>-4.6914390000000004E-3</v>
      </c>
      <c r="Y12" s="4">
        <v>0</v>
      </c>
      <c r="Z12" s="4">
        <v>-4.5432420000000003E-3</v>
      </c>
      <c r="AA12" s="4">
        <v>0</v>
      </c>
      <c r="AB12" s="4">
        <v>-2.0825850000000001E-3</v>
      </c>
      <c r="AC12" s="4">
        <v>0</v>
      </c>
      <c r="AD12" s="4">
        <v>-1.6744679999999999E-3</v>
      </c>
      <c r="AF12" s="4">
        <v>40</v>
      </c>
      <c r="AG12" s="4">
        <v>1.012101E-2</v>
      </c>
      <c r="AI12" s="4">
        <v>40</v>
      </c>
      <c r="AJ12" s="4">
        <v>0</v>
      </c>
      <c r="AK12" s="4">
        <v>-3.0455489999999998E-3</v>
      </c>
      <c r="AL12" s="4">
        <v>0</v>
      </c>
      <c r="AM12" s="4">
        <v>-3.5467989999999998E-4</v>
      </c>
      <c r="AN12" s="4">
        <v>0</v>
      </c>
      <c r="AO12" s="4">
        <v>-9.6791140000000004E-4</v>
      </c>
      <c r="AP12" s="4">
        <v>0</v>
      </c>
      <c r="AQ12" s="4">
        <v>-2.693043E-3</v>
      </c>
      <c r="AR12" s="4">
        <v>0</v>
      </c>
      <c r="AS12" s="4">
        <v>-2.3383139999999999E-4</v>
      </c>
      <c r="AU12" s="4">
        <v>40</v>
      </c>
      <c r="AV12" s="4">
        <v>1.235523E-2</v>
      </c>
      <c r="AX12" s="4">
        <v>40</v>
      </c>
      <c r="AY12" s="4">
        <v>0</v>
      </c>
      <c r="AZ12" s="4">
        <v>-5.8734480000000001E-4</v>
      </c>
      <c r="BA12" s="4">
        <v>0</v>
      </c>
      <c r="BB12" s="4">
        <v>-5.5248420000000003E-3</v>
      </c>
      <c r="BC12" s="4">
        <v>0</v>
      </c>
      <c r="BD12" s="4">
        <v>-3.1370930000000001E-4</v>
      </c>
      <c r="BE12" s="4">
        <v>0</v>
      </c>
      <c r="BF12" s="4">
        <v>-5.7707739999999998E-4</v>
      </c>
      <c r="BG12" s="4">
        <v>0</v>
      </c>
      <c r="BH12" s="4">
        <v>-1.3721269999999999E-4</v>
      </c>
      <c r="BJ12" s="4">
        <v>40</v>
      </c>
      <c r="BK12" s="4">
        <v>9.6357149999999996E-3</v>
      </c>
      <c r="BN12" s="2">
        <f t="shared" si="18"/>
        <v>7.5258639999999999E-4</v>
      </c>
      <c r="BO12" s="2">
        <f t="shared" si="19"/>
        <v>2.131333E-3</v>
      </c>
      <c r="BP12" s="2">
        <f t="shared" si="20"/>
        <v>3.1535349999999998E-3</v>
      </c>
      <c r="BQ12" s="2">
        <f t="shared" si="21"/>
        <v>2.9018120000000001E-3</v>
      </c>
      <c r="BR12" s="2">
        <f t="shared" si="22"/>
        <v>8.1029620000000002E-4</v>
      </c>
      <c r="BS12" s="2">
        <f t="shared" si="0"/>
        <v>8.1370770000000002E-4</v>
      </c>
      <c r="BT12" s="2">
        <f t="shared" si="1"/>
        <v>4.6914390000000004E-3</v>
      </c>
      <c r="BU12" s="2">
        <f t="shared" si="2"/>
        <v>4.5432420000000003E-3</v>
      </c>
      <c r="BV12" s="2">
        <f t="shared" si="3"/>
        <v>2.0825850000000001E-3</v>
      </c>
      <c r="BW12" s="2">
        <f t="shared" si="4"/>
        <v>1.6744679999999999E-3</v>
      </c>
      <c r="BX12" s="2">
        <f t="shared" si="5"/>
        <v>3.0455489999999998E-3</v>
      </c>
      <c r="BY12" s="2">
        <f t="shared" si="6"/>
        <v>3.5467989999999998E-4</v>
      </c>
      <c r="BZ12" s="2">
        <f t="shared" si="7"/>
        <v>9.6791140000000004E-4</v>
      </c>
      <c r="CA12" s="2">
        <f t="shared" si="8"/>
        <v>2.693043E-3</v>
      </c>
      <c r="CB12" s="2">
        <f t="shared" si="9"/>
        <v>2.3383139999999999E-4</v>
      </c>
      <c r="CC12" s="2">
        <f t="shared" si="10"/>
        <v>5.8734480000000001E-4</v>
      </c>
      <c r="CD12" s="2">
        <f t="shared" si="11"/>
        <v>5.5248420000000003E-3</v>
      </c>
      <c r="CE12" s="2">
        <f t="shared" si="12"/>
        <v>3.1370930000000001E-4</v>
      </c>
      <c r="CF12" s="2">
        <f t="shared" si="13"/>
        <v>5.7707739999999998E-4</v>
      </c>
      <c r="CG12" s="2">
        <f t="shared" si="14"/>
        <v>1.3721269999999999E-4</v>
      </c>
      <c r="CI12" s="29">
        <f t="shared" si="23"/>
        <v>68.604865757525658</v>
      </c>
      <c r="CJ12" s="29">
        <f t="shared" si="24"/>
        <v>66.640419460339814</v>
      </c>
      <c r="CL12" s="4">
        <f t="shared" si="25"/>
        <v>1.2970809999999999E-2</v>
      </c>
      <c r="CM12" s="4">
        <f t="shared" si="26"/>
        <v>1.012101E-2</v>
      </c>
      <c r="CN12" s="4">
        <f t="shared" si="27"/>
        <v>1.235523E-2</v>
      </c>
      <c r="CO12" s="4">
        <f t="shared" si="28"/>
        <v>9.6357149999999996E-3</v>
      </c>
      <c r="CQ12" s="5">
        <f t="shared" si="29"/>
        <v>56.238742041009829</v>
      </c>
      <c r="CR12" s="5">
        <f t="shared" si="30"/>
        <v>54.08387716592572</v>
      </c>
      <c r="CS12" s="5">
        <f t="shared" si="31"/>
        <v>55.816416776020745</v>
      </c>
      <c r="CT12" s="5">
        <f t="shared" si="32"/>
        <v>53.65707901046985</v>
      </c>
      <c r="CV12" s="4">
        <f t="shared" si="33"/>
        <v>420604.78014024976</v>
      </c>
      <c r="CW12" s="4">
        <f t="shared" si="34"/>
        <v>256087.10855025021</v>
      </c>
      <c r="CX12" s="4">
        <f t="shared" si="35"/>
        <v>381629.27088225033</v>
      </c>
      <c r="CY12" s="4">
        <f t="shared" si="36"/>
        <v>232117.50890306255</v>
      </c>
      <c r="DA12" s="5">
        <v>40</v>
      </c>
      <c r="DB12" s="4">
        <v>6.4724279999999995E-2</v>
      </c>
      <c r="DC12" s="5">
        <f t="shared" si="15"/>
        <v>55.086773770439954</v>
      </c>
      <c r="DD12" s="5">
        <f t="shared" si="16"/>
        <v>70.2007446466056</v>
      </c>
      <c r="DG12" s="4">
        <v>3.5484189999999998E-4</v>
      </c>
      <c r="DH12" s="5">
        <f t="shared" si="37"/>
        <v>24.980098006892465</v>
      </c>
      <c r="DJ12" s="5">
        <f t="shared" si="38"/>
        <v>30.106675763547489</v>
      </c>
      <c r="DQ12" s="19">
        <v>40</v>
      </c>
      <c r="DR12" s="4">
        <v>7.2756829999999995E-2</v>
      </c>
      <c r="DS12" s="5">
        <f t="shared" si="39"/>
        <v>71.216875460382511</v>
      </c>
      <c r="DT12" s="5">
        <f t="shared" si="40"/>
        <v>70.2007446466056</v>
      </c>
      <c r="DU12" s="5">
        <f t="shared" si="17"/>
        <v>1.0161308137769112</v>
      </c>
      <c r="DV12" s="33">
        <v>40</v>
      </c>
      <c r="DW12" s="33">
        <v>3.1869450000000002E-4</v>
      </c>
      <c r="DX12" s="33">
        <f t="shared" si="41"/>
        <v>24.046891457214066</v>
      </c>
      <c r="DY12" s="32"/>
      <c r="DZ12" s="33">
        <v>40</v>
      </c>
      <c r="EA12" s="33">
        <v>3.3795789999999999E-4</v>
      </c>
      <c r="EB12" s="33">
        <f t="shared" si="42"/>
        <v>24.556652143370336</v>
      </c>
      <c r="EC12" s="26">
        <f>71*10^9</f>
        <v>71000000000</v>
      </c>
      <c r="ED12" s="26">
        <f t="shared" si="43"/>
        <v>1.0789086325133E-7</v>
      </c>
      <c r="EE12" s="33">
        <f t="shared" si="44"/>
        <v>24.309246766400076</v>
      </c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</row>
    <row r="13" spans="4:155" x14ac:dyDescent="0.25">
      <c r="D13" s="19">
        <v>50</v>
      </c>
      <c r="E13" s="4">
        <v>0</v>
      </c>
      <c r="F13" s="4">
        <v>-1.7901620000000001E-3</v>
      </c>
      <c r="G13" s="4">
        <v>0</v>
      </c>
      <c r="H13" s="4">
        <v>-2.317089E-3</v>
      </c>
      <c r="I13" s="4">
        <v>0</v>
      </c>
      <c r="J13" s="4">
        <v>-2.2650370000000001E-3</v>
      </c>
      <c r="K13" s="4">
        <v>0</v>
      </c>
      <c r="L13" s="4">
        <v>-1.606566E-3</v>
      </c>
      <c r="M13" s="4">
        <v>0</v>
      </c>
      <c r="N13" s="4">
        <v>-4.7765029999999998E-4</v>
      </c>
      <c r="P13" s="4">
        <v>50</v>
      </c>
      <c r="Q13" s="4">
        <v>4.7848250000000004E-3</v>
      </c>
      <c r="T13" s="4">
        <v>50</v>
      </c>
      <c r="U13" s="4">
        <v>0</v>
      </c>
      <c r="V13" s="4">
        <v>-3.6430039999999999E-4</v>
      </c>
      <c r="W13" s="4">
        <v>0</v>
      </c>
      <c r="X13" s="4">
        <v>-3.0253820000000001E-3</v>
      </c>
      <c r="Y13" s="4">
        <v>0</v>
      </c>
      <c r="Z13" s="4">
        <v>-4.1625589999999997E-3</v>
      </c>
      <c r="AA13" s="4">
        <v>0</v>
      </c>
      <c r="AB13" s="4">
        <v>-1.450876E-3</v>
      </c>
      <c r="AC13" s="4">
        <v>0</v>
      </c>
      <c r="AD13" s="4">
        <v>-6.6515309999999996E-4</v>
      </c>
      <c r="AF13" s="4">
        <v>50</v>
      </c>
      <c r="AG13" s="4">
        <v>5.6081079999999997E-3</v>
      </c>
      <c r="AI13" s="4">
        <v>50</v>
      </c>
      <c r="AJ13" s="4">
        <v>0</v>
      </c>
      <c r="AK13" s="4">
        <v>-2.5494860000000001E-3</v>
      </c>
      <c r="AL13" s="4">
        <v>0</v>
      </c>
      <c r="AM13" s="4">
        <v>-4.197022E-4</v>
      </c>
      <c r="AN13" s="4">
        <v>0</v>
      </c>
      <c r="AO13" s="4">
        <v>-4.0905729999999999E-4</v>
      </c>
      <c r="AP13" s="4">
        <v>0</v>
      </c>
      <c r="AQ13" s="4">
        <v>-4.0884889999999998E-3</v>
      </c>
      <c r="AR13" s="4">
        <v>0</v>
      </c>
      <c r="AS13" s="4">
        <v>-4.4299349999999999E-4</v>
      </c>
      <c r="AU13" s="4">
        <v>50</v>
      </c>
      <c r="AV13" s="4">
        <v>5.284469E-3</v>
      </c>
      <c r="AX13" s="4">
        <v>50</v>
      </c>
      <c r="AY13" s="4">
        <v>0</v>
      </c>
      <c r="AZ13" s="4">
        <v>-4.982268E-4</v>
      </c>
      <c r="BA13" s="4">
        <v>0</v>
      </c>
      <c r="BB13" s="4">
        <v>-5.2664499999999998E-3</v>
      </c>
      <c r="BC13" s="4">
        <v>0</v>
      </c>
      <c r="BD13" s="4">
        <v>-4.4064940000000002E-4</v>
      </c>
      <c r="BE13" s="4">
        <v>0</v>
      </c>
      <c r="BF13" s="4">
        <v>-6.6441269999999999E-4</v>
      </c>
      <c r="BG13" s="4">
        <v>0</v>
      </c>
      <c r="BH13" s="4">
        <v>-5.3365520000000003E-4</v>
      </c>
      <c r="BJ13" s="4">
        <v>50</v>
      </c>
      <c r="BK13" s="4">
        <v>5.2236289999999996E-3</v>
      </c>
      <c r="BN13" s="2">
        <f t="shared" si="18"/>
        <v>1.7901620000000001E-3</v>
      </c>
      <c r="BO13" s="2">
        <f t="shared" si="19"/>
        <v>2.317089E-3</v>
      </c>
      <c r="BP13" s="2">
        <f t="shared" si="20"/>
        <v>2.2650370000000001E-3</v>
      </c>
      <c r="BQ13" s="2">
        <f t="shared" si="21"/>
        <v>1.606566E-3</v>
      </c>
      <c r="BR13" s="2">
        <f t="shared" si="22"/>
        <v>4.7765029999999998E-4</v>
      </c>
      <c r="BS13" s="2">
        <f t="shared" si="0"/>
        <v>3.6430039999999999E-4</v>
      </c>
      <c r="BT13" s="2">
        <f t="shared" si="1"/>
        <v>3.0253820000000001E-3</v>
      </c>
      <c r="BU13" s="2">
        <f t="shared" si="2"/>
        <v>4.1625589999999997E-3</v>
      </c>
      <c r="BV13" s="2">
        <f t="shared" si="3"/>
        <v>1.450876E-3</v>
      </c>
      <c r="BW13" s="2">
        <f t="shared" si="4"/>
        <v>6.6515309999999996E-4</v>
      </c>
      <c r="BX13" s="2">
        <f t="shared" si="5"/>
        <v>2.5494860000000001E-3</v>
      </c>
      <c r="BY13" s="2">
        <f t="shared" si="6"/>
        <v>4.197022E-4</v>
      </c>
      <c r="BZ13" s="2">
        <f t="shared" si="7"/>
        <v>4.0905729999999999E-4</v>
      </c>
      <c r="CA13" s="2">
        <f t="shared" si="8"/>
        <v>4.0884889999999998E-3</v>
      </c>
      <c r="CB13" s="2">
        <f t="shared" si="9"/>
        <v>4.4299349999999999E-4</v>
      </c>
      <c r="CC13" s="2">
        <f t="shared" si="10"/>
        <v>4.982268E-4</v>
      </c>
      <c r="CD13" s="2">
        <f t="shared" si="11"/>
        <v>5.2664499999999998E-3</v>
      </c>
      <c r="CE13" s="2">
        <f t="shared" si="12"/>
        <v>4.4064940000000002E-4</v>
      </c>
      <c r="CF13" s="2">
        <f t="shared" si="13"/>
        <v>6.6441269999999999E-4</v>
      </c>
      <c r="CG13" s="2">
        <f t="shared" si="14"/>
        <v>5.3365520000000003E-4</v>
      </c>
      <c r="CI13" s="29">
        <f t="shared" si="23"/>
        <v>72.231256672577075</v>
      </c>
      <c r="CJ13" s="29">
        <f t="shared" si="24"/>
        <v>64.371122252174587</v>
      </c>
      <c r="CL13" s="4">
        <f t="shared" si="25"/>
        <v>4.7848250000000004E-3</v>
      </c>
      <c r="CM13" s="4">
        <f t="shared" si="26"/>
        <v>5.6081079999999997E-3</v>
      </c>
      <c r="CN13" s="4">
        <f t="shared" si="27"/>
        <v>5.284469E-3</v>
      </c>
      <c r="CO13" s="4">
        <f t="shared" si="28"/>
        <v>5.2236289999999996E-3</v>
      </c>
      <c r="CQ13" s="5">
        <f t="shared" si="29"/>
        <v>47.576721257403314</v>
      </c>
      <c r="CR13" s="5">
        <f t="shared" si="30"/>
        <v>48.955727458903866</v>
      </c>
      <c r="CS13" s="5">
        <f t="shared" si="31"/>
        <v>48.439427178034961</v>
      </c>
      <c r="CT13" s="5">
        <f t="shared" si="32"/>
        <v>48.338846572373086</v>
      </c>
      <c r="CV13" s="4">
        <f t="shared" si="33"/>
        <v>57236.375701562625</v>
      </c>
      <c r="CW13" s="4">
        <f t="shared" si="34"/>
        <v>78627.188349160031</v>
      </c>
      <c r="CX13" s="4">
        <f t="shared" si="35"/>
        <v>69814.031529902582</v>
      </c>
      <c r="CY13" s="4">
        <f t="shared" si="36"/>
        <v>68215.749824102575</v>
      </c>
      <c r="DA13" s="5">
        <v>50</v>
      </c>
      <c r="DB13" s="4">
        <v>6.6659999999999997E-2</v>
      </c>
      <c r="DC13" s="5">
        <f t="shared" si="15"/>
        <v>48.355214893045513</v>
      </c>
      <c r="DD13" s="5">
        <f t="shared" si="16"/>
        <v>70.4567062732106</v>
      </c>
      <c r="DE13" s="2">
        <v>79.8</v>
      </c>
      <c r="DF13" s="5">
        <f>DE13-DD13</f>
        <v>9.3432937267893976</v>
      </c>
      <c r="DG13" s="4">
        <v>2.0257639999999999E-4</v>
      </c>
      <c r="DH13" s="5">
        <f t="shared" si="37"/>
        <v>20.111177066458268</v>
      </c>
      <c r="DJ13" s="5">
        <f t="shared" si="38"/>
        <v>28.244037826587245</v>
      </c>
      <c r="DL13" s="5">
        <f>DE13-DD13+DC13</f>
        <v>57.698508619834911</v>
      </c>
      <c r="DM13" s="2">
        <f>10^(DL13/10)</f>
        <v>588641.47940924531</v>
      </c>
      <c r="DN13" s="17">
        <f>DM13*(10^(-12))</f>
        <v>5.8864147940924532E-7</v>
      </c>
      <c r="DO13" s="2">
        <f t="shared" ref="DO13:DO34" si="45">DN13/($DH$7*$DH$6*CI41)</f>
        <v>1.5316615046285966E-4</v>
      </c>
      <c r="DP13" s="2">
        <f>10*LOG10(DO13)</f>
        <v>-38.148372026635343</v>
      </c>
      <c r="DQ13" s="19">
        <v>50</v>
      </c>
      <c r="DR13" s="4">
        <v>8.6187650000000005E-2</v>
      </c>
      <c r="DS13" s="5">
        <f t="shared" si="39"/>
        <v>72.688300873954987</v>
      </c>
      <c r="DT13" s="5">
        <f t="shared" si="40"/>
        <v>70.4567062732106</v>
      </c>
      <c r="DU13" s="5">
        <f t="shared" si="17"/>
        <v>2.231594600744387</v>
      </c>
      <c r="DV13" s="33">
        <v>50</v>
      </c>
      <c r="DW13" s="33">
        <v>3.8785499999999999E-4</v>
      </c>
      <c r="DX13" s="33">
        <f t="shared" si="41"/>
        <v>25.752787976459448</v>
      </c>
      <c r="DY13" s="32"/>
      <c r="DZ13" s="33">
        <v>50</v>
      </c>
      <c r="EA13" s="33">
        <v>4.552302E-4</v>
      </c>
      <c r="EB13" s="33">
        <f t="shared" si="42"/>
        <v>27.144021396037822</v>
      </c>
      <c r="EC13" s="26">
        <f>(343^2)/(2*PI())</f>
        <v>18724.419899818397</v>
      </c>
      <c r="ED13" s="26">
        <f t="shared" si="43"/>
        <v>1.7883301800852E-7</v>
      </c>
      <c r="EE13" s="33">
        <f t="shared" si="44"/>
        <v>26.503877144913595</v>
      </c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</row>
    <row r="14" spans="4:155" x14ac:dyDescent="0.25">
      <c r="D14" s="19">
        <v>63</v>
      </c>
      <c r="E14" s="4">
        <v>0</v>
      </c>
      <c r="F14" s="4">
        <v>-3.4265419999999999E-3</v>
      </c>
      <c r="G14" s="4">
        <v>0</v>
      </c>
      <c r="H14" s="4">
        <v>-2.6624589999999998E-3</v>
      </c>
      <c r="I14" s="4">
        <v>0</v>
      </c>
      <c r="J14" s="4">
        <v>-3.5567509999999999E-3</v>
      </c>
      <c r="K14" s="4">
        <v>0</v>
      </c>
      <c r="L14" s="4">
        <v>-1.9486379999999999E-3</v>
      </c>
      <c r="M14" s="4">
        <v>0</v>
      </c>
      <c r="N14" s="4">
        <v>-9.1853849999999995E-4</v>
      </c>
      <c r="P14" s="4">
        <v>63</v>
      </c>
      <c r="Q14" s="4">
        <v>1.9802139999999999E-2</v>
      </c>
      <c r="T14" s="4">
        <v>63</v>
      </c>
      <c r="U14" s="4">
        <v>0</v>
      </c>
      <c r="V14" s="4">
        <v>-1.2980069999999999E-3</v>
      </c>
      <c r="W14" s="4">
        <v>0</v>
      </c>
      <c r="X14" s="4">
        <v>-2.0301410000000001E-3</v>
      </c>
      <c r="Y14" s="4">
        <v>0</v>
      </c>
      <c r="Z14" s="4">
        <v>-3.8510279999999998E-3</v>
      </c>
      <c r="AA14" s="4">
        <v>0</v>
      </c>
      <c r="AB14" s="4">
        <v>-3.2603060000000001E-3</v>
      </c>
      <c r="AC14" s="4">
        <v>0</v>
      </c>
      <c r="AD14" s="4">
        <v>-1.328224E-3</v>
      </c>
      <c r="AF14" s="4">
        <v>63</v>
      </c>
      <c r="AG14" s="4">
        <v>2.0370510000000001E-2</v>
      </c>
      <c r="AI14" s="4">
        <v>63</v>
      </c>
      <c r="AJ14" s="4">
        <v>0</v>
      </c>
      <c r="AK14" s="4">
        <v>-2.4721610000000001E-3</v>
      </c>
      <c r="AL14" s="4">
        <v>0</v>
      </c>
      <c r="AM14" s="4">
        <v>-1.289805E-3</v>
      </c>
      <c r="AN14" s="4">
        <v>0</v>
      </c>
      <c r="AO14" s="4">
        <v>-9.8610449999999997E-4</v>
      </c>
      <c r="AP14" s="4">
        <v>0</v>
      </c>
      <c r="AQ14" s="4">
        <v>-4.8078620000000004E-3</v>
      </c>
      <c r="AR14" s="4">
        <v>0</v>
      </c>
      <c r="AS14" s="4">
        <v>-6.5485770000000003E-4</v>
      </c>
      <c r="AU14" s="4">
        <v>63</v>
      </c>
      <c r="AV14" s="4">
        <v>1.966646E-2</v>
      </c>
      <c r="AX14" s="4">
        <v>63</v>
      </c>
      <c r="AY14" s="4">
        <v>0</v>
      </c>
      <c r="AZ14" s="4">
        <v>-4.8581710000000002E-4</v>
      </c>
      <c r="BA14" s="4">
        <v>0</v>
      </c>
      <c r="BB14" s="4">
        <v>-2.6395759999999998E-3</v>
      </c>
      <c r="BC14" s="4">
        <v>0</v>
      </c>
      <c r="BD14" s="4">
        <v>-4.0205170000000003E-4</v>
      </c>
      <c r="BE14" s="4">
        <v>0</v>
      </c>
      <c r="BF14" s="4">
        <v>-2.0034430000000002E-3</v>
      </c>
      <c r="BG14" s="4">
        <v>0</v>
      </c>
      <c r="BH14" s="4">
        <v>-8.1707929999999995E-4</v>
      </c>
      <c r="BJ14" s="4">
        <v>63</v>
      </c>
      <c r="BK14" s="4">
        <v>2.106624E-2</v>
      </c>
      <c r="BN14" s="2">
        <f t="shared" si="18"/>
        <v>3.4265419999999999E-3</v>
      </c>
      <c r="BO14" s="2">
        <f t="shared" si="19"/>
        <v>2.6624589999999998E-3</v>
      </c>
      <c r="BP14" s="2">
        <f t="shared" si="20"/>
        <v>3.5567509999999999E-3</v>
      </c>
      <c r="BQ14" s="2">
        <f t="shared" si="21"/>
        <v>1.9486379999999999E-3</v>
      </c>
      <c r="BR14" s="2">
        <f t="shared" si="22"/>
        <v>9.1853849999999995E-4</v>
      </c>
      <c r="BS14" s="2">
        <f t="shared" si="0"/>
        <v>1.2980069999999999E-3</v>
      </c>
      <c r="BT14" s="2">
        <f t="shared" si="1"/>
        <v>2.0301410000000001E-3</v>
      </c>
      <c r="BU14" s="2">
        <f t="shared" si="2"/>
        <v>3.8510279999999998E-3</v>
      </c>
      <c r="BV14" s="2">
        <f t="shared" si="3"/>
        <v>3.2603060000000001E-3</v>
      </c>
      <c r="BW14" s="2">
        <f t="shared" si="4"/>
        <v>1.328224E-3</v>
      </c>
      <c r="BX14" s="2">
        <f t="shared" si="5"/>
        <v>2.4721610000000001E-3</v>
      </c>
      <c r="BY14" s="2">
        <f t="shared" si="6"/>
        <v>1.289805E-3</v>
      </c>
      <c r="BZ14" s="2">
        <f t="shared" si="7"/>
        <v>9.8610449999999997E-4</v>
      </c>
      <c r="CA14" s="2">
        <f t="shared" si="8"/>
        <v>4.8078620000000004E-3</v>
      </c>
      <c r="CB14" s="2">
        <f t="shared" si="9"/>
        <v>6.5485770000000003E-4</v>
      </c>
      <c r="CC14" s="2">
        <f t="shared" si="10"/>
        <v>4.8581710000000002E-4</v>
      </c>
      <c r="CD14" s="2">
        <f t="shared" si="11"/>
        <v>2.6395759999999998E-3</v>
      </c>
      <c r="CE14" s="2">
        <f t="shared" si="12"/>
        <v>4.0205170000000003E-4</v>
      </c>
      <c r="CF14" s="2">
        <f t="shared" si="13"/>
        <v>2.0034430000000002E-3</v>
      </c>
      <c r="CG14" s="2">
        <f t="shared" si="14"/>
        <v>8.1707929999999995E-4</v>
      </c>
      <c r="CI14" s="29">
        <f t="shared" si="23"/>
        <v>73.63903987249509</v>
      </c>
      <c r="CJ14" s="29">
        <f t="shared" si="24"/>
        <v>66.977686192784887</v>
      </c>
      <c r="CL14" s="4">
        <f t="shared" si="25"/>
        <v>1.9802139999999999E-2</v>
      </c>
      <c r="CM14" s="4">
        <f t="shared" si="26"/>
        <v>2.0370510000000001E-2</v>
      </c>
      <c r="CN14" s="4">
        <f t="shared" si="27"/>
        <v>1.966646E-2</v>
      </c>
      <c r="CO14" s="4">
        <f t="shared" si="28"/>
        <v>2.106624E-2</v>
      </c>
      <c r="CQ14" s="5">
        <f t="shared" si="29"/>
        <v>59.913642619193695</v>
      </c>
      <c r="CR14" s="5">
        <f t="shared" si="30"/>
        <v>60.159438131046798</v>
      </c>
      <c r="CS14" s="5">
        <f t="shared" si="31"/>
        <v>59.853923949239991</v>
      </c>
      <c r="CT14" s="5">
        <f t="shared" si="32"/>
        <v>60.451140639441199</v>
      </c>
      <c r="CV14" s="4">
        <f t="shared" si="33"/>
        <v>980311.87144900102</v>
      </c>
      <c r="CW14" s="4">
        <f t="shared" si="34"/>
        <v>1037394.194150252</v>
      </c>
      <c r="CX14" s="4">
        <f t="shared" si="35"/>
        <v>966924.1223290012</v>
      </c>
      <c r="CY14" s="4">
        <f t="shared" si="36"/>
        <v>1109466.1693440001</v>
      </c>
      <c r="DA14" s="5">
        <v>63</v>
      </c>
      <c r="DB14" s="4">
        <v>0.15363479999999999</v>
      </c>
      <c r="DC14" s="5">
        <f t="shared" si="15"/>
        <v>60.100980685273896</v>
      </c>
      <c r="DD14" s="5">
        <f t="shared" si="16"/>
        <v>77.70919207460922</v>
      </c>
      <c r="DE14" s="2">
        <v>80.900000000000006</v>
      </c>
      <c r="DF14" s="5">
        <f t="shared" ref="DF14:DF34" si="46">DE14-DD14</f>
        <v>3.1908079253907857</v>
      </c>
      <c r="DG14" s="4">
        <v>4.2408819999999996E-3</v>
      </c>
      <c r="DH14" s="5">
        <f t="shared" si="37"/>
        <v>46.528523859603261</v>
      </c>
      <c r="DJ14" s="5">
        <f t="shared" si="38"/>
        <v>13.572456825670635</v>
      </c>
      <c r="DL14" s="5">
        <f t="shared" ref="DL14:DL34" si="47">DE14-DD14+DC14</f>
        <v>63.291788610664682</v>
      </c>
      <c r="DM14" s="2">
        <f t="shared" ref="DM14:DM34" si="48">10^(DL14/10)</f>
        <v>2133923.5733127696</v>
      </c>
      <c r="DN14" s="17">
        <f t="shared" ref="DN14:DN33" si="49">DM14*(10^(-12))</f>
        <v>2.1339235733127698E-6</v>
      </c>
      <c r="DO14" s="2">
        <f t="shared" si="45"/>
        <v>4.8109466350186049E-4</v>
      </c>
      <c r="DP14" s="2">
        <f t="shared" ref="DP14:DP34" si="50">10*LOG10(DO14)</f>
        <v>-33.177694604421639</v>
      </c>
      <c r="DQ14" s="19">
        <v>63</v>
      </c>
      <c r="DR14" s="4">
        <v>0.17998500000000001</v>
      </c>
      <c r="DS14" s="5">
        <f t="shared" si="39"/>
        <v>79.084126334488985</v>
      </c>
      <c r="DT14" s="5">
        <f t="shared" si="40"/>
        <v>77.70919207460922</v>
      </c>
      <c r="DU14" s="5">
        <f t="shared" si="17"/>
        <v>1.3749342598797654</v>
      </c>
      <c r="DV14" s="33">
        <v>63</v>
      </c>
      <c r="DW14" s="33">
        <v>6.1006370000000001E-4</v>
      </c>
      <c r="DX14" s="33">
        <f t="shared" si="41"/>
        <v>29.686903774284733</v>
      </c>
      <c r="DY14" s="32"/>
      <c r="DZ14" s="33">
        <v>63</v>
      </c>
      <c r="EA14" s="33">
        <v>4.5836409999999998E-4</v>
      </c>
      <c r="EB14" s="33">
        <f t="shared" si="42"/>
        <v>27.203611996166629</v>
      </c>
      <c r="EC14" s="26">
        <v>2700</v>
      </c>
      <c r="ED14" s="26">
        <f t="shared" si="43"/>
        <v>2.9113768311325001E-7</v>
      </c>
      <c r="EE14" s="33">
        <f t="shared" si="44"/>
        <v>28.620384302186096</v>
      </c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</row>
    <row r="15" spans="4:155" x14ac:dyDescent="0.25">
      <c r="D15" s="19">
        <v>80</v>
      </c>
      <c r="E15" s="4">
        <v>0</v>
      </c>
      <c r="F15" s="4">
        <v>-4.2250910000000003E-3</v>
      </c>
      <c r="G15" s="4">
        <v>0</v>
      </c>
      <c r="H15" s="4">
        <v>-4.0693780000000002E-3</v>
      </c>
      <c r="I15" s="4">
        <v>0</v>
      </c>
      <c r="J15" s="4">
        <v>-2.1216719999999998E-3</v>
      </c>
      <c r="K15" s="4">
        <v>0</v>
      </c>
      <c r="L15" s="4">
        <v>-3.3723389999999998E-3</v>
      </c>
      <c r="M15" s="4">
        <v>0</v>
      </c>
      <c r="N15" s="4">
        <v>-6.6208249999999999E-4</v>
      </c>
      <c r="P15" s="4">
        <v>80</v>
      </c>
      <c r="Q15" s="4">
        <v>2.204186E-2</v>
      </c>
      <c r="T15" s="4">
        <v>80</v>
      </c>
      <c r="U15" s="4">
        <v>0</v>
      </c>
      <c r="V15" s="4">
        <v>-7.3043360000000005E-4</v>
      </c>
      <c r="W15" s="4">
        <v>0</v>
      </c>
      <c r="X15" s="4">
        <v>-6.3969059999999999E-3</v>
      </c>
      <c r="Y15" s="4">
        <v>0</v>
      </c>
      <c r="Z15" s="4">
        <v>-3.068632E-3</v>
      </c>
      <c r="AA15" s="4">
        <v>0</v>
      </c>
      <c r="AB15" s="4">
        <v>-2.4537970000000002E-3</v>
      </c>
      <c r="AC15" s="4">
        <v>0</v>
      </c>
      <c r="AD15" s="4">
        <v>-1.628467E-3</v>
      </c>
      <c r="AF15" s="4">
        <v>80</v>
      </c>
      <c r="AG15" s="4">
        <v>2.581814E-2</v>
      </c>
      <c r="AI15" s="4">
        <v>80</v>
      </c>
      <c r="AJ15" s="4">
        <v>0</v>
      </c>
      <c r="AK15" s="4">
        <v>-1.913316E-3</v>
      </c>
      <c r="AL15" s="4">
        <v>0</v>
      </c>
      <c r="AM15" s="4">
        <v>-9.110263E-4</v>
      </c>
      <c r="AN15" s="4">
        <v>0</v>
      </c>
      <c r="AO15" s="4">
        <v>-2.0146610000000001E-3</v>
      </c>
      <c r="AP15" s="4">
        <v>0</v>
      </c>
      <c r="AQ15" s="4">
        <v>-4.9313070000000002E-3</v>
      </c>
      <c r="AR15" s="4">
        <v>0</v>
      </c>
      <c r="AS15" s="4">
        <v>-9.348828E-4</v>
      </c>
      <c r="AU15" s="4">
        <v>80</v>
      </c>
      <c r="AV15" s="4">
        <v>2.222584E-2</v>
      </c>
      <c r="AX15" s="4">
        <v>80</v>
      </c>
      <c r="AY15" s="4">
        <v>0</v>
      </c>
      <c r="AZ15" s="4">
        <v>-1.3294820000000001E-3</v>
      </c>
      <c r="BA15" s="4">
        <v>0</v>
      </c>
      <c r="BB15" s="4">
        <v>-2.866066E-3</v>
      </c>
      <c r="BC15" s="4">
        <v>0</v>
      </c>
      <c r="BD15" s="4">
        <v>-8.9056740000000001E-4</v>
      </c>
      <c r="BE15" s="4">
        <v>0</v>
      </c>
      <c r="BF15" s="4">
        <v>-1.1482040000000001E-3</v>
      </c>
      <c r="BG15" s="4">
        <v>0</v>
      </c>
      <c r="BH15" s="4">
        <v>-1.06894E-3</v>
      </c>
      <c r="BJ15" s="4">
        <v>80</v>
      </c>
      <c r="BK15" s="4">
        <v>2.5483740000000001E-2</v>
      </c>
      <c r="BN15" s="2">
        <f t="shared" si="18"/>
        <v>4.2250910000000003E-3</v>
      </c>
      <c r="BO15" s="2">
        <f t="shared" si="19"/>
        <v>4.0693780000000002E-3</v>
      </c>
      <c r="BP15" s="2">
        <f t="shared" si="20"/>
        <v>2.1216719999999998E-3</v>
      </c>
      <c r="BQ15" s="2">
        <f t="shared" si="21"/>
        <v>3.3723389999999998E-3</v>
      </c>
      <c r="BR15" s="2">
        <f t="shared" si="22"/>
        <v>6.6208249999999999E-4</v>
      </c>
      <c r="BS15" s="2">
        <f t="shared" si="0"/>
        <v>7.3043360000000005E-4</v>
      </c>
      <c r="BT15" s="2">
        <f t="shared" si="1"/>
        <v>6.3969059999999999E-3</v>
      </c>
      <c r="BU15" s="2">
        <f t="shared" si="2"/>
        <v>3.068632E-3</v>
      </c>
      <c r="BV15" s="2">
        <f t="shared" si="3"/>
        <v>2.4537970000000002E-3</v>
      </c>
      <c r="BW15" s="2">
        <f t="shared" si="4"/>
        <v>1.628467E-3</v>
      </c>
      <c r="BX15" s="2">
        <f t="shared" si="5"/>
        <v>1.913316E-3</v>
      </c>
      <c r="BY15" s="2">
        <f t="shared" si="6"/>
        <v>9.110263E-4</v>
      </c>
      <c r="BZ15" s="2">
        <f t="shared" si="7"/>
        <v>2.0146610000000001E-3</v>
      </c>
      <c r="CA15" s="2">
        <f t="shared" si="8"/>
        <v>4.9313070000000002E-3</v>
      </c>
      <c r="CB15" s="2">
        <f t="shared" si="9"/>
        <v>9.348828E-4</v>
      </c>
      <c r="CC15" s="2">
        <f t="shared" si="10"/>
        <v>1.3294820000000001E-3</v>
      </c>
      <c r="CD15" s="2">
        <f t="shared" si="11"/>
        <v>2.866066E-3</v>
      </c>
      <c r="CE15" s="2">
        <f t="shared" si="12"/>
        <v>8.9056740000000001E-4</v>
      </c>
      <c r="CF15" s="2">
        <f t="shared" si="13"/>
        <v>1.1482040000000001E-3</v>
      </c>
      <c r="CG15" s="2">
        <f t="shared" si="14"/>
        <v>1.06894E-3</v>
      </c>
      <c r="CI15" s="29">
        <f t="shared" si="23"/>
        <v>73.859240810126551</v>
      </c>
      <c r="CJ15" s="29">
        <f t="shared" si="24"/>
        <v>68.239590895226883</v>
      </c>
      <c r="CL15" s="4">
        <f t="shared" si="25"/>
        <v>2.204186E-2</v>
      </c>
      <c r="CM15" s="4">
        <f t="shared" si="26"/>
        <v>2.581814E-2</v>
      </c>
      <c r="CN15" s="4">
        <f t="shared" si="27"/>
        <v>2.222584E-2</v>
      </c>
      <c r="CO15" s="4">
        <f t="shared" si="28"/>
        <v>2.5483740000000001E-2</v>
      </c>
      <c r="CQ15" s="5">
        <f t="shared" si="29"/>
        <v>60.844364879110998</v>
      </c>
      <c r="CR15" s="5">
        <f t="shared" si="30"/>
        <v>62.217899115790743</v>
      </c>
      <c r="CS15" s="5">
        <f t="shared" si="31"/>
        <v>60.916563758954354</v>
      </c>
      <c r="CT15" s="5">
        <f t="shared" si="32"/>
        <v>62.104663396853184</v>
      </c>
      <c r="CV15" s="4">
        <f t="shared" si="33"/>
        <v>1214608.9806490003</v>
      </c>
      <c r="CW15" s="4">
        <f t="shared" si="34"/>
        <v>1666440.8826490017</v>
      </c>
      <c r="CX15" s="4">
        <f t="shared" si="35"/>
        <v>1234969.9092640013</v>
      </c>
      <c r="CY15" s="4">
        <f t="shared" si="36"/>
        <v>1623552.5109690013</v>
      </c>
      <c r="DA15" s="5">
        <v>80</v>
      </c>
      <c r="DB15" s="4">
        <v>0.1003739</v>
      </c>
      <c r="DC15" s="5">
        <f t="shared" si="15"/>
        <v>61.568195383830044</v>
      </c>
      <c r="DD15" s="5">
        <f t="shared" si="16"/>
        <v>74.011816064101893</v>
      </c>
      <c r="DE15" s="2">
        <v>79.7</v>
      </c>
      <c r="DF15" s="5">
        <f t="shared" si="46"/>
        <v>5.6881839358981097</v>
      </c>
      <c r="DG15" s="4">
        <v>1.0887679999999999E-4</v>
      </c>
      <c r="DH15" s="5">
        <f t="shared" si="37"/>
        <v>14.718107047237831</v>
      </c>
      <c r="DJ15" s="5">
        <f t="shared" si="38"/>
        <v>46.850088336592215</v>
      </c>
      <c r="DL15" s="5">
        <f t="shared" si="47"/>
        <v>67.256379319728154</v>
      </c>
      <c r="DM15" s="2">
        <f t="shared" si="48"/>
        <v>5316648.295003999</v>
      </c>
      <c r="DN15" s="17">
        <f t="shared" si="49"/>
        <v>5.3166482950039993E-6</v>
      </c>
      <c r="DO15" s="2">
        <f t="shared" si="45"/>
        <v>8.6511130906921955E-4</v>
      </c>
      <c r="DP15" s="2">
        <f t="shared" si="50"/>
        <v>-30.629280106802309</v>
      </c>
      <c r="DQ15" s="19">
        <v>80</v>
      </c>
      <c r="DR15" s="4">
        <v>0.12680259999999999</v>
      </c>
      <c r="DS15" s="5">
        <f t="shared" si="39"/>
        <v>76.041963257646728</v>
      </c>
      <c r="DT15" s="5">
        <f t="shared" si="40"/>
        <v>74.011816064101893</v>
      </c>
      <c r="DU15" s="5">
        <f t="shared" si="17"/>
        <v>2.0301471935448347</v>
      </c>
      <c r="DV15" s="33">
        <v>80</v>
      </c>
      <c r="DW15" s="33">
        <v>1.757749E-4</v>
      </c>
      <c r="DX15" s="33">
        <f t="shared" si="41"/>
        <v>18.878537277385004</v>
      </c>
      <c r="DY15" s="32"/>
      <c r="DZ15" s="33">
        <v>80</v>
      </c>
      <c r="EA15" s="33">
        <v>1.4219060000000001E-4</v>
      </c>
      <c r="EB15" s="33">
        <f t="shared" si="42"/>
        <v>17.036817822884153</v>
      </c>
      <c r="EC15" s="26">
        <f>1/1000</f>
        <v>1E-3</v>
      </c>
      <c r="ED15" s="26">
        <f t="shared" si="43"/>
        <v>2.5557491099185E-8</v>
      </c>
      <c r="EE15" s="33">
        <f t="shared" si="44"/>
        <v>18.054582268884751</v>
      </c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</row>
    <row r="16" spans="4:155" x14ac:dyDescent="0.25">
      <c r="D16" s="19">
        <v>100</v>
      </c>
      <c r="E16" s="4">
        <v>0</v>
      </c>
      <c r="F16" s="4">
        <v>-1.5173560000000001E-3</v>
      </c>
      <c r="G16" s="4">
        <v>0</v>
      </c>
      <c r="H16" s="4">
        <v>-1.7341220000000001E-3</v>
      </c>
      <c r="I16" s="4">
        <v>0</v>
      </c>
      <c r="J16" s="4">
        <v>-2.1264679999999998E-3</v>
      </c>
      <c r="K16" s="4">
        <v>0</v>
      </c>
      <c r="L16" s="4">
        <v>-2.1640460000000002E-3</v>
      </c>
      <c r="M16" s="4">
        <v>0</v>
      </c>
      <c r="N16" s="4">
        <v>-5.1916310000000004E-4</v>
      </c>
      <c r="P16" s="4">
        <v>100</v>
      </c>
      <c r="Q16" s="4">
        <v>1.6536530000000001E-2</v>
      </c>
      <c r="T16" s="4">
        <v>100</v>
      </c>
      <c r="U16" s="4">
        <v>0</v>
      </c>
      <c r="V16" s="4">
        <v>-6.3248440000000003E-4</v>
      </c>
      <c r="W16" s="4">
        <v>0</v>
      </c>
      <c r="X16" s="4">
        <v>-2.2793119999999999E-3</v>
      </c>
      <c r="Y16" s="4">
        <v>0</v>
      </c>
      <c r="Z16" s="4">
        <v>-3.9274920000000003E-3</v>
      </c>
      <c r="AA16" s="4">
        <v>0</v>
      </c>
      <c r="AB16" s="4">
        <v>-1.951396E-3</v>
      </c>
      <c r="AC16" s="4">
        <v>0</v>
      </c>
      <c r="AD16" s="4">
        <v>-3.3574289999999999E-3</v>
      </c>
      <c r="AF16" s="4">
        <v>100</v>
      </c>
      <c r="AG16" s="4">
        <v>1.8484830000000001E-2</v>
      </c>
      <c r="AI16" s="4">
        <v>100</v>
      </c>
      <c r="AJ16" s="4">
        <v>0</v>
      </c>
      <c r="AK16" s="4">
        <v>-1.8386839999999999E-3</v>
      </c>
      <c r="AL16" s="4">
        <v>0</v>
      </c>
      <c r="AM16" s="4">
        <v>-3.5231200000000002E-4</v>
      </c>
      <c r="AN16" s="4">
        <v>0</v>
      </c>
      <c r="AO16" s="4">
        <v>-8.4039460000000005E-4</v>
      </c>
      <c r="AP16" s="4">
        <v>0</v>
      </c>
      <c r="AQ16" s="4">
        <v>-6.1044910000000001E-3</v>
      </c>
      <c r="AR16" s="4">
        <v>0</v>
      </c>
      <c r="AS16" s="4">
        <v>-1.033515E-3</v>
      </c>
      <c r="AU16" s="4">
        <v>100</v>
      </c>
      <c r="AV16" s="4">
        <v>1.685536E-2</v>
      </c>
      <c r="AX16" s="4">
        <v>100</v>
      </c>
      <c r="AY16" s="4">
        <v>0</v>
      </c>
      <c r="AZ16" s="4">
        <v>-8.2018429999999995E-4</v>
      </c>
      <c r="BA16" s="4">
        <v>0</v>
      </c>
      <c r="BB16" s="4">
        <v>-2.1060860000000001E-3</v>
      </c>
      <c r="BC16" s="4">
        <v>0</v>
      </c>
      <c r="BD16" s="4">
        <v>-1.0605499999999999E-3</v>
      </c>
      <c r="BE16" s="4">
        <v>0</v>
      </c>
      <c r="BF16" s="4">
        <v>-1.317616E-3</v>
      </c>
      <c r="BG16" s="4">
        <v>0</v>
      </c>
      <c r="BH16" s="4">
        <v>-2.6154850000000002E-4</v>
      </c>
      <c r="BJ16" s="4">
        <v>100</v>
      </c>
      <c r="BK16" s="4">
        <v>1.6640220000000001E-2</v>
      </c>
      <c r="BN16" s="2">
        <f t="shared" si="18"/>
        <v>1.5173560000000001E-3</v>
      </c>
      <c r="BO16" s="2">
        <f t="shared" si="19"/>
        <v>1.7341220000000001E-3</v>
      </c>
      <c r="BP16" s="2">
        <f t="shared" si="20"/>
        <v>2.1264679999999998E-3</v>
      </c>
      <c r="BQ16" s="2">
        <f t="shared" si="21"/>
        <v>2.1640460000000002E-3</v>
      </c>
      <c r="BR16" s="2">
        <f t="shared" si="22"/>
        <v>5.1916310000000004E-4</v>
      </c>
      <c r="BS16" s="2">
        <f t="shared" si="0"/>
        <v>6.3248440000000003E-4</v>
      </c>
      <c r="BT16" s="2">
        <f t="shared" si="1"/>
        <v>2.2793119999999999E-3</v>
      </c>
      <c r="BU16" s="2">
        <f t="shared" si="2"/>
        <v>3.9274920000000003E-3</v>
      </c>
      <c r="BV16" s="2">
        <f t="shared" si="3"/>
        <v>1.951396E-3</v>
      </c>
      <c r="BW16" s="2">
        <f t="shared" si="4"/>
        <v>3.3574289999999999E-3</v>
      </c>
      <c r="BX16" s="2">
        <f t="shared" si="5"/>
        <v>1.8386839999999999E-3</v>
      </c>
      <c r="BY16" s="2">
        <f t="shared" si="6"/>
        <v>3.5231200000000002E-4</v>
      </c>
      <c r="BZ16" s="2">
        <f t="shared" si="7"/>
        <v>8.4039460000000005E-4</v>
      </c>
      <c r="CA16" s="2">
        <f t="shared" si="8"/>
        <v>6.1044910000000001E-3</v>
      </c>
      <c r="CB16" s="2">
        <f t="shared" si="9"/>
        <v>1.033515E-3</v>
      </c>
      <c r="CC16" s="2">
        <f t="shared" si="10"/>
        <v>8.2018429999999995E-4</v>
      </c>
      <c r="CD16" s="2">
        <f t="shared" si="11"/>
        <v>2.1060860000000001E-3</v>
      </c>
      <c r="CE16" s="2">
        <f t="shared" si="12"/>
        <v>1.0605499999999999E-3</v>
      </c>
      <c r="CF16" s="2">
        <f t="shared" si="13"/>
        <v>1.317616E-3</v>
      </c>
      <c r="CG16" s="2">
        <f t="shared" si="14"/>
        <v>2.6154850000000002E-4</v>
      </c>
      <c r="CI16" s="29">
        <f t="shared" si="23"/>
        <v>75.712989155603324</v>
      </c>
      <c r="CJ16" s="29">
        <f t="shared" si="24"/>
        <v>65.046101761649155</v>
      </c>
      <c r="CL16" s="4">
        <f t="shared" si="25"/>
        <v>1.6536530000000001E-2</v>
      </c>
      <c r="CM16" s="4">
        <f t="shared" si="26"/>
        <v>1.8484830000000001E-2</v>
      </c>
      <c r="CN16" s="4">
        <f t="shared" si="27"/>
        <v>1.685536E-2</v>
      </c>
      <c r="CO16" s="4">
        <f t="shared" si="28"/>
        <v>1.6640220000000001E-2</v>
      </c>
      <c r="CQ16" s="5">
        <f t="shared" si="29"/>
        <v>58.348287748542319</v>
      </c>
      <c r="CR16" s="5">
        <f t="shared" si="30"/>
        <v>59.315709303483992</v>
      </c>
      <c r="CS16" s="5">
        <f t="shared" si="31"/>
        <v>58.514160740732144</v>
      </c>
      <c r="CT16" s="5">
        <f t="shared" si="32"/>
        <v>58.402581362538541</v>
      </c>
      <c r="CV16" s="4">
        <f t="shared" si="33"/>
        <v>683642.06110225024</v>
      </c>
      <c r="CW16" s="4">
        <f t="shared" si="34"/>
        <v>854222.35032225156</v>
      </c>
      <c r="CX16" s="4">
        <f t="shared" si="35"/>
        <v>710257.90182400169</v>
      </c>
      <c r="CY16" s="4">
        <f t="shared" si="36"/>
        <v>692242.30412100069</v>
      </c>
      <c r="DA16" s="5">
        <v>100</v>
      </c>
      <c r="DB16" s="4">
        <v>9.6622029999999998E-2</v>
      </c>
      <c r="DC16" s="5">
        <f t="shared" si="15"/>
        <v>58.663411967348978</v>
      </c>
      <c r="DD16" s="5">
        <f t="shared" si="16"/>
        <v>73.680923239595217</v>
      </c>
      <c r="DE16" s="2">
        <v>81.3</v>
      </c>
      <c r="DF16" s="5">
        <f t="shared" si="46"/>
        <v>7.6190767604047807</v>
      </c>
      <c r="DG16" s="4">
        <v>8.6017939999999998E-5</v>
      </c>
      <c r="DH16" s="5">
        <f t="shared" si="37"/>
        <v>12.671180839608843</v>
      </c>
      <c r="DJ16" s="5">
        <f t="shared" si="38"/>
        <v>45.992231127740133</v>
      </c>
      <c r="DL16" s="5">
        <f t="shared" si="47"/>
        <v>66.282488727753758</v>
      </c>
      <c r="DM16" s="2">
        <f t="shared" si="48"/>
        <v>4248629.6223589359</v>
      </c>
      <c r="DN16" s="17">
        <f t="shared" si="49"/>
        <v>4.2486296223589357E-6</v>
      </c>
      <c r="DO16" s="2">
        <f t="shared" si="45"/>
        <v>1.0713612448801542E-3</v>
      </c>
      <c r="DP16" s="2">
        <f t="shared" si="50"/>
        <v>-29.700640677252586</v>
      </c>
      <c r="DQ16" s="19">
        <v>100</v>
      </c>
      <c r="DR16" s="4">
        <v>0.1135526</v>
      </c>
      <c r="DS16" s="5">
        <f t="shared" si="39"/>
        <v>75.083341739865517</v>
      </c>
      <c r="DT16" s="5">
        <f t="shared" si="40"/>
        <v>73.680923239595217</v>
      </c>
      <c r="DU16" s="5">
        <f t="shared" si="17"/>
        <v>1.4024185002703007</v>
      </c>
      <c r="DV16" s="33">
        <v>100</v>
      </c>
      <c r="DW16" s="33">
        <v>1.9595929999999999E-4</v>
      </c>
      <c r="DX16" s="33">
        <f t="shared" si="41"/>
        <v>19.822717674984279</v>
      </c>
      <c r="DY16" s="32"/>
      <c r="DZ16" s="33">
        <v>100</v>
      </c>
      <c r="EA16" s="33">
        <v>1.953557E-4</v>
      </c>
      <c r="EB16" s="33">
        <f t="shared" si="42"/>
        <v>19.795921834581673</v>
      </c>
      <c r="EC16" s="26">
        <f>(EC14*EC15/(EC12*EC11))^(1/2)</f>
        <v>0.67552796253672143</v>
      </c>
      <c r="ED16" s="26">
        <f t="shared" si="43"/>
        <v>3.8281948389490004E-8</v>
      </c>
      <c r="EE16" s="33">
        <f t="shared" si="44"/>
        <v>19.809340420942515</v>
      </c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</row>
    <row r="17" spans="4:155" x14ac:dyDescent="0.25">
      <c r="D17" s="19">
        <v>125</v>
      </c>
      <c r="E17" s="4">
        <v>0</v>
      </c>
      <c r="F17" s="4">
        <v>-2.4536610000000002E-3</v>
      </c>
      <c r="G17" s="4">
        <v>0</v>
      </c>
      <c r="H17" s="4">
        <v>-2.7744760000000001E-3</v>
      </c>
      <c r="I17" s="4">
        <v>0</v>
      </c>
      <c r="J17" s="4">
        <v>-3.8621290000000002E-3</v>
      </c>
      <c r="K17" s="4">
        <v>0</v>
      </c>
      <c r="L17" s="4">
        <v>-3.1563580000000002E-3</v>
      </c>
      <c r="M17" s="4">
        <v>0</v>
      </c>
      <c r="N17" s="4">
        <v>-5.7498230000000003E-4</v>
      </c>
      <c r="P17" s="4">
        <v>125</v>
      </c>
      <c r="Q17" s="4">
        <v>2.5252920000000002E-2</v>
      </c>
      <c r="T17" s="4">
        <v>125</v>
      </c>
      <c r="U17" s="4">
        <v>0</v>
      </c>
      <c r="V17" s="4">
        <v>-5.0104659999999999E-4</v>
      </c>
      <c r="W17" s="4">
        <v>0</v>
      </c>
      <c r="X17" s="4">
        <v>-3.6283819999999999E-3</v>
      </c>
      <c r="Y17" s="4">
        <v>0</v>
      </c>
      <c r="Z17" s="4">
        <v>-2.540648E-3</v>
      </c>
      <c r="AA17" s="4">
        <v>0</v>
      </c>
      <c r="AB17" s="4">
        <v>-3.3006469999999999E-3</v>
      </c>
      <c r="AC17" s="4">
        <v>0</v>
      </c>
      <c r="AD17" s="4">
        <v>-2.2305049999999998E-3</v>
      </c>
      <c r="AF17" s="4">
        <v>125</v>
      </c>
      <c r="AG17" s="4">
        <v>2.4870679999999999E-2</v>
      </c>
      <c r="AI17" s="4">
        <v>125</v>
      </c>
      <c r="AJ17" s="4">
        <v>0</v>
      </c>
      <c r="AK17" s="4">
        <v>-1.7490959999999999E-3</v>
      </c>
      <c r="AL17" s="4">
        <v>0</v>
      </c>
      <c r="AM17" s="4">
        <v>-7.312725E-4</v>
      </c>
      <c r="AN17" s="4">
        <v>0</v>
      </c>
      <c r="AO17" s="4">
        <v>-1.2491379999999999E-3</v>
      </c>
      <c r="AP17" s="4">
        <v>0</v>
      </c>
      <c r="AQ17" s="4">
        <v>-4.981816E-3</v>
      </c>
      <c r="AR17" s="4">
        <v>0</v>
      </c>
      <c r="AS17" s="4">
        <v>-8.8871250000000001E-4</v>
      </c>
      <c r="AU17" s="4">
        <v>125</v>
      </c>
      <c r="AV17" s="4">
        <v>2.5592320000000002E-2</v>
      </c>
      <c r="AX17" s="4">
        <v>125</v>
      </c>
      <c r="AY17" s="4">
        <v>0</v>
      </c>
      <c r="AZ17" s="4">
        <v>-1.1309639999999999E-3</v>
      </c>
      <c r="BA17" s="4">
        <v>0</v>
      </c>
      <c r="BB17" s="4">
        <v>-1.5905380000000001E-3</v>
      </c>
      <c r="BC17" s="4">
        <v>0</v>
      </c>
      <c r="BD17" s="4">
        <v>-7.6733909999999995E-4</v>
      </c>
      <c r="BE17" s="4">
        <v>0</v>
      </c>
      <c r="BF17" s="4">
        <v>-1.2985539999999999E-3</v>
      </c>
      <c r="BG17" s="4">
        <v>0</v>
      </c>
      <c r="BH17" s="4">
        <v>-5.4074039999999998E-4</v>
      </c>
      <c r="BJ17" s="4">
        <v>125</v>
      </c>
      <c r="BK17" s="4">
        <v>2.550442E-2</v>
      </c>
      <c r="BN17" s="2">
        <f t="shared" si="18"/>
        <v>2.4536610000000002E-3</v>
      </c>
      <c r="BO17" s="2">
        <f t="shared" si="19"/>
        <v>2.7744760000000001E-3</v>
      </c>
      <c r="BP17" s="2">
        <f t="shared" si="20"/>
        <v>3.8621290000000002E-3</v>
      </c>
      <c r="BQ17" s="2">
        <f t="shared" si="21"/>
        <v>3.1563580000000002E-3</v>
      </c>
      <c r="BR17" s="2">
        <f t="shared" si="22"/>
        <v>5.7498230000000003E-4</v>
      </c>
      <c r="BS17" s="2">
        <f t="shared" si="0"/>
        <v>5.0104659999999999E-4</v>
      </c>
      <c r="BT17" s="2">
        <f t="shared" si="1"/>
        <v>3.6283819999999999E-3</v>
      </c>
      <c r="BU17" s="2">
        <f t="shared" si="2"/>
        <v>2.540648E-3</v>
      </c>
      <c r="BV17" s="2">
        <f t="shared" si="3"/>
        <v>3.3006469999999999E-3</v>
      </c>
      <c r="BW17" s="2">
        <f t="shared" si="4"/>
        <v>2.2305049999999998E-3</v>
      </c>
      <c r="BX17" s="2">
        <f t="shared" si="5"/>
        <v>1.7490959999999999E-3</v>
      </c>
      <c r="BY17" s="2">
        <f t="shared" si="6"/>
        <v>7.312725E-4</v>
      </c>
      <c r="BZ17" s="2">
        <f t="shared" si="7"/>
        <v>1.2491379999999999E-3</v>
      </c>
      <c r="CA17" s="2">
        <f t="shared" si="8"/>
        <v>4.981816E-3</v>
      </c>
      <c r="CB17" s="2">
        <f t="shared" si="9"/>
        <v>8.8871250000000001E-4</v>
      </c>
      <c r="CC17" s="2">
        <f t="shared" si="10"/>
        <v>1.1309639999999999E-3</v>
      </c>
      <c r="CD17" s="2">
        <f t="shared" si="11"/>
        <v>1.5905380000000001E-3</v>
      </c>
      <c r="CE17" s="2">
        <f t="shared" si="12"/>
        <v>7.6733909999999995E-4</v>
      </c>
      <c r="CF17" s="2">
        <f t="shared" si="13"/>
        <v>1.2985539999999999E-3</v>
      </c>
      <c r="CG17" s="2">
        <f t="shared" si="14"/>
        <v>5.4074039999999998E-4</v>
      </c>
      <c r="CI17" s="29">
        <f t="shared" si="23"/>
        <v>73.947753662482796</v>
      </c>
      <c r="CJ17" s="29">
        <f t="shared" si="24"/>
        <v>66.894597284425473</v>
      </c>
      <c r="CL17" s="4">
        <f t="shared" si="25"/>
        <v>2.5252920000000002E-2</v>
      </c>
      <c r="CM17" s="4">
        <f t="shared" si="26"/>
        <v>2.4870679999999999E-2</v>
      </c>
      <c r="CN17" s="4">
        <f t="shared" si="27"/>
        <v>2.5592320000000002E-2</v>
      </c>
      <c r="CO17" s="4">
        <f t="shared" si="28"/>
        <v>2.550442E-2</v>
      </c>
      <c r="CQ17" s="5">
        <f t="shared" si="29"/>
        <v>62.025632144975724</v>
      </c>
      <c r="CR17" s="5">
        <f t="shared" si="30"/>
        <v>61.893153280024542</v>
      </c>
      <c r="CS17" s="5">
        <f t="shared" si="31"/>
        <v>62.141593235122727</v>
      </c>
      <c r="CT17" s="5">
        <f t="shared" si="32"/>
        <v>62.111709119137117</v>
      </c>
      <c r="CV17" s="4">
        <f t="shared" si="33"/>
        <v>1594274.9213160006</v>
      </c>
      <c r="CW17" s="4">
        <f t="shared" si="34"/>
        <v>1546376.8091560022</v>
      </c>
      <c r="CX17" s="4">
        <f t="shared" si="35"/>
        <v>1637417.1074560026</v>
      </c>
      <c r="CY17" s="4">
        <f t="shared" si="36"/>
        <v>1626188.5988410013</v>
      </c>
      <c r="DA17" s="5">
        <v>125</v>
      </c>
      <c r="DB17" s="4">
        <v>6.4295969999999994E-2</v>
      </c>
      <c r="DC17" s="5">
        <f t="shared" si="15"/>
        <v>62.044087899332077</v>
      </c>
      <c r="DD17" s="5">
        <f t="shared" si="16"/>
        <v>70.143075140348998</v>
      </c>
      <c r="DE17" s="2">
        <v>79.8</v>
      </c>
      <c r="DF17" s="5">
        <f t="shared" si="46"/>
        <v>9.6569248596509993</v>
      </c>
      <c r="DG17" s="4">
        <v>2.424561E-4</v>
      </c>
      <c r="DH17" s="5">
        <f t="shared" si="37"/>
        <v>21.672062388480754</v>
      </c>
      <c r="DJ17" s="5">
        <f t="shared" si="38"/>
        <v>40.372025510851323</v>
      </c>
      <c r="DL17" s="5">
        <f t="shared" si="47"/>
        <v>71.701012758983069</v>
      </c>
      <c r="DM17" s="2">
        <f t="shared" si="48"/>
        <v>14794533.51101161</v>
      </c>
      <c r="DN17" s="17">
        <f t="shared" si="49"/>
        <v>1.479453351101161E-5</v>
      </c>
      <c r="DO17" s="2">
        <f t="shared" si="45"/>
        <v>3.385649405395257E-3</v>
      </c>
      <c r="DP17" s="2">
        <f t="shared" si="50"/>
        <v>-24.703580164531672</v>
      </c>
      <c r="DQ17" s="19">
        <v>125</v>
      </c>
      <c r="DR17" s="4">
        <v>7.1292110000000006E-2</v>
      </c>
      <c r="DS17" s="5">
        <f t="shared" si="39"/>
        <v>71.040229457090746</v>
      </c>
      <c r="DT17" s="5">
        <f t="shared" si="40"/>
        <v>70.143075140348998</v>
      </c>
      <c r="DU17" s="5">
        <f t="shared" si="17"/>
        <v>0.89715431674174795</v>
      </c>
      <c r="DV17" s="33">
        <v>125</v>
      </c>
      <c r="DW17" s="33">
        <v>5.2056089999999997E-4</v>
      </c>
      <c r="DX17" s="33">
        <f t="shared" si="41"/>
        <v>28.308830978321645</v>
      </c>
      <c r="DY17" s="32"/>
      <c r="DZ17" s="33">
        <v>125</v>
      </c>
      <c r="EA17" s="33">
        <v>4.472508E-4</v>
      </c>
      <c r="EB17" s="33">
        <f t="shared" si="42"/>
        <v>26.990422608021714</v>
      </c>
      <c r="EC17" s="26"/>
      <c r="ED17" s="26">
        <f t="shared" si="43"/>
        <v>2.3550846435472499E-7</v>
      </c>
      <c r="EE17" s="33">
        <f t="shared" si="44"/>
        <v>27.699465292940211</v>
      </c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</row>
    <row r="18" spans="4:155" x14ac:dyDescent="0.25">
      <c r="D18" s="19">
        <v>160</v>
      </c>
      <c r="E18" s="4">
        <v>0</v>
      </c>
      <c r="F18" s="4">
        <v>-2.7532329999999999E-3</v>
      </c>
      <c r="G18" s="4">
        <v>0</v>
      </c>
      <c r="H18" s="4">
        <v>-2.249352E-3</v>
      </c>
      <c r="I18" s="4">
        <v>0</v>
      </c>
      <c r="J18" s="4">
        <v>-3.4124440000000002E-3</v>
      </c>
      <c r="K18" s="4">
        <v>0</v>
      </c>
      <c r="L18" s="4">
        <v>-3.3756189999999998E-3</v>
      </c>
      <c r="M18" s="4">
        <v>0</v>
      </c>
      <c r="N18" s="4">
        <v>-7.1089129999999995E-4</v>
      </c>
      <c r="P18" s="4">
        <v>160</v>
      </c>
      <c r="Q18" s="4">
        <v>1.7586270000000001E-2</v>
      </c>
      <c r="T18" s="4">
        <v>160</v>
      </c>
      <c r="U18" s="4">
        <v>0</v>
      </c>
      <c r="V18" s="4">
        <v>-7.2698619999999995E-4</v>
      </c>
      <c r="W18" s="4">
        <v>0</v>
      </c>
      <c r="X18" s="4">
        <v>-3.8014920000000001E-3</v>
      </c>
      <c r="Y18" s="4">
        <v>0</v>
      </c>
      <c r="Z18" s="4">
        <v>-2.617346E-3</v>
      </c>
      <c r="AA18" s="4">
        <v>0</v>
      </c>
      <c r="AB18" s="4">
        <v>-2.699754E-3</v>
      </c>
      <c r="AC18" s="4">
        <v>0</v>
      </c>
      <c r="AD18" s="4">
        <v>-4.2246860000000001E-3</v>
      </c>
      <c r="AF18" s="4">
        <v>160</v>
      </c>
      <c r="AG18" s="4">
        <v>1.8965119999999999E-2</v>
      </c>
      <c r="AI18" s="4">
        <v>160</v>
      </c>
      <c r="AJ18" s="4">
        <v>0</v>
      </c>
      <c r="AK18" s="4">
        <v>-1.687888E-3</v>
      </c>
      <c r="AL18" s="4">
        <v>0</v>
      </c>
      <c r="AM18" s="4">
        <v>-1.3019629999999999E-3</v>
      </c>
      <c r="AN18" s="4">
        <v>0</v>
      </c>
      <c r="AO18" s="4">
        <v>-8.4956029999999996E-4</v>
      </c>
      <c r="AP18" s="4">
        <v>0</v>
      </c>
      <c r="AQ18" s="4">
        <v>-5.6192330000000004E-3</v>
      </c>
      <c r="AR18" s="4">
        <v>0</v>
      </c>
      <c r="AS18" s="4">
        <v>-1.1044329999999999E-3</v>
      </c>
      <c r="AU18" s="4">
        <v>160</v>
      </c>
      <c r="AV18" s="4">
        <v>1.7930290000000002E-2</v>
      </c>
      <c r="AX18" s="4">
        <v>160</v>
      </c>
      <c r="AY18" s="4">
        <v>0</v>
      </c>
      <c r="AZ18" s="4">
        <v>-1.074942E-3</v>
      </c>
      <c r="BA18" s="4">
        <v>0</v>
      </c>
      <c r="BB18" s="4">
        <v>-1.5045830000000001E-3</v>
      </c>
      <c r="BC18" s="4">
        <v>0</v>
      </c>
      <c r="BD18" s="4">
        <v>-1.0907950000000001E-3</v>
      </c>
      <c r="BE18" s="4">
        <v>0</v>
      </c>
      <c r="BF18" s="4">
        <v>-1.56175E-3</v>
      </c>
      <c r="BG18" s="4">
        <v>0</v>
      </c>
      <c r="BH18" s="4">
        <v>-6.5161570000000005E-4</v>
      </c>
      <c r="BJ18" s="4">
        <v>160</v>
      </c>
      <c r="BK18" s="4">
        <v>1.7957939999999999E-2</v>
      </c>
      <c r="BN18" s="2">
        <f t="shared" si="18"/>
        <v>2.7532329999999999E-3</v>
      </c>
      <c r="BO18" s="2">
        <f t="shared" si="19"/>
        <v>2.249352E-3</v>
      </c>
      <c r="BP18" s="2">
        <f t="shared" si="20"/>
        <v>3.4124440000000002E-3</v>
      </c>
      <c r="BQ18" s="2">
        <f t="shared" si="21"/>
        <v>3.3756189999999998E-3</v>
      </c>
      <c r="BR18" s="2">
        <f t="shared" si="22"/>
        <v>7.1089129999999995E-4</v>
      </c>
      <c r="BS18" s="2">
        <f t="shared" si="0"/>
        <v>7.2698619999999995E-4</v>
      </c>
      <c r="BT18" s="2">
        <f t="shared" si="1"/>
        <v>3.8014920000000001E-3</v>
      </c>
      <c r="BU18" s="2">
        <f t="shared" si="2"/>
        <v>2.617346E-3</v>
      </c>
      <c r="BV18" s="2">
        <f t="shared" si="3"/>
        <v>2.699754E-3</v>
      </c>
      <c r="BW18" s="2">
        <f t="shared" si="4"/>
        <v>4.2246860000000001E-3</v>
      </c>
      <c r="BX18" s="2">
        <f t="shared" si="5"/>
        <v>1.687888E-3</v>
      </c>
      <c r="BY18" s="2">
        <f t="shared" si="6"/>
        <v>1.3019629999999999E-3</v>
      </c>
      <c r="BZ18" s="2">
        <f t="shared" si="7"/>
        <v>8.4956029999999996E-4</v>
      </c>
      <c r="CA18" s="2">
        <f t="shared" si="8"/>
        <v>5.6192330000000004E-3</v>
      </c>
      <c r="CB18" s="2">
        <f t="shared" si="9"/>
        <v>1.1044329999999999E-3</v>
      </c>
      <c r="CC18" s="2">
        <f t="shared" si="10"/>
        <v>1.074942E-3</v>
      </c>
      <c r="CD18" s="2">
        <f t="shared" si="11"/>
        <v>1.5045830000000001E-3</v>
      </c>
      <c r="CE18" s="2">
        <f t="shared" si="12"/>
        <v>1.0907950000000001E-3</v>
      </c>
      <c r="CF18" s="2">
        <f t="shared" si="13"/>
        <v>1.56175E-3</v>
      </c>
      <c r="CG18" s="2">
        <f t="shared" si="14"/>
        <v>6.5161570000000005E-4</v>
      </c>
      <c r="CI18" s="29">
        <f t="shared" si="23"/>
        <v>74.993540807466005</v>
      </c>
      <c r="CJ18" s="29">
        <f t="shared" si="24"/>
        <v>67.381808328399416</v>
      </c>
      <c r="CL18" s="4">
        <f t="shared" si="25"/>
        <v>1.7586270000000001E-2</v>
      </c>
      <c r="CM18" s="4">
        <f t="shared" si="26"/>
        <v>1.8965119999999999E-2</v>
      </c>
      <c r="CN18" s="4">
        <f t="shared" si="27"/>
        <v>1.7930290000000002E-2</v>
      </c>
      <c r="CO18" s="4">
        <f t="shared" si="28"/>
        <v>1.7957939999999999E-2</v>
      </c>
      <c r="CQ18" s="5">
        <f t="shared" si="29"/>
        <v>58.882874817659825</v>
      </c>
      <c r="CR18" s="5">
        <f t="shared" si="30"/>
        <v>59.5385119868142</v>
      </c>
      <c r="CS18" s="5">
        <f t="shared" si="31"/>
        <v>59.051146362494144</v>
      </c>
      <c r="CT18" s="5">
        <f t="shared" si="32"/>
        <v>59.064530410468208</v>
      </c>
      <c r="CV18" s="4">
        <f t="shared" si="33"/>
        <v>773192.23128225177</v>
      </c>
      <c r="CW18" s="4">
        <f t="shared" si="34"/>
        <v>899189.44153600023</v>
      </c>
      <c r="CX18" s="4">
        <f t="shared" si="35"/>
        <v>803738.24871025165</v>
      </c>
      <c r="CY18" s="4">
        <f t="shared" si="36"/>
        <v>806219.02260899986</v>
      </c>
      <c r="DA18" s="5">
        <v>160</v>
      </c>
      <c r="DB18" s="4">
        <v>7.2675429999999999E-2</v>
      </c>
      <c r="DC18" s="5">
        <f t="shared" si="15"/>
        <v>59.141234342520292</v>
      </c>
      <c r="DD18" s="5">
        <f t="shared" si="16"/>
        <v>71.207152287678326</v>
      </c>
      <c r="DE18" s="2">
        <v>80.099999999999994</v>
      </c>
      <c r="DF18" s="5">
        <f t="shared" si="46"/>
        <v>8.892847712321668</v>
      </c>
      <c r="DG18" s="4">
        <v>7.9434470000000005E-5</v>
      </c>
      <c r="DH18" s="5">
        <f t="shared" si="37"/>
        <v>11.97958013078688</v>
      </c>
      <c r="DJ18" s="5">
        <f t="shared" si="38"/>
        <v>47.161654211733413</v>
      </c>
      <c r="DL18" s="5">
        <f t="shared" si="47"/>
        <v>68.03408205484196</v>
      </c>
      <c r="DM18" s="2">
        <f t="shared" si="48"/>
        <v>6359283.7783075888</v>
      </c>
      <c r="DN18" s="17">
        <f t="shared" si="49"/>
        <v>6.3592837783075886E-6</v>
      </c>
      <c r="DO18" s="2">
        <f t="shared" si="45"/>
        <v>1.2644067019263717E-3</v>
      </c>
      <c r="DP18" s="2">
        <f t="shared" si="50"/>
        <v>-28.981132108695288</v>
      </c>
      <c r="DQ18" s="19">
        <v>160</v>
      </c>
      <c r="DR18" s="4">
        <v>7.3948639999999996E-2</v>
      </c>
      <c r="DS18" s="5">
        <f t="shared" si="39"/>
        <v>71.35800391141062</v>
      </c>
      <c r="DT18" s="5">
        <f t="shared" si="40"/>
        <v>71.207152287678326</v>
      </c>
      <c r="DU18" s="5">
        <f t="shared" si="17"/>
        <v>0.15085162373229366</v>
      </c>
      <c r="DV18" s="33">
        <v>160</v>
      </c>
      <c r="DW18" s="33">
        <v>1.07357E-4</v>
      </c>
      <c r="DX18" s="33">
        <f t="shared" si="41"/>
        <v>14.596007426816042</v>
      </c>
      <c r="DY18" s="32"/>
      <c r="DZ18" s="33">
        <v>160</v>
      </c>
      <c r="EA18" s="33">
        <v>1.214034E-4</v>
      </c>
      <c r="EB18" s="33">
        <f t="shared" si="42"/>
        <v>15.664017080246762</v>
      </c>
      <c r="EC18" s="26"/>
      <c r="ED18" s="26">
        <f t="shared" si="43"/>
        <v>1.3132155490279999E-8</v>
      </c>
      <c r="EE18" s="33">
        <f t="shared" si="44"/>
        <v>15.162760249902909</v>
      </c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</row>
    <row r="19" spans="4:155" x14ac:dyDescent="0.25">
      <c r="D19" s="19">
        <v>200</v>
      </c>
      <c r="E19" s="4">
        <v>0</v>
      </c>
      <c r="F19" s="4">
        <v>-1.428571E-3</v>
      </c>
      <c r="G19" s="4">
        <v>0</v>
      </c>
      <c r="H19" s="4">
        <v>-1.602656E-3</v>
      </c>
      <c r="I19" s="4">
        <v>0</v>
      </c>
      <c r="J19" s="4">
        <v>-3.554265E-3</v>
      </c>
      <c r="K19" s="4">
        <v>0</v>
      </c>
      <c r="L19" s="4">
        <v>-1.232258E-3</v>
      </c>
      <c r="M19" s="4">
        <v>0</v>
      </c>
      <c r="N19" s="4">
        <v>-9.4877649999999998E-4</v>
      </c>
      <c r="P19" s="4">
        <v>200</v>
      </c>
      <c r="Q19" s="4">
        <v>2.516535E-2</v>
      </c>
      <c r="T19" s="4">
        <v>200</v>
      </c>
      <c r="U19" s="4">
        <v>0</v>
      </c>
      <c r="V19" s="4">
        <v>-1.0075150000000001E-3</v>
      </c>
      <c r="W19" s="4">
        <v>0</v>
      </c>
      <c r="X19" s="4">
        <v>-2.3424439999999999E-3</v>
      </c>
      <c r="Y19" s="4">
        <v>0</v>
      </c>
      <c r="Z19" s="4">
        <v>-2.6783570000000001E-3</v>
      </c>
      <c r="AA19" s="4">
        <v>0</v>
      </c>
      <c r="AB19" s="4">
        <v>-2.182518E-3</v>
      </c>
      <c r="AC19" s="4">
        <v>0</v>
      </c>
      <c r="AD19" s="4">
        <v>-3.1060549999999999E-3</v>
      </c>
      <c r="AF19" s="4">
        <v>200</v>
      </c>
      <c r="AG19" s="4">
        <v>2.5915299999999999E-2</v>
      </c>
      <c r="AI19" s="4">
        <v>200</v>
      </c>
      <c r="AJ19" s="4">
        <v>0</v>
      </c>
      <c r="AK19" s="4">
        <v>-1.4831060000000001E-3</v>
      </c>
      <c r="AL19" s="4">
        <v>0</v>
      </c>
      <c r="AM19" s="4">
        <v>-1.197397E-3</v>
      </c>
      <c r="AN19" s="4">
        <v>0</v>
      </c>
      <c r="AO19" s="4">
        <v>-6.9911029999999996E-4</v>
      </c>
      <c r="AP19" s="4">
        <v>0</v>
      </c>
      <c r="AQ19" s="4">
        <v>-5.1173950000000003E-3</v>
      </c>
      <c r="AR19" s="4">
        <v>0</v>
      </c>
      <c r="AS19" s="4">
        <v>-1.0241370000000001E-3</v>
      </c>
      <c r="AU19" s="4">
        <v>200</v>
      </c>
      <c r="AV19" s="4">
        <v>2.6060449999999999E-2</v>
      </c>
      <c r="AX19" s="4">
        <v>200</v>
      </c>
      <c r="AY19" s="4">
        <v>0</v>
      </c>
      <c r="AZ19" s="4">
        <v>-7.3468619999999998E-4</v>
      </c>
      <c r="BA19" s="4">
        <v>0</v>
      </c>
      <c r="BB19" s="4">
        <v>-1.723601E-3</v>
      </c>
      <c r="BC19" s="4">
        <v>0</v>
      </c>
      <c r="BD19" s="4">
        <v>-8.391793E-4</v>
      </c>
      <c r="BE19" s="4">
        <v>0</v>
      </c>
      <c r="BF19" s="4">
        <v>-1.3564110000000001E-3</v>
      </c>
      <c r="BG19" s="4">
        <v>0</v>
      </c>
      <c r="BH19" s="4">
        <v>-1.007993E-3</v>
      </c>
      <c r="BJ19" s="4">
        <v>200</v>
      </c>
      <c r="BK19" s="4">
        <v>2.6190250000000002E-2</v>
      </c>
      <c r="BN19" s="2">
        <f t="shared" si="18"/>
        <v>1.428571E-3</v>
      </c>
      <c r="BO19" s="2">
        <f t="shared" si="19"/>
        <v>1.602656E-3</v>
      </c>
      <c r="BP19" s="2">
        <f t="shared" si="20"/>
        <v>3.554265E-3</v>
      </c>
      <c r="BQ19" s="2">
        <f t="shared" si="21"/>
        <v>1.232258E-3</v>
      </c>
      <c r="BR19" s="2">
        <f t="shared" si="22"/>
        <v>9.4877649999999998E-4</v>
      </c>
      <c r="BS19" s="2">
        <f t="shared" si="0"/>
        <v>1.0075150000000001E-3</v>
      </c>
      <c r="BT19" s="2">
        <f t="shared" si="1"/>
        <v>2.3424439999999999E-3</v>
      </c>
      <c r="BU19" s="2">
        <f t="shared" si="2"/>
        <v>2.6783570000000001E-3</v>
      </c>
      <c r="BV19" s="2">
        <f t="shared" si="3"/>
        <v>2.182518E-3</v>
      </c>
      <c r="BW19" s="2">
        <f t="shared" si="4"/>
        <v>3.1060549999999999E-3</v>
      </c>
      <c r="BX19" s="2">
        <f t="shared" si="5"/>
        <v>1.4831060000000001E-3</v>
      </c>
      <c r="BY19" s="2">
        <f t="shared" si="6"/>
        <v>1.197397E-3</v>
      </c>
      <c r="BZ19" s="2">
        <f t="shared" si="7"/>
        <v>6.9911029999999996E-4</v>
      </c>
      <c r="CA19" s="2">
        <f t="shared" si="8"/>
        <v>5.1173950000000003E-3</v>
      </c>
      <c r="CB19" s="2">
        <f t="shared" si="9"/>
        <v>1.0241370000000001E-3</v>
      </c>
      <c r="CC19" s="2">
        <f t="shared" si="10"/>
        <v>7.3468619999999998E-4</v>
      </c>
      <c r="CD19" s="2">
        <f t="shared" si="11"/>
        <v>1.723601E-3</v>
      </c>
      <c r="CE19" s="2">
        <f t="shared" si="12"/>
        <v>8.391793E-4</v>
      </c>
      <c r="CF19" s="2">
        <f t="shared" si="13"/>
        <v>1.3564110000000001E-3</v>
      </c>
      <c r="CG19" s="2">
        <f t="shared" si="14"/>
        <v>1.007993E-3</v>
      </c>
      <c r="CI19" s="29">
        <f t="shared" si="23"/>
        <v>74.180978809247108</v>
      </c>
      <c r="CJ19" s="29">
        <f t="shared" si="24"/>
        <v>65.128814427631141</v>
      </c>
      <c r="CL19" s="4">
        <f t="shared" si="25"/>
        <v>2.516535E-2</v>
      </c>
      <c r="CM19" s="4">
        <f t="shared" si="26"/>
        <v>2.5915299999999999E-2</v>
      </c>
      <c r="CN19" s="4">
        <f t="shared" si="27"/>
        <v>2.6060449999999999E-2</v>
      </c>
      <c r="CO19" s="4">
        <f t="shared" si="28"/>
        <v>2.6190250000000002E-2</v>
      </c>
      <c r="CQ19" s="5">
        <f t="shared" si="29"/>
        <v>61.995459585684458</v>
      </c>
      <c r="CR19" s="5">
        <f t="shared" si="30"/>
        <v>62.250524900175762</v>
      </c>
      <c r="CS19" s="5">
        <f t="shared" si="31"/>
        <v>62.299038299539127</v>
      </c>
      <c r="CT19" s="5">
        <f t="shared" si="32"/>
        <v>62.342192967101518</v>
      </c>
      <c r="CV19" s="4">
        <f t="shared" si="33"/>
        <v>1583237.1015562501</v>
      </c>
      <c r="CW19" s="4">
        <f t="shared" si="34"/>
        <v>1679006.935225002</v>
      </c>
      <c r="CX19" s="4">
        <f t="shared" si="35"/>
        <v>1697867.6355062535</v>
      </c>
      <c r="CY19" s="4">
        <f t="shared" si="36"/>
        <v>1714822.9876562527</v>
      </c>
      <c r="DA19" s="5">
        <v>200</v>
      </c>
      <c r="DB19" s="4">
        <v>7.5539309999999998E-2</v>
      </c>
      <c r="DC19" s="5">
        <f t="shared" si="15"/>
        <v>62.223870274779749</v>
      </c>
      <c r="DD19" s="5">
        <f t="shared" si="16"/>
        <v>71.542860357243882</v>
      </c>
      <c r="DE19" s="2">
        <v>80.599999999999994</v>
      </c>
      <c r="DF19" s="5">
        <f t="shared" si="46"/>
        <v>9.0571396427561126</v>
      </c>
      <c r="DG19" s="4">
        <v>6.2639909999999996E-4</v>
      </c>
      <c r="DH19" s="5">
        <f t="shared" si="37"/>
        <v>29.916422587982655</v>
      </c>
      <c r="DJ19" s="5">
        <f t="shared" si="38"/>
        <v>32.30744768679709</v>
      </c>
      <c r="DL19" s="5">
        <f t="shared" si="47"/>
        <v>71.281009917535869</v>
      </c>
      <c r="DM19" s="2">
        <f t="shared" si="48"/>
        <v>13430772.46838608</v>
      </c>
      <c r="DN19" s="17">
        <f t="shared" si="49"/>
        <v>1.3430772468386079E-5</v>
      </c>
      <c r="DO19" s="2">
        <f t="shared" si="45"/>
        <v>3.9876789529497648E-3</v>
      </c>
      <c r="DP19" s="2">
        <f t="shared" si="50"/>
        <v>-23.992798138947084</v>
      </c>
      <c r="DQ19" s="19">
        <v>200</v>
      </c>
      <c r="DR19" s="4">
        <v>8.6359229999999995E-2</v>
      </c>
      <c r="DS19" s="5">
        <f t="shared" si="39"/>
        <v>72.705575314794743</v>
      </c>
      <c r="DT19" s="5">
        <f t="shared" si="40"/>
        <v>71.542860357243882</v>
      </c>
      <c r="DU19" s="5">
        <f t="shared" si="17"/>
        <v>1.1627149575508611</v>
      </c>
      <c r="DV19" s="33">
        <v>200</v>
      </c>
      <c r="DW19" s="33">
        <v>7.4744489999999995E-5</v>
      </c>
      <c r="DX19" s="33">
        <f t="shared" si="41"/>
        <v>11.45098374550053</v>
      </c>
      <c r="DY19" s="32"/>
      <c r="DZ19" s="33">
        <v>200</v>
      </c>
      <c r="EA19" s="33">
        <v>6.4675179999999999E-5</v>
      </c>
      <c r="EB19" s="33">
        <f t="shared" si="42"/>
        <v>10.194153008561717</v>
      </c>
      <c r="EC19" s="26"/>
      <c r="ED19" s="26">
        <f t="shared" si="43"/>
        <v>4.8848088466962496E-9</v>
      </c>
      <c r="EE19" s="33">
        <f t="shared" si="44"/>
        <v>10.867875821619757</v>
      </c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</row>
    <row r="20" spans="4:155" x14ac:dyDescent="0.25">
      <c r="D20" s="19">
        <v>250</v>
      </c>
      <c r="E20" s="4">
        <v>0</v>
      </c>
      <c r="F20" s="4">
        <v>-1.6498420000000001E-3</v>
      </c>
      <c r="G20" s="4">
        <v>0</v>
      </c>
      <c r="H20" s="4">
        <v>-1.60227E-3</v>
      </c>
      <c r="I20" s="4">
        <v>0</v>
      </c>
      <c r="J20" s="4">
        <v>-2.6274390000000001E-3</v>
      </c>
      <c r="K20" s="4">
        <v>0</v>
      </c>
      <c r="L20" s="4">
        <v>-8.3928970000000003E-4</v>
      </c>
      <c r="M20" s="4">
        <v>0</v>
      </c>
      <c r="N20" s="4">
        <v>-8.4386400000000005E-4</v>
      </c>
      <c r="P20" s="4">
        <v>250</v>
      </c>
      <c r="Q20" s="4">
        <v>1.964583E-2</v>
      </c>
      <c r="T20" s="4">
        <v>250</v>
      </c>
      <c r="U20" s="4">
        <v>0</v>
      </c>
      <c r="V20" s="4">
        <v>-1.0407909999999999E-3</v>
      </c>
      <c r="W20" s="4">
        <v>0</v>
      </c>
      <c r="X20" s="4">
        <v>-1.9056170000000001E-3</v>
      </c>
      <c r="Y20" s="4">
        <v>0</v>
      </c>
      <c r="Z20" s="4">
        <v>-1.2643330000000001E-3</v>
      </c>
      <c r="AA20" s="4">
        <v>0</v>
      </c>
      <c r="AB20" s="4">
        <v>-2.9453050000000001E-3</v>
      </c>
      <c r="AC20" s="4">
        <v>0</v>
      </c>
      <c r="AD20" s="4">
        <v>-1.5623709999999999E-3</v>
      </c>
      <c r="AF20" s="4">
        <v>250</v>
      </c>
      <c r="AG20" s="4">
        <v>1.9733830000000001E-2</v>
      </c>
      <c r="AI20" s="4">
        <v>250</v>
      </c>
      <c r="AJ20" s="4">
        <v>0</v>
      </c>
      <c r="AK20" s="4">
        <v>-1.0379670000000001E-3</v>
      </c>
      <c r="AL20" s="4">
        <v>0</v>
      </c>
      <c r="AM20" s="4">
        <v>-1.051595E-3</v>
      </c>
      <c r="AN20" s="4">
        <v>0</v>
      </c>
      <c r="AO20" s="4">
        <v>-9.377802E-4</v>
      </c>
      <c r="AP20" s="4">
        <v>0</v>
      </c>
      <c r="AQ20" s="4">
        <v>-4.7910219999999998E-3</v>
      </c>
      <c r="AR20" s="4">
        <v>0</v>
      </c>
      <c r="AS20" s="4">
        <v>-7.6988649999999996E-4</v>
      </c>
      <c r="AU20" s="4">
        <v>250</v>
      </c>
      <c r="AV20" s="4">
        <v>1.9918269999999998E-2</v>
      </c>
      <c r="AX20" s="4">
        <v>250</v>
      </c>
      <c r="AY20" s="4">
        <v>0</v>
      </c>
      <c r="AZ20" s="4">
        <v>-6.4517419999999995E-4</v>
      </c>
      <c r="BA20" s="4">
        <v>0</v>
      </c>
      <c r="BB20" s="4">
        <v>-1.81891E-3</v>
      </c>
      <c r="BC20" s="4">
        <v>0</v>
      </c>
      <c r="BD20" s="4">
        <v>-7.1577550000000005E-4</v>
      </c>
      <c r="BE20" s="4">
        <v>0</v>
      </c>
      <c r="BF20" s="4">
        <v>-7.6132809999999995E-4</v>
      </c>
      <c r="BG20" s="4">
        <v>0</v>
      </c>
      <c r="BH20" s="4">
        <v>-8.4807760000000002E-4</v>
      </c>
      <c r="BJ20" s="4">
        <v>250</v>
      </c>
      <c r="BK20" s="4">
        <v>1.9166409999999998E-2</v>
      </c>
      <c r="BN20" s="2">
        <f t="shared" si="18"/>
        <v>1.6498420000000001E-3</v>
      </c>
      <c r="BO20" s="2">
        <f t="shared" si="19"/>
        <v>1.60227E-3</v>
      </c>
      <c r="BP20" s="2">
        <f t="shared" si="20"/>
        <v>2.6274390000000001E-3</v>
      </c>
      <c r="BQ20" s="2">
        <f t="shared" si="21"/>
        <v>8.3928970000000003E-4</v>
      </c>
      <c r="BR20" s="2">
        <f t="shared" si="22"/>
        <v>8.4386400000000005E-4</v>
      </c>
      <c r="BS20" s="2">
        <f t="shared" si="0"/>
        <v>1.0407909999999999E-3</v>
      </c>
      <c r="BT20" s="2">
        <f t="shared" si="1"/>
        <v>1.9056170000000001E-3</v>
      </c>
      <c r="BU20" s="2">
        <f t="shared" si="2"/>
        <v>1.2643330000000001E-3</v>
      </c>
      <c r="BV20" s="2">
        <f t="shared" si="3"/>
        <v>2.9453050000000001E-3</v>
      </c>
      <c r="BW20" s="2">
        <f t="shared" si="4"/>
        <v>1.5623709999999999E-3</v>
      </c>
      <c r="BX20" s="2">
        <f t="shared" si="5"/>
        <v>1.0379670000000001E-3</v>
      </c>
      <c r="BY20" s="2">
        <f t="shared" si="6"/>
        <v>1.051595E-3</v>
      </c>
      <c r="BZ20" s="2">
        <f t="shared" si="7"/>
        <v>9.377802E-4</v>
      </c>
      <c r="CA20" s="2">
        <f t="shared" si="8"/>
        <v>4.7910219999999998E-3</v>
      </c>
      <c r="CB20" s="2">
        <f t="shared" si="9"/>
        <v>7.6988649999999996E-4</v>
      </c>
      <c r="CC20" s="2">
        <f t="shared" si="10"/>
        <v>6.4517419999999995E-4</v>
      </c>
      <c r="CD20" s="2">
        <f t="shared" si="11"/>
        <v>1.81891E-3</v>
      </c>
      <c r="CE20" s="2">
        <f t="shared" si="12"/>
        <v>7.1577550000000005E-4</v>
      </c>
      <c r="CF20" s="2">
        <f t="shared" si="13"/>
        <v>7.6132809999999995E-4</v>
      </c>
      <c r="CG20" s="2">
        <f t="shared" si="14"/>
        <v>8.4807760000000002E-4</v>
      </c>
      <c r="CI20" s="29">
        <f t="shared" si="23"/>
        <v>73.608563302183427</v>
      </c>
      <c r="CJ20" s="29">
        <f t="shared" si="24"/>
        <v>63.436087444169374</v>
      </c>
      <c r="CL20" s="4">
        <f t="shared" si="25"/>
        <v>1.964583E-2</v>
      </c>
      <c r="CM20" s="4">
        <f t="shared" si="26"/>
        <v>1.9733830000000001E-2</v>
      </c>
      <c r="CN20" s="4">
        <f t="shared" si="27"/>
        <v>1.9918269999999998E-2</v>
      </c>
      <c r="CO20" s="4">
        <f t="shared" si="28"/>
        <v>1.9166409999999998E-2</v>
      </c>
      <c r="CQ20" s="5">
        <f t="shared" si="29"/>
        <v>59.844807720209218</v>
      </c>
      <c r="CR20" s="5">
        <f t="shared" si="30"/>
        <v>59.88362773848646</v>
      </c>
      <c r="CS20" s="5">
        <f t="shared" si="31"/>
        <v>59.964432388874499</v>
      </c>
      <c r="CT20" s="5">
        <f t="shared" si="32"/>
        <v>59.630215569949243</v>
      </c>
      <c r="CV20" s="4">
        <f t="shared" si="33"/>
        <v>964896.59097224998</v>
      </c>
      <c r="CW20" s="4">
        <f t="shared" si="34"/>
        <v>973560.11617224978</v>
      </c>
      <c r="CX20" s="4">
        <f t="shared" si="35"/>
        <v>991843.69948225096</v>
      </c>
      <c r="CY20" s="4">
        <f t="shared" si="36"/>
        <v>918378.18072024977</v>
      </c>
      <c r="DA20" s="5">
        <v>250</v>
      </c>
      <c r="DB20" s="4">
        <v>9.9771230000000002E-2</v>
      </c>
      <c r="DC20" s="5">
        <f t="shared" si="15"/>
        <v>59.832516522763434</v>
      </c>
      <c r="DD20" s="5">
        <f t="shared" si="16"/>
        <v>73.959506613159533</v>
      </c>
      <c r="DE20" s="2">
        <v>80.3</v>
      </c>
      <c r="DF20" s="5">
        <f t="shared" si="46"/>
        <v>6.340493386840464</v>
      </c>
      <c r="DG20" s="4">
        <v>1.3958610000000001E-4</v>
      </c>
      <c r="DH20" s="5">
        <f t="shared" si="37"/>
        <v>16.876243553630015</v>
      </c>
      <c r="DJ20" s="5">
        <f t="shared" si="38"/>
        <v>42.956272969133423</v>
      </c>
      <c r="DL20" s="5">
        <f t="shared" si="47"/>
        <v>66.173009909603905</v>
      </c>
      <c r="DM20" s="2">
        <f t="shared" si="48"/>
        <v>4142866.9976682831</v>
      </c>
      <c r="DN20" s="17">
        <f t="shared" si="49"/>
        <v>4.1428669976682829E-6</v>
      </c>
      <c r="DO20" s="2">
        <f t="shared" si="45"/>
        <v>1.6776765130892641E-3</v>
      </c>
      <c r="DP20" s="2">
        <f t="shared" si="50"/>
        <v>-27.752917754047097</v>
      </c>
      <c r="DQ20" s="19">
        <v>250</v>
      </c>
      <c r="DR20" s="4">
        <v>0.1104694</v>
      </c>
      <c r="DS20" s="5">
        <f t="shared" si="39"/>
        <v>74.844239990752314</v>
      </c>
      <c r="DT20" s="5">
        <f t="shared" si="40"/>
        <v>73.959506613159533</v>
      </c>
      <c r="DU20" s="5">
        <f t="shared" si="17"/>
        <v>0.88473337759278081</v>
      </c>
      <c r="DV20" s="33">
        <v>250</v>
      </c>
      <c r="DW20" s="33">
        <v>6.5287759999999999E-5</v>
      </c>
      <c r="DX20" s="33">
        <f t="shared" si="41"/>
        <v>10.276035454114336</v>
      </c>
      <c r="DY20" s="32"/>
      <c r="DZ20" s="33">
        <v>250</v>
      </c>
      <c r="EA20" s="33">
        <v>9.0781599999999998E-5</v>
      </c>
      <c r="EB20" s="33">
        <f t="shared" si="42"/>
        <v>13.139356742551971</v>
      </c>
      <c r="EC20" s="26"/>
      <c r="ED20" s="26">
        <f t="shared" si="43"/>
        <v>6.2518952521888002E-9</v>
      </c>
      <c r="EE20" s="33">
        <f t="shared" si="44"/>
        <v>11.939517016632227</v>
      </c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</row>
    <row r="21" spans="4:155" x14ac:dyDescent="0.25">
      <c r="D21" s="19">
        <v>315</v>
      </c>
      <c r="E21" s="4">
        <v>0</v>
      </c>
      <c r="F21" s="4">
        <v>-1.4777460000000001E-3</v>
      </c>
      <c r="G21" s="4">
        <v>0</v>
      </c>
      <c r="H21" s="4">
        <v>-1.648296E-3</v>
      </c>
      <c r="I21" s="4">
        <v>0</v>
      </c>
      <c r="J21" s="4">
        <v>-2.1929139999999998E-3</v>
      </c>
      <c r="K21" s="4">
        <v>0</v>
      </c>
      <c r="L21" s="4">
        <v>-2.1784349999999998E-3</v>
      </c>
      <c r="M21" s="4">
        <v>0</v>
      </c>
      <c r="N21" s="4">
        <v>-9.9512740000000008E-4</v>
      </c>
      <c r="P21" s="4">
        <v>315</v>
      </c>
      <c r="Q21" s="4">
        <v>2.279583E-2</v>
      </c>
      <c r="T21" s="4">
        <v>315</v>
      </c>
      <c r="U21" s="4">
        <v>0</v>
      </c>
      <c r="V21" s="4">
        <v>-4.9974090000000002E-4</v>
      </c>
      <c r="W21" s="4">
        <v>0</v>
      </c>
      <c r="X21" s="4">
        <v>-1.843845E-3</v>
      </c>
      <c r="Y21" s="4">
        <v>0</v>
      </c>
      <c r="Z21" s="4">
        <v>-1.9196079999999999E-3</v>
      </c>
      <c r="AA21" s="4">
        <v>0</v>
      </c>
      <c r="AB21" s="4">
        <v>-1.5164499999999999E-3</v>
      </c>
      <c r="AC21" s="4">
        <v>0</v>
      </c>
      <c r="AD21" s="4">
        <v>-1.5405239999999999E-3</v>
      </c>
      <c r="AF21" s="4">
        <v>315</v>
      </c>
      <c r="AG21" s="4">
        <v>2.3555119999999999E-2</v>
      </c>
      <c r="AI21" s="4">
        <v>315</v>
      </c>
      <c r="AJ21" s="4">
        <v>0</v>
      </c>
      <c r="AK21" s="4">
        <v>-1.2371229999999999E-3</v>
      </c>
      <c r="AL21" s="4">
        <v>0</v>
      </c>
      <c r="AM21" s="4">
        <v>-3.6614120000000002E-4</v>
      </c>
      <c r="AN21" s="4">
        <v>0</v>
      </c>
      <c r="AO21" s="4">
        <v>-9.536732E-4</v>
      </c>
      <c r="AP21" s="4">
        <v>0</v>
      </c>
      <c r="AQ21" s="4">
        <v>-4.4017259999999999E-3</v>
      </c>
      <c r="AR21" s="4">
        <v>0</v>
      </c>
      <c r="AS21" s="4">
        <v>-8.9466909999999999E-4</v>
      </c>
      <c r="AU21" s="4">
        <v>315</v>
      </c>
      <c r="AV21" s="4">
        <v>2.3249490000000001E-2</v>
      </c>
      <c r="AX21" s="4">
        <v>315</v>
      </c>
      <c r="AY21" s="4">
        <v>0</v>
      </c>
      <c r="AZ21" s="4">
        <v>-1.0055909999999999E-3</v>
      </c>
      <c r="BA21" s="4">
        <v>0</v>
      </c>
      <c r="BB21" s="4">
        <v>-1.6407450000000001E-3</v>
      </c>
      <c r="BC21" s="4">
        <v>0</v>
      </c>
      <c r="BD21" s="4">
        <v>-1.5756120000000001E-3</v>
      </c>
      <c r="BE21" s="4">
        <v>0</v>
      </c>
      <c r="BF21" s="4">
        <v>-1.1445559999999999E-3</v>
      </c>
      <c r="BG21" s="4">
        <v>0</v>
      </c>
      <c r="BH21" s="4">
        <v>-7.5706169999999998E-4</v>
      </c>
      <c r="BJ21" s="4">
        <v>315</v>
      </c>
      <c r="BK21" s="4">
        <v>2.299497E-2</v>
      </c>
      <c r="BN21" s="2">
        <f t="shared" si="18"/>
        <v>1.4777460000000001E-3</v>
      </c>
      <c r="BO21" s="2">
        <f t="shared" si="19"/>
        <v>1.648296E-3</v>
      </c>
      <c r="BP21" s="2">
        <f t="shared" si="20"/>
        <v>2.1929139999999998E-3</v>
      </c>
      <c r="BQ21" s="2">
        <f t="shared" si="21"/>
        <v>2.1784349999999998E-3</v>
      </c>
      <c r="BR21" s="2">
        <f t="shared" si="22"/>
        <v>9.9512740000000008E-4</v>
      </c>
      <c r="BS21" s="2">
        <f t="shared" si="0"/>
        <v>4.9974090000000002E-4</v>
      </c>
      <c r="BT21" s="2">
        <f t="shared" si="1"/>
        <v>1.843845E-3</v>
      </c>
      <c r="BU21" s="2">
        <f t="shared" si="2"/>
        <v>1.9196079999999999E-3</v>
      </c>
      <c r="BV21" s="2">
        <f t="shared" si="3"/>
        <v>1.5164499999999999E-3</v>
      </c>
      <c r="BW21" s="2">
        <f t="shared" si="4"/>
        <v>1.5405239999999999E-3</v>
      </c>
      <c r="BX21" s="2">
        <f t="shared" si="5"/>
        <v>1.2371229999999999E-3</v>
      </c>
      <c r="BY21" s="2">
        <f t="shared" si="6"/>
        <v>3.6614120000000002E-4</v>
      </c>
      <c r="BZ21" s="2">
        <f t="shared" si="7"/>
        <v>9.536732E-4</v>
      </c>
      <c r="CA21" s="2">
        <f t="shared" si="8"/>
        <v>4.4017259999999999E-3</v>
      </c>
      <c r="CB21" s="2">
        <f t="shared" si="9"/>
        <v>8.9466909999999999E-4</v>
      </c>
      <c r="CC21" s="2">
        <f t="shared" si="10"/>
        <v>1.0055909999999999E-3</v>
      </c>
      <c r="CD21" s="2">
        <f t="shared" si="11"/>
        <v>1.6407450000000001E-3</v>
      </c>
      <c r="CE21" s="2">
        <f t="shared" si="12"/>
        <v>1.5756120000000001E-3</v>
      </c>
      <c r="CF21" s="2">
        <f t="shared" si="13"/>
        <v>1.1445559999999999E-3</v>
      </c>
      <c r="CG21" s="2">
        <f t="shared" si="14"/>
        <v>7.5706169999999998E-4</v>
      </c>
      <c r="CI21" s="29">
        <f t="shared" si="23"/>
        <v>72.872460099232384</v>
      </c>
      <c r="CJ21" s="29">
        <f t="shared" si="24"/>
        <v>63.003138152176057</v>
      </c>
      <c r="CL21" s="4">
        <f t="shared" si="25"/>
        <v>2.279583E-2</v>
      </c>
      <c r="CM21" s="4">
        <f t="shared" si="26"/>
        <v>2.3555119999999999E-2</v>
      </c>
      <c r="CN21" s="4">
        <f t="shared" si="27"/>
        <v>2.3249490000000001E-2</v>
      </c>
      <c r="CO21" s="4">
        <f t="shared" si="28"/>
        <v>2.299497E-2</v>
      </c>
      <c r="CQ21" s="5">
        <f t="shared" si="29"/>
        <v>61.136508277938532</v>
      </c>
      <c r="CR21" s="5">
        <f t="shared" si="30"/>
        <v>61.421106508008087</v>
      </c>
      <c r="CS21" s="5">
        <f t="shared" si="31"/>
        <v>61.307668699958064</v>
      </c>
      <c r="CT21" s="5">
        <f t="shared" si="32"/>
        <v>61.212057033029396</v>
      </c>
      <c r="CV21" s="4">
        <f t="shared" si="33"/>
        <v>1299124.6634722506</v>
      </c>
      <c r="CW21" s="4">
        <f t="shared" si="34"/>
        <v>1387109.1955360034</v>
      </c>
      <c r="CX21" s="4">
        <f t="shared" si="35"/>
        <v>1351346.9631502512</v>
      </c>
      <c r="CY21" s="4">
        <f t="shared" si="36"/>
        <v>1321921.6132522528</v>
      </c>
      <c r="DA21" s="5">
        <v>315</v>
      </c>
      <c r="DB21" s="4">
        <v>9.3267459999999996E-2</v>
      </c>
      <c r="DC21" s="5">
        <f t="shared" si="15"/>
        <v>61.27064481277899</v>
      </c>
      <c r="DD21" s="5">
        <f t="shared" si="16"/>
        <v>73.37400307796446</v>
      </c>
      <c r="DE21" s="2">
        <v>80</v>
      </c>
      <c r="DF21" s="5">
        <f t="shared" si="46"/>
        <v>6.6259969220355401</v>
      </c>
      <c r="DG21" s="4">
        <v>2.214176E-4</v>
      </c>
      <c r="DH21" s="5">
        <f t="shared" si="37"/>
        <v>20.883642867356535</v>
      </c>
      <c r="DJ21" s="5">
        <f t="shared" si="38"/>
        <v>40.387001945422455</v>
      </c>
      <c r="DL21" s="5">
        <f t="shared" si="47"/>
        <v>67.896641734814523</v>
      </c>
      <c r="DM21" s="2">
        <f t="shared" si="48"/>
        <v>6161183.9227496702</v>
      </c>
      <c r="DN21" s="17">
        <f t="shared" si="49"/>
        <v>6.1611839227496702E-6</v>
      </c>
      <c r="DO21" s="2">
        <f t="shared" si="45"/>
        <v>2.705328795765989E-3</v>
      </c>
      <c r="DP21" s="2">
        <f t="shared" si="50"/>
        <v>-25.677799447869315</v>
      </c>
      <c r="DQ21" s="19">
        <v>315</v>
      </c>
      <c r="DR21" s="4">
        <v>0.1045082</v>
      </c>
      <c r="DS21" s="5">
        <f t="shared" si="39"/>
        <v>74.362407441123381</v>
      </c>
      <c r="DT21" s="5">
        <f t="shared" si="40"/>
        <v>73.37400307796446</v>
      </c>
      <c r="DU21" s="5">
        <f t="shared" si="17"/>
        <v>0.98840436315892077</v>
      </c>
      <c r="DV21" s="33">
        <v>315</v>
      </c>
      <c r="DW21" s="33">
        <v>6.4328149999999995E-5</v>
      </c>
      <c r="DX21" s="33">
        <f t="shared" si="41"/>
        <v>10.147421322610695</v>
      </c>
      <c r="DY21" s="32"/>
      <c r="DZ21" s="33">
        <v>315</v>
      </c>
      <c r="EA21" s="33">
        <v>4.564663E-5</v>
      </c>
      <c r="EB21" s="33">
        <f t="shared" si="42"/>
        <v>7.1675744858226755</v>
      </c>
      <c r="EC21" s="26"/>
      <c r="ED21" s="26">
        <f t="shared" si="43"/>
        <v>3.1108628563896996E-9</v>
      </c>
      <c r="EE21" s="33">
        <f t="shared" si="44"/>
        <v>8.9082087416002693</v>
      </c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</row>
    <row r="22" spans="4:155" x14ac:dyDescent="0.25">
      <c r="D22" s="19">
        <v>400</v>
      </c>
      <c r="E22" s="4">
        <v>0</v>
      </c>
      <c r="F22" s="4">
        <v>-6.2196620000000002E-4</v>
      </c>
      <c r="G22" s="4">
        <v>0</v>
      </c>
      <c r="H22" s="4">
        <v>-9.846938999999999E-4</v>
      </c>
      <c r="I22" s="4">
        <v>0</v>
      </c>
      <c r="J22" s="4">
        <v>-2.0333669999999999E-3</v>
      </c>
      <c r="K22" s="4">
        <v>0</v>
      </c>
      <c r="L22" s="4">
        <v>-9.9328010000000007E-4</v>
      </c>
      <c r="M22" s="4">
        <v>0</v>
      </c>
      <c r="N22" s="4">
        <v>-8.3988149999999996E-4</v>
      </c>
      <c r="P22" s="4">
        <v>400</v>
      </c>
      <c r="Q22" s="4">
        <v>2.0761559999999998E-2</v>
      </c>
      <c r="T22" s="4">
        <v>400</v>
      </c>
      <c r="U22" s="4">
        <v>0</v>
      </c>
      <c r="V22" s="4">
        <v>-5.6333990000000003E-4</v>
      </c>
      <c r="W22" s="4">
        <v>0</v>
      </c>
      <c r="X22" s="4">
        <v>-1.6190359999999999E-3</v>
      </c>
      <c r="Y22" s="4">
        <v>0</v>
      </c>
      <c r="Z22" s="4">
        <v>-1.7894479999999999E-3</v>
      </c>
      <c r="AA22" s="4">
        <v>0</v>
      </c>
      <c r="AB22" s="4">
        <v>-1.292461E-3</v>
      </c>
      <c r="AC22" s="4">
        <v>0</v>
      </c>
      <c r="AD22" s="4">
        <v>-1.059192E-3</v>
      </c>
      <c r="AF22" s="4">
        <v>400</v>
      </c>
      <c r="AG22" s="4">
        <v>2.1074160000000002E-2</v>
      </c>
      <c r="AI22" s="4">
        <v>400</v>
      </c>
      <c r="AJ22" s="4">
        <v>0</v>
      </c>
      <c r="AK22" s="4">
        <v>-7.4631269999999997E-4</v>
      </c>
      <c r="AL22" s="4">
        <v>0</v>
      </c>
      <c r="AM22" s="4">
        <v>-6.0050010000000005E-4</v>
      </c>
      <c r="AN22" s="4">
        <v>0</v>
      </c>
      <c r="AO22" s="4">
        <v>-6.9130980000000003E-4</v>
      </c>
      <c r="AP22" s="4">
        <v>0</v>
      </c>
      <c r="AQ22" s="4">
        <v>-3.953738E-3</v>
      </c>
      <c r="AR22" s="4">
        <v>0</v>
      </c>
      <c r="AS22" s="4">
        <v>-6.8089430000000002E-4</v>
      </c>
      <c r="AU22" s="4">
        <v>400</v>
      </c>
      <c r="AV22" s="4">
        <v>2.1274830000000002E-2</v>
      </c>
      <c r="AX22" s="4">
        <v>400</v>
      </c>
      <c r="AY22" s="4">
        <v>0</v>
      </c>
      <c r="AZ22" s="4">
        <v>-1.0381559999999999E-3</v>
      </c>
      <c r="BA22" s="4">
        <v>0</v>
      </c>
      <c r="BB22" s="4">
        <v>-7.6781159999999996E-4</v>
      </c>
      <c r="BC22" s="4">
        <v>0</v>
      </c>
      <c r="BD22" s="4">
        <v>-6.7957420000000002E-4</v>
      </c>
      <c r="BE22" s="4">
        <v>0</v>
      </c>
      <c r="BF22" s="4">
        <v>-7.4796650000000004E-4</v>
      </c>
      <c r="BG22" s="4">
        <v>0</v>
      </c>
      <c r="BH22" s="4">
        <v>-5.4362140000000002E-4</v>
      </c>
      <c r="BJ22" s="4">
        <v>400</v>
      </c>
      <c r="BK22" s="4">
        <v>2.0934399999999999E-2</v>
      </c>
      <c r="BN22" s="2">
        <f t="shared" si="18"/>
        <v>6.2196620000000002E-4</v>
      </c>
      <c r="BO22" s="2">
        <f t="shared" si="19"/>
        <v>9.846938999999999E-4</v>
      </c>
      <c r="BP22" s="2">
        <f t="shared" si="20"/>
        <v>2.0333669999999999E-3</v>
      </c>
      <c r="BQ22" s="2">
        <f t="shared" si="21"/>
        <v>9.9328010000000007E-4</v>
      </c>
      <c r="BR22" s="2">
        <f t="shared" si="22"/>
        <v>8.3988149999999996E-4</v>
      </c>
      <c r="BS22" s="2">
        <f t="shared" si="0"/>
        <v>5.6333990000000003E-4</v>
      </c>
      <c r="BT22" s="2">
        <f t="shared" si="1"/>
        <v>1.6190359999999999E-3</v>
      </c>
      <c r="BU22" s="2">
        <f t="shared" si="2"/>
        <v>1.7894479999999999E-3</v>
      </c>
      <c r="BV22" s="2">
        <f t="shared" si="3"/>
        <v>1.292461E-3</v>
      </c>
      <c r="BW22" s="2">
        <f t="shared" si="4"/>
        <v>1.059192E-3</v>
      </c>
      <c r="BX22" s="2">
        <f t="shared" si="5"/>
        <v>7.4631269999999997E-4</v>
      </c>
      <c r="BY22" s="2">
        <f t="shared" si="6"/>
        <v>6.0050010000000005E-4</v>
      </c>
      <c r="BZ22" s="2">
        <f t="shared" si="7"/>
        <v>6.9130980000000003E-4</v>
      </c>
      <c r="CA22" s="2">
        <f t="shared" si="8"/>
        <v>3.953738E-3</v>
      </c>
      <c r="CB22" s="2">
        <f t="shared" si="9"/>
        <v>6.8089430000000002E-4</v>
      </c>
      <c r="CC22" s="2">
        <f t="shared" si="10"/>
        <v>1.0381559999999999E-3</v>
      </c>
      <c r="CD22" s="2">
        <f t="shared" si="11"/>
        <v>7.6781159999999996E-4</v>
      </c>
      <c r="CE22" s="2">
        <f t="shared" si="12"/>
        <v>6.7957420000000002E-4</v>
      </c>
      <c r="CF22" s="2">
        <f t="shared" si="13"/>
        <v>7.4796650000000004E-4</v>
      </c>
      <c r="CG22" s="2">
        <f t="shared" si="14"/>
        <v>5.4362140000000002E-4</v>
      </c>
      <c r="CI22" s="29">
        <f t="shared" si="23"/>
        <v>71.940157735950436</v>
      </c>
      <c r="CJ22" s="29">
        <f t="shared" si="24"/>
        <v>60.540583250109783</v>
      </c>
      <c r="CL22" s="4">
        <f t="shared" si="25"/>
        <v>2.0761559999999998E-2</v>
      </c>
      <c r="CM22" s="4">
        <f t="shared" si="26"/>
        <v>2.1074160000000002E-2</v>
      </c>
      <c r="CN22" s="4">
        <f t="shared" si="27"/>
        <v>2.1274830000000002E-2</v>
      </c>
      <c r="CO22" s="4">
        <f t="shared" si="28"/>
        <v>2.0934399999999999E-2</v>
      </c>
      <c r="CQ22" s="5">
        <f t="shared" si="29"/>
        <v>60.324599742635939</v>
      </c>
      <c r="CR22" s="5">
        <f t="shared" si="30"/>
        <v>60.454405546596497</v>
      </c>
      <c r="CS22" s="5">
        <f t="shared" si="31"/>
        <v>60.536722056111969</v>
      </c>
      <c r="CT22" s="5">
        <f t="shared" si="32"/>
        <v>60.396610448897754</v>
      </c>
      <c r="CV22" s="4">
        <f t="shared" si="33"/>
        <v>1077605.9340840012</v>
      </c>
      <c r="CW22" s="4">
        <f t="shared" si="34"/>
        <v>1110300.549264001</v>
      </c>
      <c r="CX22" s="4">
        <f t="shared" si="35"/>
        <v>1131545.9788222511</v>
      </c>
      <c r="CY22" s="4">
        <f t="shared" si="36"/>
        <v>1095622.7584000013</v>
      </c>
      <c r="DA22" s="5">
        <v>400</v>
      </c>
      <c r="DB22" s="4">
        <v>0.10437780000000001</v>
      </c>
      <c r="DC22" s="5">
        <f t="shared" si="15"/>
        <v>60.428781158155907</v>
      </c>
      <c r="DD22" s="5">
        <f t="shared" si="16"/>
        <v>74.351562864120268</v>
      </c>
      <c r="DE22" s="2">
        <v>79.900000000000006</v>
      </c>
      <c r="DF22" s="5">
        <f t="shared" si="46"/>
        <v>5.5484371358797375</v>
      </c>
      <c r="DG22" s="4">
        <v>1.579877E-4</v>
      </c>
      <c r="DH22" s="5">
        <f t="shared" si="37"/>
        <v>17.951865619471668</v>
      </c>
      <c r="DJ22" s="5">
        <f t="shared" si="38"/>
        <v>42.476915538684239</v>
      </c>
      <c r="DL22" s="5">
        <f t="shared" si="47"/>
        <v>65.977218294035652</v>
      </c>
      <c r="DM22" s="2">
        <f t="shared" si="48"/>
        <v>3960242.9489987977</v>
      </c>
      <c r="DN22" s="17">
        <f t="shared" si="49"/>
        <v>3.9602429489987977E-6</v>
      </c>
      <c r="DO22" s="2">
        <f t="shared" si="45"/>
        <v>2.7691885027586933E-3</v>
      </c>
      <c r="DP22" s="2">
        <f t="shared" si="50"/>
        <v>-25.576474801802107</v>
      </c>
      <c r="DQ22" s="19">
        <v>400</v>
      </c>
      <c r="DR22" s="4">
        <v>0.1157342</v>
      </c>
      <c r="DS22" s="5">
        <f t="shared" si="39"/>
        <v>75.248634366277102</v>
      </c>
      <c r="DT22" s="5">
        <f t="shared" si="40"/>
        <v>74.351562864120268</v>
      </c>
      <c r="DU22" s="5">
        <f t="shared" si="17"/>
        <v>0.89707150215683384</v>
      </c>
      <c r="DV22" s="33">
        <v>400</v>
      </c>
      <c r="DW22" s="33">
        <v>2.9266899999999999E-5</v>
      </c>
      <c r="DX22" s="33">
        <f t="shared" si="41"/>
        <v>3.3069345598627247</v>
      </c>
      <c r="DY22" s="32"/>
      <c r="DZ22" s="33">
        <v>400</v>
      </c>
      <c r="EA22" s="33">
        <v>3.0157869999999999E-5</v>
      </c>
      <c r="EB22" s="33">
        <f t="shared" si="42"/>
        <v>3.5674133824569632</v>
      </c>
      <c r="EC22" s="26"/>
      <c r="ED22" s="26">
        <f t="shared" si="43"/>
        <v>8.8302427927345E-10</v>
      </c>
      <c r="EE22" s="33">
        <f t="shared" si="44"/>
        <v>3.4391265359674206</v>
      </c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</row>
    <row r="23" spans="4:155" x14ac:dyDescent="0.25">
      <c r="D23" s="19">
        <v>500</v>
      </c>
      <c r="E23" s="4">
        <v>0</v>
      </c>
      <c r="F23" s="4">
        <v>-1.005302E-3</v>
      </c>
      <c r="G23" s="4">
        <v>0</v>
      </c>
      <c r="H23" s="4">
        <v>-8.3152580000000001E-4</v>
      </c>
      <c r="I23" s="4">
        <v>0</v>
      </c>
      <c r="J23" s="4">
        <v>-1.1164479999999999E-3</v>
      </c>
      <c r="K23" s="4">
        <v>0</v>
      </c>
      <c r="L23" s="4">
        <v>-7.5867700000000003E-4</v>
      </c>
      <c r="M23" s="4">
        <v>0</v>
      </c>
      <c r="N23" s="4">
        <v>-6.5898580000000001E-4</v>
      </c>
      <c r="P23" s="4">
        <v>500</v>
      </c>
      <c r="Q23" s="4">
        <v>1.6252389999999999E-2</v>
      </c>
      <c r="T23" s="4">
        <v>500</v>
      </c>
      <c r="U23" s="4">
        <v>0</v>
      </c>
      <c r="V23" s="4">
        <v>-5.3282959999999995E-4</v>
      </c>
      <c r="W23" s="4">
        <v>0</v>
      </c>
      <c r="X23" s="4">
        <v>-1.1892300000000001E-3</v>
      </c>
      <c r="Y23" s="4">
        <v>0</v>
      </c>
      <c r="Z23" s="4">
        <v>-9.0203829999999997E-4</v>
      </c>
      <c r="AA23" s="4">
        <v>0</v>
      </c>
      <c r="AB23" s="4">
        <v>-1.0693149999999999E-3</v>
      </c>
      <c r="AC23" s="4">
        <v>0</v>
      </c>
      <c r="AD23" s="4">
        <v>-1.0503940000000001E-3</v>
      </c>
      <c r="AF23" s="4">
        <v>500</v>
      </c>
      <c r="AG23" s="4">
        <v>1.6151479999999999E-2</v>
      </c>
      <c r="AI23" s="4">
        <v>500</v>
      </c>
      <c r="AJ23" s="4">
        <v>0</v>
      </c>
      <c r="AK23" s="4">
        <v>-6.4212790000000002E-4</v>
      </c>
      <c r="AL23" s="4">
        <v>0</v>
      </c>
      <c r="AM23" s="4">
        <v>-5.1107219999999996E-4</v>
      </c>
      <c r="AN23" s="4">
        <v>0</v>
      </c>
      <c r="AO23" s="4">
        <v>-6.4680390000000003E-4</v>
      </c>
      <c r="AP23" s="4">
        <v>0</v>
      </c>
      <c r="AQ23" s="4">
        <v>-3.5302649999999999E-3</v>
      </c>
      <c r="AR23" s="4">
        <v>0</v>
      </c>
      <c r="AS23" s="4">
        <v>-5.7313500000000001E-4</v>
      </c>
      <c r="AU23" s="4">
        <v>500</v>
      </c>
      <c r="AV23" s="4">
        <v>1.615809E-2</v>
      </c>
      <c r="AX23" s="4">
        <v>500</v>
      </c>
      <c r="AY23" s="4">
        <v>0</v>
      </c>
      <c r="AZ23" s="4">
        <v>-7.0277689999999999E-4</v>
      </c>
      <c r="BA23" s="4">
        <v>0</v>
      </c>
      <c r="BB23" s="4">
        <v>-6.0239820000000004E-4</v>
      </c>
      <c r="BC23" s="4">
        <v>0</v>
      </c>
      <c r="BD23" s="4">
        <v>-5.1810120000000005E-4</v>
      </c>
      <c r="BE23" s="4">
        <v>0</v>
      </c>
      <c r="BF23" s="4">
        <v>-7.14943E-4</v>
      </c>
      <c r="BG23" s="4">
        <v>0</v>
      </c>
      <c r="BH23" s="4">
        <v>-6.7453800000000003E-4</v>
      </c>
      <c r="BJ23" s="4">
        <v>500</v>
      </c>
      <c r="BK23" s="4">
        <v>1.6314619999999998E-2</v>
      </c>
      <c r="BN23" s="2">
        <f t="shared" si="18"/>
        <v>1.005302E-3</v>
      </c>
      <c r="BO23" s="2">
        <f t="shared" si="19"/>
        <v>8.3152580000000001E-4</v>
      </c>
      <c r="BP23" s="2">
        <f t="shared" si="20"/>
        <v>1.1164479999999999E-3</v>
      </c>
      <c r="BQ23" s="2">
        <f t="shared" si="21"/>
        <v>7.5867700000000003E-4</v>
      </c>
      <c r="BR23" s="2">
        <f t="shared" si="22"/>
        <v>6.5898580000000001E-4</v>
      </c>
      <c r="BS23" s="2">
        <f t="shared" si="0"/>
        <v>5.3282959999999995E-4</v>
      </c>
      <c r="BT23" s="2">
        <f t="shared" si="1"/>
        <v>1.1892300000000001E-3</v>
      </c>
      <c r="BU23" s="2">
        <f t="shared" si="2"/>
        <v>9.0203829999999997E-4</v>
      </c>
      <c r="BV23" s="2">
        <f t="shared" si="3"/>
        <v>1.0693149999999999E-3</v>
      </c>
      <c r="BW23" s="2">
        <f t="shared" si="4"/>
        <v>1.0503940000000001E-3</v>
      </c>
      <c r="BX23" s="2">
        <f t="shared" si="5"/>
        <v>6.4212790000000002E-4</v>
      </c>
      <c r="BY23" s="2">
        <f t="shared" si="6"/>
        <v>5.1107219999999996E-4</v>
      </c>
      <c r="BZ23" s="2">
        <f t="shared" si="7"/>
        <v>6.4680390000000003E-4</v>
      </c>
      <c r="CA23" s="2">
        <f t="shared" si="8"/>
        <v>3.5302649999999999E-3</v>
      </c>
      <c r="CB23" s="2">
        <f t="shared" si="9"/>
        <v>5.7313500000000001E-4</v>
      </c>
      <c r="CC23" s="2">
        <f t="shared" si="10"/>
        <v>7.0277689999999999E-4</v>
      </c>
      <c r="CD23" s="2">
        <f t="shared" si="11"/>
        <v>6.0239820000000004E-4</v>
      </c>
      <c r="CE23" s="2">
        <f t="shared" si="12"/>
        <v>5.1810120000000005E-4</v>
      </c>
      <c r="CF23" s="2">
        <f t="shared" si="13"/>
        <v>7.14943E-4</v>
      </c>
      <c r="CG23" s="2">
        <f t="shared" si="14"/>
        <v>6.7453800000000003E-4</v>
      </c>
      <c r="CI23" s="29">
        <f t="shared" si="23"/>
        <v>70.956146140153294</v>
      </c>
      <c r="CJ23" s="29">
        <f t="shared" si="24"/>
        <v>58.481408410714906</v>
      </c>
      <c r="CL23" s="4">
        <f t="shared" si="25"/>
        <v>1.6252389999999999E-2</v>
      </c>
      <c r="CM23" s="4">
        <f t="shared" si="26"/>
        <v>1.6151479999999999E-2</v>
      </c>
      <c r="CN23" s="4">
        <f t="shared" si="27"/>
        <v>1.615809E-2</v>
      </c>
      <c r="CO23" s="4">
        <f t="shared" si="28"/>
        <v>1.6314619999999998E-2</v>
      </c>
      <c r="CQ23" s="5">
        <f t="shared" si="29"/>
        <v>58.197744793004667</v>
      </c>
      <c r="CR23" s="5">
        <f t="shared" si="30"/>
        <v>58.143646566048773</v>
      </c>
      <c r="CS23" s="5">
        <f t="shared" si="31"/>
        <v>58.147200542861754</v>
      </c>
      <c r="CT23" s="5">
        <f t="shared" si="32"/>
        <v>58.23093933988158</v>
      </c>
      <c r="CV23" s="4">
        <f t="shared" si="33"/>
        <v>660350.45178025134</v>
      </c>
      <c r="CW23" s="4">
        <f t="shared" si="34"/>
        <v>652175.76547600084</v>
      </c>
      <c r="CX23" s="4">
        <f t="shared" si="35"/>
        <v>652709.68112025119</v>
      </c>
      <c r="CY23" s="4">
        <f t="shared" si="36"/>
        <v>665417.06436099962</v>
      </c>
      <c r="DA23" s="5">
        <v>500</v>
      </c>
      <c r="DB23" s="4">
        <v>0.1098789</v>
      </c>
      <c r="DC23" s="5">
        <f t="shared" si="15"/>
        <v>58.180035681568384</v>
      </c>
      <c r="DD23" s="5">
        <f t="shared" si="16"/>
        <v>74.797686147500599</v>
      </c>
      <c r="DE23" s="2">
        <v>80.099999999999994</v>
      </c>
      <c r="DF23" s="5">
        <f t="shared" si="46"/>
        <v>5.3023138524993954</v>
      </c>
      <c r="DG23" s="4">
        <v>1.4425819999999999E-4</v>
      </c>
      <c r="DH23" s="5">
        <f t="shared" si="37"/>
        <v>17.162210265187085</v>
      </c>
      <c r="DJ23" s="5">
        <f t="shared" si="38"/>
        <v>41.017825416381299</v>
      </c>
      <c r="DL23" s="5">
        <f t="shared" si="47"/>
        <v>63.482349534067779</v>
      </c>
      <c r="DM23" s="2">
        <f t="shared" si="48"/>
        <v>2229641.0593278646</v>
      </c>
      <c r="DN23" s="17">
        <f t="shared" si="49"/>
        <v>2.2296410593278646E-6</v>
      </c>
      <c r="DO23" s="2">
        <f t="shared" si="45"/>
        <v>2.3104560666801065E-3</v>
      </c>
      <c r="DP23" s="2">
        <f t="shared" si="50"/>
        <v>-26.363022851759204</v>
      </c>
      <c r="DQ23" s="19">
        <v>500</v>
      </c>
      <c r="DR23" s="4">
        <v>0.12397329999999999</v>
      </c>
      <c r="DS23" s="5">
        <f t="shared" si="39"/>
        <v>75.845963320408615</v>
      </c>
      <c r="DT23" s="5">
        <f t="shared" si="40"/>
        <v>74.797686147500599</v>
      </c>
      <c r="DU23" s="5">
        <f t="shared" si="17"/>
        <v>1.0482771729080156</v>
      </c>
      <c r="DV23" s="33">
        <v>500</v>
      </c>
      <c r="DW23" s="33">
        <v>3.4045160000000001E-5</v>
      </c>
      <c r="DX23" s="33">
        <f t="shared" si="41"/>
        <v>4.6205076776589973</v>
      </c>
      <c r="DY23" s="32"/>
      <c r="DZ23" s="33">
        <v>500</v>
      </c>
      <c r="EA23" s="33">
        <v>3.4240899999999999E-5</v>
      </c>
      <c r="EB23" s="33">
        <f t="shared" si="42"/>
        <v>4.6703035128372026</v>
      </c>
      <c r="EC23" s="26"/>
      <c r="ED23" s="26">
        <f t="shared" si="43"/>
        <v>1.1657560761178001E-9</v>
      </c>
      <c r="EE23" s="33">
        <f t="shared" si="44"/>
        <v>4.6454769642074609</v>
      </c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</row>
    <row r="24" spans="4:155" x14ac:dyDescent="0.25">
      <c r="D24" s="19">
        <v>630</v>
      </c>
      <c r="E24" s="4">
        <v>0</v>
      </c>
      <c r="F24" s="4">
        <v>-6.1542409999999997E-4</v>
      </c>
      <c r="G24" s="4">
        <v>0</v>
      </c>
      <c r="H24" s="4">
        <v>-6.4525369999999995E-4</v>
      </c>
      <c r="I24" s="4">
        <v>0</v>
      </c>
      <c r="J24" s="4">
        <v>-1.284512E-3</v>
      </c>
      <c r="K24" s="4">
        <v>0</v>
      </c>
      <c r="L24" s="4">
        <v>-7.0688469999999998E-4</v>
      </c>
      <c r="M24" s="4">
        <v>0</v>
      </c>
      <c r="N24" s="4">
        <v>-4.6905230000000002E-4</v>
      </c>
      <c r="P24" s="4">
        <v>630</v>
      </c>
      <c r="Q24" s="4">
        <v>1.5352360000000001E-2</v>
      </c>
      <c r="T24" s="4">
        <v>630</v>
      </c>
      <c r="U24" s="4">
        <v>0</v>
      </c>
      <c r="V24" s="4">
        <v>-4.590498E-4</v>
      </c>
      <c r="W24" s="4">
        <v>0</v>
      </c>
      <c r="X24" s="4">
        <v>-1.0854910000000001E-3</v>
      </c>
      <c r="Y24" s="4">
        <v>0</v>
      </c>
      <c r="Z24" s="4">
        <v>-1.0355690000000001E-3</v>
      </c>
      <c r="AA24" s="4">
        <v>0</v>
      </c>
      <c r="AB24" s="4">
        <v>-5.9798360000000005E-4</v>
      </c>
      <c r="AC24" s="4">
        <v>0</v>
      </c>
      <c r="AD24" s="4">
        <v>-8.9131870000000001E-4</v>
      </c>
      <c r="AF24" s="4">
        <v>630</v>
      </c>
      <c r="AG24" s="4">
        <v>1.514534E-2</v>
      </c>
      <c r="AI24" s="4">
        <v>630</v>
      </c>
      <c r="AJ24" s="4">
        <v>0</v>
      </c>
      <c r="AK24" s="4">
        <v>-5.1367310000000001E-4</v>
      </c>
      <c r="AL24" s="4">
        <v>0</v>
      </c>
      <c r="AM24" s="4">
        <v>-2.6198520000000002E-4</v>
      </c>
      <c r="AN24" s="4">
        <v>0</v>
      </c>
      <c r="AO24" s="4">
        <v>-6.086838E-4</v>
      </c>
      <c r="AP24" s="4">
        <v>0</v>
      </c>
      <c r="AQ24" s="4">
        <v>-3.0702110000000002E-3</v>
      </c>
      <c r="AR24" s="4">
        <v>0</v>
      </c>
      <c r="AS24" s="4">
        <v>-4.091063E-4</v>
      </c>
      <c r="AU24" s="4">
        <v>630</v>
      </c>
      <c r="AV24" s="4">
        <v>1.5280999999999999E-2</v>
      </c>
      <c r="AX24" s="4">
        <v>630</v>
      </c>
      <c r="AY24" s="4">
        <v>0</v>
      </c>
      <c r="AZ24" s="4">
        <v>-5.1091609999999997E-4</v>
      </c>
      <c r="BA24" s="4">
        <v>0</v>
      </c>
      <c r="BB24" s="4">
        <v>-9.8048459999999999E-4</v>
      </c>
      <c r="BC24" s="4">
        <v>0</v>
      </c>
      <c r="BD24" s="4">
        <v>-5.7182089999999999E-4</v>
      </c>
      <c r="BE24" s="4">
        <v>0</v>
      </c>
      <c r="BF24" s="4">
        <v>-4.9943739999999996E-4</v>
      </c>
      <c r="BG24" s="4">
        <v>0</v>
      </c>
      <c r="BH24" s="4">
        <v>-5.4443920000000004E-4</v>
      </c>
      <c r="BJ24" s="4">
        <v>630</v>
      </c>
      <c r="BK24" s="4">
        <v>1.5327489999999999E-2</v>
      </c>
      <c r="BN24" s="2">
        <f t="shared" si="18"/>
        <v>6.1542409999999997E-4</v>
      </c>
      <c r="BO24" s="2">
        <f t="shared" si="19"/>
        <v>6.4525369999999995E-4</v>
      </c>
      <c r="BP24" s="2">
        <f t="shared" si="20"/>
        <v>1.284512E-3</v>
      </c>
      <c r="BQ24" s="2">
        <f t="shared" si="21"/>
        <v>7.0688469999999998E-4</v>
      </c>
      <c r="BR24" s="2">
        <f t="shared" si="22"/>
        <v>4.6905230000000002E-4</v>
      </c>
      <c r="BS24" s="2">
        <f t="shared" si="0"/>
        <v>4.590498E-4</v>
      </c>
      <c r="BT24" s="2">
        <f t="shared" si="1"/>
        <v>1.0854910000000001E-3</v>
      </c>
      <c r="BU24" s="2">
        <f t="shared" si="2"/>
        <v>1.0355690000000001E-3</v>
      </c>
      <c r="BV24" s="2">
        <f t="shared" si="3"/>
        <v>5.9798360000000005E-4</v>
      </c>
      <c r="BW24" s="2">
        <f t="shared" si="4"/>
        <v>8.9131870000000001E-4</v>
      </c>
      <c r="BX24" s="2">
        <f t="shared" si="5"/>
        <v>5.1367310000000001E-4</v>
      </c>
      <c r="BY24" s="2">
        <f t="shared" si="6"/>
        <v>2.6198520000000002E-4</v>
      </c>
      <c r="BZ24" s="2">
        <f t="shared" si="7"/>
        <v>6.086838E-4</v>
      </c>
      <c r="CA24" s="2">
        <f t="shared" si="8"/>
        <v>3.0702110000000002E-3</v>
      </c>
      <c r="CB24" s="2">
        <f t="shared" si="9"/>
        <v>4.091063E-4</v>
      </c>
      <c r="CC24" s="2">
        <f t="shared" si="10"/>
        <v>5.1091609999999997E-4</v>
      </c>
      <c r="CD24" s="2">
        <f t="shared" si="11"/>
        <v>9.8048459999999999E-4</v>
      </c>
      <c r="CE24" s="2">
        <f t="shared" si="12"/>
        <v>5.7182089999999999E-4</v>
      </c>
      <c r="CF24" s="2">
        <f t="shared" si="13"/>
        <v>4.9943739999999996E-4</v>
      </c>
      <c r="CG24" s="2">
        <f t="shared" si="14"/>
        <v>5.4443920000000004E-4</v>
      </c>
      <c r="CI24" s="29">
        <f t="shared" si="23"/>
        <v>69.743364467112244</v>
      </c>
      <c r="CJ24" s="29">
        <f t="shared" si="24"/>
        <v>56.973141755389946</v>
      </c>
      <c r="CL24" s="4">
        <f t="shared" si="25"/>
        <v>1.5352360000000001E-2</v>
      </c>
      <c r="CM24" s="4">
        <f t="shared" si="26"/>
        <v>1.514534E-2</v>
      </c>
      <c r="CN24" s="4">
        <f t="shared" si="27"/>
        <v>1.5280999999999999E-2</v>
      </c>
      <c r="CO24" s="4">
        <f t="shared" si="28"/>
        <v>1.5327489999999999E-2</v>
      </c>
      <c r="CQ24" s="5">
        <f t="shared" si="29"/>
        <v>57.702903000503142</v>
      </c>
      <c r="CR24" s="5">
        <f t="shared" si="30"/>
        <v>57.58498063312053</v>
      </c>
      <c r="CS24" s="5">
        <f t="shared" si="31"/>
        <v>57.662435601188299</v>
      </c>
      <c r="CT24" s="5">
        <f t="shared" si="32"/>
        <v>57.688820915837454</v>
      </c>
      <c r="CV24" s="4">
        <f t="shared" si="33"/>
        <v>589237.39392400021</v>
      </c>
      <c r="CW24" s="4">
        <f t="shared" si="34"/>
        <v>573453.30928900058</v>
      </c>
      <c r="CX24" s="4">
        <f t="shared" si="35"/>
        <v>583772.40250000055</v>
      </c>
      <c r="CY24" s="4">
        <f t="shared" si="36"/>
        <v>587329.87425025052</v>
      </c>
      <c r="DA24" s="5">
        <v>630</v>
      </c>
      <c r="DB24" s="4">
        <v>0.1230453</v>
      </c>
      <c r="DC24" s="5">
        <f t="shared" si="15"/>
        <v>57.660023378247764</v>
      </c>
      <c r="DD24" s="5">
        <f t="shared" si="16"/>
        <v>75.780700676176465</v>
      </c>
      <c r="DE24" s="2">
        <v>80.599999999999994</v>
      </c>
      <c r="DF24" s="5">
        <f t="shared" si="46"/>
        <v>4.8192993238235289</v>
      </c>
      <c r="DG24" s="4">
        <v>8.2991599999999993E-5</v>
      </c>
      <c r="DH24" s="5">
        <f t="shared" si="37"/>
        <v>12.360082835865525</v>
      </c>
      <c r="DJ24" s="5">
        <f t="shared" si="38"/>
        <v>45.299940542382238</v>
      </c>
      <c r="DL24" s="5">
        <f t="shared" si="47"/>
        <v>62.479322702071293</v>
      </c>
      <c r="DM24" s="2">
        <f t="shared" si="48"/>
        <v>1769832.9249575343</v>
      </c>
      <c r="DN24" s="17">
        <f t="shared" si="49"/>
        <v>1.7698329249575343E-6</v>
      </c>
      <c r="DO24" s="2">
        <f t="shared" si="45"/>
        <v>2.3622186321342106E-3</v>
      </c>
      <c r="DP24" s="2">
        <f t="shared" si="50"/>
        <v>-26.266799092901177</v>
      </c>
      <c r="DQ24" s="19">
        <v>630</v>
      </c>
      <c r="DR24" s="4">
        <v>0.134543</v>
      </c>
      <c r="DS24" s="5">
        <f t="shared" si="39"/>
        <v>76.556622231212145</v>
      </c>
      <c r="DT24" s="5">
        <f t="shared" si="40"/>
        <v>75.780700676176465</v>
      </c>
      <c r="DU24" s="5">
        <f t="shared" si="17"/>
        <v>0.77592155503567994</v>
      </c>
      <c r="DV24" s="33">
        <v>630</v>
      </c>
      <c r="DW24" s="33">
        <v>4.2692219999999999E-5</v>
      </c>
      <c r="DX24" s="33">
        <f t="shared" si="41"/>
        <v>6.5863748617320166</v>
      </c>
      <c r="DY24" s="32"/>
      <c r="DZ24" s="33">
        <v>630</v>
      </c>
      <c r="EA24" s="33">
        <v>4.1863500000000003E-5</v>
      </c>
      <c r="EB24" s="33">
        <f t="shared" si="42"/>
        <v>6.416110781367026</v>
      </c>
      <c r="EC24" s="26"/>
      <c r="ED24" s="26">
        <f t="shared" si="43"/>
        <v>1.7875891403892002E-9</v>
      </c>
      <c r="EE24" s="33">
        <f t="shared" si="44"/>
        <v>6.5020771632775016</v>
      </c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</row>
    <row r="25" spans="4:155" x14ac:dyDescent="0.25">
      <c r="D25" s="19">
        <v>800</v>
      </c>
      <c r="E25" s="4">
        <v>0</v>
      </c>
      <c r="F25" s="4">
        <v>-5.6123749999999997E-4</v>
      </c>
      <c r="G25" s="4">
        <v>0</v>
      </c>
      <c r="H25" s="4">
        <v>-6.3389000000000002E-4</v>
      </c>
      <c r="I25" s="4">
        <v>0</v>
      </c>
      <c r="J25" s="4">
        <v>-9.1682530000000001E-4</v>
      </c>
      <c r="K25" s="4">
        <v>0</v>
      </c>
      <c r="L25" s="4">
        <v>-7.9835680000000001E-4</v>
      </c>
      <c r="M25" s="4">
        <v>0</v>
      </c>
      <c r="N25" s="4">
        <v>-3.9180850000000001E-4</v>
      </c>
      <c r="P25" s="4">
        <v>800</v>
      </c>
      <c r="Q25" s="4">
        <v>1.4895520000000001E-2</v>
      </c>
      <c r="T25" s="4">
        <v>800</v>
      </c>
      <c r="U25" s="4">
        <v>0</v>
      </c>
      <c r="V25" s="4">
        <v>-3.5400200000000002E-4</v>
      </c>
      <c r="W25" s="4">
        <v>0</v>
      </c>
      <c r="X25" s="4">
        <v>-9.5800010000000001E-4</v>
      </c>
      <c r="Y25" s="4">
        <v>0</v>
      </c>
      <c r="Z25" s="4">
        <v>-7.6985089999999996E-4</v>
      </c>
      <c r="AA25" s="4">
        <v>0</v>
      </c>
      <c r="AB25" s="4">
        <v>-6.6959780000000002E-4</v>
      </c>
      <c r="AC25" s="4">
        <v>0</v>
      </c>
      <c r="AD25" s="4">
        <v>-7.8416409999999999E-4</v>
      </c>
      <c r="AF25" s="4">
        <v>800</v>
      </c>
      <c r="AG25" s="4">
        <v>1.485216E-2</v>
      </c>
      <c r="AI25" s="4">
        <v>800</v>
      </c>
      <c r="AJ25" s="4">
        <v>0</v>
      </c>
      <c r="AK25" s="4">
        <v>-4.836846E-4</v>
      </c>
      <c r="AL25" s="4">
        <v>0</v>
      </c>
      <c r="AM25" s="4">
        <v>-2.3161239999999999E-4</v>
      </c>
      <c r="AN25" s="4">
        <v>0</v>
      </c>
      <c r="AO25" s="4">
        <v>-6.0040069999999998E-4</v>
      </c>
      <c r="AP25" s="4">
        <v>0</v>
      </c>
      <c r="AQ25" s="4">
        <v>-3.0054750000000001E-3</v>
      </c>
      <c r="AR25" s="4">
        <v>0</v>
      </c>
      <c r="AS25" s="4">
        <v>-3.6871469999999999E-4</v>
      </c>
      <c r="AU25" s="4">
        <v>800</v>
      </c>
      <c r="AV25" s="4">
        <v>1.507474E-2</v>
      </c>
      <c r="AX25" s="4">
        <v>800</v>
      </c>
      <c r="AY25" s="4">
        <v>0</v>
      </c>
      <c r="AZ25" s="4">
        <v>-5.4115450000000002E-4</v>
      </c>
      <c r="BA25" s="4">
        <v>0</v>
      </c>
      <c r="BB25" s="4">
        <v>-6.6608349999999999E-4</v>
      </c>
      <c r="BC25" s="4">
        <v>0</v>
      </c>
      <c r="BD25" s="4">
        <v>-4.7349479999999998E-4</v>
      </c>
      <c r="BE25" s="4">
        <v>0</v>
      </c>
      <c r="BF25" s="4">
        <v>-5.1105629999999996E-4</v>
      </c>
      <c r="BG25" s="4">
        <v>0</v>
      </c>
      <c r="BH25" s="4">
        <v>-4.10128E-4</v>
      </c>
      <c r="BJ25" s="4">
        <v>800</v>
      </c>
      <c r="BK25" s="4">
        <v>1.5005030000000001E-2</v>
      </c>
      <c r="BN25" s="2">
        <f t="shared" si="18"/>
        <v>5.6123749999999997E-4</v>
      </c>
      <c r="BO25" s="2">
        <f t="shared" si="19"/>
        <v>6.3389000000000002E-4</v>
      </c>
      <c r="BP25" s="2">
        <f t="shared" si="20"/>
        <v>9.1682530000000001E-4</v>
      </c>
      <c r="BQ25" s="2">
        <f t="shared" si="21"/>
        <v>7.9835680000000001E-4</v>
      </c>
      <c r="BR25" s="2">
        <f t="shared" si="22"/>
        <v>3.9180850000000001E-4</v>
      </c>
      <c r="BS25" s="2">
        <f t="shared" si="0"/>
        <v>3.5400200000000002E-4</v>
      </c>
      <c r="BT25" s="2">
        <f t="shared" si="1"/>
        <v>9.5800010000000001E-4</v>
      </c>
      <c r="BU25" s="2">
        <f t="shared" si="2"/>
        <v>7.6985089999999996E-4</v>
      </c>
      <c r="BV25" s="2">
        <f t="shared" si="3"/>
        <v>6.6959780000000002E-4</v>
      </c>
      <c r="BW25" s="2">
        <f t="shared" si="4"/>
        <v>7.8416409999999999E-4</v>
      </c>
      <c r="BX25" s="2">
        <f t="shared" si="5"/>
        <v>4.836846E-4</v>
      </c>
      <c r="BY25" s="2">
        <f t="shared" si="6"/>
        <v>2.3161239999999999E-4</v>
      </c>
      <c r="BZ25" s="2">
        <f t="shared" si="7"/>
        <v>6.0040069999999998E-4</v>
      </c>
      <c r="CA25" s="2">
        <f t="shared" si="8"/>
        <v>3.0054750000000001E-3</v>
      </c>
      <c r="CB25" s="2">
        <f t="shared" si="9"/>
        <v>3.6871469999999999E-4</v>
      </c>
      <c r="CC25" s="2">
        <f t="shared" si="10"/>
        <v>5.4115450000000002E-4</v>
      </c>
      <c r="CD25" s="2">
        <f t="shared" si="11"/>
        <v>6.6608349999999999E-4</v>
      </c>
      <c r="CE25" s="2">
        <f t="shared" si="12"/>
        <v>4.7349479999999998E-4</v>
      </c>
      <c r="CF25" s="2">
        <f t="shared" si="13"/>
        <v>5.1105629999999996E-4</v>
      </c>
      <c r="CG25" s="2">
        <f t="shared" si="14"/>
        <v>4.10128E-4</v>
      </c>
      <c r="CI25" s="29">
        <f t="shared" si="23"/>
        <v>69.55826239583682</v>
      </c>
      <c r="CJ25" s="29">
        <f t="shared" si="24"/>
        <v>55.947940639281327</v>
      </c>
      <c r="CL25" s="4">
        <f t="shared" si="25"/>
        <v>1.4895520000000001E-2</v>
      </c>
      <c r="CM25" s="4">
        <f t="shared" si="26"/>
        <v>1.485216E-2</v>
      </c>
      <c r="CN25" s="4">
        <f t="shared" si="27"/>
        <v>1.507474E-2</v>
      </c>
      <c r="CO25" s="4">
        <f t="shared" si="28"/>
        <v>1.5005030000000001E-2</v>
      </c>
      <c r="CQ25" s="5">
        <f t="shared" si="29"/>
        <v>57.440513465923758</v>
      </c>
      <c r="CR25" s="5">
        <f t="shared" si="30"/>
        <v>57.415192470039287</v>
      </c>
      <c r="CS25" s="5">
        <f t="shared" si="31"/>
        <v>57.544396695283822</v>
      </c>
      <c r="CT25" s="5">
        <f t="shared" si="32"/>
        <v>57.504137447911049</v>
      </c>
      <c r="CV25" s="4">
        <f t="shared" si="33"/>
        <v>554691.29017600056</v>
      </c>
      <c r="CW25" s="4">
        <f t="shared" si="34"/>
        <v>551466.64166400046</v>
      </c>
      <c r="CX25" s="4">
        <f t="shared" si="35"/>
        <v>568119.46516900067</v>
      </c>
      <c r="CY25" s="4">
        <f t="shared" si="36"/>
        <v>562877.31325225008</v>
      </c>
      <c r="DA25" s="5">
        <v>800</v>
      </c>
      <c r="DB25" s="4">
        <v>0.16032009999999999</v>
      </c>
      <c r="DC25" s="5">
        <f t="shared" si="15"/>
        <v>57.476360274085643</v>
      </c>
      <c r="DD25" s="5">
        <f t="shared" si="16"/>
        <v>78.07915958830705</v>
      </c>
      <c r="DE25" s="2">
        <v>82.4</v>
      </c>
      <c r="DF25" s="5">
        <f t="shared" si="46"/>
        <v>4.3208404116929557</v>
      </c>
      <c r="DG25" s="4">
        <v>7.6564069999999999E-5</v>
      </c>
      <c r="DH25" s="5">
        <f t="shared" si="37"/>
        <v>11.659900319703214</v>
      </c>
      <c r="DJ25" s="5">
        <f t="shared" si="38"/>
        <v>45.816459954382431</v>
      </c>
      <c r="DL25" s="5">
        <f t="shared" si="47"/>
        <v>61.797200685778598</v>
      </c>
      <c r="DM25" s="2">
        <f t="shared" si="48"/>
        <v>1512585.9727866058</v>
      </c>
      <c r="DN25" s="17">
        <f t="shared" si="49"/>
        <v>1.5125859727866057E-6</v>
      </c>
      <c r="DO25" s="2">
        <f t="shared" si="45"/>
        <v>2.3810133699862504E-3</v>
      </c>
      <c r="DP25" s="2">
        <f t="shared" si="50"/>
        <v>-26.232381659160147</v>
      </c>
      <c r="DQ25" s="19">
        <v>800</v>
      </c>
      <c r="DR25" s="4">
        <v>0.16644249999999999</v>
      </c>
      <c r="DS25" s="5">
        <f t="shared" si="39"/>
        <v>78.404684693936787</v>
      </c>
      <c r="DT25" s="5">
        <f t="shared" si="40"/>
        <v>78.07915958830705</v>
      </c>
      <c r="DU25" s="5">
        <f t="shared" si="17"/>
        <v>0.3255251056297368</v>
      </c>
      <c r="DV25" s="33">
        <v>800</v>
      </c>
      <c r="DW25" s="33">
        <v>5.345467E-5</v>
      </c>
      <c r="DX25" s="33">
        <f t="shared" si="41"/>
        <v>8.5391131425870483</v>
      </c>
      <c r="DY25" s="32"/>
      <c r="DZ25" s="33">
        <v>800</v>
      </c>
      <c r="EA25" s="33">
        <v>4.1683059999999998E-5</v>
      </c>
      <c r="EB25" s="33">
        <f t="shared" si="42"/>
        <v>6.3785919568174441</v>
      </c>
      <c r="EC25" s="26"/>
      <c r="ED25" s="26">
        <f t="shared" si="43"/>
        <v>2.2974396178862498E-9</v>
      </c>
      <c r="EE25" s="33">
        <f t="shared" si="44"/>
        <v>7.5918411460030022</v>
      </c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</row>
    <row r="26" spans="4:155" x14ac:dyDescent="0.25">
      <c r="D26" s="19">
        <v>1000</v>
      </c>
      <c r="E26" s="4">
        <v>0</v>
      </c>
      <c r="F26" s="4">
        <v>-5.0493979999999999E-4</v>
      </c>
      <c r="G26" s="4">
        <v>0</v>
      </c>
      <c r="H26" s="4">
        <v>-5.6249640000000003E-4</v>
      </c>
      <c r="I26" s="4">
        <v>0</v>
      </c>
      <c r="J26" s="4">
        <v>-7.2991600000000005E-4</v>
      </c>
      <c r="K26" s="4">
        <v>0</v>
      </c>
      <c r="L26" s="4">
        <v>-6.2718970000000002E-4</v>
      </c>
      <c r="M26" s="4">
        <v>0</v>
      </c>
      <c r="N26" s="4">
        <v>-5.011894E-4</v>
      </c>
      <c r="P26" s="4">
        <v>1000</v>
      </c>
      <c r="Q26" s="4">
        <v>1.436166E-2</v>
      </c>
      <c r="T26" s="4">
        <v>1000</v>
      </c>
      <c r="U26" s="4">
        <v>0</v>
      </c>
      <c r="V26" s="4">
        <v>-4.2520090000000002E-4</v>
      </c>
      <c r="W26" s="4">
        <v>0</v>
      </c>
      <c r="X26" s="4">
        <v>-8.3455460000000003E-4</v>
      </c>
      <c r="Y26" s="4">
        <v>0</v>
      </c>
      <c r="Z26" s="4">
        <v>-8.4920830000000005E-4</v>
      </c>
      <c r="AA26" s="4">
        <v>0</v>
      </c>
      <c r="AB26" s="4">
        <v>-6.5522040000000001E-4</v>
      </c>
      <c r="AC26" s="4">
        <v>0</v>
      </c>
      <c r="AD26" s="4">
        <v>-7.0918890000000001E-4</v>
      </c>
      <c r="AF26" s="4">
        <v>1000</v>
      </c>
      <c r="AG26" s="4">
        <v>1.4548989999999999E-2</v>
      </c>
      <c r="AI26" s="4">
        <v>1000</v>
      </c>
      <c r="AJ26" s="4">
        <v>0</v>
      </c>
      <c r="AK26" s="4">
        <v>-4.1053980000000002E-4</v>
      </c>
      <c r="AL26" s="4">
        <v>0</v>
      </c>
      <c r="AM26" s="4">
        <v>-4.1511709999999998E-4</v>
      </c>
      <c r="AN26" s="4">
        <v>0</v>
      </c>
      <c r="AO26" s="4">
        <v>-5.7703720000000004E-4</v>
      </c>
      <c r="AP26" s="4">
        <v>0</v>
      </c>
      <c r="AQ26" s="4">
        <v>-3.0144109999999998E-3</v>
      </c>
      <c r="AR26" s="4">
        <v>0</v>
      </c>
      <c r="AS26" s="4">
        <v>-3.8697880000000001E-4</v>
      </c>
      <c r="AU26" s="4">
        <v>1000</v>
      </c>
      <c r="AV26" s="4">
        <v>1.4628270000000001E-2</v>
      </c>
      <c r="AX26" s="4">
        <v>1000</v>
      </c>
      <c r="AY26" s="4">
        <v>0</v>
      </c>
      <c r="AZ26" s="4">
        <v>-6.2030479999999996E-4</v>
      </c>
      <c r="BA26" s="4">
        <v>0</v>
      </c>
      <c r="BB26" s="4">
        <v>-4.4536880000000002E-4</v>
      </c>
      <c r="BC26" s="4">
        <v>0</v>
      </c>
      <c r="BD26" s="4">
        <v>-4.5218830000000001E-4</v>
      </c>
      <c r="BE26" s="4">
        <v>0</v>
      </c>
      <c r="BF26" s="4">
        <v>-4.5757369999999999E-4</v>
      </c>
      <c r="BG26" s="4">
        <v>0</v>
      </c>
      <c r="BH26" s="4">
        <v>-2.817276E-4</v>
      </c>
      <c r="BJ26" s="4">
        <v>1000</v>
      </c>
      <c r="BK26" s="4">
        <v>1.451445E-2</v>
      </c>
      <c r="BN26" s="2">
        <f t="shared" si="18"/>
        <v>5.0493979999999999E-4</v>
      </c>
      <c r="BO26" s="2">
        <f t="shared" si="19"/>
        <v>5.6249640000000003E-4</v>
      </c>
      <c r="BP26" s="2">
        <f t="shared" si="20"/>
        <v>7.2991600000000005E-4</v>
      </c>
      <c r="BQ26" s="2">
        <f t="shared" si="21"/>
        <v>6.2718970000000002E-4</v>
      </c>
      <c r="BR26" s="2">
        <f t="shared" si="22"/>
        <v>5.011894E-4</v>
      </c>
      <c r="BS26" s="2">
        <f t="shared" si="0"/>
        <v>4.2520090000000002E-4</v>
      </c>
      <c r="BT26" s="2">
        <f t="shared" si="1"/>
        <v>8.3455460000000003E-4</v>
      </c>
      <c r="BU26" s="2">
        <f t="shared" si="2"/>
        <v>8.4920830000000005E-4</v>
      </c>
      <c r="BV26" s="2">
        <f t="shared" si="3"/>
        <v>6.5522040000000001E-4</v>
      </c>
      <c r="BW26" s="2">
        <f t="shared" si="4"/>
        <v>7.0918890000000001E-4</v>
      </c>
      <c r="BX26" s="2">
        <f t="shared" si="5"/>
        <v>4.1053980000000002E-4</v>
      </c>
      <c r="BY26" s="2">
        <f t="shared" si="6"/>
        <v>4.1511709999999998E-4</v>
      </c>
      <c r="BZ26" s="2">
        <f t="shared" si="7"/>
        <v>5.7703720000000004E-4</v>
      </c>
      <c r="CA26" s="2">
        <f t="shared" si="8"/>
        <v>3.0144109999999998E-3</v>
      </c>
      <c r="CB26" s="2">
        <f t="shared" si="9"/>
        <v>3.8697880000000001E-4</v>
      </c>
      <c r="CC26" s="2">
        <f t="shared" si="10"/>
        <v>6.2030479999999996E-4</v>
      </c>
      <c r="CD26" s="2">
        <f t="shared" si="11"/>
        <v>4.4536880000000002E-4</v>
      </c>
      <c r="CE26" s="2">
        <f t="shared" si="12"/>
        <v>4.5218830000000001E-4</v>
      </c>
      <c r="CF26" s="2">
        <f t="shared" si="13"/>
        <v>4.5757369999999999E-4</v>
      </c>
      <c r="CG26" s="2">
        <f t="shared" si="14"/>
        <v>2.817276E-4</v>
      </c>
      <c r="CI26" s="29">
        <f t="shared" si="23"/>
        <v>69.584049318318463</v>
      </c>
      <c r="CJ26" s="29">
        <f t="shared" si="24"/>
        <v>55.565027542519516</v>
      </c>
      <c r="CL26" s="4">
        <f t="shared" si="25"/>
        <v>1.436166E-2</v>
      </c>
      <c r="CM26" s="4">
        <f t="shared" si="26"/>
        <v>1.4548989999999999E-2</v>
      </c>
      <c r="CN26" s="4">
        <f t="shared" si="27"/>
        <v>1.4628270000000001E-2</v>
      </c>
      <c r="CO26" s="4">
        <f t="shared" si="28"/>
        <v>1.451445E-2</v>
      </c>
      <c r="CQ26" s="5">
        <f t="shared" si="29"/>
        <v>57.123492905979553</v>
      </c>
      <c r="CR26" s="5">
        <f t="shared" ref="CR26:CR34" si="51">20*LOG10(CM26/0.00002)</f>
        <v>57.236056994187614</v>
      </c>
      <c r="CS26" s="5">
        <f t="shared" ref="CS26:CS34" si="52">20*LOG10(CN26/0.00002)</f>
        <v>57.283259440560002</v>
      </c>
      <c r="CT26" s="5">
        <f t="shared" ref="CT26:CT34" si="53">20*LOG10(CO26/0.00002)</f>
        <v>57.21541175953255</v>
      </c>
      <c r="CV26" s="4">
        <f t="shared" si="33"/>
        <v>515643.1948890005</v>
      </c>
      <c r="CW26" s="4">
        <f t="shared" si="34"/>
        <v>529182.77505025116</v>
      </c>
      <c r="CX26" s="4">
        <f t="shared" si="35"/>
        <v>534965.70798225154</v>
      </c>
      <c r="CY26" s="4">
        <f t="shared" si="36"/>
        <v>526673.14700625034</v>
      </c>
      <c r="DA26" s="5">
        <v>1000</v>
      </c>
      <c r="DB26" s="4">
        <v>0.18516150000000001</v>
      </c>
      <c r="DC26" s="5">
        <f t="shared" si="15"/>
        <v>57.214942200735109</v>
      </c>
      <c r="DD26" s="5">
        <f t="shared" si="16"/>
        <v>79.330413893926575</v>
      </c>
      <c r="DE26" s="2">
        <v>83.3</v>
      </c>
      <c r="DF26" s="5">
        <f t="shared" si="46"/>
        <v>3.9695861060734217</v>
      </c>
      <c r="DG26" s="4">
        <v>7.7698129999999996E-5</v>
      </c>
      <c r="DH26" s="5">
        <f t="shared" si="37"/>
        <v>11.787611417576739</v>
      </c>
      <c r="DJ26" s="5">
        <f t="shared" si="38"/>
        <v>45.427330783158368</v>
      </c>
      <c r="DL26" s="5">
        <f t="shared" si="47"/>
        <v>61.184528306808531</v>
      </c>
      <c r="DM26" s="2">
        <f t="shared" si="48"/>
        <v>1313568.8187016221</v>
      </c>
      <c r="DN26" s="17">
        <f t="shared" si="49"/>
        <v>1.3135688187016221E-6</v>
      </c>
      <c r="DO26" s="2">
        <f t="shared" si="45"/>
        <v>2.2015931688459723E-3</v>
      </c>
      <c r="DP26" s="2">
        <f t="shared" si="50"/>
        <v>-26.572629309814207</v>
      </c>
      <c r="DQ26" s="19">
        <v>1000</v>
      </c>
      <c r="DR26" s="4">
        <v>0.1950337</v>
      </c>
      <c r="DS26" s="5">
        <f t="shared" si="39"/>
        <v>79.781593284176807</v>
      </c>
      <c r="DT26" s="5">
        <f t="shared" si="40"/>
        <v>79.330413893926575</v>
      </c>
      <c r="DU26" s="5">
        <f t="shared" si="17"/>
        <v>0.4511793902502319</v>
      </c>
      <c r="DV26" s="33">
        <v>1000</v>
      </c>
      <c r="DW26" s="33">
        <v>3.6769739999999997E-5</v>
      </c>
      <c r="DX26" s="33">
        <f t="shared" si="41"/>
        <v>5.2892112661131172</v>
      </c>
      <c r="DY26" s="32"/>
      <c r="DZ26" s="33">
        <v>1000</v>
      </c>
      <c r="EA26" s="33">
        <v>3.6707059999999997E-5</v>
      </c>
      <c r="EB26" s="33">
        <f t="shared" si="42"/>
        <v>5.2743921206256585</v>
      </c>
      <c r="EC26" s="26"/>
      <c r="ED26" s="26">
        <f t="shared" si="43"/>
        <v>1.3497110167555998E-9</v>
      </c>
      <c r="EE26" s="33">
        <f t="shared" si="44"/>
        <v>5.2818080141659784</v>
      </c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</row>
    <row r="27" spans="4:155" x14ac:dyDescent="0.25">
      <c r="D27" s="19">
        <v>1250</v>
      </c>
      <c r="E27" s="4">
        <v>0</v>
      </c>
      <c r="F27" s="4">
        <v>-5.7982599999999997E-4</v>
      </c>
      <c r="G27" s="4">
        <v>0</v>
      </c>
      <c r="H27" s="4">
        <v>-5.1890650000000003E-4</v>
      </c>
      <c r="I27" s="4">
        <v>0</v>
      </c>
      <c r="J27" s="4">
        <v>-7.0042729999999999E-4</v>
      </c>
      <c r="K27" s="4">
        <v>0</v>
      </c>
      <c r="L27" s="4">
        <v>-3.2670980000000001E-4</v>
      </c>
      <c r="M27" s="4">
        <v>0</v>
      </c>
      <c r="N27" s="4">
        <v>-3.8208380000000002E-4</v>
      </c>
      <c r="P27" s="4">
        <v>1250</v>
      </c>
      <c r="Q27" s="4">
        <v>1.505307E-2</v>
      </c>
      <c r="T27" s="4">
        <v>1250</v>
      </c>
      <c r="U27" s="4">
        <v>0</v>
      </c>
      <c r="V27" s="4">
        <v>-1.9462090000000001E-4</v>
      </c>
      <c r="W27" s="4">
        <v>0</v>
      </c>
      <c r="X27" s="4">
        <v>-8.2927330000000005E-4</v>
      </c>
      <c r="Y27" s="4">
        <v>0</v>
      </c>
      <c r="Z27" s="4">
        <v>-6.7569020000000002E-4</v>
      </c>
      <c r="AA27" s="4">
        <v>0</v>
      </c>
      <c r="AB27" s="4">
        <v>-5.723344E-4</v>
      </c>
      <c r="AC27" s="4">
        <v>0</v>
      </c>
      <c r="AD27" s="4">
        <v>-5.9334220000000003E-4</v>
      </c>
      <c r="AF27" s="4">
        <v>1250</v>
      </c>
      <c r="AG27" s="4">
        <v>1.463161E-2</v>
      </c>
      <c r="AI27" s="4">
        <v>1250</v>
      </c>
      <c r="AJ27" s="4">
        <v>0</v>
      </c>
      <c r="AK27" s="4">
        <v>-4.0454750000000001E-4</v>
      </c>
      <c r="AL27" s="4">
        <v>0</v>
      </c>
      <c r="AM27" s="4">
        <v>-2.4796559999999999E-4</v>
      </c>
      <c r="AN27" s="4">
        <v>0</v>
      </c>
      <c r="AO27" s="4">
        <v>-5.0664639999999995E-4</v>
      </c>
      <c r="AP27" s="4">
        <v>0</v>
      </c>
      <c r="AQ27" s="4">
        <v>-2.989879E-3</v>
      </c>
      <c r="AR27" s="4">
        <v>0</v>
      </c>
      <c r="AS27" s="4">
        <v>-3.8693899999999999E-4</v>
      </c>
      <c r="AU27" s="4">
        <v>1250</v>
      </c>
      <c r="AV27" s="4">
        <v>1.48147E-2</v>
      </c>
      <c r="AX27" s="4">
        <v>1250</v>
      </c>
      <c r="AY27" s="4">
        <v>0</v>
      </c>
      <c r="AZ27" s="4">
        <v>-5.0615209999999998E-4</v>
      </c>
      <c r="BA27" s="4">
        <v>0</v>
      </c>
      <c r="BB27" s="4">
        <v>-5.3896420000000003E-4</v>
      </c>
      <c r="BC27" s="4">
        <v>0</v>
      </c>
      <c r="BD27" s="4">
        <v>-2.7301890000000002E-4</v>
      </c>
      <c r="BE27" s="4">
        <v>0</v>
      </c>
      <c r="BF27" s="4">
        <v>-4.8483169999999999E-4</v>
      </c>
      <c r="BG27" s="4">
        <v>0</v>
      </c>
      <c r="BH27" s="4">
        <v>-3.6608410000000001E-4</v>
      </c>
      <c r="BJ27" s="4">
        <v>1250</v>
      </c>
      <c r="BK27" s="4">
        <v>1.4842579999999999E-2</v>
      </c>
      <c r="BN27" s="2">
        <f t="shared" si="18"/>
        <v>5.7982599999999997E-4</v>
      </c>
      <c r="BO27" s="2">
        <f t="shared" si="19"/>
        <v>5.1890650000000003E-4</v>
      </c>
      <c r="BP27" s="2">
        <f t="shared" si="20"/>
        <v>7.0042729999999999E-4</v>
      </c>
      <c r="BQ27" s="2">
        <f t="shared" si="21"/>
        <v>3.2670980000000001E-4</v>
      </c>
      <c r="BR27" s="2">
        <f t="shared" si="22"/>
        <v>3.8208380000000002E-4</v>
      </c>
      <c r="BS27" s="2">
        <f t="shared" si="0"/>
        <v>1.9462090000000001E-4</v>
      </c>
      <c r="BT27" s="2">
        <f t="shared" si="1"/>
        <v>8.2927330000000005E-4</v>
      </c>
      <c r="BU27" s="2">
        <f t="shared" si="2"/>
        <v>6.7569020000000002E-4</v>
      </c>
      <c r="BV27" s="2">
        <f t="shared" si="3"/>
        <v>5.723344E-4</v>
      </c>
      <c r="BW27" s="2">
        <f t="shared" si="4"/>
        <v>5.9334220000000003E-4</v>
      </c>
      <c r="BX27" s="2">
        <f t="shared" si="5"/>
        <v>4.0454750000000001E-4</v>
      </c>
      <c r="BY27" s="2">
        <f t="shared" si="6"/>
        <v>2.4796559999999999E-4</v>
      </c>
      <c r="BZ27" s="2">
        <f t="shared" si="7"/>
        <v>5.0664639999999995E-4</v>
      </c>
      <c r="CA27" s="2">
        <f t="shared" si="8"/>
        <v>2.989879E-3</v>
      </c>
      <c r="CB27" s="2">
        <f t="shared" si="9"/>
        <v>3.8693899999999999E-4</v>
      </c>
      <c r="CC27" s="2">
        <f t="shared" si="10"/>
        <v>5.0615209999999998E-4</v>
      </c>
      <c r="CD27" s="2">
        <f t="shared" si="11"/>
        <v>5.3896420000000003E-4</v>
      </c>
      <c r="CE27" s="2">
        <f t="shared" si="12"/>
        <v>2.7301890000000002E-4</v>
      </c>
      <c r="CF27" s="2">
        <f t="shared" si="13"/>
        <v>4.8483169999999999E-4</v>
      </c>
      <c r="CG27" s="2">
        <f t="shared" si="14"/>
        <v>3.6608410000000001E-4</v>
      </c>
      <c r="CI27" s="29">
        <f t="shared" si="23"/>
        <v>69.513072256818802</v>
      </c>
      <c r="CJ27" s="29">
        <f t="shared" si="24"/>
        <v>54.022553652312837</v>
      </c>
      <c r="CL27" s="4">
        <f t="shared" si="25"/>
        <v>1.505307E-2</v>
      </c>
      <c r="CM27" s="4">
        <f t="shared" si="26"/>
        <v>1.463161E-2</v>
      </c>
      <c r="CN27" s="4">
        <f t="shared" si="27"/>
        <v>1.48147E-2</v>
      </c>
      <c r="CO27" s="4">
        <f t="shared" si="28"/>
        <v>1.4842579999999999E-2</v>
      </c>
      <c r="CQ27" s="5">
        <f t="shared" si="29"/>
        <v>57.531901710688807</v>
      </c>
      <c r="CR27" s="5">
        <f t="shared" si="51"/>
        <v>57.285242420088089</v>
      </c>
      <c r="CS27" s="5">
        <f t="shared" si="52"/>
        <v>57.393257314194337</v>
      </c>
      <c r="CT27" s="5">
        <f t="shared" si="53"/>
        <v>57.409588054872188</v>
      </c>
      <c r="CV27" s="4">
        <f t="shared" si="33"/>
        <v>566487.29106225085</v>
      </c>
      <c r="CW27" s="4">
        <f t="shared" si="34"/>
        <v>535210.02798025066</v>
      </c>
      <c r="CX27" s="4">
        <f t="shared" si="35"/>
        <v>548688.3402250004</v>
      </c>
      <c r="CY27" s="4">
        <f t="shared" si="36"/>
        <v>550755.45264100085</v>
      </c>
      <c r="DA27" s="5">
        <v>1250</v>
      </c>
      <c r="DB27" s="4">
        <v>0.22237009999999999</v>
      </c>
      <c r="DC27" s="5">
        <f t="shared" si="15"/>
        <v>57.405878940962324</v>
      </c>
      <c r="DD27" s="5">
        <f t="shared" si="16"/>
        <v>80.920927914167009</v>
      </c>
      <c r="DE27" s="2">
        <v>84.6</v>
      </c>
      <c r="DF27" s="5">
        <f t="shared" si="46"/>
        <v>3.6790720858329848</v>
      </c>
      <c r="DG27" s="4">
        <v>1.3817070000000001E-4</v>
      </c>
      <c r="DH27" s="5">
        <f t="shared" si="37"/>
        <v>16.787719243082243</v>
      </c>
      <c r="DJ27" s="5">
        <f t="shared" si="38"/>
        <v>40.618159697880081</v>
      </c>
      <c r="DL27" s="5">
        <f t="shared" si="47"/>
        <v>61.084951026795309</v>
      </c>
      <c r="DM27" s="2">
        <f t="shared" si="48"/>
        <v>1283793.2936994911</v>
      </c>
      <c r="DN27" s="17">
        <f t="shared" si="49"/>
        <v>1.283793293699491E-6</v>
      </c>
      <c r="DO27" s="2">
        <f t="shared" si="45"/>
        <v>2.3851478193536862E-3</v>
      </c>
      <c r="DP27" s="2">
        <f t="shared" si="50"/>
        <v>-26.224847004224934</v>
      </c>
      <c r="DQ27" s="19">
        <v>1250</v>
      </c>
      <c r="DR27" s="4">
        <v>0.23899809999999999</v>
      </c>
      <c r="DS27" s="5">
        <f t="shared" si="39"/>
        <v>81.547289054403166</v>
      </c>
      <c r="DT27" s="5">
        <f t="shared" si="40"/>
        <v>80.920927914167009</v>
      </c>
      <c r="DU27" s="5">
        <f t="shared" si="17"/>
        <v>0.62636114023615619</v>
      </c>
      <c r="DV27" s="33">
        <v>1250</v>
      </c>
      <c r="DW27" s="33">
        <v>3.5300879999999998E-5</v>
      </c>
      <c r="DX27" s="33">
        <f t="shared" si="41"/>
        <v>4.9351107238708476</v>
      </c>
      <c r="DY27" s="32"/>
      <c r="DZ27" s="33">
        <v>1250</v>
      </c>
      <c r="EA27" s="33">
        <v>3.4742539999999998E-5</v>
      </c>
      <c r="EB27" s="33">
        <f t="shared" si="42"/>
        <v>4.7966314107723509</v>
      </c>
      <c r="EC27" s="26"/>
      <c r="ED27" s="26">
        <f t="shared" si="43"/>
        <v>1.2265981072129997E-9</v>
      </c>
      <c r="EE27" s="33">
        <f t="shared" si="44"/>
        <v>4.8664229885590711</v>
      </c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</row>
    <row r="28" spans="4:155" x14ac:dyDescent="0.25">
      <c r="D28" s="19">
        <v>1600</v>
      </c>
      <c r="E28" s="4">
        <v>0</v>
      </c>
      <c r="F28" s="4">
        <v>-5.1690359999999997E-4</v>
      </c>
      <c r="G28" s="4">
        <v>0</v>
      </c>
      <c r="H28" s="4">
        <v>-5.4999849999999996E-4</v>
      </c>
      <c r="I28" s="4">
        <v>0</v>
      </c>
      <c r="J28" s="4">
        <v>-7.012136E-4</v>
      </c>
      <c r="K28" s="4">
        <v>0</v>
      </c>
      <c r="L28" s="4">
        <v>-7.517553E-4</v>
      </c>
      <c r="M28" s="4">
        <v>0</v>
      </c>
      <c r="N28" s="4">
        <v>-4.6935169999999998E-4</v>
      </c>
      <c r="P28" s="4">
        <v>1600</v>
      </c>
      <c r="Q28" s="4">
        <v>1.710505E-2</v>
      </c>
      <c r="T28" s="4">
        <v>1600</v>
      </c>
      <c r="U28" s="4">
        <v>0</v>
      </c>
      <c r="V28" s="4">
        <v>-3.1500890000000001E-4</v>
      </c>
      <c r="W28" s="4">
        <v>0</v>
      </c>
      <c r="X28" s="4">
        <v>-8.850746E-4</v>
      </c>
      <c r="Y28" s="4">
        <v>0</v>
      </c>
      <c r="Z28" s="4">
        <v>-7.0244489999999997E-4</v>
      </c>
      <c r="AA28" s="4">
        <v>0</v>
      </c>
      <c r="AB28" s="4">
        <v>-7.2861910000000005E-4</v>
      </c>
      <c r="AC28" s="4">
        <v>0</v>
      </c>
      <c r="AD28" s="4">
        <v>-6.4764239999999995E-4</v>
      </c>
      <c r="AF28" s="4">
        <v>1600</v>
      </c>
      <c r="AG28" s="4">
        <v>1.75441E-2</v>
      </c>
      <c r="AI28" s="4">
        <v>1600</v>
      </c>
      <c r="AJ28" s="4">
        <v>0</v>
      </c>
      <c r="AK28" s="4">
        <v>-4.3702779999999999E-4</v>
      </c>
      <c r="AL28" s="4">
        <v>0</v>
      </c>
      <c r="AM28" s="4">
        <v>-3.0461939999999998E-4</v>
      </c>
      <c r="AN28" s="4">
        <v>0</v>
      </c>
      <c r="AO28" s="4">
        <v>-4.0199419999999999E-4</v>
      </c>
      <c r="AP28" s="4">
        <v>0</v>
      </c>
      <c r="AQ28" s="4">
        <v>-3.322799E-3</v>
      </c>
      <c r="AR28" s="4">
        <v>0</v>
      </c>
      <c r="AS28" s="4">
        <v>-4.1503079999999999E-4</v>
      </c>
      <c r="AU28" s="4">
        <v>1600</v>
      </c>
      <c r="AV28" s="4">
        <v>1.7393749999999999E-2</v>
      </c>
      <c r="AX28" s="4">
        <v>1600</v>
      </c>
      <c r="AY28" s="4">
        <v>0</v>
      </c>
      <c r="AZ28" s="4">
        <v>-4.5797170000000002E-4</v>
      </c>
      <c r="BA28" s="4">
        <v>0</v>
      </c>
      <c r="BB28" s="4">
        <v>-5.4661059999999999E-4</v>
      </c>
      <c r="BC28" s="4">
        <v>0</v>
      </c>
      <c r="BD28" s="4">
        <v>-3.804182E-4</v>
      </c>
      <c r="BE28" s="4">
        <v>0</v>
      </c>
      <c r="BF28" s="4">
        <v>-4.5101260000000003E-4</v>
      </c>
      <c r="BG28" s="4">
        <v>0</v>
      </c>
      <c r="BH28" s="4">
        <v>-3.0317700000000001E-4</v>
      </c>
      <c r="BJ28" s="4">
        <v>1600</v>
      </c>
      <c r="BK28" s="4">
        <v>1.745938E-2</v>
      </c>
      <c r="BN28" s="2">
        <f t="shared" si="18"/>
        <v>5.1690359999999997E-4</v>
      </c>
      <c r="BO28" s="2">
        <f t="shared" si="19"/>
        <v>5.4999849999999996E-4</v>
      </c>
      <c r="BP28" s="2">
        <f t="shared" si="20"/>
        <v>7.012136E-4</v>
      </c>
      <c r="BQ28" s="2">
        <f t="shared" si="21"/>
        <v>7.517553E-4</v>
      </c>
      <c r="BR28" s="2">
        <f t="shared" si="22"/>
        <v>4.6935169999999998E-4</v>
      </c>
      <c r="BS28" s="2">
        <f t="shared" si="0"/>
        <v>3.1500890000000001E-4</v>
      </c>
      <c r="BT28" s="2">
        <f t="shared" si="1"/>
        <v>8.850746E-4</v>
      </c>
      <c r="BU28" s="2">
        <f t="shared" si="2"/>
        <v>7.0244489999999997E-4</v>
      </c>
      <c r="BV28" s="2">
        <f t="shared" si="3"/>
        <v>7.2861910000000005E-4</v>
      </c>
      <c r="BW28" s="2">
        <f t="shared" si="4"/>
        <v>6.4764239999999995E-4</v>
      </c>
      <c r="BX28" s="2">
        <f t="shared" si="5"/>
        <v>4.3702779999999999E-4</v>
      </c>
      <c r="BY28" s="2">
        <f t="shared" si="6"/>
        <v>3.0461939999999998E-4</v>
      </c>
      <c r="BZ28" s="2">
        <f t="shared" si="7"/>
        <v>4.0199419999999999E-4</v>
      </c>
      <c r="CA28" s="2">
        <f t="shared" si="8"/>
        <v>3.322799E-3</v>
      </c>
      <c r="CB28" s="2">
        <f t="shared" si="9"/>
        <v>4.1503079999999999E-4</v>
      </c>
      <c r="CC28" s="2">
        <f t="shared" si="10"/>
        <v>4.5797170000000002E-4</v>
      </c>
      <c r="CD28" s="2">
        <f t="shared" si="11"/>
        <v>5.4661059999999999E-4</v>
      </c>
      <c r="CE28" s="2">
        <f t="shared" si="12"/>
        <v>3.804182E-4</v>
      </c>
      <c r="CF28" s="2">
        <f t="shared" si="13"/>
        <v>4.5101260000000003E-4</v>
      </c>
      <c r="CG28" s="2">
        <f t="shared" si="14"/>
        <v>3.0317700000000001E-4</v>
      </c>
      <c r="CI28" s="29">
        <f t="shared" si="23"/>
        <v>70.430081421836377</v>
      </c>
      <c r="CJ28" s="29">
        <f t="shared" si="24"/>
        <v>55.119435690820609</v>
      </c>
      <c r="CL28" s="4">
        <f t="shared" si="25"/>
        <v>1.710505E-2</v>
      </c>
      <c r="CM28" s="4">
        <f t="shared" si="26"/>
        <v>1.75441E-2</v>
      </c>
      <c r="CN28" s="4">
        <f t="shared" si="27"/>
        <v>1.7393749999999999E-2</v>
      </c>
      <c r="CO28" s="4">
        <f t="shared" si="28"/>
        <v>1.745938E-2</v>
      </c>
      <c r="CQ28" s="5">
        <f t="shared" si="29"/>
        <v>58.641887047019061</v>
      </c>
      <c r="CR28" s="5">
        <f t="shared" si="51"/>
        <v>58.86202196914347</v>
      </c>
      <c r="CS28" s="5">
        <f t="shared" si="52"/>
        <v>58.787264560282743</v>
      </c>
      <c r="CT28" s="5">
        <f t="shared" si="53"/>
        <v>58.819976434982394</v>
      </c>
      <c r="CV28" s="4">
        <f t="shared" si="33"/>
        <v>731456.83875625068</v>
      </c>
      <c r="CW28" s="4">
        <f t="shared" si="34"/>
        <v>769488.6120250005</v>
      </c>
      <c r="CX28" s="4">
        <f t="shared" si="35"/>
        <v>756356.3476562514</v>
      </c>
      <c r="CY28" s="4">
        <f t="shared" si="36"/>
        <v>762074.87496100075</v>
      </c>
      <c r="DA28" s="5">
        <v>1600</v>
      </c>
      <c r="DB28" s="4">
        <v>0.2364687</v>
      </c>
      <c r="DC28" s="5">
        <f t="shared" si="15"/>
        <v>58.778573041973239</v>
      </c>
      <c r="DD28" s="5">
        <f t="shared" si="16"/>
        <v>81.454873363090428</v>
      </c>
      <c r="DE28" s="2">
        <v>83.3</v>
      </c>
      <c r="DF28" s="5">
        <f t="shared" si="46"/>
        <v>1.8451266369095691</v>
      </c>
      <c r="DG28" s="4">
        <v>4.965513E-5</v>
      </c>
      <c r="DH28" s="5">
        <f t="shared" si="37"/>
        <v>7.8986825514456793</v>
      </c>
      <c r="DJ28" s="5">
        <f t="shared" si="38"/>
        <v>50.879890490527558</v>
      </c>
      <c r="DL28" s="5">
        <f t="shared" si="47"/>
        <v>60.623699678882808</v>
      </c>
      <c r="DM28" s="2">
        <f t="shared" si="48"/>
        <v>1154436.2831688807</v>
      </c>
      <c r="DN28" s="17">
        <f t="shared" si="49"/>
        <v>1.1544362831688807E-6</v>
      </c>
      <c r="DO28" s="2">
        <f t="shared" si="45"/>
        <v>1.7602670931734057E-3</v>
      </c>
      <c r="DP28" s="2">
        <f t="shared" si="50"/>
        <v>-27.544214297480426</v>
      </c>
      <c r="DQ28" s="19">
        <v>1600</v>
      </c>
      <c r="DR28" s="4">
        <v>0.25620039999999999</v>
      </c>
      <c r="DS28" s="5">
        <f t="shared" si="39"/>
        <v>82.150996155991081</v>
      </c>
      <c r="DT28" s="5">
        <f t="shared" si="40"/>
        <v>81.454873363090428</v>
      </c>
      <c r="DU28" s="5">
        <f t="shared" si="17"/>
        <v>0.6961227929006526</v>
      </c>
      <c r="DV28" s="33">
        <v>1600</v>
      </c>
      <c r="DW28" s="33">
        <v>3.3102109999999997E-5</v>
      </c>
      <c r="DX28" s="33">
        <f t="shared" si="41"/>
        <v>4.3765136372503193</v>
      </c>
      <c r="DY28" s="32"/>
      <c r="DZ28" s="33">
        <v>1600</v>
      </c>
      <c r="EA28" s="33">
        <v>3.3101690000000001E-5</v>
      </c>
      <c r="EB28" s="33">
        <f t="shared" si="42"/>
        <v>4.3764034298710452</v>
      </c>
      <c r="EC28" s="26"/>
      <c r="ED28" s="26">
        <f t="shared" si="43"/>
        <v>1.0957357836540999E-9</v>
      </c>
      <c r="EE28" s="33">
        <f t="shared" si="44"/>
        <v>4.3764585339102631</v>
      </c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</row>
    <row r="29" spans="4:155" x14ac:dyDescent="0.25">
      <c r="D29" s="19">
        <v>2000</v>
      </c>
      <c r="E29" s="4">
        <v>0</v>
      </c>
      <c r="F29" s="4">
        <v>-5.4511809999999996E-4</v>
      </c>
      <c r="G29" s="4">
        <v>0</v>
      </c>
      <c r="H29" s="4">
        <v>-5.8939379999999996E-4</v>
      </c>
      <c r="I29" s="4">
        <v>0</v>
      </c>
      <c r="J29" s="4">
        <v>-9.1208649999999995E-4</v>
      </c>
      <c r="K29" s="4">
        <v>0</v>
      </c>
      <c r="L29" s="4">
        <v>-8.5594909999999998E-4</v>
      </c>
      <c r="M29" s="4">
        <v>0</v>
      </c>
      <c r="N29" s="4">
        <v>-6.0156420000000003E-4</v>
      </c>
      <c r="P29" s="4">
        <v>2000</v>
      </c>
      <c r="Q29" s="4">
        <v>2.305142E-2</v>
      </c>
      <c r="T29" s="4">
        <v>2000</v>
      </c>
      <c r="U29" s="4">
        <v>0</v>
      </c>
      <c r="V29" s="4">
        <v>-5.411169E-4</v>
      </c>
      <c r="W29" s="4">
        <v>0</v>
      </c>
      <c r="X29" s="4">
        <v>-8.9348430000000005E-4</v>
      </c>
      <c r="Y29" s="4">
        <v>0</v>
      </c>
      <c r="Z29" s="4">
        <v>-8.347602E-4</v>
      </c>
      <c r="AA29" s="4">
        <v>0</v>
      </c>
      <c r="AB29" s="4">
        <v>-7.1187379999999997E-4</v>
      </c>
      <c r="AC29" s="4">
        <v>0</v>
      </c>
      <c r="AD29" s="4">
        <v>-8.7518589999999999E-4</v>
      </c>
      <c r="AF29" s="4">
        <v>2000</v>
      </c>
      <c r="AG29" s="4">
        <v>2.3224270000000002E-2</v>
      </c>
      <c r="AI29" s="4">
        <v>2000</v>
      </c>
      <c r="AJ29" s="4">
        <v>0</v>
      </c>
      <c r="AK29" s="4">
        <v>-6.310806E-4</v>
      </c>
      <c r="AL29" s="4">
        <v>0</v>
      </c>
      <c r="AM29" s="4">
        <v>-4.8200610000000003E-4</v>
      </c>
      <c r="AN29" s="4">
        <v>0</v>
      </c>
      <c r="AO29" s="4">
        <v>-5.1331070000000003E-4</v>
      </c>
      <c r="AP29" s="4">
        <v>0</v>
      </c>
      <c r="AQ29" s="4">
        <v>-4.4352310000000004E-3</v>
      </c>
      <c r="AR29" s="4">
        <v>0</v>
      </c>
      <c r="AS29" s="4">
        <v>-5.2157919999999995E-4</v>
      </c>
      <c r="AU29" s="4">
        <v>2000</v>
      </c>
      <c r="AV29" s="4">
        <v>2.443613E-2</v>
      </c>
      <c r="AX29" s="4">
        <v>2000</v>
      </c>
      <c r="AY29" s="4">
        <v>0</v>
      </c>
      <c r="AZ29" s="4">
        <v>-5.1465859999999997E-4</v>
      </c>
      <c r="BA29" s="4">
        <v>0</v>
      </c>
      <c r="BB29" s="4">
        <v>-5.401971E-4</v>
      </c>
      <c r="BC29" s="4">
        <v>0</v>
      </c>
      <c r="BD29" s="4">
        <v>-4.3472809999999998E-4</v>
      </c>
      <c r="BE29" s="4">
        <v>0</v>
      </c>
      <c r="BF29" s="4">
        <v>-5.3051279999999997E-4</v>
      </c>
      <c r="BG29" s="4">
        <v>0</v>
      </c>
      <c r="BH29" s="4">
        <v>-4.7212259999999999E-4</v>
      </c>
      <c r="BJ29" s="4">
        <v>2000</v>
      </c>
      <c r="BK29" s="4">
        <v>2.276626E-2</v>
      </c>
      <c r="BN29" s="2">
        <f t="shared" si="18"/>
        <v>5.4511809999999996E-4</v>
      </c>
      <c r="BO29" s="2">
        <f t="shared" si="19"/>
        <v>5.8939379999999996E-4</v>
      </c>
      <c r="BP29" s="2">
        <f t="shared" si="20"/>
        <v>9.1208649999999995E-4</v>
      </c>
      <c r="BQ29" s="2">
        <f t="shared" si="21"/>
        <v>8.5594909999999998E-4</v>
      </c>
      <c r="BR29" s="2">
        <f t="shared" si="22"/>
        <v>6.0156420000000003E-4</v>
      </c>
      <c r="BS29" s="2">
        <f t="shared" si="0"/>
        <v>5.411169E-4</v>
      </c>
      <c r="BT29" s="2">
        <f t="shared" si="1"/>
        <v>8.9348430000000005E-4</v>
      </c>
      <c r="BU29" s="2">
        <f t="shared" si="2"/>
        <v>8.347602E-4</v>
      </c>
      <c r="BV29" s="2">
        <f t="shared" si="3"/>
        <v>7.1187379999999997E-4</v>
      </c>
      <c r="BW29" s="2">
        <f t="shared" si="4"/>
        <v>8.7518589999999999E-4</v>
      </c>
      <c r="BX29" s="2">
        <f t="shared" si="5"/>
        <v>6.310806E-4</v>
      </c>
      <c r="BY29" s="2">
        <f t="shared" si="6"/>
        <v>4.8200610000000003E-4</v>
      </c>
      <c r="BZ29" s="2">
        <f t="shared" si="7"/>
        <v>5.1331070000000003E-4</v>
      </c>
      <c r="CA29" s="2">
        <f t="shared" si="8"/>
        <v>4.4352310000000004E-3</v>
      </c>
      <c r="CB29" s="2">
        <f t="shared" si="9"/>
        <v>5.2157919999999995E-4</v>
      </c>
      <c r="CC29" s="2">
        <f t="shared" si="10"/>
        <v>5.1465859999999997E-4</v>
      </c>
      <c r="CD29" s="2">
        <f t="shared" si="11"/>
        <v>5.401971E-4</v>
      </c>
      <c r="CE29" s="2">
        <f t="shared" si="12"/>
        <v>4.3472809999999998E-4</v>
      </c>
      <c r="CF29" s="2">
        <f t="shared" si="13"/>
        <v>5.3051279999999997E-4</v>
      </c>
      <c r="CG29" s="2">
        <f t="shared" si="14"/>
        <v>4.7212259999999999E-4</v>
      </c>
      <c r="CI29" s="29">
        <f t="shared" si="23"/>
        <v>72.938324882059476</v>
      </c>
      <c r="CJ29" s="29">
        <f t="shared" si="24"/>
        <v>56.793360326070292</v>
      </c>
      <c r="CL29" s="4">
        <f t="shared" si="25"/>
        <v>2.305142E-2</v>
      </c>
      <c r="CM29" s="4">
        <f t="shared" si="26"/>
        <v>2.3224270000000002E-2</v>
      </c>
      <c r="CN29" s="4">
        <f t="shared" si="27"/>
        <v>2.443613E-2</v>
      </c>
      <c r="CO29" s="4">
        <f t="shared" si="28"/>
        <v>2.276626E-2</v>
      </c>
      <c r="CQ29" s="5">
        <f t="shared" si="29"/>
        <v>61.233353760773127</v>
      </c>
      <c r="CR29" s="5">
        <f t="shared" si="51"/>
        <v>61.298241523926869</v>
      </c>
      <c r="CS29" s="5">
        <f t="shared" si="52"/>
        <v>61.740048624900396</v>
      </c>
      <c r="CT29" s="5">
        <f t="shared" si="53"/>
        <v>61.125233913981177</v>
      </c>
      <c r="CV29" s="4">
        <f t="shared" si="33"/>
        <v>1328419.9100410009</v>
      </c>
      <c r="CW29" s="4">
        <f t="shared" si="34"/>
        <v>1348416.7925822514</v>
      </c>
      <c r="CX29" s="4">
        <f t="shared" si="35"/>
        <v>1492811.1234422536</v>
      </c>
      <c r="CY29" s="4">
        <f t="shared" si="36"/>
        <v>1295756.4859689993</v>
      </c>
      <c r="DA29" s="5">
        <v>2000</v>
      </c>
      <c r="DB29" s="4">
        <v>0.2474954</v>
      </c>
      <c r="DC29" s="5">
        <f t="shared" si="15"/>
        <v>61.355623037758008</v>
      </c>
      <c r="DD29" s="5">
        <f t="shared" si="16"/>
        <v>81.850742715895407</v>
      </c>
      <c r="DE29" s="2">
        <v>85.6</v>
      </c>
      <c r="DF29" s="5">
        <f t="shared" si="46"/>
        <v>3.749257284104587</v>
      </c>
      <c r="DG29" s="4">
        <v>5.1593849999999997E-5</v>
      </c>
      <c r="DH29" s="5">
        <f t="shared" si="37"/>
        <v>8.2313588207204091</v>
      </c>
      <c r="DJ29" s="5">
        <f t="shared" si="38"/>
        <v>53.124264217037599</v>
      </c>
      <c r="DL29" s="5">
        <f t="shared" si="47"/>
        <v>65.104880321862595</v>
      </c>
      <c r="DM29" s="2">
        <f t="shared" si="48"/>
        <v>3239574.9504446257</v>
      </c>
      <c r="DN29" s="17">
        <f t="shared" si="49"/>
        <v>3.2395749504446256E-6</v>
      </c>
      <c r="DO29" s="2">
        <f t="shared" si="45"/>
        <v>2.9903325275981818E-3</v>
      </c>
      <c r="DP29" s="2">
        <f t="shared" si="50"/>
        <v>-25.242805150631487</v>
      </c>
      <c r="DQ29" s="19">
        <v>2000</v>
      </c>
      <c r="DR29" s="4">
        <v>0.26536569999999998</v>
      </c>
      <c r="DS29" s="5">
        <f t="shared" si="39"/>
        <v>82.456295830054131</v>
      </c>
      <c r="DT29" s="5">
        <f t="shared" si="40"/>
        <v>81.850742715895407</v>
      </c>
      <c r="DU29" s="5">
        <f t="shared" si="17"/>
        <v>0.60555311415872382</v>
      </c>
      <c r="DV29" s="33">
        <v>2000</v>
      </c>
      <c r="DW29" s="33">
        <v>3.4704240000000002E-5</v>
      </c>
      <c r="DX29" s="33">
        <f t="shared" si="41"/>
        <v>4.7870508483081036</v>
      </c>
      <c r="DY29" s="32"/>
      <c r="DZ29" s="33">
        <v>2000</v>
      </c>
      <c r="EA29" s="33">
        <v>3.4089720000000001E-5</v>
      </c>
      <c r="EB29" s="33">
        <f t="shared" si="42"/>
        <v>4.6318687689958642</v>
      </c>
      <c r="EC29" s="26"/>
      <c r="ED29" s="26">
        <f t="shared" si="43"/>
        <v>1.183246641828E-9</v>
      </c>
      <c r="EE29" s="33">
        <f t="shared" si="44"/>
        <v>4.7101528924275708</v>
      </c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</row>
    <row r="30" spans="4:155" x14ac:dyDescent="0.25">
      <c r="D30" s="19">
        <v>2500</v>
      </c>
      <c r="E30" s="4">
        <v>0</v>
      </c>
      <c r="F30" s="4">
        <v>-8.4292649999999998E-4</v>
      </c>
      <c r="G30" s="4">
        <v>0</v>
      </c>
      <c r="H30" s="4">
        <v>-1.1131820000000001E-3</v>
      </c>
      <c r="I30" s="4">
        <v>0</v>
      </c>
      <c r="J30" s="4">
        <v>-1.7910910000000001E-3</v>
      </c>
      <c r="K30" s="4">
        <v>0</v>
      </c>
      <c r="L30" s="4">
        <v>-9.1520339999999999E-4</v>
      </c>
      <c r="M30" s="4">
        <v>0</v>
      </c>
      <c r="N30" s="4">
        <v>-1.1933549999999999E-3</v>
      </c>
      <c r="P30" s="4">
        <v>2500</v>
      </c>
      <c r="Q30" s="4">
        <v>4.7235050000000001E-2</v>
      </c>
      <c r="T30" s="4">
        <v>2500</v>
      </c>
      <c r="U30" s="4">
        <v>0</v>
      </c>
      <c r="V30" s="4">
        <v>-9.3968220000000002E-4</v>
      </c>
      <c r="W30" s="4">
        <v>0</v>
      </c>
      <c r="X30" s="4">
        <v>-1.5767999999999999E-3</v>
      </c>
      <c r="Y30" s="4">
        <v>0</v>
      </c>
      <c r="Z30" s="4">
        <v>-1.796993E-3</v>
      </c>
      <c r="AA30" s="4">
        <v>0</v>
      </c>
      <c r="AB30" s="4">
        <v>-1.2938279999999999E-3</v>
      </c>
      <c r="AC30" s="4">
        <v>0</v>
      </c>
      <c r="AD30" s="4">
        <v>-1.5472649999999999E-3</v>
      </c>
      <c r="AF30" s="4">
        <v>2500</v>
      </c>
      <c r="AG30" s="4">
        <v>4.7072210000000003E-2</v>
      </c>
      <c r="AI30" s="4">
        <v>2500</v>
      </c>
      <c r="AJ30" s="4">
        <v>0</v>
      </c>
      <c r="AK30" s="4">
        <v>-7.2119100000000004E-4</v>
      </c>
      <c r="AL30" s="4">
        <v>0</v>
      </c>
      <c r="AM30" s="4">
        <v>-5.0545609999999997E-4</v>
      </c>
      <c r="AN30" s="4">
        <v>0</v>
      </c>
      <c r="AO30" s="4">
        <v>-8.4669789999999997E-4</v>
      </c>
      <c r="AP30" s="4">
        <v>0</v>
      </c>
      <c r="AQ30" s="4">
        <v>-7.7463640000000004E-3</v>
      </c>
      <c r="AR30" s="4">
        <v>0</v>
      </c>
      <c r="AS30" s="4">
        <v>-7.6309320000000002E-4</v>
      </c>
      <c r="AU30" s="4">
        <v>2500</v>
      </c>
      <c r="AV30" s="4">
        <v>4.4937100000000001E-2</v>
      </c>
      <c r="AX30" s="4">
        <v>2500</v>
      </c>
      <c r="AY30" s="4">
        <v>0</v>
      </c>
      <c r="AZ30" s="4">
        <v>-1.0629210000000001E-3</v>
      </c>
      <c r="BA30" s="4">
        <v>0</v>
      </c>
      <c r="BB30" s="4">
        <v>-9.1746340000000001E-4</v>
      </c>
      <c r="BC30" s="4">
        <v>0</v>
      </c>
      <c r="BD30" s="4">
        <v>-8.6608710000000001E-4</v>
      </c>
      <c r="BE30" s="4">
        <v>0</v>
      </c>
      <c r="BF30" s="4">
        <v>-1.0647289999999999E-3</v>
      </c>
      <c r="BG30" s="4">
        <v>0</v>
      </c>
      <c r="BH30" s="4">
        <v>-5.5917830000000001E-4</v>
      </c>
      <c r="BJ30" s="4">
        <v>2500</v>
      </c>
      <c r="BK30" s="4">
        <v>4.7331970000000001E-2</v>
      </c>
      <c r="BN30" s="2">
        <f t="shared" si="18"/>
        <v>8.4292649999999998E-4</v>
      </c>
      <c r="BO30" s="2">
        <f t="shared" si="19"/>
        <v>1.1131820000000001E-3</v>
      </c>
      <c r="BP30" s="2">
        <f t="shared" si="20"/>
        <v>1.7910910000000001E-3</v>
      </c>
      <c r="BQ30" s="2">
        <f t="shared" si="21"/>
        <v>9.1520339999999999E-4</v>
      </c>
      <c r="BR30" s="2">
        <f t="shared" si="22"/>
        <v>1.1933549999999999E-3</v>
      </c>
      <c r="BS30" s="2">
        <f t="shared" si="0"/>
        <v>9.3968220000000002E-4</v>
      </c>
      <c r="BT30" s="2">
        <f t="shared" si="1"/>
        <v>1.5767999999999999E-3</v>
      </c>
      <c r="BU30" s="2">
        <f t="shared" si="2"/>
        <v>1.796993E-3</v>
      </c>
      <c r="BV30" s="2">
        <f t="shared" si="3"/>
        <v>1.2938279999999999E-3</v>
      </c>
      <c r="BW30" s="2">
        <f t="shared" si="4"/>
        <v>1.5472649999999999E-3</v>
      </c>
      <c r="BX30" s="2">
        <f t="shared" si="5"/>
        <v>7.2119100000000004E-4</v>
      </c>
      <c r="BY30" s="2">
        <f t="shared" si="6"/>
        <v>5.0545609999999997E-4</v>
      </c>
      <c r="BZ30" s="2">
        <f t="shared" si="7"/>
        <v>8.4669789999999997E-4</v>
      </c>
      <c r="CA30" s="2">
        <f t="shared" si="8"/>
        <v>7.7463640000000004E-3</v>
      </c>
      <c r="CB30" s="2">
        <f t="shared" si="9"/>
        <v>7.6309320000000002E-4</v>
      </c>
      <c r="CC30" s="2">
        <f t="shared" si="10"/>
        <v>1.0629210000000001E-3</v>
      </c>
      <c r="CD30" s="2">
        <f t="shared" si="11"/>
        <v>9.1746340000000001E-4</v>
      </c>
      <c r="CE30" s="2">
        <f t="shared" si="12"/>
        <v>8.6608710000000001E-4</v>
      </c>
      <c r="CF30" s="2">
        <f t="shared" si="13"/>
        <v>1.0647289999999999E-3</v>
      </c>
      <c r="CG30" s="2">
        <f t="shared" si="14"/>
        <v>5.5917830000000001E-4</v>
      </c>
      <c r="CI30" s="29">
        <f t="shared" si="23"/>
        <v>77.781958010701274</v>
      </c>
      <c r="CJ30" s="29">
        <f t="shared" si="24"/>
        <v>61.291274034458553</v>
      </c>
      <c r="CL30" s="4">
        <f t="shared" si="25"/>
        <v>4.7235050000000001E-2</v>
      </c>
      <c r="CM30" s="4">
        <f t="shared" si="26"/>
        <v>4.7072210000000003E-2</v>
      </c>
      <c r="CN30" s="4">
        <f t="shared" si="27"/>
        <v>4.4937100000000001E-2</v>
      </c>
      <c r="CO30" s="4">
        <f t="shared" si="28"/>
        <v>4.7331970000000001E-2</v>
      </c>
      <c r="CQ30" s="5">
        <f t="shared" si="29"/>
        <v>67.464687674896453</v>
      </c>
      <c r="CR30" s="5">
        <f t="shared" si="51"/>
        <v>67.43469185751519</v>
      </c>
      <c r="CS30" s="5">
        <f t="shared" si="52"/>
        <v>67.031500925625181</v>
      </c>
      <c r="CT30" s="5">
        <f t="shared" si="53"/>
        <v>67.4824916982964</v>
      </c>
      <c r="CV30" s="4">
        <f t="shared" si="33"/>
        <v>5577874.8712562518</v>
      </c>
      <c r="CW30" s="4">
        <f t="shared" si="34"/>
        <v>5539482.3857102571</v>
      </c>
      <c r="CX30" s="4">
        <f t="shared" si="35"/>
        <v>5048357.3910250049</v>
      </c>
      <c r="CY30" s="4">
        <f t="shared" si="36"/>
        <v>5600788.4602022581</v>
      </c>
      <c r="DA30" s="5">
        <v>2500</v>
      </c>
      <c r="DB30" s="4">
        <v>0.20667869999999999</v>
      </c>
      <c r="DC30" s="5">
        <f t="shared" si="15"/>
        <v>67.357286718518381</v>
      </c>
      <c r="DD30" s="5">
        <f t="shared" si="16"/>
        <v>80.285314510498068</v>
      </c>
      <c r="DE30" s="2">
        <v>84.2</v>
      </c>
      <c r="DF30" s="5">
        <f t="shared" si="46"/>
        <v>3.9146854895019345</v>
      </c>
      <c r="DG30" s="4">
        <v>7.514288E-5</v>
      </c>
      <c r="DH30" s="5">
        <f t="shared" si="37"/>
        <v>11.497156811605327</v>
      </c>
      <c r="DJ30" s="5">
        <f t="shared" si="38"/>
        <v>55.860129906913052</v>
      </c>
      <c r="DL30" s="5">
        <f t="shared" si="47"/>
        <v>71.271972208020316</v>
      </c>
      <c r="DM30" s="2">
        <f t="shared" si="48"/>
        <v>13402851.964504484</v>
      </c>
      <c r="DN30" s="17">
        <f t="shared" si="49"/>
        <v>1.3402851964504483E-5</v>
      </c>
      <c r="DO30" s="2">
        <f t="shared" si="45"/>
        <v>4.0663047684013527E-3</v>
      </c>
      <c r="DP30" s="2">
        <f t="shared" si="50"/>
        <v>-23.908000742285513</v>
      </c>
      <c r="DQ30" s="19">
        <v>2500</v>
      </c>
      <c r="DR30" s="4">
        <v>0.22106600000000001</v>
      </c>
      <c r="DS30" s="5">
        <f t="shared" si="39"/>
        <v>80.869839149254901</v>
      </c>
      <c r="DT30" s="5">
        <f t="shared" si="40"/>
        <v>80.285314510498068</v>
      </c>
      <c r="DU30" s="5">
        <f t="shared" si="17"/>
        <v>0.58452463875683236</v>
      </c>
      <c r="DV30" s="33">
        <v>2500</v>
      </c>
      <c r="DW30" s="33">
        <v>3.386517E-5</v>
      </c>
      <c r="DX30" s="33">
        <f t="shared" si="41"/>
        <v>4.5744652880346006</v>
      </c>
      <c r="DY30" s="32"/>
      <c r="DZ30" s="33">
        <v>2500</v>
      </c>
      <c r="EA30" s="33">
        <v>3.3219490000000002E-5</v>
      </c>
      <c r="EB30" s="33">
        <f t="shared" si="42"/>
        <v>4.4072593005113525</v>
      </c>
      <c r="EC30" s="26"/>
      <c r="ED30" s="26">
        <f t="shared" si="43"/>
        <v>1.1251921274945E-9</v>
      </c>
      <c r="EE30" s="33">
        <f t="shared" si="44"/>
        <v>4.4916669359636154</v>
      </c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</row>
    <row r="31" spans="4:155" x14ac:dyDescent="0.25">
      <c r="D31" s="19">
        <v>3150</v>
      </c>
      <c r="E31" s="4">
        <v>0</v>
      </c>
      <c r="F31" s="4">
        <v>-5.9692679999999996E-4</v>
      </c>
      <c r="G31" s="4">
        <v>0</v>
      </c>
      <c r="H31" s="4">
        <v>-4.6481410000000001E-4</v>
      </c>
      <c r="I31" s="4">
        <v>0</v>
      </c>
      <c r="J31" s="4">
        <v>-8.3918830000000004E-4</v>
      </c>
      <c r="K31" s="4">
        <v>0</v>
      </c>
      <c r="L31" s="4">
        <v>-5.3305300000000002E-4</v>
      </c>
      <c r="M31" s="4">
        <v>0</v>
      </c>
      <c r="N31" s="4">
        <v>-5.1152689999999998E-4</v>
      </c>
      <c r="P31" s="4">
        <v>3150</v>
      </c>
      <c r="Q31" s="4">
        <v>2.593869E-2</v>
      </c>
      <c r="T31" s="4">
        <v>3150</v>
      </c>
      <c r="U31" s="4">
        <v>0</v>
      </c>
      <c r="V31" s="4">
        <v>-3.4087709999999999E-4</v>
      </c>
      <c r="W31" s="4">
        <v>0</v>
      </c>
      <c r="X31" s="4">
        <v>-7.643843E-4</v>
      </c>
      <c r="Y31" s="4">
        <v>0</v>
      </c>
      <c r="Z31" s="4">
        <v>-8.6378330000000001E-4</v>
      </c>
      <c r="AA31" s="4">
        <v>0</v>
      </c>
      <c r="AB31" s="4">
        <v>-5.2455709999999997E-4</v>
      </c>
      <c r="AC31" s="4">
        <v>0</v>
      </c>
      <c r="AD31" s="4">
        <v>-6.6486460000000002E-4</v>
      </c>
      <c r="AF31" s="4">
        <v>3150</v>
      </c>
      <c r="AG31" s="4">
        <v>2.6190290000000001E-2</v>
      </c>
      <c r="AI31" s="4">
        <v>3150</v>
      </c>
      <c r="AJ31" s="4">
        <v>0</v>
      </c>
      <c r="AK31" s="4">
        <v>-2.9993370000000002E-4</v>
      </c>
      <c r="AL31" s="4">
        <v>0</v>
      </c>
      <c r="AM31" s="4">
        <v>-2.8536140000000001E-4</v>
      </c>
      <c r="AN31" s="4">
        <v>0</v>
      </c>
      <c r="AO31" s="4">
        <v>-4.5850490000000002E-4</v>
      </c>
      <c r="AP31" s="4">
        <v>0</v>
      </c>
      <c r="AQ31" s="4">
        <v>-3.685008E-3</v>
      </c>
      <c r="AR31" s="4">
        <v>0</v>
      </c>
      <c r="AS31" s="4">
        <v>-3.709478E-4</v>
      </c>
      <c r="AU31" s="4">
        <v>3150</v>
      </c>
      <c r="AV31" s="4">
        <v>2.1741819999999999E-2</v>
      </c>
      <c r="AX31" s="4">
        <v>3150</v>
      </c>
      <c r="AY31" s="4">
        <v>0</v>
      </c>
      <c r="AZ31" s="4">
        <v>-4.1702690000000001E-4</v>
      </c>
      <c r="BA31" s="4">
        <v>0</v>
      </c>
      <c r="BB31" s="4">
        <v>-4.304911E-4</v>
      </c>
      <c r="BC31" s="4">
        <v>0</v>
      </c>
      <c r="BD31" s="4">
        <v>-4.4160240000000001E-4</v>
      </c>
      <c r="BE31" s="4">
        <v>0</v>
      </c>
      <c r="BF31" s="4">
        <v>-5.2238459999999997E-4</v>
      </c>
      <c r="BG31" s="4">
        <v>0</v>
      </c>
      <c r="BH31" s="4">
        <v>-3.6162130000000001E-4</v>
      </c>
      <c r="BJ31" s="4">
        <v>3150</v>
      </c>
      <c r="BK31" s="4">
        <v>2.6163760000000001E-2</v>
      </c>
      <c r="BN31" s="2">
        <f t="shared" si="18"/>
        <v>5.9692679999999996E-4</v>
      </c>
      <c r="BO31" s="2">
        <f t="shared" si="19"/>
        <v>4.6481410000000001E-4</v>
      </c>
      <c r="BP31" s="2">
        <f t="shared" si="20"/>
        <v>8.3918830000000004E-4</v>
      </c>
      <c r="BQ31" s="2">
        <f t="shared" si="21"/>
        <v>5.3305300000000002E-4</v>
      </c>
      <c r="BR31" s="2">
        <f t="shared" si="22"/>
        <v>5.1152689999999998E-4</v>
      </c>
      <c r="BS31" s="2">
        <f t="shared" si="0"/>
        <v>3.4087709999999999E-4</v>
      </c>
      <c r="BT31" s="2">
        <f t="shared" si="1"/>
        <v>7.643843E-4</v>
      </c>
      <c r="BU31" s="2">
        <f t="shared" si="2"/>
        <v>8.6378330000000001E-4</v>
      </c>
      <c r="BV31" s="2">
        <f t="shared" si="3"/>
        <v>5.2455709999999997E-4</v>
      </c>
      <c r="BW31" s="2">
        <f t="shared" si="4"/>
        <v>6.6486460000000002E-4</v>
      </c>
      <c r="BX31" s="2">
        <f t="shared" si="5"/>
        <v>2.9993370000000002E-4</v>
      </c>
      <c r="BY31" s="2">
        <f t="shared" si="6"/>
        <v>2.8536140000000001E-4</v>
      </c>
      <c r="BZ31" s="2">
        <f t="shared" si="7"/>
        <v>4.5850490000000002E-4</v>
      </c>
      <c r="CA31" s="2">
        <f t="shared" si="8"/>
        <v>3.685008E-3</v>
      </c>
      <c r="CB31" s="2">
        <f t="shared" si="9"/>
        <v>3.709478E-4</v>
      </c>
      <c r="CC31" s="2">
        <f t="shared" si="10"/>
        <v>4.1702690000000001E-4</v>
      </c>
      <c r="CD31" s="2">
        <f t="shared" si="11"/>
        <v>4.304911E-4</v>
      </c>
      <c r="CE31" s="2">
        <f t="shared" si="12"/>
        <v>4.4160240000000001E-4</v>
      </c>
      <c r="CF31" s="2">
        <f t="shared" si="13"/>
        <v>5.2238459999999997E-4</v>
      </c>
      <c r="CG31" s="2">
        <f t="shared" si="14"/>
        <v>3.6162130000000001E-4</v>
      </c>
      <c r="CI31" s="29">
        <f t="shared" si="23"/>
        <v>71.328768700629141</v>
      </c>
      <c r="CJ31" s="29">
        <f t="shared" si="24"/>
        <v>54.804551025156783</v>
      </c>
      <c r="CL31" s="4">
        <f t="shared" si="25"/>
        <v>2.593869E-2</v>
      </c>
      <c r="CM31" s="4">
        <f t="shared" si="26"/>
        <v>2.6190290000000001E-2</v>
      </c>
      <c r="CN31" s="4">
        <f t="shared" si="27"/>
        <v>2.1741819999999999E-2</v>
      </c>
      <c r="CO31" s="4">
        <f t="shared" si="28"/>
        <v>2.6163760000000001E-2</v>
      </c>
      <c r="CQ31" s="5">
        <f t="shared" si="29"/>
        <v>62.258360863133042</v>
      </c>
      <c r="CR31" s="5">
        <f t="shared" si="51"/>
        <v>62.342206232928312</v>
      </c>
      <c r="CS31" s="5">
        <f t="shared" si="52"/>
        <v>60.725318004884514</v>
      </c>
      <c r="CT31" s="5">
        <f t="shared" si="53"/>
        <v>62.333403220675308</v>
      </c>
      <c r="CV31" s="4">
        <f t="shared" si="33"/>
        <v>1682039.097290253</v>
      </c>
      <c r="CW31" s="4">
        <f t="shared" si="34"/>
        <v>1714828.2257102525</v>
      </c>
      <c r="CX31" s="4">
        <f t="shared" si="35"/>
        <v>1181766.8422810005</v>
      </c>
      <c r="CY31" s="4">
        <f t="shared" si="36"/>
        <v>1711355.8433440025</v>
      </c>
      <c r="DA31" s="5">
        <v>3150</v>
      </c>
      <c r="DB31" s="4">
        <v>0.16864319999999999</v>
      </c>
      <c r="DC31" s="5">
        <f t="shared" si="15"/>
        <v>61.96589964260032</v>
      </c>
      <c r="DD31" s="5">
        <f t="shared" si="16"/>
        <v>78.518776773445907</v>
      </c>
      <c r="DE31" s="2">
        <v>83.1</v>
      </c>
      <c r="DF31" s="5">
        <f t="shared" si="46"/>
        <v>4.5812232265540871</v>
      </c>
      <c r="DG31" s="4">
        <v>5.3051080000000003E-5</v>
      </c>
      <c r="DH31" s="5">
        <f t="shared" si="37"/>
        <v>8.4732846783351032</v>
      </c>
      <c r="DJ31" s="5">
        <f t="shared" si="38"/>
        <v>53.492614964265215</v>
      </c>
      <c r="DL31" s="5">
        <f t="shared" si="47"/>
        <v>66.547122869154407</v>
      </c>
      <c r="DM31" s="2">
        <f t="shared" si="48"/>
        <v>4515566.9623940056</v>
      </c>
      <c r="DN31" s="17">
        <f t="shared" si="49"/>
        <v>4.5155669623940057E-6</v>
      </c>
      <c r="DO31" s="2">
        <f t="shared" si="45"/>
        <v>6.0672950995816132E-3</v>
      </c>
      <c r="DP31" s="2">
        <f t="shared" si="50"/>
        <v>-22.17004881435852</v>
      </c>
      <c r="DQ31" s="19">
        <v>3150</v>
      </c>
      <c r="DR31" s="4">
        <v>0.18227689999999999</v>
      </c>
      <c r="DS31" s="5">
        <f t="shared" si="39"/>
        <v>79.194032764460928</v>
      </c>
      <c r="DT31" s="5">
        <f t="shared" si="40"/>
        <v>78.518776773445907</v>
      </c>
      <c r="DU31" s="5">
        <f t="shared" si="17"/>
        <v>0.6752559910150211</v>
      </c>
      <c r="DV31" s="33">
        <v>3150</v>
      </c>
      <c r="DW31" s="33">
        <v>3.6530969999999998E-5</v>
      </c>
      <c r="DX31" s="33">
        <f t="shared" si="41"/>
        <v>5.2326241688204664</v>
      </c>
      <c r="DY31" s="32"/>
      <c r="DZ31" s="33">
        <v>3150</v>
      </c>
      <c r="EA31" s="33">
        <v>3.6209340000000002E-5</v>
      </c>
      <c r="EB31" s="33">
        <f t="shared" si="42"/>
        <v>5.15581226382817</v>
      </c>
      <c r="EC31" s="26"/>
      <c r="ED31" s="26">
        <f t="shared" si="43"/>
        <v>1.3228140361882499E-9</v>
      </c>
      <c r="EE31" s="33">
        <f t="shared" si="44"/>
        <v>5.1943880317403144</v>
      </c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</row>
    <row r="32" spans="4:155" x14ac:dyDescent="0.25">
      <c r="D32" s="19">
        <v>4000</v>
      </c>
      <c r="E32" s="4">
        <v>0</v>
      </c>
      <c r="F32" s="4">
        <v>-2.223902E-4</v>
      </c>
      <c r="G32" s="4">
        <v>0</v>
      </c>
      <c r="H32" s="4">
        <v>-2.2128440000000001E-4</v>
      </c>
      <c r="I32" s="4">
        <v>0</v>
      </c>
      <c r="J32" s="4">
        <v>-3.199163E-4</v>
      </c>
      <c r="K32" s="4">
        <v>0</v>
      </c>
      <c r="L32" s="4">
        <v>-1.9886599999999999E-4</v>
      </c>
      <c r="M32" s="4">
        <v>0</v>
      </c>
      <c r="N32" s="4">
        <v>-1.720627E-4</v>
      </c>
      <c r="P32" s="4">
        <v>4000</v>
      </c>
      <c r="Q32" s="4">
        <v>9.4865060000000005E-3</v>
      </c>
      <c r="T32" s="4">
        <v>4000</v>
      </c>
      <c r="U32" s="4">
        <v>0</v>
      </c>
      <c r="V32" s="4">
        <v>-1.5677479999999999E-4</v>
      </c>
      <c r="W32" s="4">
        <v>0</v>
      </c>
      <c r="X32" s="4">
        <v>-3.9133869999999999E-4</v>
      </c>
      <c r="Y32" s="4">
        <v>0</v>
      </c>
      <c r="Z32" s="4">
        <v>-2.838173E-4</v>
      </c>
      <c r="AA32" s="4">
        <v>0</v>
      </c>
      <c r="AB32" s="4">
        <v>-2.556805E-4</v>
      </c>
      <c r="AC32" s="4">
        <v>0</v>
      </c>
      <c r="AD32" s="4">
        <v>-1.954929E-4</v>
      </c>
      <c r="AF32" s="4">
        <v>4000</v>
      </c>
      <c r="AG32" s="4">
        <v>9.5191830000000005E-3</v>
      </c>
      <c r="AI32" s="4">
        <v>4000</v>
      </c>
      <c r="AJ32" s="4">
        <v>0</v>
      </c>
      <c r="AK32" s="4">
        <v>-1.3535779999999999E-4</v>
      </c>
      <c r="AL32" s="4">
        <v>0</v>
      </c>
      <c r="AM32" s="4">
        <v>-8.0245200000000002E-5</v>
      </c>
      <c r="AN32" s="4">
        <v>0</v>
      </c>
      <c r="AO32" s="4">
        <v>-2.192695E-4</v>
      </c>
      <c r="AP32" s="4">
        <v>0</v>
      </c>
      <c r="AQ32" s="4">
        <v>-1.7013099999999999E-3</v>
      </c>
      <c r="AR32" s="4">
        <v>0</v>
      </c>
      <c r="AS32" s="4">
        <v>-1.090193E-4</v>
      </c>
      <c r="AU32" s="4">
        <v>4000</v>
      </c>
      <c r="AV32" s="4">
        <v>9.0446620000000002E-3</v>
      </c>
      <c r="AX32" s="4">
        <v>4000</v>
      </c>
      <c r="AY32" s="4">
        <v>0</v>
      </c>
      <c r="AZ32" s="4">
        <v>-1.126306E-4</v>
      </c>
      <c r="BA32" s="4">
        <v>0</v>
      </c>
      <c r="BB32" s="4">
        <v>-2.3852420000000001E-4</v>
      </c>
      <c r="BC32" s="4">
        <v>0</v>
      </c>
      <c r="BD32" s="4">
        <v>-1.51638E-4</v>
      </c>
      <c r="BE32" s="4">
        <v>0</v>
      </c>
      <c r="BF32" s="4">
        <v>-1.559345E-4</v>
      </c>
      <c r="BG32" s="4">
        <v>0</v>
      </c>
      <c r="BH32" s="4">
        <v>-9.8988930000000006E-5</v>
      </c>
      <c r="BJ32" s="4">
        <v>4000</v>
      </c>
      <c r="BK32" s="4">
        <v>9.5578969999999992E-3</v>
      </c>
      <c r="BN32" s="2">
        <f t="shared" si="18"/>
        <v>2.223902E-4</v>
      </c>
      <c r="BO32" s="2">
        <f t="shared" si="19"/>
        <v>2.2128440000000001E-4</v>
      </c>
      <c r="BP32" s="2">
        <f t="shared" si="20"/>
        <v>3.199163E-4</v>
      </c>
      <c r="BQ32" s="2">
        <f t="shared" si="21"/>
        <v>1.9886599999999999E-4</v>
      </c>
      <c r="BR32" s="2">
        <f t="shared" si="22"/>
        <v>1.720627E-4</v>
      </c>
      <c r="BS32" s="2">
        <f t="shared" si="0"/>
        <v>1.5677479999999999E-4</v>
      </c>
      <c r="BT32" s="2">
        <f t="shared" si="1"/>
        <v>3.9133869999999999E-4</v>
      </c>
      <c r="BU32" s="2">
        <f t="shared" si="2"/>
        <v>2.838173E-4</v>
      </c>
      <c r="BV32" s="2">
        <f t="shared" si="3"/>
        <v>2.556805E-4</v>
      </c>
      <c r="BW32" s="2">
        <f t="shared" si="4"/>
        <v>1.954929E-4</v>
      </c>
      <c r="BX32" s="2">
        <f t="shared" si="5"/>
        <v>1.3535779999999999E-4</v>
      </c>
      <c r="BY32" s="2">
        <f t="shared" si="6"/>
        <v>8.0245200000000002E-5</v>
      </c>
      <c r="BZ32" s="2">
        <f t="shared" si="7"/>
        <v>2.192695E-4</v>
      </c>
      <c r="CA32" s="2">
        <f t="shared" si="8"/>
        <v>1.7013099999999999E-3</v>
      </c>
      <c r="CB32" s="2">
        <f t="shared" si="9"/>
        <v>1.090193E-4</v>
      </c>
      <c r="CC32" s="2">
        <f t="shared" si="10"/>
        <v>1.126306E-4</v>
      </c>
      <c r="CD32" s="2">
        <f t="shared" si="11"/>
        <v>2.3852420000000001E-4</v>
      </c>
      <c r="CE32" s="2">
        <f t="shared" si="12"/>
        <v>1.51638E-4</v>
      </c>
      <c r="CF32" s="2">
        <f t="shared" si="13"/>
        <v>1.559345E-4</v>
      </c>
      <c r="CG32" s="2">
        <f t="shared" si="14"/>
        <v>9.8988930000000006E-5</v>
      </c>
      <c r="CI32" s="29">
        <f t="shared" si="23"/>
        <v>64.615669094390014</v>
      </c>
      <c r="CJ32" s="29">
        <f t="shared" si="24"/>
        <v>46.825634749125804</v>
      </c>
      <c r="CL32" s="4">
        <f t="shared" si="25"/>
        <v>9.4865060000000005E-3</v>
      </c>
      <c r="CM32" s="4">
        <f t="shared" si="26"/>
        <v>9.5191830000000005E-3</v>
      </c>
      <c r="CN32" s="4">
        <f t="shared" si="27"/>
        <v>9.0446620000000002E-3</v>
      </c>
      <c r="CO32" s="4">
        <f t="shared" si="28"/>
        <v>9.5578969999999992E-3</v>
      </c>
      <c r="CQ32" s="5">
        <f t="shared" si="29"/>
        <v>53.521525801380349</v>
      </c>
      <c r="CR32" s="5">
        <f t="shared" si="51"/>
        <v>53.551393605212951</v>
      </c>
      <c r="CS32" s="5">
        <f t="shared" si="52"/>
        <v>53.107246924063986</v>
      </c>
      <c r="CT32" s="5">
        <f t="shared" si="53"/>
        <v>53.586647008045801</v>
      </c>
      <c r="CV32" s="4">
        <f t="shared" si="33"/>
        <v>224984.49022009037</v>
      </c>
      <c r="CW32" s="4">
        <f t="shared" si="34"/>
        <v>226537.11246872274</v>
      </c>
      <c r="CX32" s="4">
        <f t="shared" si="35"/>
        <v>204514.77673561024</v>
      </c>
      <c r="CY32" s="4">
        <f t="shared" si="36"/>
        <v>228383.48765652301</v>
      </c>
      <c r="DA32" s="5">
        <v>4000</v>
      </c>
      <c r="DB32" s="4">
        <v>0.15982150000000001</v>
      </c>
      <c r="DC32" s="5">
        <f t="shared" si="15"/>
        <v>53.445984984207726</v>
      </c>
      <c r="DD32" s="5">
        <f t="shared" si="16"/>
        <v>78.052104134875592</v>
      </c>
      <c r="DE32" s="2">
        <v>83</v>
      </c>
      <c r="DF32" s="5">
        <f t="shared" si="46"/>
        <v>4.9478958651244085</v>
      </c>
      <c r="DG32" s="4">
        <v>4.6468219999999998E-5</v>
      </c>
      <c r="DH32" s="5">
        <f t="shared" si="37"/>
        <v>7.3225208231565269</v>
      </c>
      <c r="DJ32" s="5">
        <f t="shared" si="38"/>
        <v>46.123464161051203</v>
      </c>
      <c r="DL32" s="5">
        <f t="shared" si="47"/>
        <v>58.393880849332135</v>
      </c>
      <c r="DM32" s="2">
        <f t="shared" si="48"/>
        <v>690856.87681692454</v>
      </c>
      <c r="DN32" s="17">
        <f t="shared" si="49"/>
        <v>6.908568768169245E-7</v>
      </c>
      <c r="DO32" s="2">
        <f t="shared" si="45"/>
        <v>4.7293136581444805E-3</v>
      </c>
      <c r="DP32" s="2">
        <f t="shared" si="50"/>
        <v>-23.252018816952837</v>
      </c>
      <c r="DQ32" s="19">
        <v>4000</v>
      </c>
      <c r="DR32" s="4">
        <v>0.1771546</v>
      </c>
      <c r="DS32" s="5">
        <f t="shared" si="39"/>
        <v>78.946448761022125</v>
      </c>
      <c r="DT32" s="5">
        <f t="shared" si="40"/>
        <v>78.052104134875592</v>
      </c>
      <c r="DU32" s="5">
        <f t="shared" si="17"/>
        <v>0.89434462614653398</v>
      </c>
      <c r="DV32" s="33">
        <v>4000</v>
      </c>
      <c r="DW32" s="33">
        <v>3.8960359999999998E-5</v>
      </c>
      <c r="DX32" s="33">
        <f t="shared" si="41"/>
        <v>5.7918593102416418</v>
      </c>
      <c r="DY32" s="32"/>
      <c r="DZ32" s="33">
        <v>4000</v>
      </c>
      <c r="EA32" s="33">
        <v>3.9005389999999997E-5</v>
      </c>
      <c r="EB32" s="33">
        <f t="shared" si="42"/>
        <v>5.8018925787959041</v>
      </c>
      <c r="EC32" s="26"/>
      <c r="ED32" s="26">
        <f t="shared" si="43"/>
        <v>1.5196650501908497E-9</v>
      </c>
      <c r="EE32" s="33">
        <f t="shared" si="44"/>
        <v>5.7968788419322692</v>
      </c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</row>
    <row r="33" spans="4:155" x14ac:dyDescent="0.25">
      <c r="D33" s="19">
        <v>5000</v>
      </c>
      <c r="E33" s="4">
        <v>0</v>
      </c>
      <c r="F33" s="4">
        <v>-1.4211519999999999E-4</v>
      </c>
      <c r="G33" s="4">
        <v>0</v>
      </c>
      <c r="H33" s="4">
        <v>-1.217301E-4</v>
      </c>
      <c r="I33" s="4">
        <v>0</v>
      </c>
      <c r="J33" s="4">
        <v>-1.1207160000000001E-4</v>
      </c>
      <c r="K33" s="4">
        <v>0</v>
      </c>
      <c r="L33" s="4">
        <v>-1.1980380000000001E-4</v>
      </c>
      <c r="M33" s="4">
        <v>0</v>
      </c>
      <c r="N33" s="4">
        <v>-8.509658E-5</v>
      </c>
      <c r="P33" s="4">
        <v>5000</v>
      </c>
      <c r="Q33" s="4">
        <v>5.2876140000000004E-3</v>
      </c>
      <c r="T33" s="4">
        <v>5000</v>
      </c>
      <c r="U33" s="4">
        <v>0</v>
      </c>
      <c r="V33" s="4">
        <v>-8.0668649999999999E-5</v>
      </c>
      <c r="W33" s="4">
        <v>0</v>
      </c>
      <c r="X33" s="4">
        <v>-1.9533880000000001E-4</v>
      </c>
      <c r="Y33" s="4">
        <v>0</v>
      </c>
      <c r="Z33" s="4">
        <v>-9.3189489999999999E-5</v>
      </c>
      <c r="AA33" s="4">
        <v>0</v>
      </c>
      <c r="AB33" s="4">
        <v>-1.4423809999999999E-4</v>
      </c>
      <c r="AC33" s="4">
        <v>0</v>
      </c>
      <c r="AD33" s="4">
        <v>-1.172135E-4</v>
      </c>
      <c r="AF33" s="4">
        <v>5000</v>
      </c>
      <c r="AG33" s="4">
        <v>5.3085570000000002E-3</v>
      </c>
      <c r="AI33" s="4">
        <v>5000</v>
      </c>
      <c r="AJ33" s="4">
        <v>0</v>
      </c>
      <c r="AK33" s="4">
        <v>-8.6737079999999999E-5</v>
      </c>
      <c r="AL33" s="4">
        <v>0</v>
      </c>
      <c r="AM33" s="4">
        <v>-6.1293460000000003E-5</v>
      </c>
      <c r="AN33" s="4">
        <v>0</v>
      </c>
      <c r="AO33" s="4">
        <v>-1.04104E-4</v>
      </c>
      <c r="AP33" s="4">
        <v>0</v>
      </c>
      <c r="AQ33" s="4">
        <v>-1.1352650000000001E-3</v>
      </c>
      <c r="AR33" s="4">
        <v>0</v>
      </c>
      <c r="AS33" s="4">
        <v>-5.3112010000000003E-5</v>
      </c>
      <c r="AU33" s="4">
        <v>5000</v>
      </c>
      <c r="AV33" s="4">
        <v>5.2410800000000004E-3</v>
      </c>
      <c r="AX33" s="4">
        <v>5000</v>
      </c>
      <c r="AY33" s="4">
        <v>0</v>
      </c>
      <c r="AZ33" s="4">
        <v>-6.4615839999999995E-5</v>
      </c>
      <c r="BA33" s="4">
        <v>0</v>
      </c>
      <c r="BB33" s="4">
        <v>-9.1865699999999997E-5</v>
      </c>
      <c r="BC33" s="4">
        <v>0</v>
      </c>
      <c r="BD33" s="4">
        <v>-7.4962780000000005E-5</v>
      </c>
      <c r="BE33" s="4">
        <v>0</v>
      </c>
      <c r="BF33" s="4">
        <v>-7.4567310000000001E-5</v>
      </c>
      <c r="BG33" s="4">
        <v>0</v>
      </c>
      <c r="BH33" s="4">
        <v>-3.8552759999999998E-5</v>
      </c>
      <c r="BJ33" s="4">
        <v>5000</v>
      </c>
      <c r="BK33" s="4">
        <v>5.2857319999999996E-3</v>
      </c>
      <c r="BN33" s="2">
        <f t="shared" si="18"/>
        <v>1.4211519999999999E-4</v>
      </c>
      <c r="BO33" s="2">
        <f t="shared" si="19"/>
        <v>1.217301E-4</v>
      </c>
      <c r="BP33" s="2">
        <f t="shared" si="20"/>
        <v>1.1207160000000001E-4</v>
      </c>
      <c r="BQ33" s="2">
        <f t="shared" si="21"/>
        <v>1.1980380000000001E-4</v>
      </c>
      <c r="BR33" s="2">
        <f t="shared" si="22"/>
        <v>8.509658E-5</v>
      </c>
      <c r="BS33" s="2">
        <f t="shared" si="0"/>
        <v>8.0668649999999999E-5</v>
      </c>
      <c r="BT33" s="2">
        <f t="shared" si="1"/>
        <v>1.9533880000000001E-4</v>
      </c>
      <c r="BU33" s="2">
        <f t="shared" si="2"/>
        <v>9.3189489999999999E-5</v>
      </c>
      <c r="BV33" s="2">
        <f t="shared" si="3"/>
        <v>1.4423809999999999E-4</v>
      </c>
      <c r="BW33" s="2">
        <f t="shared" si="4"/>
        <v>1.172135E-4</v>
      </c>
      <c r="BX33" s="2">
        <f t="shared" si="5"/>
        <v>8.6737079999999999E-5</v>
      </c>
      <c r="BY33" s="2">
        <f t="shared" si="6"/>
        <v>6.1293460000000003E-5</v>
      </c>
      <c r="BZ33" s="2">
        <f t="shared" si="7"/>
        <v>1.04104E-4</v>
      </c>
      <c r="CA33" s="2">
        <f t="shared" si="8"/>
        <v>1.1352650000000001E-3</v>
      </c>
      <c r="CB33" s="2">
        <f t="shared" si="9"/>
        <v>5.3112010000000003E-5</v>
      </c>
      <c r="CC33" s="2">
        <f t="shared" si="10"/>
        <v>6.4615839999999995E-5</v>
      </c>
      <c r="CD33" s="2">
        <f t="shared" si="11"/>
        <v>9.1865699999999997E-5</v>
      </c>
      <c r="CE33" s="2">
        <f t="shared" si="12"/>
        <v>7.4962780000000005E-5</v>
      </c>
      <c r="CF33" s="2">
        <f t="shared" si="13"/>
        <v>7.4567310000000001E-5</v>
      </c>
      <c r="CG33" s="2">
        <f t="shared" si="14"/>
        <v>3.8552759999999998E-5</v>
      </c>
      <c r="CI33" s="29">
        <f t="shared" si="23"/>
        <v>61.101944976916009</v>
      </c>
      <c r="CJ33" s="29">
        <f t="shared" si="24"/>
        <v>41.029583106612634</v>
      </c>
      <c r="CL33" s="4">
        <f t="shared" si="25"/>
        <v>5.2876140000000004E-3</v>
      </c>
      <c r="CM33" s="4">
        <f t="shared" si="26"/>
        <v>5.3085570000000002E-3</v>
      </c>
      <c r="CN33" s="4">
        <f t="shared" si="27"/>
        <v>5.2410800000000004E-3</v>
      </c>
      <c r="CO33" s="4">
        <f t="shared" si="28"/>
        <v>5.2857319999999996E-3</v>
      </c>
      <c r="CQ33" s="5">
        <f t="shared" si="29"/>
        <v>48.444594962608257</v>
      </c>
      <c r="CR33" s="5">
        <f t="shared" si="51"/>
        <v>48.478929784792896</v>
      </c>
      <c r="CS33" s="5">
        <f t="shared" si="52"/>
        <v>48.367815863460237</v>
      </c>
      <c r="CT33" s="5">
        <f t="shared" si="53"/>
        <v>48.441502877194338</v>
      </c>
      <c r="CV33" s="4">
        <f t="shared" si="33"/>
        <v>69897.154532490094</v>
      </c>
      <c r="CW33" s="4">
        <f t="shared" si="34"/>
        <v>70451.943555622522</v>
      </c>
      <c r="CX33" s="4">
        <f t="shared" si="35"/>
        <v>68672.298916000058</v>
      </c>
      <c r="CY33" s="4">
        <f t="shared" si="36"/>
        <v>69847.40693956014</v>
      </c>
      <c r="DA33" s="5">
        <v>5000</v>
      </c>
      <c r="DB33" s="4">
        <v>0.1331273</v>
      </c>
      <c r="DC33" s="5">
        <f t="shared" si="15"/>
        <v>48.433399426839088</v>
      </c>
      <c r="DD33" s="5">
        <f t="shared" si="16"/>
        <v>76.464742567154801</v>
      </c>
      <c r="DE33" s="2">
        <v>82.3</v>
      </c>
      <c r="DF33" s="5">
        <f t="shared" si="46"/>
        <v>5.8352574328451965</v>
      </c>
      <c r="DG33" s="4">
        <v>4.5802869999999999E-5</v>
      </c>
      <c r="DH33" s="5">
        <f t="shared" si="37"/>
        <v>7.1972539202090484</v>
      </c>
      <c r="DJ33" s="5">
        <f t="shared" si="38"/>
        <v>41.236145506630038</v>
      </c>
      <c r="DL33" s="5">
        <f t="shared" si="47"/>
        <v>54.268656859684285</v>
      </c>
      <c r="DM33" s="2">
        <f t="shared" si="48"/>
        <v>267217.98571630556</v>
      </c>
      <c r="DN33" s="17">
        <f t="shared" si="49"/>
        <v>2.6721798571630556E-7</v>
      </c>
      <c r="DO33" s="2">
        <f t="shared" si="45"/>
        <v>4.5699615165980326E-3</v>
      </c>
      <c r="DP33" s="2">
        <f t="shared" si="50"/>
        <v>-23.40087457085399</v>
      </c>
      <c r="DQ33" s="19">
        <v>5000</v>
      </c>
      <c r="DR33" s="4">
        <v>0.15073900000000001</v>
      </c>
      <c r="DS33" s="5">
        <f t="shared" si="39"/>
        <v>77.543912683580615</v>
      </c>
      <c r="DT33" s="5">
        <f t="shared" si="40"/>
        <v>76.464742567154801</v>
      </c>
      <c r="DU33" s="5">
        <f t="shared" si="17"/>
        <v>1.0791701164258143</v>
      </c>
      <c r="DV33" s="33">
        <v>5000</v>
      </c>
      <c r="DW33" s="33">
        <v>4.2081720000000002E-5</v>
      </c>
      <c r="DX33" s="33">
        <f t="shared" si="41"/>
        <v>6.4612697339890346</v>
      </c>
      <c r="DY33" s="32"/>
      <c r="DZ33" s="33">
        <v>5000</v>
      </c>
      <c r="EA33" s="33">
        <v>4.2472889999999997E-5</v>
      </c>
      <c r="EB33" s="33">
        <f t="shared" si="42"/>
        <v>6.5416363441373164</v>
      </c>
      <c r="EC33" s="26"/>
      <c r="ED33" s="26">
        <f t="shared" si="43"/>
        <v>1.7874087715552499E-9</v>
      </c>
      <c r="EE33" s="33">
        <f t="shared" si="44"/>
        <v>6.5016389353887707</v>
      </c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</row>
    <row r="34" spans="4:155" x14ac:dyDescent="0.25">
      <c r="D34" s="19">
        <v>6300</v>
      </c>
      <c r="E34" s="4">
        <v>0</v>
      </c>
      <c r="F34" s="4">
        <v>-1.3488460000000001E-4</v>
      </c>
      <c r="G34" s="4">
        <v>0</v>
      </c>
      <c r="H34" s="4">
        <v>-1.202876E-4</v>
      </c>
      <c r="I34" s="4">
        <v>0</v>
      </c>
      <c r="J34" s="4">
        <v>-9.4607490000000004E-5</v>
      </c>
      <c r="K34" s="4">
        <v>0</v>
      </c>
      <c r="L34" s="4">
        <v>-1.256292E-4</v>
      </c>
      <c r="M34" s="4">
        <v>0</v>
      </c>
      <c r="N34" s="4">
        <v>-6.9510829999999994E-5</v>
      </c>
      <c r="P34" s="4">
        <v>6300</v>
      </c>
      <c r="Q34" s="4">
        <v>5.5479839999999997E-3</v>
      </c>
      <c r="T34" s="4">
        <v>6300</v>
      </c>
      <c r="U34" s="4">
        <v>0</v>
      </c>
      <c r="V34" s="4">
        <v>-7.2299180000000006E-5</v>
      </c>
      <c r="W34" s="4">
        <v>0</v>
      </c>
      <c r="X34" s="4">
        <v>-2.0444429999999999E-4</v>
      </c>
      <c r="Y34" s="4">
        <v>0</v>
      </c>
      <c r="Z34" s="4">
        <v>-1.063895E-4</v>
      </c>
      <c r="AA34" s="4">
        <v>0</v>
      </c>
      <c r="AB34" s="4">
        <v>-2.0279019999999999E-4</v>
      </c>
      <c r="AC34" s="4">
        <v>0</v>
      </c>
      <c r="AD34" s="4">
        <v>-1.191549E-4</v>
      </c>
      <c r="AF34" s="4">
        <v>6300</v>
      </c>
      <c r="AG34" s="4">
        <v>5.6724560000000002E-3</v>
      </c>
      <c r="AI34" s="4">
        <v>6300</v>
      </c>
      <c r="AJ34" s="4">
        <v>0</v>
      </c>
      <c r="AK34" s="4">
        <v>-7.7708609999999997E-5</v>
      </c>
      <c r="AL34" s="4">
        <v>0</v>
      </c>
      <c r="AM34" s="4">
        <v>-6.3866539999999999E-5</v>
      </c>
      <c r="AN34" s="4">
        <v>0</v>
      </c>
      <c r="AO34" s="4">
        <v>-7.3315480000000005E-5</v>
      </c>
      <c r="AP34" s="4">
        <v>0</v>
      </c>
      <c r="AQ34" s="4">
        <v>-1.57311E-3</v>
      </c>
      <c r="AR34" s="4">
        <v>0</v>
      </c>
      <c r="AS34" s="4">
        <v>-5.4197599999999998E-5</v>
      </c>
      <c r="AU34" s="4">
        <v>6300</v>
      </c>
      <c r="AV34" s="4">
        <v>5.8055279999999999E-3</v>
      </c>
      <c r="AX34" s="4">
        <v>6300</v>
      </c>
      <c r="AY34" s="4">
        <v>0</v>
      </c>
      <c r="AZ34" s="4">
        <v>-5.1167279999999999E-5</v>
      </c>
      <c r="BA34" s="4">
        <v>0</v>
      </c>
      <c r="BB34" s="4">
        <v>-9.2723810000000002E-5</v>
      </c>
      <c r="BC34" s="4">
        <v>0</v>
      </c>
      <c r="BD34" s="4">
        <v>-5.7147339999999997E-5</v>
      </c>
      <c r="BE34" s="4">
        <v>0</v>
      </c>
      <c r="BF34" s="4">
        <v>-7.1765430000000005E-5</v>
      </c>
      <c r="BG34" s="4">
        <v>0</v>
      </c>
      <c r="BH34" s="4">
        <v>-4.5206310000000002E-5</v>
      </c>
      <c r="BJ34" s="4">
        <v>6300</v>
      </c>
      <c r="BK34" s="4">
        <v>5.6594749999999997E-3</v>
      </c>
      <c r="BN34" s="2">
        <f t="shared" si="18"/>
        <v>1.3488460000000001E-4</v>
      </c>
      <c r="BO34" s="2">
        <f t="shared" si="19"/>
        <v>1.202876E-4</v>
      </c>
      <c r="BP34" s="2">
        <f t="shared" si="20"/>
        <v>9.4607490000000004E-5</v>
      </c>
      <c r="BQ34" s="2">
        <f t="shared" si="21"/>
        <v>1.256292E-4</v>
      </c>
      <c r="BR34" s="2">
        <f t="shared" si="22"/>
        <v>6.9510829999999994E-5</v>
      </c>
      <c r="BS34" s="2">
        <f t="shared" si="0"/>
        <v>7.2299180000000006E-5</v>
      </c>
      <c r="BT34" s="2">
        <f t="shared" si="1"/>
        <v>2.0444429999999999E-4</v>
      </c>
      <c r="BU34" s="2">
        <f t="shared" si="2"/>
        <v>1.063895E-4</v>
      </c>
      <c r="BV34" s="2">
        <f t="shared" si="3"/>
        <v>2.0279019999999999E-4</v>
      </c>
      <c r="BW34" s="2">
        <f t="shared" si="4"/>
        <v>1.191549E-4</v>
      </c>
      <c r="BX34" s="2">
        <f t="shared" si="5"/>
        <v>7.7708609999999997E-5</v>
      </c>
      <c r="BY34" s="2">
        <f t="shared" si="6"/>
        <v>6.3866539999999999E-5</v>
      </c>
      <c r="BZ34" s="2">
        <f t="shared" si="7"/>
        <v>7.3315480000000005E-5</v>
      </c>
      <c r="CA34" s="2">
        <f t="shared" si="8"/>
        <v>1.57311E-3</v>
      </c>
      <c r="CB34" s="2">
        <f t="shared" si="9"/>
        <v>5.4197599999999998E-5</v>
      </c>
      <c r="CC34" s="2">
        <f t="shared" si="10"/>
        <v>5.1167279999999999E-5</v>
      </c>
      <c r="CD34" s="2">
        <f t="shared" si="11"/>
        <v>9.2723810000000002E-5</v>
      </c>
      <c r="CE34" s="2">
        <f t="shared" si="12"/>
        <v>5.7147339999999997E-5</v>
      </c>
      <c r="CF34" s="2">
        <f t="shared" si="13"/>
        <v>7.1765430000000005E-5</v>
      </c>
      <c r="CG34" s="2">
        <f t="shared" si="14"/>
        <v>4.5206310000000002E-5</v>
      </c>
      <c r="CI34" s="29">
        <f t="shared" si="23"/>
        <v>63.935181836098593</v>
      </c>
      <c r="CJ34" s="29">
        <f t="shared" si="24"/>
        <v>41.037223931208437</v>
      </c>
      <c r="CL34" s="4">
        <f t="shared" si="25"/>
        <v>5.5479839999999997E-3</v>
      </c>
      <c r="CM34" s="4">
        <f t="shared" si="26"/>
        <v>5.6724560000000002E-3</v>
      </c>
      <c r="CN34" s="4">
        <f t="shared" si="27"/>
        <v>5.8055279999999999E-3</v>
      </c>
      <c r="CO34" s="4">
        <f t="shared" si="28"/>
        <v>5.6594749999999997E-3</v>
      </c>
      <c r="CQ34" s="5">
        <f t="shared" si="29"/>
        <v>48.86210408527981</v>
      </c>
      <c r="CR34" s="5">
        <f t="shared" si="51"/>
        <v>49.054822803575789</v>
      </c>
      <c r="CS34" s="5">
        <f t="shared" si="52"/>
        <v>49.256234566691546</v>
      </c>
      <c r="CT34" s="5">
        <f t="shared" si="53"/>
        <v>49.034923003142794</v>
      </c>
      <c r="CV34" s="4">
        <f t="shared" si="33"/>
        <v>76950.316160639952</v>
      </c>
      <c r="CW34" s="4">
        <f t="shared" si="34"/>
        <v>80441.892679840123</v>
      </c>
      <c r="CX34" s="4">
        <f t="shared" si="35"/>
        <v>84260.388396960101</v>
      </c>
      <c r="CY34" s="4">
        <f t="shared" si="36"/>
        <v>80074.143189062466</v>
      </c>
      <c r="DA34" s="5">
        <v>6300</v>
      </c>
      <c r="DB34" s="4">
        <v>0.1106456</v>
      </c>
      <c r="DC34" s="5">
        <f t="shared" si="15"/>
        <v>49.054271676064673</v>
      </c>
      <c r="DD34" s="5">
        <f t="shared" si="16"/>
        <v>74.858083050501079</v>
      </c>
      <c r="DE34" s="2">
        <v>81.5</v>
      </c>
      <c r="DF34" s="5">
        <f t="shared" si="46"/>
        <v>6.6419169494989205</v>
      </c>
      <c r="DG34" s="4">
        <v>4.600756E-5</v>
      </c>
      <c r="DH34" s="5">
        <f t="shared" si="37"/>
        <v>7.235984110140512</v>
      </c>
      <c r="DJ34" s="5">
        <f t="shared" si="38"/>
        <v>41.818287565924159</v>
      </c>
      <c r="DL34" s="5">
        <f t="shared" si="47"/>
        <v>55.696188625563593</v>
      </c>
      <c r="DM34" s="2">
        <f t="shared" si="48"/>
        <v>371209.31229485158</v>
      </c>
      <c r="DN34" s="17">
        <f>DM34*(10^(-12))</f>
        <v>3.7120931229485158E-7</v>
      </c>
      <c r="DO34" s="2">
        <f t="shared" si="45"/>
        <v>3.5299420284885747E-3</v>
      </c>
      <c r="DP34" s="2">
        <f t="shared" si="50"/>
        <v>-24.522324268825045</v>
      </c>
      <c r="DQ34" s="19">
        <v>6300</v>
      </c>
      <c r="DR34" s="4">
        <v>0.12191150000000001</v>
      </c>
      <c r="DS34" s="5">
        <f t="shared" si="39"/>
        <v>75.700293583989151</v>
      </c>
      <c r="DT34" s="5">
        <f t="shared" si="40"/>
        <v>74.858083050501079</v>
      </c>
      <c r="DU34" s="5">
        <f>DS34-DT34</f>
        <v>0.84221053348807118</v>
      </c>
      <c r="DV34" s="33">
        <v>6300</v>
      </c>
      <c r="DW34" s="33">
        <v>4.4690439999999998E-5</v>
      </c>
      <c r="DX34" s="33">
        <f t="shared" si="41"/>
        <v>6.9836926973280269</v>
      </c>
      <c r="DY34" s="32"/>
      <c r="DZ34" s="33">
        <v>6300</v>
      </c>
      <c r="EA34" s="33">
        <v>4.5374560000000001E-5</v>
      </c>
      <c r="EB34" s="33">
        <f t="shared" si="42"/>
        <v>7.1156486203867679</v>
      </c>
      <c r="EC34" s="26"/>
      <c r="ED34" s="26">
        <f t="shared" si="43"/>
        <v>2.0280430612936E-9</v>
      </c>
      <c r="EE34" s="33">
        <f t="shared" si="44"/>
        <v>7.0501718077497859</v>
      </c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</row>
    <row r="35" spans="4:155" x14ac:dyDescent="0.25">
      <c r="DE35" s="2">
        <f>STDEV(DE13:DE34)</f>
        <v>1.7879829744388271</v>
      </c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</row>
    <row r="36" spans="4:155" x14ac:dyDescent="0.25"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</row>
    <row r="37" spans="4:155" ht="15.75" thickBot="1" x14ac:dyDescent="0.3">
      <c r="CR37" s="2">
        <f>(CL10^2)</f>
        <v>1.7659636261569003E-5</v>
      </c>
      <c r="CS37" s="2">
        <f t="shared" ref="CS37:CU37" si="54">(CM10^2)</f>
        <v>1.8676926665761E-5</v>
      </c>
      <c r="CT37" s="2">
        <f t="shared" si="54"/>
        <v>2.3608607959160999E-5</v>
      </c>
      <c r="CU37" s="2">
        <f t="shared" si="54"/>
        <v>2.3130289884815998E-5</v>
      </c>
      <c r="CV37" s="2">
        <f>AVERAGE(CR37:CU37)</f>
        <v>2.076886519282675E-5</v>
      </c>
      <c r="CW37" s="2">
        <f>10*LOG10(CV37/(0.00002^2))</f>
        <v>47.153527760806327</v>
      </c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</row>
    <row r="38" spans="4:155" x14ac:dyDescent="0.25">
      <c r="F38" s="2">
        <f>80*0.23</f>
        <v>18.400000000000002</v>
      </c>
      <c r="J38" s="2">
        <f>J39*(1-$H$39*0.5)</f>
        <v>70.737466793238639</v>
      </c>
      <c r="K38" s="2">
        <f>K39*(1-$H$39*0.5)</f>
        <v>88.421833491548313</v>
      </c>
      <c r="L38" s="2">
        <f>L39*(1-$H$39*0.5)</f>
        <v>110.52729186443538</v>
      </c>
      <c r="M38" s="2">
        <f>M39*(1-$H$39*0.5)</f>
        <v>141.47493358647728</v>
      </c>
      <c r="N38" s="2">
        <f>N39*(1-$H$39*0.5)</f>
        <v>176.84366698309663</v>
      </c>
      <c r="O38" s="2">
        <f t="shared" ref="O38:S38" si="55">O39*(1-$H$39*0.5)</f>
        <v>221.05458372887077</v>
      </c>
      <c r="P38" s="2">
        <f t="shared" si="55"/>
        <v>278.52877549837717</v>
      </c>
      <c r="Q38" s="2">
        <f t="shared" si="55"/>
        <v>353.68733396619325</v>
      </c>
      <c r="R38" s="2">
        <f t="shared" si="55"/>
        <v>442.10916745774153</v>
      </c>
      <c r="S38" s="2">
        <f t="shared" si="55"/>
        <v>557.05755099675434</v>
      </c>
      <c r="T38" s="2">
        <f>T39*(1-$H$39*0.5)</f>
        <v>707.3746679323865</v>
      </c>
      <c r="U38" s="2">
        <f>U39*(1-$H$39*0.5)</f>
        <v>884.21833491548307</v>
      </c>
      <c r="V38" s="2">
        <f>V39*(1-$H$39*0.5)</f>
        <v>1105.2729186443539</v>
      </c>
      <c r="W38" s="2">
        <f>W39*(1-$H$39*0.5)</f>
        <v>1414.749335864773</v>
      </c>
      <c r="X38" s="2">
        <f>X39*(1-$H$39*0.5)</f>
        <v>1768.4366698309661</v>
      </c>
      <c r="Y38" s="2">
        <f t="shared" ref="Y38" si="56">Y39*(1-$H$39*0.5)</f>
        <v>2210.5458372887078</v>
      </c>
      <c r="Z38" s="2">
        <f t="shared" ref="Z38" si="57">Z39*(1-$H$39*0.5)</f>
        <v>2785.2877549837717</v>
      </c>
      <c r="AA38" s="2">
        <f t="shared" ref="AA38:AD38" si="58">AA39*(1-$H$39*0.5)</f>
        <v>3536.8733396619323</v>
      </c>
      <c r="AB38" s="2">
        <f t="shared" si="58"/>
        <v>4421.0916745774157</v>
      </c>
      <c r="AC38" s="2">
        <f t="shared" si="58"/>
        <v>5570.5755099675434</v>
      </c>
      <c r="AD38" s="2">
        <f t="shared" si="58"/>
        <v>7073.7466793238646</v>
      </c>
      <c r="BN38" s="2">
        <f t="shared" ref="BN38:CG38" si="59">(BN10^2)</f>
        <v>2.1035789383839995E-6</v>
      </c>
      <c r="BO38" s="2">
        <f t="shared" si="59"/>
        <v>5.0165741324410011E-6</v>
      </c>
      <c r="BP38" s="2">
        <f t="shared" si="59"/>
        <v>3.6825454286404004E-7</v>
      </c>
      <c r="BQ38" s="2">
        <f t="shared" si="59"/>
        <v>3.1085568720999999E-6</v>
      </c>
      <c r="BR38" s="2">
        <f t="shared" si="59"/>
        <v>6.4040173394559993E-8</v>
      </c>
      <c r="BS38" s="2">
        <f t="shared" si="59"/>
        <v>1.4879852289000001E-8</v>
      </c>
      <c r="BT38" s="2">
        <f t="shared" si="59"/>
        <v>6.4791423673344006E-7</v>
      </c>
      <c r="BU38" s="2">
        <f t="shared" si="59"/>
        <v>5.0456103736516005E-7</v>
      </c>
      <c r="BV38" s="2">
        <f t="shared" si="59"/>
        <v>8.3319977103999979E-8</v>
      </c>
      <c r="BW38" s="2">
        <f t="shared" si="59"/>
        <v>1.8178050275999999E-6</v>
      </c>
      <c r="BX38" s="2">
        <f t="shared" si="59"/>
        <v>2.2720113299844004E-5</v>
      </c>
      <c r="BY38" s="2">
        <f t="shared" si="59"/>
        <v>6.5917584233640004E-8</v>
      </c>
      <c r="BZ38" s="2">
        <f t="shared" si="59"/>
        <v>6.4633858977609994E-8</v>
      </c>
      <c r="CA38" s="2">
        <f t="shared" si="59"/>
        <v>5.2073049303039993E-6</v>
      </c>
      <c r="CB38" s="2">
        <f t="shared" si="59"/>
        <v>1.5679675499049E-7</v>
      </c>
      <c r="CC38" s="2">
        <f t="shared" si="59"/>
        <v>6.0160070900249996E-8</v>
      </c>
      <c r="CD38" s="2">
        <f t="shared" si="59"/>
        <v>5.2269802150810009E-6</v>
      </c>
      <c r="CE38" s="2">
        <f t="shared" si="59"/>
        <v>6.6552376625295987E-7</v>
      </c>
      <c r="CF38" s="2">
        <f t="shared" si="59"/>
        <v>1.5817451677456E-7</v>
      </c>
      <c r="CG38" s="2">
        <f t="shared" si="59"/>
        <v>7.6763684318759995E-8</v>
      </c>
      <c r="CI38" s="2">
        <f>AVERAGE(BN38:CG38)</f>
        <v>2.4065926735976241E-6</v>
      </c>
      <c r="CJ38" s="2">
        <f>CI38/(10^(-18))</f>
        <v>2406592673597.624</v>
      </c>
      <c r="CM38" s="2">
        <f>10*LOG10(CJ38)</f>
        <v>123.81402590242391</v>
      </c>
      <c r="CN38" s="2">
        <f>(10^(-18))*(10^(CM38/10))</f>
        <v>2.4065926735976291E-6</v>
      </c>
      <c r="CR38" s="2">
        <f t="shared" ref="CR38:CR57" si="60">(CL11^2)</f>
        <v>2.7356333006249995E-4</v>
      </c>
      <c r="CS38" s="2">
        <f t="shared" ref="CS38:CS58" si="61">(CM11^2)</f>
        <v>3.8773823774490004E-4</v>
      </c>
      <c r="CT38" s="2">
        <f t="shared" ref="CT38:CT58" si="62">(CN11^2)</f>
        <v>4.4555272993440003E-4</v>
      </c>
      <c r="CU38" s="2">
        <f t="shared" ref="CU38:CU58" si="63">(CO11^2)</f>
        <v>4.1875073956000001E-4</v>
      </c>
      <c r="CV38" s="2">
        <f t="shared" ref="CV38:CV61" si="64">AVERAGE(CR38:CU38)</f>
        <v>3.8140125932544997E-4</v>
      </c>
      <c r="CW38" s="2">
        <f t="shared" ref="CW38:CW61" si="65">10*LOG10(CV38/(0.00002^2))</f>
        <v>59.793221313547321</v>
      </c>
      <c r="DF38" s="16" t="s">
        <v>45</v>
      </c>
      <c r="DG38" s="13">
        <v>101325</v>
      </c>
      <c r="DH38" s="3" t="s">
        <v>49</v>
      </c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</row>
    <row r="39" spans="4:155" x14ac:dyDescent="0.25">
      <c r="F39" s="2">
        <f>80+F38</f>
        <v>98.4</v>
      </c>
      <c r="H39" s="2">
        <f>(2^(1/6))-(2^(-1/6))</f>
        <v>0.23156333016903374</v>
      </c>
      <c r="J39" s="2">
        <v>80</v>
      </c>
      <c r="K39" s="2">
        <v>100</v>
      </c>
      <c r="L39" s="2">
        <v>125</v>
      </c>
      <c r="M39" s="2">
        <v>160</v>
      </c>
      <c r="N39" s="2">
        <v>200</v>
      </c>
      <c r="O39" s="2">
        <v>250</v>
      </c>
      <c r="P39" s="2">
        <v>315</v>
      </c>
      <c r="Q39" s="2">
        <v>400</v>
      </c>
      <c r="R39" s="2">
        <v>500</v>
      </c>
      <c r="S39" s="2">
        <v>630</v>
      </c>
      <c r="T39" s="2">
        <v>800</v>
      </c>
      <c r="U39" s="2">
        <v>1000</v>
      </c>
      <c r="V39" s="2">
        <v>1250</v>
      </c>
      <c r="W39" s="2">
        <v>1600</v>
      </c>
      <c r="X39" s="2">
        <v>2000</v>
      </c>
      <c r="Y39" s="2">
        <v>2500</v>
      </c>
      <c r="Z39" s="2">
        <v>3150</v>
      </c>
      <c r="AA39" s="2">
        <v>4000</v>
      </c>
      <c r="AB39" s="2">
        <v>5000</v>
      </c>
      <c r="AC39" s="2">
        <v>6300</v>
      </c>
      <c r="AD39" s="2">
        <v>8000</v>
      </c>
      <c r="BN39" s="2">
        <f t="shared" ref="BN39:CG39" si="66">(BN11^2)</f>
        <v>1.0903035189759999E-6</v>
      </c>
      <c r="BO39" s="2">
        <f t="shared" si="66"/>
        <v>3.8795723335689999E-6</v>
      </c>
      <c r="BP39" s="2">
        <f t="shared" si="66"/>
        <v>3.2641540498089996E-6</v>
      </c>
      <c r="BQ39" s="2">
        <f t="shared" si="66"/>
        <v>2.8710591364000002E-6</v>
      </c>
      <c r="BR39" s="2">
        <f t="shared" si="66"/>
        <v>1.4182206169329E-7</v>
      </c>
      <c r="BS39" s="2">
        <f t="shared" si="66"/>
        <v>1.4794485249600001E-7</v>
      </c>
      <c r="BT39" s="2">
        <f t="shared" si="66"/>
        <v>7.624164693720999E-6</v>
      </c>
      <c r="BU39" s="2">
        <f t="shared" si="66"/>
        <v>5.5097421766559995E-6</v>
      </c>
      <c r="BV39" s="2">
        <f t="shared" si="66"/>
        <v>9.4920476085795995E-7</v>
      </c>
      <c r="BW39" s="2">
        <f t="shared" si="66"/>
        <v>2.2713534242010001E-6</v>
      </c>
      <c r="BX39" s="2">
        <f t="shared" si="66"/>
        <v>1.5656020919360998E-5</v>
      </c>
      <c r="BY39" s="2">
        <f t="shared" si="66"/>
        <v>6.4747550589159988E-8</v>
      </c>
      <c r="BZ39" s="2">
        <f t="shared" si="66"/>
        <v>5.4077874662249992E-8</v>
      </c>
      <c r="CA39" s="2">
        <f t="shared" si="66"/>
        <v>1.0700723270416001E-5</v>
      </c>
      <c r="CB39" s="2">
        <f t="shared" si="66"/>
        <v>1.6092546220960001E-8</v>
      </c>
      <c r="CC39" s="2">
        <f t="shared" si="66"/>
        <v>4.3006796208640008E-8</v>
      </c>
      <c r="CD39" s="2">
        <f t="shared" si="66"/>
        <v>1.1419864490241E-5</v>
      </c>
      <c r="CE39" s="2">
        <f t="shared" si="66"/>
        <v>7.4680810628409989E-8</v>
      </c>
      <c r="CF39" s="2">
        <f t="shared" si="66"/>
        <v>1.1732056693681001E-7</v>
      </c>
      <c r="CG39" s="2">
        <f t="shared" si="66"/>
        <v>4.1464566012250004E-8</v>
      </c>
      <c r="CI39" s="2">
        <f t="shared" ref="CI39:CI62" si="67">AVERAGE(BN39:CG39)</f>
        <v>3.2968660199827859E-6</v>
      </c>
      <c r="CJ39" s="2">
        <f t="shared" ref="CJ39:CJ62" si="68">CI39/(10^(-18))</f>
        <v>3296866019982.7856</v>
      </c>
      <c r="CM39" s="2">
        <f t="shared" ref="CM39:CM62" si="69">10*LOG10(CJ39)</f>
        <v>125.18101298382321</v>
      </c>
      <c r="CN39" s="2">
        <f t="shared" ref="CN39:CN62" si="70">(10^(-18))*(10^(CM39/10))</f>
        <v>3.2968660199827867E-6</v>
      </c>
      <c r="CR39" s="2">
        <f t="shared" si="60"/>
        <v>1.6824191205609999E-4</v>
      </c>
      <c r="CS39" s="2">
        <f t="shared" si="61"/>
        <v>1.024348434201E-4</v>
      </c>
      <c r="CT39" s="2">
        <f t="shared" si="62"/>
        <v>1.526517083529E-4</v>
      </c>
      <c r="CU39" s="2">
        <f t="shared" si="63"/>
        <v>9.2847003561224992E-5</v>
      </c>
      <c r="CV39" s="2">
        <f t="shared" si="64"/>
        <v>1.2904386684758126E-4</v>
      </c>
      <c r="CW39" s="2">
        <f t="shared" si="65"/>
        <v>55.086773770439954</v>
      </c>
      <c r="DF39" s="9" t="s">
        <v>46</v>
      </c>
      <c r="DG39" s="11">
        <v>23</v>
      </c>
      <c r="DH39" s="10" t="s">
        <v>48</v>
      </c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</row>
    <row r="40" spans="4:155" x14ac:dyDescent="0.25">
      <c r="F40" s="2">
        <f>100*0.23</f>
        <v>23</v>
      </c>
      <c r="J40" s="2">
        <f>J39*(1+$H$39*0.5)</f>
        <v>89.262533206761361</v>
      </c>
      <c r="K40" s="2">
        <f>K39*(1+$H$39*0.5)</f>
        <v>111.57816650845169</v>
      </c>
      <c r="L40" s="2">
        <f>L39*(1+$H$39*0.5)</f>
        <v>139.4727081355646</v>
      </c>
      <c r="M40" s="2">
        <f>M39*(1+$H$39*0.5)</f>
        <v>178.52506641352272</v>
      </c>
      <c r="N40" s="2">
        <f>N39*(1+$H$39*0.5)</f>
        <v>223.15633301690337</v>
      </c>
      <c r="O40" s="2">
        <f t="shared" ref="O40:S40" si="71">O39*(1+$H$39*0.5)</f>
        <v>278.9454162711292</v>
      </c>
      <c r="P40" s="2">
        <f t="shared" si="71"/>
        <v>351.47122450162283</v>
      </c>
      <c r="Q40" s="2">
        <f t="shared" si="71"/>
        <v>446.31266603380675</v>
      </c>
      <c r="R40" s="2">
        <f t="shared" si="71"/>
        <v>557.89083254225841</v>
      </c>
      <c r="S40" s="2">
        <f t="shared" si="71"/>
        <v>702.94244900324566</v>
      </c>
      <c r="T40" s="2">
        <f t="shared" ref="T40" si="72">T39*(1+$H$39*0.5)</f>
        <v>892.6253320676135</v>
      </c>
      <c r="U40" s="2">
        <f t="shared" ref="U40" si="73">U39*(1+$H$39*0.5)</f>
        <v>1115.7816650845168</v>
      </c>
      <c r="V40" s="2">
        <f t="shared" ref="V40" si="74">V39*(1+$H$39*0.5)</f>
        <v>1394.7270813556461</v>
      </c>
      <c r="W40" s="2">
        <f t="shared" ref="W40" si="75">W39*(1+$H$39*0.5)</f>
        <v>1785.250664135227</v>
      </c>
      <c r="X40" s="2">
        <f t="shared" ref="X40" si="76">X39*(1+$H$39*0.5)</f>
        <v>2231.5633301690336</v>
      </c>
      <c r="Y40" s="2">
        <f t="shared" ref="Y40" si="77">Y39*(1+$H$39*0.5)</f>
        <v>2789.4541627112922</v>
      </c>
      <c r="Z40" s="2">
        <f t="shared" ref="Z40" si="78">Z39*(1+$H$39*0.5)</f>
        <v>3514.7122450162283</v>
      </c>
      <c r="AA40" s="2">
        <f>AA39*(1+$H$39*0.5)</f>
        <v>4463.1266603380673</v>
      </c>
      <c r="AB40" s="2">
        <f>AB39*(1+$H$39*0.5)</f>
        <v>5578.9083254225843</v>
      </c>
      <c r="AC40" s="2">
        <f>AC39*(1+$H$39*0.5)</f>
        <v>7029.4244900324566</v>
      </c>
      <c r="AD40" s="2">
        <f>AD39*(1+$H$39*0.5)</f>
        <v>8926.2533206761345</v>
      </c>
      <c r="BN40" s="2">
        <f t="shared" ref="BN40:CG40" si="79">(BN12^2)</f>
        <v>5.6638628946496001E-7</v>
      </c>
      <c r="BO40" s="2">
        <f t="shared" si="79"/>
        <v>4.5425803568889999E-6</v>
      </c>
      <c r="BP40" s="2">
        <f t="shared" si="79"/>
        <v>9.9447829962249997E-6</v>
      </c>
      <c r="BQ40" s="2">
        <f t="shared" si="79"/>
        <v>8.4205128833440008E-6</v>
      </c>
      <c r="BR40" s="2">
        <f t="shared" si="79"/>
        <v>6.5657993173444007E-7</v>
      </c>
      <c r="BS40" s="2">
        <f t="shared" si="79"/>
        <v>6.6212022103929E-7</v>
      </c>
      <c r="BT40" s="2">
        <f t="shared" si="79"/>
        <v>2.2009599890721003E-5</v>
      </c>
      <c r="BU40" s="2">
        <f t="shared" si="79"/>
        <v>2.0641047870564003E-5</v>
      </c>
      <c r="BV40" s="2">
        <f t="shared" si="79"/>
        <v>4.3371602822250002E-6</v>
      </c>
      <c r="BW40" s="2">
        <f t="shared" si="79"/>
        <v>2.8038430830239997E-6</v>
      </c>
      <c r="BX40" s="2">
        <f t="shared" si="79"/>
        <v>9.2753687114009988E-6</v>
      </c>
      <c r="BY40" s="2">
        <f t="shared" si="79"/>
        <v>1.2579783146400999E-7</v>
      </c>
      <c r="BZ40" s="2">
        <f t="shared" si="79"/>
        <v>9.3685247824996002E-7</v>
      </c>
      <c r="CA40" s="2">
        <f t="shared" si="79"/>
        <v>7.2524805998489998E-6</v>
      </c>
      <c r="CB40" s="2">
        <f t="shared" si="79"/>
        <v>5.4677123625959998E-8</v>
      </c>
      <c r="CC40" s="2">
        <f t="shared" si="79"/>
        <v>3.4497391408704E-7</v>
      </c>
      <c r="CD40" s="2">
        <f t="shared" si="79"/>
        <v>3.0523879124964001E-5</v>
      </c>
      <c r="CE40" s="2">
        <f t="shared" si="79"/>
        <v>9.8413524906490006E-8</v>
      </c>
      <c r="CF40" s="2">
        <f t="shared" si="79"/>
        <v>3.3301832559075996E-7</v>
      </c>
      <c r="CG40" s="2">
        <f t="shared" si="79"/>
        <v>1.8827325041289999E-8</v>
      </c>
      <c r="CI40" s="2">
        <f t="shared" si="67"/>
        <v>6.1774451382205102E-6</v>
      </c>
      <c r="CJ40" s="2">
        <f t="shared" si="68"/>
        <v>6177445138220.5098</v>
      </c>
      <c r="CM40" s="2">
        <f t="shared" si="69"/>
        <v>127.90808897129737</v>
      </c>
      <c r="CN40" s="2">
        <f t="shared" si="70"/>
        <v>6.1774451382205271E-6</v>
      </c>
      <c r="CR40" s="2">
        <f t="shared" si="60"/>
        <v>2.2894550280625003E-5</v>
      </c>
      <c r="CS40" s="2">
        <f t="shared" si="61"/>
        <v>3.1450875339663999E-5</v>
      </c>
      <c r="CT40" s="2">
        <f t="shared" si="62"/>
        <v>2.7925612611961001E-5</v>
      </c>
      <c r="CU40" s="2">
        <f t="shared" si="63"/>
        <v>2.7286299929640995E-5</v>
      </c>
      <c r="CV40" s="2">
        <f t="shared" si="64"/>
        <v>2.7389334540472749E-5</v>
      </c>
      <c r="CW40" s="2">
        <f t="shared" si="65"/>
        <v>48.355214893045506</v>
      </c>
      <c r="DF40" s="9" t="s">
        <v>46</v>
      </c>
      <c r="DG40" s="11">
        <f>DG39+273.15</f>
        <v>296.14999999999998</v>
      </c>
      <c r="DH40" s="10" t="s">
        <v>47</v>
      </c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</row>
    <row r="41" spans="4:155" x14ac:dyDescent="0.25">
      <c r="F41" s="2">
        <f>100-F40</f>
        <v>77</v>
      </c>
      <c r="BN41" s="2">
        <f t="shared" ref="BN41:CG41" si="80">(BN13^2)</f>
        <v>3.2046799862440002E-6</v>
      </c>
      <c r="BO41" s="2">
        <f t="shared" si="80"/>
        <v>5.3689014339210001E-6</v>
      </c>
      <c r="BP41" s="2">
        <f t="shared" si="80"/>
        <v>5.1303926113690002E-6</v>
      </c>
      <c r="BQ41" s="2">
        <f t="shared" si="80"/>
        <v>2.5810543123559999E-6</v>
      </c>
      <c r="BR41" s="2">
        <f t="shared" si="80"/>
        <v>2.2814980909008998E-7</v>
      </c>
      <c r="BS41" s="2">
        <f t="shared" si="80"/>
        <v>1.3271478144015999E-7</v>
      </c>
      <c r="BT41" s="2">
        <f t="shared" si="80"/>
        <v>9.1529362459240004E-6</v>
      </c>
      <c r="BU41" s="2">
        <f t="shared" si="80"/>
        <v>1.7326897428480998E-5</v>
      </c>
      <c r="BV41" s="2">
        <f t="shared" si="80"/>
        <v>2.1050411673760002E-6</v>
      </c>
      <c r="BW41" s="2">
        <f t="shared" si="80"/>
        <v>4.4242864643960992E-7</v>
      </c>
      <c r="BX41" s="2">
        <f t="shared" si="80"/>
        <v>6.4998788641960007E-6</v>
      </c>
      <c r="BY41" s="2">
        <f t="shared" si="80"/>
        <v>1.7614993668484001E-7</v>
      </c>
      <c r="BZ41" s="2">
        <f t="shared" si="80"/>
        <v>1.6732787468328998E-7</v>
      </c>
      <c r="CA41" s="2">
        <f t="shared" si="80"/>
        <v>1.6715742303120998E-5</v>
      </c>
      <c r="CB41" s="2">
        <f t="shared" si="80"/>
        <v>1.9624324104225E-7</v>
      </c>
      <c r="CC41" s="2">
        <f t="shared" si="80"/>
        <v>2.4822994423823998E-7</v>
      </c>
      <c r="CD41" s="2">
        <f t="shared" si="80"/>
        <v>2.7735495602499999E-5</v>
      </c>
      <c r="CE41" s="2">
        <f t="shared" si="80"/>
        <v>1.9417189372036003E-7</v>
      </c>
      <c r="CF41" s="2">
        <f t="shared" si="80"/>
        <v>4.4144423592128997E-7</v>
      </c>
      <c r="CG41" s="2">
        <f t="shared" si="80"/>
        <v>2.8478787248704003E-7</v>
      </c>
      <c r="CI41" s="2">
        <f t="shared" si="67"/>
        <v>4.9166334095617591E-6</v>
      </c>
      <c r="CJ41" s="2">
        <f t="shared" si="68"/>
        <v>4916633409561.7588</v>
      </c>
      <c r="CM41" s="2">
        <f t="shared" si="69"/>
        <v>126.91667827948555</v>
      </c>
      <c r="CN41" s="2">
        <f t="shared" si="70"/>
        <v>4.916633409561776E-6</v>
      </c>
      <c r="CR41" s="2">
        <f t="shared" si="60"/>
        <v>3.9212474857959999E-4</v>
      </c>
      <c r="CS41" s="2">
        <f t="shared" si="61"/>
        <v>4.1495767766010005E-4</v>
      </c>
      <c r="CT41" s="2">
        <f t="shared" si="62"/>
        <v>3.8676964893159999E-4</v>
      </c>
      <c r="CU41" s="2">
        <f t="shared" si="63"/>
        <v>4.437864677376E-4</v>
      </c>
      <c r="CV41" s="2">
        <f t="shared" si="64"/>
        <v>4.09409635727225E-4</v>
      </c>
      <c r="CW41" s="2">
        <f t="shared" si="65"/>
        <v>60.100980685273896</v>
      </c>
      <c r="DF41" s="9" t="s">
        <v>51</v>
      </c>
      <c r="DG41" s="11">
        <v>287</v>
      </c>
      <c r="DH41" s="10" t="s">
        <v>50</v>
      </c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</row>
    <row r="42" spans="4:155" x14ac:dyDescent="0.25">
      <c r="J42" s="2">
        <f>J40-K38</f>
        <v>0.84069971521304865</v>
      </c>
      <c r="K42" s="2">
        <f>K40-L38</f>
        <v>1.0508746440163037</v>
      </c>
      <c r="L42" s="2">
        <f t="shared" ref="L42:AA42" si="81">L40-M38</f>
        <v>-2.0022254509126753</v>
      </c>
      <c r="M42" s="2">
        <f t="shared" si="81"/>
        <v>1.6813994304260973</v>
      </c>
      <c r="N42" s="2">
        <f t="shared" si="81"/>
        <v>2.1017492880326074</v>
      </c>
      <c r="O42" s="2">
        <f>O40-P38</f>
        <v>0.41664077275203226</v>
      </c>
      <c r="P42" s="2">
        <f t="shared" si="81"/>
        <v>-2.2161094645704225</v>
      </c>
      <c r="Q42" s="2">
        <f t="shared" si="81"/>
        <v>4.2034985760652148</v>
      </c>
      <c r="R42" s="2">
        <f t="shared" si="81"/>
        <v>0.83328154550406452</v>
      </c>
      <c r="S42" s="2">
        <f t="shared" si="81"/>
        <v>-4.4322189291408449</v>
      </c>
      <c r="T42" s="2">
        <f t="shared" si="81"/>
        <v>8.4069971521304296</v>
      </c>
      <c r="U42" s="2">
        <f t="shared" si="81"/>
        <v>10.508746440162895</v>
      </c>
      <c r="V42" s="2">
        <f t="shared" si="81"/>
        <v>-20.022254509126924</v>
      </c>
      <c r="W42" s="2">
        <f t="shared" si="81"/>
        <v>16.813994304260859</v>
      </c>
      <c r="X42" s="2">
        <f t="shared" si="81"/>
        <v>21.01749288032579</v>
      </c>
      <c r="Y42" s="2">
        <f t="shared" si="81"/>
        <v>4.1664077275204363</v>
      </c>
      <c r="Z42" s="2">
        <f t="shared" si="81"/>
        <v>-22.161094645703997</v>
      </c>
      <c r="AA42" s="2">
        <f t="shared" si="81"/>
        <v>42.03498576065158</v>
      </c>
      <c r="AB42" s="2">
        <f>AB40-AC38</f>
        <v>8.3328154550408726</v>
      </c>
      <c r="BN42" s="2">
        <f t="shared" ref="BN42:CG42" si="82">(BN14^2)</f>
        <v>1.1741190077763999E-5</v>
      </c>
      <c r="BO42" s="2">
        <f t="shared" si="82"/>
        <v>7.0886879266809993E-6</v>
      </c>
      <c r="BP42" s="2">
        <f t="shared" si="82"/>
        <v>1.2650477676000999E-5</v>
      </c>
      <c r="BQ42" s="2">
        <f t="shared" si="82"/>
        <v>3.7971900550439998E-6</v>
      </c>
      <c r="BR42" s="2">
        <f t="shared" si="82"/>
        <v>8.4371297598224992E-7</v>
      </c>
      <c r="BS42" s="2">
        <f t="shared" si="82"/>
        <v>1.6848221720489997E-6</v>
      </c>
      <c r="BT42" s="2">
        <f t="shared" si="82"/>
        <v>4.1214724798809999E-6</v>
      </c>
      <c r="BU42" s="2">
        <f t="shared" si="82"/>
        <v>1.4830416656783999E-5</v>
      </c>
      <c r="BV42" s="2">
        <f t="shared" si="82"/>
        <v>1.0629595213636001E-5</v>
      </c>
      <c r="BW42" s="2">
        <f t="shared" si="82"/>
        <v>1.7641789941760001E-6</v>
      </c>
      <c r="BX42" s="2">
        <f t="shared" si="82"/>
        <v>6.111580009921E-6</v>
      </c>
      <c r="BY42" s="2">
        <f t="shared" si="82"/>
        <v>1.6635969380249999E-6</v>
      </c>
      <c r="BZ42" s="2">
        <f t="shared" si="82"/>
        <v>9.7240208492024999E-7</v>
      </c>
      <c r="CA42" s="2">
        <f t="shared" si="82"/>
        <v>2.3115537011044006E-5</v>
      </c>
      <c r="CB42" s="2">
        <f t="shared" si="82"/>
        <v>4.2883860724929005E-7</v>
      </c>
      <c r="CC42" s="2">
        <f t="shared" si="82"/>
        <v>2.3601825465241001E-7</v>
      </c>
      <c r="CD42" s="2">
        <f t="shared" si="82"/>
        <v>6.9673614597759987E-6</v>
      </c>
      <c r="CE42" s="2">
        <f t="shared" si="82"/>
        <v>1.6164556947289001E-7</v>
      </c>
      <c r="CF42" s="2">
        <f t="shared" si="82"/>
        <v>4.0137838542490003E-6</v>
      </c>
      <c r="CG42" s="2">
        <f t="shared" si="82"/>
        <v>6.6761858248848997E-7</v>
      </c>
      <c r="CI42" s="2">
        <f t="shared" si="67"/>
        <v>5.6745063299898292E-6</v>
      </c>
      <c r="CJ42" s="2">
        <f t="shared" si="68"/>
        <v>5674506329989.8291</v>
      </c>
      <c r="CM42" s="2">
        <f t="shared" si="69"/>
        <v>127.53928084810161</v>
      </c>
      <c r="CN42" s="2">
        <f t="shared" si="70"/>
        <v>5.6745063299898334E-6</v>
      </c>
      <c r="CR42" s="2">
        <f t="shared" si="60"/>
        <v>4.858435922596E-4</v>
      </c>
      <c r="CS42" s="2">
        <f t="shared" si="61"/>
        <v>6.665763530596E-4</v>
      </c>
      <c r="CT42" s="2">
        <f t="shared" si="62"/>
        <v>4.9398796370560001E-4</v>
      </c>
      <c r="CU42" s="2">
        <f t="shared" si="63"/>
        <v>6.4942100438760005E-4</v>
      </c>
      <c r="CV42" s="2">
        <f t="shared" si="64"/>
        <v>5.7395722835310004E-4</v>
      </c>
      <c r="CW42" s="2">
        <f t="shared" si="65"/>
        <v>61.568195383830044</v>
      </c>
      <c r="DF42" s="9" t="s">
        <v>56</v>
      </c>
      <c r="DG42" s="18">
        <f>DG38/(DG41*DG40)</f>
        <v>1.1921282474685293</v>
      </c>
      <c r="DH42" s="10" t="s">
        <v>53</v>
      </c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</row>
    <row r="43" spans="4:155" ht="15.75" thickBot="1" x14ac:dyDescent="0.3">
      <c r="BN43" s="2">
        <f t="shared" ref="BN43:CG43" si="83">(BN15^2)</f>
        <v>1.7851393958281002E-5</v>
      </c>
      <c r="BO43" s="2">
        <f t="shared" si="83"/>
        <v>1.6559837306884002E-5</v>
      </c>
      <c r="BP43" s="2">
        <f t="shared" si="83"/>
        <v>4.5014920755839989E-6</v>
      </c>
      <c r="BQ43" s="2">
        <f t="shared" si="83"/>
        <v>1.1372670330920999E-5</v>
      </c>
      <c r="BR43" s="2">
        <f t="shared" si="83"/>
        <v>4.3835323680625E-7</v>
      </c>
      <c r="BS43" s="2">
        <f t="shared" si="83"/>
        <v>5.3353324400896008E-7</v>
      </c>
      <c r="BT43" s="2">
        <f t="shared" si="83"/>
        <v>4.0920406372835997E-5</v>
      </c>
      <c r="BU43" s="2">
        <f t="shared" si="83"/>
        <v>9.4165023514239994E-6</v>
      </c>
      <c r="BV43" s="2">
        <f t="shared" si="83"/>
        <v>6.0211197172090012E-6</v>
      </c>
      <c r="BW43" s="2">
        <f t="shared" si="83"/>
        <v>2.651904770089E-6</v>
      </c>
      <c r="BX43" s="2">
        <f t="shared" si="83"/>
        <v>3.6607781158559997E-6</v>
      </c>
      <c r="BY43" s="2">
        <f t="shared" si="83"/>
        <v>8.2996891929168999E-7</v>
      </c>
      <c r="BZ43" s="2">
        <f t="shared" si="83"/>
        <v>4.0588589449210005E-6</v>
      </c>
      <c r="CA43" s="2">
        <f t="shared" si="83"/>
        <v>2.4317788728249001E-5</v>
      </c>
      <c r="CB43" s="2">
        <f t="shared" si="83"/>
        <v>8.7400584973584003E-7</v>
      </c>
      <c r="CC43" s="2">
        <f t="shared" si="83"/>
        <v>1.7675223883240002E-6</v>
      </c>
      <c r="CD43" s="2">
        <f t="shared" si="83"/>
        <v>8.2143343163559993E-6</v>
      </c>
      <c r="CE43" s="2">
        <f t="shared" si="83"/>
        <v>7.9311029394276E-7</v>
      </c>
      <c r="CF43" s="2">
        <f t="shared" si="83"/>
        <v>1.3183724256160002E-6</v>
      </c>
      <c r="CG43" s="2">
        <f t="shared" si="83"/>
        <v>1.1426327235999999E-6</v>
      </c>
      <c r="CI43" s="2">
        <f t="shared" si="67"/>
        <v>7.8622293034967738E-6</v>
      </c>
      <c r="CJ43" s="2">
        <f t="shared" si="68"/>
        <v>7862229303496.7734</v>
      </c>
      <c r="CM43" s="2">
        <f t="shared" si="69"/>
        <v>128.95545705954575</v>
      </c>
      <c r="CN43" s="2">
        <f t="shared" si="70"/>
        <v>7.8622293034967924E-6</v>
      </c>
      <c r="CR43" s="2">
        <f t="shared" si="60"/>
        <v>2.7345682444090004E-4</v>
      </c>
      <c r="CS43" s="2">
        <f t="shared" si="61"/>
        <v>3.4168894012890001E-4</v>
      </c>
      <c r="CT43" s="2">
        <f t="shared" si="62"/>
        <v>2.841031607296E-4</v>
      </c>
      <c r="CU43" s="2">
        <f t="shared" si="63"/>
        <v>2.7689692164840001E-4</v>
      </c>
      <c r="CV43" s="2">
        <f t="shared" si="64"/>
        <v>2.9403646173695001E-4</v>
      </c>
      <c r="CW43" s="2">
        <f t="shared" si="65"/>
        <v>58.663411967348971</v>
      </c>
      <c r="DF43" s="15" t="s">
        <v>55</v>
      </c>
      <c r="DG43" s="14">
        <f>(1.4*DG41*DG40)^(1/2)</f>
        <v>344.95372153377326</v>
      </c>
      <c r="DH43" s="12" t="s">
        <v>54</v>
      </c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</row>
    <row r="44" spans="4:155" x14ac:dyDescent="0.25">
      <c r="BN44" s="2">
        <f t="shared" ref="BN44:CG44" si="84">(BN16^2)</f>
        <v>2.3023692307360002E-6</v>
      </c>
      <c r="BO44" s="2">
        <f t="shared" si="84"/>
        <v>3.007179110884E-6</v>
      </c>
      <c r="BP44" s="2">
        <f t="shared" si="84"/>
        <v>4.521866155023999E-6</v>
      </c>
      <c r="BQ44" s="2">
        <f t="shared" si="84"/>
        <v>4.683095090116001E-6</v>
      </c>
      <c r="BR44" s="2">
        <f t="shared" si="84"/>
        <v>2.6953032440161005E-7</v>
      </c>
      <c r="BS44" s="2">
        <f t="shared" si="84"/>
        <v>4.0003651624336002E-7</v>
      </c>
      <c r="BT44" s="2">
        <f t="shared" si="84"/>
        <v>5.1952631933439994E-6</v>
      </c>
      <c r="BU44" s="2">
        <f t="shared" si="84"/>
        <v>1.5425193410064002E-5</v>
      </c>
      <c r="BV44" s="2">
        <f t="shared" si="84"/>
        <v>3.8079463488159998E-6</v>
      </c>
      <c r="BW44" s="2">
        <f t="shared" si="84"/>
        <v>1.1272329490040999E-5</v>
      </c>
      <c r="BX44" s="2">
        <f t="shared" si="84"/>
        <v>3.3807588518559999E-6</v>
      </c>
      <c r="BY44" s="2">
        <f t="shared" si="84"/>
        <v>1.2412374534400002E-7</v>
      </c>
      <c r="BZ44" s="2">
        <f t="shared" si="84"/>
        <v>7.0626308370916006E-7</v>
      </c>
      <c r="CA44" s="2">
        <f t="shared" si="84"/>
        <v>3.7264810369081003E-5</v>
      </c>
      <c r="CB44" s="2">
        <f t="shared" si="84"/>
        <v>1.0681532552250001E-6</v>
      </c>
      <c r="CC44" s="2">
        <f t="shared" si="84"/>
        <v>6.7270228596648996E-7</v>
      </c>
      <c r="CD44" s="2">
        <f t="shared" si="84"/>
        <v>4.4355982393960002E-6</v>
      </c>
      <c r="CE44" s="2">
        <f t="shared" si="84"/>
        <v>1.1247663024999999E-6</v>
      </c>
      <c r="CF44" s="2">
        <f t="shared" si="84"/>
        <v>1.7361119234559999E-6</v>
      </c>
      <c r="CG44" s="2">
        <f t="shared" si="84"/>
        <v>6.8407617852250008E-8</v>
      </c>
      <c r="CI44" s="2">
        <f t="shared" si="67"/>
        <v>5.0733252272027927E-6</v>
      </c>
      <c r="CJ44" s="2">
        <f t="shared" si="68"/>
        <v>5073325227202.792</v>
      </c>
      <c r="CM44" s="2">
        <f t="shared" si="69"/>
        <v>127.05292703802164</v>
      </c>
      <c r="CN44" s="2">
        <f t="shared" si="70"/>
        <v>5.0733252272028063E-6</v>
      </c>
      <c r="CR44" s="2">
        <f t="shared" si="60"/>
        <v>6.3770996852640011E-4</v>
      </c>
      <c r="CS44" s="2">
        <f t="shared" si="61"/>
        <v>6.1855072366239991E-4</v>
      </c>
      <c r="CT44" s="2">
        <f t="shared" si="62"/>
        <v>6.5496684298240013E-4</v>
      </c>
      <c r="CU44" s="2">
        <f t="shared" si="63"/>
        <v>6.5047543953639997E-4</v>
      </c>
      <c r="CV44" s="2">
        <f t="shared" si="64"/>
        <v>6.4042574367690003E-4</v>
      </c>
      <c r="CW44" s="2">
        <f t="shared" si="65"/>
        <v>62.044087899332069</v>
      </c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</row>
    <row r="45" spans="4:155" x14ac:dyDescent="0.25">
      <c r="BN45" s="2">
        <f t="shared" ref="BN45:CG45" si="85">(BN17^2)</f>
        <v>6.0204523029210011E-6</v>
      </c>
      <c r="BO45" s="2">
        <f t="shared" si="85"/>
        <v>7.6977170745760001E-6</v>
      </c>
      <c r="BP45" s="2">
        <f t="shared" si="85"/>
        <v>1.4916040412641001E-5</v>
      </c>
      <c r="BQ45" s="2">
        <f t="shared" si="85"/>
        <v>9.962595824164001E-6</v>
      </c>
      <c r="BR45" s="2">
        <f t="shared" si="85"/>
        <v>3.3060464531329004E-7</v>
      </c>
      <c r="BS45" s="2">
        <f t="shared" si="85"/>
        <v>2.5104769537155997E-7</v>
      </c>
      <c r="BT45" s="2">
        <f t="shared" si="85"/>
        <v>1.3165155937924E-5</v>
      </c>
      <c r="BU45" s="2">
        <f t="shared" si="85"/>
        <v>6.4548922599039999E-6</v>
      </c>
      <c r="BV45" s="2">
        <f t="shared" si="85"/>
        <v>1.0894270618609E-5</v>
      </c>
      <c r="BW45" s="2">
        <f t="shared" si="85"/>
        <v>4.9751525550249995E-6</v>
      </c>
      <c r="BX45" s="2">
        <f t="shared" si="85"/>
        <v>3.0593368172159995E-6</v>
      </c>
      <c r="BY45" s="2">
        <f t="shared" si="85"/>
        <v>5.3475946925625E-7</v>
      </c>
      <c r="BZ45" s="2">
        <f t="shared" si="85"/>
        <v>1.5603457430439997E-6</v>
      </c>
      <c r="CA45" s="2">
        <f t="shared" si="85"/>
        <v>2.4818490657856001E-5</v>
      </c>
      <c r="CB45" s="2">
        <f t="shared" si="85"/>
        <v>7.8980990765624998E-7</v>
      </c>
      <c r="CC45" s="2">
        <f t="shared" si="85"/>
        <v>1.2790795692959998E-6</v>
      </c>
      <c r="CD45" s="2">
        <f t="shared" si="85"/>
        <v>2.5298111294440002E-6</v>
      </c>
      <c r="CE45" s="2">
        <f t="shared" si="85"/>
        <v>5.8880929438880996E-7</v>
      </c>
      <c r="CF45" s="2">
        <f t="shared" si="85"/>
        <v>1.6862424909159999E-6</v>
      </c>
      <c r="CG45" s="2">
        <f t="shared" si="85"/>
        <v>2.9240018019215997E-7</v>
      </c>
      <c r="CI45" s="2">
        <f t="shared" si="67"/>
        <v>5.5903507292857154E-6</v>
      </c>
      <c r="CJ45" s="2">
        <f t="shared" si="68"/>
        <v>5590350729285.7148</v>
      </c>
      <c r="CM45" s="2">
        <f t="shared" si="69"/>
        <v>127.47439055653004</v>
      </c>
      <c r="CN45" s="2">
        <f t="shared" si="70"/>
        <v>5.5903507292857408E-6</v>
      </c>
      <c r="CR45" s="2">
        <f t="shared" si="60"/>
        <v>3.0927689251290005E-4</v>
      </c>
      <c r="CS45" s="2">
        <f t="shared" si="61"/>
        <v>3.5967577661439996E-4</v>
      </c>
      <c r="CT45" s="2">
        <f t="shared" si="62"/>
        <v>3.2149529948410005E-4</v>
      </c>
      <c r="CU45" s="2">
        <f t="shared" si="63"/>
        <v>3.2248760904359994E-4</v>
      </c>
      <c r="CV45" s="2">
        <f t="shared" si="64"/>
        <v>3.2823389441375003E-4</v>
      </c>
      <c r="CW45" s="2">
        <f t="shared" si="65"/>
        <v>59.141234342520278</v>
      </c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</row>
    <row r="46" spans="4:155" x14ac:dyDescent="0.25">
      <c r="BN46" s="2">
        <f t="shared" ref="BN46:CG46" si="86">(BN18^2)</f>
        <v>7.5802919522889997E-6</v>
      </c>
      <c r="BO46" s="2">
        <f t="shared" si="86"/>
        <v>5.0595844199040003E-6</v>
      </c>
      <c r="BP46" s="2">
        <f t="shared" si="86"/>
        <v>1.1644774053136001E-5</v>
      </c>
      <c r="BQ46" s="2">
        <f t="shared" si="86"/>
        <v>1.1394803633160999E-5</v>
      </c>
      <c r="BR46" s="2">
        <f t="shared" si="86"/>
        <v>5.0536644041568998E-7</v>
      </c>
      <c r="BS46" s="2">
        <f t="shared" si="86"/>
        <v>5.2850893499043998E-7</v>
      </c>
      <c r="BT46" s="2">
        <f t="shared" si="86"/>
        <v>1.4451341426064E-5</v>
      </c>
      <c r="BU46" s="2">
        <f t="shared" si="86"/>
        <v>6.8505000837159998E-6</v>
      </c>
      <c r="BV46" s="2">
        <f t="shared" si="86"/>
        <v>7.2886716605160001E-6</v>
      </c>
      <c r="BW46" s="2">
        <f t="shared" si="86"/>
        <v>1.7847971798596002E-5</v>
      </c>
      <c r="BX46" s="2">
        <f t="shared" si="86"/>
        <v>2.8489659005440003E-6</v>
      </c>
      <c r="BY46" s="2">
        <f t="shared" si="86"/>
        <v>1.695107653369E-6</v>
      </c>
      <c r="BZ46" s="2">
        <f t="shared" si="86"/>
        <v>7.2175270333608994E-7</v>
      </c>
      <c r="CA46" s="2">
        <f t="shared" si="86"/>
        <v>3.1575779508289008E-5</v>
      </c>
      <c r="CB46" s="2">
        <f t="shared" si="86"/>
        <v>1.2197722514889999E-6</v>
      </c>
      <c r="CC46" s="2">
        <f t="shared" si="86"/>
        <v>1.1555003033639998E-6</v>
      </c>
      <c r="CD46" s="2">
        <f t="shared" si="86"/>
        <v>2.2637700038890004E-6</v>
      </c>
      <c r="CE46" s="2">
        <f t="shared" si="86"/>
        <v>1.1898337320250002E-6</v>
      </c>
      <c r="CF46" s="2">
        <f t="shared" si="86"/>
        <v>2.4390630624999999E-6</v>
      </c>
      <c r="CG46" s="2">
        <f t="shared" si="86"/>
        <v>4.2460302048649006E-7</v>
      </c>
      <c r="CI46" s="2">
        <f t="shared" si="67"/>
        <v>6.434298127103986E-6</v>
      </c>
      <c r="CJ46" s="2">
        <f t="shared" si="68"/>
        <v>6434298127103.9854</v>
      </c>
      <c r="CM46" s="2">
        <f t="shared" si="69"/>
        <v>128.08501179655255</v>
      </c>
      <c r="CN46" s="2">
        <f t="shared" si="70"/>
        <v>6.4342981271040377E-6</v>
      </c>
      <c r="CR46" s="2">
        <f t="shared" si="60"/>
        <v>6.3329484062249995E-4</v>
      </c>
      <c r="CS46" s="2">
        <f t="shared" si="61"/>
        <v>6.7160277408999998E-4</v>
      </c>
      <c r="CT46" s="2">
        <f t="shared" si="62"/>
        <v>6.7914705420249997E-4</v>
      </c>
      <c r="CU46" s="2">
        <f t="shared" si="63"/>
        <v>6.8592919506250006E-4</v>
      </c>
      <c r="CV46" s="2">
        <f t="shared" si="64"/>
        <v>6.6749346599437494E-4</v>
      </c>
      <c r="CW46" s="2">
        <f t="shared" si="65"/>
        <v>62.223870274779742</v>
      </c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</row>
    <row r="47" spans="4:155" x14ac:dyDescent="0.25">
      <c r="BN47" s="2">
        <f t="shared" ref="BN47:CG47" si="87">(BN19^2)</f>
        <v>2.0408151020410002E-6</v>
      </c>
      <c r="BO47" s="2">
        <f t="shared" si="87"/>
        <v>2.5685062543360003E-6</v>
      </c>
      <c r="BP47" s="2">
        <f t="shared" si="87"/>
        <v>1.2632799690225E-5</v>
      </c>
      <c r="BQ47" s="2">
        <f t="shared" si="87"/>
        <v>1.518459778564E-6</v>
      </c>
      <c r="BR47" s="2">
        <f t="shared" si="87"/>
        <v>9.0017684695224995E-7</v>
      </c>
      <c r="BS47" s="2">
        <f t="shared" si="87"/>
        <v>1.0150864752250001E-6</v>
      </c>
      <c r="BT47" s="2">
        <f t="shared" si="87"/>
        <v>5.4870438931359996E-6</v>
      </c>
      <c r="BU47" s="2">
        <f t="shared" si="87"/>
        <v>7.1735962194490005E-6</v>
      </c>
      <c r="BV47" s="2">
        <f t="shared" si="87"/>
        <v>4.7633848203239998E-6</v>
      </c>
      <c r="BW47" s="2">
        <f t="shared" si="87"/>
        <v>9.6475776630249999E-6</v>
      </c>
      <c r="BX47" s="2">
        <f t="shared" si="87"/>
        <v>2.1996034072360002E-6</v>
      </c>
      <c r="BY47" s="2">
        <f t="shared" si="87"/>
        <v>1.4337595756090001E-6</v>
      </c>
      <c r="BZ47" s="2">
        <f t="shared" si="87"/>
        <v>4.8875521156608994E-7</v>
      </c>
      <c r="CA47" s="2">
        <f t="shared" si="87"/>
        <v>2.6187731586025004E-5</v>
      </c>
      <c r="CB47" s="2">
        <f t="shared" si="87"/>
        <v>1.0488565947690002E-6</v>
      </c>
      <c r="CC47" s="2">
        <f t="shared" si="87"/>
        <v>5.3976381247044E-7</v>
      </c>
      <c r="CD47" s="2">
        <f t="shared" si="87"/>
        <v>2.970800407201E-6</v>
      </c>
      <c r="CE47" s="2">
        <f t="shared" si="87"/>
        <v>7.0422189754849003E-7</v>
      </c>
      <c r="CF47" s="2">
        <f t="shared" si="87"/>
        <v>1.8398508009210003E-6</v>
      </c>
      <c r="CG47" s="2">
        <f t="shared" si="87"/>
        <v>1.016049888049E-6</v>
      </c>
      <c r="CI47" s="2">
        <f t="shared" si="67"/>
        <v>4.3088419962336138E-6</v>
      </c>
      <c r="CJ47" s="2">
        <f t="shared" si="68"/>
        <v>4308841996233.6133</v>
      </c>
      <c r="CM47" s="2">
        <f t="shared" si="69"/>
        <v>126.34360568949823</v>
      </c>
      <c r="CN47" s="2">
        <f t="shared" si="70"/>
        <v>4.3088419962336198E-6</v>
      </c>
      <c r="CR47" s="2">
        <f t="shared" si="60"/>
        <v>3.8595863638889996E-4</v>
      </c>
      <c r="CS47" s="2">
        <f t="shared" si="61"/>
        <v>3.8942404646890005E-4</v>
      </c>
      <c r="CT47" s="2">
        <f t="shared" si="62"/>
        <v>3.9673747979289994E-4</v>
      </c>
      <c r="CU47" s="2">
        <f t="shared" si="63"/>
        <v>3.6735127228809992E-4</v>
      </c>
      <c r="CV47" s="2">
        <f t="shared" si="64"/>
        <v>3.8486785873469999E-4</v>
      </c>
      <c r="CW47" s="2">
        <f t="shared" si="65"/>
        <v>59.832516522763434</v>
      </c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</row>
    <row r="48" spans="4:155" x14ac:dyDescent="0.25">
      <c r="BN48" s="2">
        <f t="shared" ref="BN48:CG48" si="88">(BN20^2)</f>
        <v>2.7219786249640005E-6</v>
      </c>
      <c r="BO48" s="2">
        <f t="shared" si="88"/>
        <v>2.5672691529000003E-6</v>
      </c>
      <c r="BP48" s="2">
        <f t="shared" si="88"/>
        <v>6.9034356987210007E-6</v>
      </c>
      <c r="BQ48" s="2">
        <f t="shared" si="88"/>
        <v>7.044072005260901E-7</v>
      </c>
      <c r="BR48" s="2">
        <f t="shared" si="88"/>
        <v>7.1210645049600008E-7</v>
      </c>
      <c r="BS48" s="2">
        <f t="shared" si="88"/>
        <v>1.0832459056809997E-6</v>
      </c>
      <c r="BT48" s="2">
        <f t="shared" si="88"/>
        <v>3.6313761506890005E-6</v>
      </c>
      <c r="BU48" s="2">
        <f t="shared" si="88"/>
        <v>1.5985379348890002E-6</v>
      </c>
      <c r="BV48" s="2">
        <f t="shared" si="88"/>
        <v>8.6748215430250004E-6</v>
      </c>
      <c r="BW48" s="2">
        <f t="shared" si="88"/>
        <v>2.4410031416409997E-6</v>
      </c>
      <c r="BX48" s="2">
        <f t="shared" si="88"/>
        <v>1.0773754930890003E-6</v>
      </c>
      <c r="BY48" s="2">
        <f t="shared" si="88"/>
        <v>1.1058520440249999E-6</v>
      </c>
      <c r="BZ48" s="2">
        <f t="shared" si="88"/>
        <v>8.7943170351204001E-7</v>
      </c>
      <c r="CA48" s="2">
        <f t="shared" si="88"/>
        <v>2.2953891804483998E-5</v>
      </c>
      <c r="CB48" s="2">
        <f t="shared" si="88"/>
        <v>5.927252228822499E-7</v>
      </c>
      <c r="CC48" s="2">
        <f t="shared" si="88"/>
        <v>4.1624974834563992E-7</v>
      </c>
      <c r="CD48" s="2">
        <f t="shared" si="88"/>
        <v>3.3084335881000001E-6</v>
      </c>
      <c r="CE48" s="2">
        <f t="shared" si="88"/>
        <v>5.1233456640025004E-7</v>
      </c>
      <c r="CF48" s="2">
        <f t="shared" si="88"/>
        <v>5.7962047584960991E-7</v>
      </c>
      <c r="CG48" s="2">
        <f t="shared" si="88"/>
        <v>7.1923561562176004E-7</v>
      </c>
      <c r="CI48" s="2">
        <f t="shared" si="67"/>
        <v>3.1591666032920814E-6</v>
      </c>
      <c r="CJ48" s="2">
        <f t="shared" si="68"/>
        <v>3159166603292.0811</v>
      </c>
      <c r="CM48" s="2">
        <f t="shared" si="69"/>
        <v>124.99572529666628</v>
      </c>
      <c r="CN48" s="2">
        <f t="shared" si="70"/>
        <v>3.1591666032920788E-6</v>
      </c>
      <c r="CR48" s="2">
        <f t="shared" si="60"/>
        <v>5.1964986538889993E-4</v>
      </c>
      <c r="CS48" s="2">
        <f t="shared" si="61"/>
        <v>5.5484367821439996E-4</v>
      </c>
      <c r="CT48" s="2">
        <f t="shared" si="62"/>
        <v>5.4053878526010002E-4</v>
      </c>
      <c r="CU48" s="2">
        <f t="shared" si="63"/>
        <v>5.2876864530090005E-4</v>
      </c>
      <c r="CV48" s="2">
        <f t="shared" si="64"/>
        <v>5.3595024354107499E-4</v>
      </c>
      <c r="CW48" s="2">
        <f t="shared" si="65"/>
        <v>61.270644812778983</v>
      </c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</row>
    <row r="49" spans="66:155" x14ac:dyDescent="0.25">
      <c r="BN49" s="2">
        <f t="shared" ref="BN49:CG49" si="89">(BN21^2)</f>
        <v>2.183733240516E-6</v>
      </c>
      <c r="BO49" s="2">
        <f t="shared" si="89"/>
        <v>2.716879703616E-6</v>
      </c>
      <c r="BP49" s="2">
        <f t="shared" si="89"/>
        <v>4.8088718113959991E-6</v>
      </c>
      <c r="BQ49" s="2">
        <f t="shared" si="89"/>
        <v>4.7455790492249995E-6</v>
      </c>
      <c r="BR49" s="2">
        <f t="shared" si="89"/>
        <v>9.902785422307601E-7</v>
      </c>
      <c r="BS49" s="2">
        <f t="shared" si="89"/>
        <v>2.4974096713281003E-7</v>
      </c>
      <c r="BT49" s="2">
        <f t="shared" si="89"/>
        <v>3.3997643840249998E-6</v>
      </c>
      <c r="BU49" s="2">
        <f t="shared" si="89"/>
        <v>3.6848948736639997E-6</v>
      </c>
      <c r="BV49" s="2">
        <f t="shared" si="89"/>
        <v>2.2996206024999997E-6</v>
      </c>
      <c r="BW49" s="2">
        <f t="shared" si="89"/>
        <v>2.3732141945759998E-6</v>
      </c>
      <c r="BX49" s="2">
        <f t="shared" si="89"/>
        <v>1.5304733171289998E-6</v>
      </c>
      <c r="BY49" s="2">
        <f t="shared" si="89"/>
        <v>1.3405937833744002E-7</v>
      </c>
      <c r="BZ49" s="2">
        <f t="shared" si="89"/>
        <v>9.0949257239824004E-7</v>
      </c>
      <c r="CA49" s="2">
        <f t="shared" si="89"/>
        <v>1.9375191779075998E-5</v>
      </c>
      <c r="CB49" s="2">
        <f t="shared" si="89"/>
        <v>8.0043279849481003E-7</v>
      </c>
      <c r="CC49" s="2">
        <f t="shared" si="89"/>
        <v>1.0112132592809999E-6</v>
      </c>
      <c r="CD49" s="2">
        <f t="shared" si="89"/>
        <v>2.6920441550250002E-6</v>
      </c>
      <c r="CE49" s="2">
        <f t="shared" si="89"/>
        <v>2.4825531745440005E-6</v>
      </c>
      <c r="CF49" s="2">
        <f t="shared" si="89"/>
        <v>1.3100084371359998E-6</v>
      </c>
      <c r="CG49" s="2">
        <f t="shared" si="89"/>
        <v>5.7314241760688999E-7</v>
      </c>
      <c r="CI49" s="2">
        <f t="shared" si="67"/>
        <v>2.9135594328954969E-6</v>
      </c>
      <c r="CJ49" s="2">
        <f t="shared" si="68"/>
        <v>2913559432895.4966</v>
      </c>
      <c r="CM49" s="2">
        <f t="shared" si="69"/>
        <v>124.64423881569913</v>
      </c>
      <c r="CN49" s="2">
        <f t="shared" si="70"/>
        <v>2.9135594328955046E-6</v>
      </c>
      <c r="CR49" s="2">
        <f t="shared" si="60"/>
        <v>4.3104237363359994E-4</v>
      </c>
      <c r="CS49" s="2">
        <f t="shared" si="61"/>
        <v>4.4412021970560006E-4</v>
      </c>
      <c r="CT49" s="2">
        <f t="shared" si="62"/>
        <v>4.5261839152890008E-4</v>
      </c>
      <c r="CU49" s="2">
        <f t="shared" si="63"/>
        <v>4.3824910335999996E-4</v>
      </c>
      <c r="CV49" s="2">
        <f t="shared" si="64"/>
        <v>4.41507522057025E-4</v>
      </c>
      <c r="CW49" s="2">
        <f t="shared" si="65"/>
        <v>60.428781158155907</v>
      </c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</row>
    <row r="50" spans="66:155" x14ac:dyDescent="0.25">
      <c r="BN50" s="2">
        <f t="shared" ref="BN50:CG50" si="90">(BN22^2)</f>
        <v>3.8684195394244002E-7</v>
      </c>
      <c r="BO50" s="2">
        <f t="shared" si="90"/>
        <v>9.696220766972098E-7</v>
      </c>
      <c r="BP50" s="2">
        <f t="shared" si="90"/>
        <v>4.1345813566889994E-6</v>
      </c>
      <c r="BQ50" s="2">
        <f t="shared" si="90"/>
        <v>9.8660535705601012E-7</v>
      </c>
      <c r="BR50" s="2">
        <f t="shared" si="90"/>
        <v>7.0540093404224995E-7</v>
      </c>
      <c r="BS50" s="2">
        <f t="shared" si="90"/>
        <v>3.1735184293201002E-7</v>
      </c>
      <c r="BT50" s="2">
        <f t="shared" si="90"/>
        <v>2.6212775692959995E-6</v>
      </c>
      <c r="BU50" s="2">
        <f t="shared" si="90"/>
        <v>3.2021241447039997E-6</v>
      </c>
      <c r="BV50" s="2">
        <f t="shared" si="90"/>
        <v>1.6704554365209999E-6</v>
      </c>
      <c r="BW50" s="2">
        <f t="shared" si="90"/>
        <v>1.1218876928640001E-6</v>
      </c>
      <c r="BX50" s="2">
        <f t="shared" si="90"/>
        <v>5.5698264618129E-7</v>
      </c>
      <c r="BY50" s="2">
        <f t="shared" si="90"/>
        <v>3.6060037010001003E-7</v>
      </c>
      <c r="BZ50" s="2">
        <f t="shared" si="90"/>
        <v>4.7790923957604007E-7</v>
      </c>
      <c r="CA50" s="2">
        <f t="shared" si="90"/>
        <v>1.5632044172643999E-5</v>
      </c>
      <c r="CB50" s="2">
        <f t="shared" si="90"/>
        <v>4.6361704777249002E-7</v>
      </c>
      <c r="CC50" s="2">
        <f t="shared" si="90"/>
        <v>1.0777678803359998E-6</v>
      </c>
      <c r="CD50" s="2">
        <f t="shared" si="90"/>
        <v>5.8953465309455996E-7</v>
      </c>
      <c r="CE50" s="2">
        <f t="shared" si="90"/>
        <v>4.6182109330564002E-7</v>
      </c>
      <c r="CF50" s="2">
        <f t="shared" si="90"/>
        <v>5.5945388512225005E-7</v>
      </c>
      <c r="CG50" s="2">
        <f t="shared" si="90"/>
        <v>2.9552422653796001E-7</v>
      </c>
      <c r="CI50" s="2">
        <f t="shared" si="67"/>
        <v>1.8295701789707076E-6</v>
      </c>
      <c r="CJ50" s="2">
        <f t="shared" si="68"/>
        <v>1829570178970.7075</v>
      </c>
      <c r="CM50" s="2">
        <f t="shared" si="69"/>
        <v>122.62349072885306</v>
      </c>
      <c r="CN50" s="2">
        <f t="shared" si="70"/>
        <v>1.829570178970717E-6</v>
      </c>
      <c r="CR50" s="2">
        <f t="shared" si="60"/>
        <v>2.6414018071209996E-4</v>
      </c>
      <c r="CS50" s="2">
        <f t="shared" si="61"/>
        <v>2.6087030619039998E-4</v>
      </c>
      <c r="CT50" s="2">
        <f t="shared" si="62"/>
        <v>2.6108387244809999E-4</v>
      </c>
      <c r="CU50" s="2">
        <f t="shared" si="63"/>
        <v>2.6616682574439997E-4</v>
      </c>
      <c r="CV50" s="2">
        <f t="shared" si="64"/>
        <v>2.6306529627374993E-4</v>
      </c>
      <c r="CW50" s="2">
        <f t="shared" si="65"/>
        <v>58.18003568156837</v>
      </c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</row>
    <row r="51" spans="66:155" x14ac:dyDescent="0.25">
      <c r="BN51" s="2">
        <f t="shared" ref="BN51:CG51" si="91">(BN23^2)</f>
        <v>1.0106321112040001E-6</v>
      </c>
      <c r="BO51" s="2">
        <f t="shared" si="91"/>
        <v>6.9143515606563998E-7</v>
      </c>
      <c r="BP51" s="2">
        <f t="shared" si="91"/>
        <v>1.2464561367039998E-6</v>
      </c>
      <c r="BQ51" s="2">
        <f t="shared" si="91"/>
        <v>5.7559079032900008E-7</v>
      </c>
      <c r="BR51" s="2">
        <f t="shared" si="91"/>
        <v>4.3426228460164004E-7</v>
      </c>
      <c r="BS51" s="2">
        <f t="shared" si="91"/>
        <v>2.8390738263615995E-7</v>
      </c>
      <c r="BT51" s="2">
        <f t="shared" si="91"/>
        <v>1.4142679929000003E-6</v>
      </c>
      <c r="BU51" s="2">
        <f t="shared" si="91"/>
        <v>8.1367309466688996E-7</v>
      </c>
      <c r="BV51" s="2">
        <f t="shared" si="91"/>
        <v>1.1434345692249998E-6</v>
      </c>
      <c r="BW51" s="2">
        <f t="shared" si="91"/>
        <v>1.1033275552360001E-6</v>
      </c>
      <c r="BX51" s="2">
        <f t="shared" si="91"/>
        <v>4.1232823995841E-7</v>
      </c>
      <c r="BY51" s="2">
        <f t="shared" si="91"/>
        <v>2.6119479361283998E-7</v>
      </c>
      <c r="BZ51" s="2">
        <f t="shared" si="91"/>
        <v>4.1835528505521002E-7</v>
      </c>
      <c r="CA51" s="2">
        <f t="shared" si="91"/>
        <v>1.2462770970224999E-5</v>
      </c>
      <c r="CB51" s="2">
        <f t="shared" si="91"/>
        <v>3.2848372822500002E-7</v>
      </c>
      <c r="CC51" s="2">
        <f t="shared" si="91"/>
        <v>4.9389537117360998E-7</v>
      </c>
      <c r="CD51" s="2">
        <f t="shared" si="91"/>
        <v>3.6288359136324005E-7</v>
      </c>
      <c r="CE51" s="2">
        <f t="shared" si="91"/>
        <v>2.6842885344144006E-7</v>
      </c>
      <c r="CF51" s="2">
        <f t="shared" si="91"/>
        <v>5.1114349324900003E-7</v>
      </c>
      <c r="CG51" s="2">
        <f t="shared" si="91"/>
        <v>4.5500151344400003E-7</v>
      </c>
      <c r="CI51" s="2">
        <f t="shared" si="67"/>
        <v>1.2345736456658041E-6</v>
      </c>
      <c r="CJ51" s="2">
        <f t="shared" si="68"/>
        <v>1234573645665.804</v>
      </c>
      <c r="CM51" s="2">
        <f t="shared" si="69"/>
        <v>120.91517001884228</v>
      </c>
      <c r="CN51" s="2">
        <f t="shared" si="70"/>
        <v>1.2345736456658077E-6</v>
      </c>
      <c r="CR51" s="2">
        <f t="shared" si="60"/>
        <v>2.3569495756960003E-4</v>
      </c>
      <c r="CS51" s="2">
        <f t="shared" si="61"/>
        <v>2.293813237156E-4</v>
      </c>
      <c r="CT51" s="2">
        <f t="shared" si="62"/>
        <v>2.3350896099999998E-4</v>
      </c>
      <c r="CU51" s="2">
        <f t="shared" si="63"/>
        <v>2.3493194970009996E-4</v>
      </c>
      <c r="CV51" s="2">
        <f t="shared" si="64"/>
        <v>2.3337929799632499E-4</v>
      </c>
      <c r="CW51" s="2">
        <f t="shared" si="65"/>
        <v>57.660023378247764</v>
      </c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</row>
    <row r="52" spans="66:155" x14ac:dyDescent="0.25">
      <c r="BN52" s="2">
        <f t="shared" ref="BN52:CG52" si="92">(BN24^2)</f>
        <v>3.7874682286080998E-7</v>
      </c>
      <c r="BO52" s="2">
        <f t="shared" si="92"/>
        <v>4.1635233736368995E-7</v>
      </c>
      <c r="BP52" s="2">
        <f t="shared" si="92"/>
        <v>1.649971078144E-6</v>
      </c>
      <c r="BQ52" s="2">
        <f t="shared" si="92"/>
        <v>4.9968597909409003E-7</v>
      </c>
      <c r="BR52" s="2">
        <f t="shared" si="92"/>
        <v>2.2001006013529001E-7</v>
      </c>
      <c r="BS52" s="2">
        <f t="shared" si="92"/>
        <v>2.1072671888004001E-7</v>
      </c>
      <c r="BT52" s="2">
        <f t="shared" si="92"/>
        <v>1.1782907110810002E-6</v>
      </c>
      <c r="BU52" s="2">
        <f t="shared" si="92"/>
        <v>1.0724031537610002E-6</v>
      </c>
      <c r="BV52" s="2">
        <f t="shared" si="92"/>
        <v>3.5758438586896006E-7</v>
      </c>
      <c r="BW52" s="2">
        <f t="shared" si="92"/>
        <v>7.9444902496969002E-7</v>
      </c>
      <c r="BX52" s="2">
        <f t="shared" si="92"/>
        <v>2.6386005366360999E-7</v>
      </c>
      <c r="BY52" s="2">
        <f t="shared" si="92"/>
        <v>6.8636245019040012E-8</v>
      </c>
      <c r="BZ52" s="2">
        <f t="shared" si="92"/>
        <v>3.7049596838244001E-7</v>
      </c>
      <c r="CA52" s="2">
        <f t="shared" si="92"/>
        <v>9.4261955845210021E-6</v>
      </c>
      <c r="CB52" s="2">
        <f t="shared" si="92"/>
        <v>1.6736796469969E-7</v>
      </c>
      <c r="CC52" s="2">
        <f t="shared" si="92"/>
        <v>2.6103526123920997E-7</v>
      </c>
      <c r="CD52" s="2">
        <f t="shared" si="92"/>
        <v>9.6135005083716002E-7</v>
      </c>
      <c r="CE52" s="2">
        <f t="shared" si="92"/>
        <v>3.2697914167680996E-7</v>
      </c>
      <c r="CF52" s="2">
        <f t="shared" si="92"/>
        <v>2.4943771651875994E-7</v>
      </c>
      <c r="CG52" s="2">
        <f t="shared" si="92"/>
        <v>2.9641404249664002E-7</v>
      </c>
      <c r="CI52" s="2">
        <f t="shared" si="67"/>
        <v>9.5849961506064649E-7</v>
      </c>
      <c r="CJ52" s="2">
        <f t="shared" si="68"/>
        <v>958499615060.64648</v>
      </c>
      <c r="CM52" s="2">
        <f t="shared" si="69"/>
        <v>119.81591942798775</v>
      </c>
      <c r="CN52" s="2">
        <f t="shared" si="70"/>
        <v>9.5849961506064988E-7</v>
      </c>
      <c r="CR52" s="2">
        <f t="shared" si="60"/>
        <v>2.2187651607040001E-4</v>
      </c>
      <c r="CS52" s="2">
        <f t="shared" si="61"/>
        <v>2.2058665666559998E-4</v>
      </c>
      <c r="CT52" s="2">
        <f t="shared" si="62"/>
        <v>2.2724778606759998E-4</v>
      </c>
      <c r="CU52" s="2">
        <f t="shared" si="63"/>
        <v>2.2515092530090003E-4</v>
      </c>
      <c r="CV52" s="2">
        <f t="shared" si="64"/>
        <v>2.2371547102612501E-4</v>
      </c>
      <c r="CW52" s="2">
        <f t="shared" si="65"/>
        <v>57.476360274085636</v>
      </c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</row>
    <row r="53" spans="66:155" x14ac:dyDescent="0.25">
      <c r="BN53" s="2">
        <f t="shared" ref="BN53:CG53" si="93">(BN25^2)</f>
        <v>3.1498753140624995E-7</v>
      </c>
      <c r="BO53" s="2">
        <f t="shared" si="93"/>
        <v>4.0181653210000002E-7</v>
      </c>
      <c r="BP53" s="2">
        <f t="shared" si="93"/>
        <v>8.4056863072008999E-7</v>
      </c>
      <c r="BQ53" s="2">
        <f t="shared" si="93"/>
        <v>6.3737358010624007E-7</v>
      </c>
      <c r="BR53" s="2">
        <f t="shared" si="93"/>
        <v>1.5351390067225002E-7</v>
      </c>
      <c r="BS53" s="2">
        <f t="shared" si="93"/>
        <v>1.2531741600400002E-7</v>
      </c>
      <c r="BT53" s="2">
        <f t="shared" si="93"/>
        <v>9.1776419160001002E-7</v>
      </c>
      <c r="BU53" s="2">
        <f t="shared" si="93"/>
        <v>5.9267040823080999E-7</v>
      </c>
      <c r="BV53" s="2">
        <f t="shared" si="93"/>
        <v>4.4836121376484003E-7</v>
      </c>
      <c r="BW53" s="2">
        <f t="shared" si="93"/>
        <v>6.1491333572880993E-7</v>
      </c>
      <c r="BX53" s="2">
        <f t="shared" si="93"/>
        <v>2.3395079227715999E-7</v>
      </c>
      <c r="BY53" s="2">
        <f t="shared" si="93"/>
        <v>5.3644303833759995E-8</v>
      </c>
      <c r="BZ53" s="2">
        <f t="shared" si="93"/>
        <v>3.6048100056049E-7</v>
      </c>
      <c r="CA53" s="2">
        <f t="shared" si="93"/>
        <v>9.0328799756250005E-6</v>
      </c>
      <c r="CB53" s="2">
        <f t="shared" si="93"/>
        <v>1.3595052999609E-7</v>
      </c>
      <c r="CC53" s="2">
        <f t="shared" si="93"/>
        <v>2.9284819287025005E-7</v>
      </c>
      <c r="CD53" s="2">
        <f t="shared" si="93"/>
        <v>4.4366722897224999E-7</v>
      </c>
      <c r="CE53" s="2">
        <f t="shared" si="93"/>
        <v>2.2419732562703998E-7</v>
      </c>
      <c r="CF53" s="2">
        <f t="shared" si="93"/>
        <v>2.6117854176968996E-7</v>
      </c>
      <c r="CG53" s="2">
        <f t="shared" si="93"/>
        <v>1.6820497638400001E-7</v>
      </c>
      <c r="CI53" s="2">
        <f t="shared" si="67"/>
        <v>8.1271448041245134E-7</v>
      </c>
      <c r="CJ53" s="2">
        <f t="shared" si="68"/>
        <v>812714480412.45129</v>
      </c>
      <c r="CM53" s="2">
        <f t="shared" si="69"/>
        <v>119.09937997795403</v>
      </c>
      <c r="CN53" s="2">
        <f t="shared" si="70"/>
        <v>8.127144804124543E-7</v>
      </c>
      <c r="CR53" s="2">
        <f t="shared" si="60"/>
        <v>2.062572779556E-4</v>
      </c>
      <c r="CS53" s="2">
        <f t="shared" si="61"/>
        <v>2.116731100201E-4</v>
      </c>
      <c r="CT53" s="2">
        <f t="shared" si="62"/>
        <v>2.1398628319290001E-4</v>
      </c>
      <c r="CU53" s="2">
        <f t="shared" si="63"/>
        <v>2.1066925880249999E-4</v>
      </c>
      <c r="CV53" s="2">
        <f t="shared" si="64"/>
        <v>2.10646482492775E-4</v>
      </c>
      <c r="CW53" s="2">
        <f t="shared" si="65"/>
        <v>57.214942200735102</v>
      </c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</row>
    <row r="54" spans="66:155" x14ac:dyDescent="0.25">
      <c r="BN54" s="2">
        <f t="shared" ref="BN54:CG54" si="94">(BN26^2)</f>
        <v>2.5496420162403998E-7</v>
      </c>
      <c r="BO54" s="2">
        <f t="shared" si="94"/>
        <v>3.1640220001296002E-7</v>
      </c>
      <c r="BP54" s="2">
        <f t="shared" si="94"/>
        <v>5.3277736705600006E-7</v>
      </c>
      <c r="BQ54" s="2">
        <f t="shared" si="94"/>
        <v>3.9336691978609001E-7</v>
      </c>
      <c r="BR54" s="2">
        <f t="shared" si="94"/>
        <v>2.5119081467235999E-7</v>
      </c>
      <c r="BS54" s="2">
        <f t="shared" si="94"/>
        <v>1.8079580536081002E-7</v>
      </c>
      <c r="BT54" s="2">
        <f t="shared" si="94"/>
        <v>6.9648138038116009E-7</v>
      </c>
      <c r="BU54" s="2">
        <f t="shared" si="94"/>
        <v>7.2115473678889006E-7</v>
      </c>
      <c r="BV54" s="2">
        <f t="shared" si="94"/>
        <v>4.2931377257616001E-7</v>
      </c>
      <c r="BW54" s="2">
        <f t="shared" si="94"/>
        <v>5.0294889588321004E-7</v>
      </c>
      <c r="BX54" s="2">
        <f t="shared" si="94"/>
        <v>1.6854292738404003E-7</v>
      </c>
      <c r="BY54" s="2">
        <f t="shared" si="94"/>
        <v>1.7232220671240998E-7</v>
      </c>
      <c r="BZ54" s="2">
        <f t="shared" si="94"/>
        <v>3.3297193018384004E-7</v>
      </c>
      <c r="CA54" s="2">
        <f t="shared" si="94"/>
        <v>9.0866736769209997E-6</v>
      </c>
      <c r="CB54" s="2">
        <f t="shared" si="94"/>
        <v>1.4975259164944002E-7</v>
      </c>
      <c r="CC54" s="2">
        <f t="shared" si="94"/>
        <v>3.8477804490303996E-7</v>
      </c>
      <c r="CD54" s="2">
        <f t="shared" si="94"/>
        <v>1.9835336801344002E-7</v>
      </c>
      <c r="CE54" s="2">
        <f t="shared" si="94"/>
        <v>2.0447425865689E-7</v>
      </c>
      <c r="CF54" s="2">
        <f t="shared" si="94"/>
        <v>2.0937369093168999E-7</v>
      </c>
      <c r="CG54" s="2">
        <f t="shared" si="94"/>
        <v>7.9370440601759996E-8</v>
      </c>
      <c r="CI54" s="2">
        <f t="shared" si="67"/>
        <v>7.6330046150496138E-7</v>
      </c>
      <c r="CJ54" s="2">
        <f t="shared" si="68"/>
        <v>763300461504.9613</v>
      </c>
      <c r="CM54" s="2">
        <f t="shared" si="69"/>
        <v>118.82695524963802</v>
      </c>
      <c r="CN54" s="2">
        <f t="shared" si="70"/>
        <v>7.6330046150496308E-7</v>
      </c>
      <c r="CR54" s="2">
        <f t="shared" si="60"/>
        <v>2.2659491642489999E-4</v>
      </c>
      <c r="CS54" s="2">
        <f t="shared" si="61"/>
        <v>2.140840111921E-4</v>
      </c>
      <c r="CT54" s="2">
        <f t="shared" si="62"/>
        <v>2.1947533609E-4</v>
      </c>
      <c r="CU54" s="2">
        <f t="shared" si="63"/>
        <v>2.2030218105639998E-4</v>
      </c>
      <c r="CV54" s="2">
        <f t="shared" si="64"/>
        <v>2.2011411119084997E-4</v>
      </c>
      <c r="CW54" s="2">
        <f t="shared" si="65"/>
        <v>57.405878940962324</v>
      </c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</row>
    <row r="55" spans="66:155" x14ac:dyDescent="0.25">
      <c r="BN55" s="2">
        <f t="shared" ref="BN55:CG55" si="95">(BN27^2)</f>
        <v>3.3619819027599997E-7</v>
      </c>
      <c r="BO55" s="2">
        <f t="shared" si="95"/>
        <v>2.6926395574225001E-7</v>
      </c>
      <c r="BP55" s="2">
        <f t="shared" si="95"/>
        <v>4.9059840258528996E-7</v>
      </c>
      <c r="BQ55" s="2">
        <f t="shared" si="95"/>
        <v>1.0673929341604001E-7</v>
      </c>
      <c r="BR55" s="2">
        <f t="shared" si="95"/>
        <v>1.4598803022244001E-7</v>
      </c>
      <c r="BS55" s="2">
        <f t="shared" si="95"/>
        <v>3.7877294716810006E-8</v>
      </c>
      <c r="BT55" s="2">
        <f t="shared" si="95"/>
        <v>6.8769420609289013E-7</v>
      </c>
      <c r="BU55" s="2">
        <f t="shared" si="95"/>
        <v>4.5655724637604003E-7</v>
      </c>
      <c r="BV55" s="2">
        <f t="shared" si="95"/>
        <v>3.2756666542336002E-7</v>
      </c>
      <c r="BW55" s="2">
        <f t="shared" si="95"/>
        <v>3.5205496630084005E-7</v>
      </c>
      <c r="BX55" s="2">
        <f t="shared" si="95"/>
        <v>1.6365867975625002E-7</v>
      </c>
      <c r="BY55" s="2">
        <f t="shared" si="95"/>
        <v>6.1486938783359998E-8</v>
      </c>
      <c r="BZ55" s="2">
        <f t="shared" si="95"/>
        <v>2.5669057463295995E-7</v>
      </c>
      <c r="CA55" s="2">
        <f t="shared" si="95"/>
        <v>8.939376434641E-6</v>
      </c>
      <c r="CB55" s="2">
        <f t="shared" si="95"/>
        <v>1.49721789721E-7</v>
      </c>
      <c r="CC55" s="2">
        <f t="shared" si="95"/>
        <v>2.5618994833440997E-7</v>
      </c>
      <c r="CD55" s="2">
        <f t="shared" si="95"/>
        <v>2.9048240888164E-7</v>
      </c>
      <c r="CE55" s="2">
        <f t="shared" si="95"/>
        <v>7.4539319757210009E-8</v>
      </c>
      <c r="CF55" s="2">
        <f t="shared" si="95"/>
        <v>2.3506177732489E-7</v>
      </c>
      <c r="CG55" s="2">
        <f t="shared" si="95"/>
        <v>1.3401756827281001E-7</v>
      </c>
      <c r="CI55" s="2">
        <f t="shared" si="67"/>
        <v>6.8858818456287455E-7</v>
      </c>
      <c r="CJ55" s="2">
        <f t="shared" si="68"/>
        <v>688588184562.87451</v>
      </c>
      <c r="CM55" s="2">
        <f t="shared" si="69"/>
        <v>118.37959566403553</v>
      </c>
      <c r="CN55" s="2">
        <f t="shared" si="70"/>
        <v>6.8858818456287719E-7</v>
      </c>
      <c r="CR55" s="2">
        <f t="shared" si="60"/>
        <v>2.9258273550249999E-4</v>
      </c>
      <c r="CS55" s="2">
        <f t="shared" si="61"/>
        <v>3.0779544481000001E-4</v>
      </c>
      <c r="CT55" s="2">
        <f t="shared" si="62"/>
        <v>3.0254253906249998E-4</v>
      </c>
      <c r="CU55" s="2">
        <f t="shared" si="63"/>
        <v>3.0482994998440001E-4</v>
      </c>
      <c r="CV55" s="2">
        <f t="shared" si="64"/>
        <v>3.0193766733985E-4</v>
      </c>
      <c r="CW55" s="2">
        <f t="shared" si="65"/>
        <v>58.778573041973239</v>
      </c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</row>
    <row r="56" spans="66:155" x14ac:dyDescent="0.25">
      <c r="BN56" s="2">
        <f t="shared" ref="BN56:CG56" si="96">(BN28^2)</f>
        <v>2.6718933169295999E-7</v>
      </c>
      <c r="BO56" s="2">
        <f t="shared" si="96"/>
        <v>3.0249835000224994E-7</v>
      </c>
      <c r="BP56" s="2">
        <f t="shared" si="96"/>
        <v>4.9170051282495995E-7</v>
      </c>
      <c r="BQ56" s="2">
        <f t="shared" si="96"/>
        <v>5.6513603107809002E-7</v>
      </c>
      <c r="BR56" s="2">
        <f t="shared" si="96"/>
        <v>2.2029101829288997E-7</v>
      </c>
      <c r="BS56" s="2">
        <f t="shared" si="96"/>
        <v>9.9230607079210009E-8</v>
      </c>
      <c r="BT56" s="2">
        <f t="shared" si="96"/>
        <v>7.8335704756516E-7</v>
      </c>
      <c r="BU56" s="2">
        <f t="shared" si="96"/>
        <v>4.9342883753600997E-7</v>
      </c>
      <c r="BV56" s="2">
        <f t="shared" si="96"/>
        <v>5.3088579288481008E-7</v>
      </c>
      <c r="BW56" s="2">
        <f t="shared" si="96"/>
        <v>4.1944067827775992E-7</v>
      </c>
      <c r="BX56" s="2">
        <f t="shared" si="96"/>
        <v>1.9099329797283999E-7</v>
      </c>
      <c r="BY56" s="2">
        <f t="shared" si="96"/>
        <v>9.2792978856359986E-8</v>
      </c>
      <c r="BZ56" s="2">
        <f t="shared" si="96"/>
        <v>1.6159933683364E-7</v>
      </c>
      <c r="CA56" s="2">
        <f t="shared" si="96"/>
        <v>1.1040993194400999E-5</v>
      </c>
      <c r="CB56" s="2">
        <f t="shared" si="96"/>
        <v>1.7225056494863998E-7</v>
      </c>
      <c r="CC56" s="2">
        <f t="shared" si="96"/>
        <v>2.0973807800089001E-7</v>
      </c>
      <c r="CD56" s="2">
        <f t="shared" si="96"/>
        <v>2.9878314803236001E-7</v>
      </c>
      <c r="CE56" s="2">
        <f t="shared" si="96"/>
        <v>1.4471800689124E-7</v>
      </c>
      <c r="CF56" s="2">
        <f t="shared" si="96"/>
        <v>2.0341236535876003E-7</v>
      </c>
      <c r="CG56" s="2">
        <f t="shared" si="96"/>
        <v>9.1916293329000003E-8</v>
      </c>
      <c r="CI56" s="2">
        <f t="shared" si="67"/>
        <v>8.3901777359294141E-7</v>
      </c>
      <c r="CJ56" s="2">
        <f t="shared" si="68"/>
        <v>839017773592.94141</v>
      </c>
      <c r="CM56" s="2">
        <f t="shared" si="69"/>
        <v>119.23771160937852</v>
      </c>
      <c r="CN56" s="2">
        <f t="shared" si="70"/>
        <v>8.3901777359294204E-7</v>
      </c>
      <c r="CR56" s="2">
        <f t="shared" si="60"/>
        <v>5.3136796401639995E-4</v>
      </c>
      <c r="CS56" s="2">
        <f t="shared" si="61"/>
        <v>5.3936671703290007E-4</v>
      </c>
      <c r="CT56" s="2">
        <f t="shared" si="62"/>
        <v>5.9712444937690004E-4</v>
      </c>
      <c r="CU56" s="2">
        <f t="shared" si="63"/>
        <v>5.1830259438760001E-4</v>
      </c>
      <c r="CV56" s="2">
        <f t="shared" si="64"/>
        <v>5.4654043120344999E-4</v>
      </c>
      <c r="CW56" s="2">
        <f t="shared" si="65"/>
        <v>61.355623037758001</v>
      </c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</row>
    <row r="57" spans="66:155" x14ac:dyDescent="0.25">
      <c r="BN57" s="2">
        <f t="shared" ref="BN57:CG57" si="97">(BN29^2)</f>
        <v>2.9715374294760996E-7</v>
      </c>
      <c r="BO57" s="2">
        <f t="shared" si="97"/>
        <v>3.4738505147843998E-7</v>
      </c>
      <c r="BP57" s="2">
        <f t="shared" si="97"/>
        <v>8.3190178348224988E-7</v>
      </c>
      <c r="BQ57" s="2">
        <f t="shared" si="97"/>
        <v>7.3264886179080995E-7</v>
      </c>
      <c r="BR57" s="2">
        <f t="shared" si="97"/>
        <v>3.6187948672164004E-7</v>
      </c>
      <c r="BS57" s="2">
        <f t="shared" si="97"/>
        <v>2.9280749946561001E-7</v>
      </c>
      <c r="BT57" s="2">
        <f t="shared" si="97"/>
        <v>7.9831419434649013E-7</v>
      </c>
      <c r="BU57" s="2">
        <f t="shared" si="97"/>
        <v>6.9682459150403997E-7</v>
      </c>
      <c r="BV57" s="2">
        <f t="shared" si="97"/>
        <v>5.0676430712643997E-7</v>
      </c>
      <c r="BW57" s="2">
        <f t="shared" si="97"/>
        <v>7.6595035955880995E-7</v>
      </c>
      <c r="BX57" s="2">
        <f t="shared" si="97"/>
        <v>3.9826272369635997E-7</v>
      </c>
      <c r="BY57" s="2">
        <f t="shared" si="97"/>
        <v>2.3232988043721004E-7</v>
      </c>
      <c r="BZ57" s="2">
        <f t="shared" si="97"/>
        <v>2.6348787473449001E-7</v>
      </c>
      <c r="CA57" s="2">
        <f t="shared" si="97"/>
        <v>1.9671274023361004E-5</v>
      </c>
      <c r="CB57" s="2">
        <f t="shared" si="97"/>
        <v>2.7204486187263997E-7</v>
      </c>
      <c r="CC57" s="2">
        <f t="shared" si="97"/>
        <v>2.6487347455395999E-7</v>
      </c>
      <c r="CD57" s="2">
        <f t="shared" si="97"/>
        <v>2.9181290684840998E-7</v>
      </c>
      <c r="CE57" s="2">
        <f t="shared" si="97"/>
        <v>1.8898852092960998E-7</v>
      </c>
      <c r="CF57" s="2">
        <f t="shared" si="97"/>
        <v>2.8144383096383999E-7</v>
      </c>
      <c r="CG57" s="2">
        <f t="shared" si="97"/>
        <v>2.2289974943075999E-7</v>
      </c>
      <c r="CI57" s="2">
        <f t="shared" si="67"/>
        <v>1.3859523862625212E-6</v>
      </c>
      <c r="CJ57" s="2">
        <f t="shared" si="68"/>
        <v>1385952386262.521</v>
      </c>
      <c r="CM57" s="2">
        <f t="shared" si="69"/>
        <v>121.41748310550936</v>
      </c>
      <c r="CN57" s="2">
        <f t="shared" si="70"/>
        <v>1.385952386262522E-6</v>
      </c>
      <c r="CR57" s="2">
        <f t="shared" si="60"/>
        <v>2.2311499485025E-3</v>
      </c>
      <c r="CS57" s="2">
        <f t="shared" si="61"/>
        <v>2.2157929542841004E-3</v>
      </c>
      <c r="CT57" s="2">
        <f t="shared" si="62"/>
        <v>2.0193429564100002E-3</v>
      </c>
      <c r="CU57" s="2">
        <f t="shared" si="63"/>
        <v>2.2403153840809E-3</v>
      </c>
      <c r="CV57" s="2">
        <f t="shared" si="64"/>
        <v>2.176650310819375E-3</v>
      </c>
      <c r="CW57" s="2">
        <f t="shared" si="65"/>
        <v>67.357286718518381</v>
      </c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</row>
    <row r="58" spans="66:155" x14ac:dyDescent="0.25">
      <c r="BN58" s="2">
        <f t="shared" ref="BN58:CG58" si="98">(BN30^2)</f>
        <v>7.1052508440224997E-7</v>
      </c>
      <c r="BO58" s="2">
        <f t="shared" si="98"/>
        <v>1.2391741651240002E-6</v>
      </c>
      <c r="BP58" s="2">
        <f t="shared" si="98"/>
        <v>3.2080069702810003E-6</v>
      </c>
      <c r="BQ58" s="2">
        <f t="shared" si="98"/>
        <v>8.3759726337155996E-7</v>
      </c>
      <c r="BR58" s="2">
        <f t="shared" si="98"/>
        <v>1.4240961560249998E-6</v>
      </c>
      <c r="BS58" s="2">
        <f t="shared" si="98"/>
        <v>8.8300263699684003E-7</v>
      </c>
      <c r="BT58" s="2">
        <f t="shared" si="98"/>
        <v>2.4862982399999998E-6</v>
      </c>
      <c r="BU58" s="2">
        <f t="shared" si="98"/>
        <v>3.229183842049E-6</v>
      </c>
      <c r="BV58" s="2">
        <f t="shared" si="98"/>
        <v>1.6739908935839997E-6</v>
      </c>
      <c r="BW58" s="2">
        <f t="shared" si="98"/>
        <v>2.3940289802249999E-6</v>
      </c>
      <c r="BX58" s="2">
        <f t="shared" si="98"/>
        <v>5.2011645848100004E-7</v>
      </c>
      <c r="BY58" s="2">
        <f t="shared" si="98"/>
        <v>2.5548586902721E-7</v>
      </c>
      <c r="BZ58" s="2">
        <f t="shared" si="98"/>
        <v>7.1689733386440997E-7</v>
      </c>
      <c r="CA58" s="2">
        <f t="shared" si="98"/>
        <v>6.0006155220496003E-5</v>
      </c>
      <c r="CB58" s="2">
        <f t="shared" si="98"/>
        <v>5.8231123188623998E-7</v>
      </c>
      <c r="CC58" s="2">
        <f t="shared" si="98"/>
        <v>1.1298010522410001E-6</v>
      </c>
      <c r="CD58" s="2">
        <f t="shared" si="98"/>
        <v>8.4173909033956E-7</v>
      </c>
      <c r="CE58" s="2">
        <f t="shared" si="98"/>
        <v>7.5010686478641E-7</v>
      </c>
      <c r="CF58" s="2">
        <f t="shared" si="98"/>
        <v>1.1336478434409999E-6</v>
      </c>
      <c r="CG58" s="2">
        <f t="shared" si="98"/>
        <v>3.1268037119089003E-7</v>
      </c>
      <c r="CI58" s="2">
        <f t="shared" si="67"/>
        <v>4.2167422783906186E-6</v>
      </c>
      <c r="CJ58" s="2">
        <f t="shared" si="68"/>
        <v>4216742278390.6182</v>
      </c>
      <c r="CM58" s="2">
        <f t="shared" si="69"/>
        <v>126.24977058332109</v>
      </c>
      <c r="CN58" s="2">
        <f t="shared" si="70"/>
        <v>4.2167422783906212E-6</v>
      </c>
      <c r="CR58" s="2">
        <f>(CL31^2)</f>
        <v>6.7281563891610004E-4</v>
      </c>
      <c r="CS58" s="2">
        <f t="shared" si="61"/>
        <v>6.8593129028410012E-4</v>
      </c>
      <c r="CT58" s="2">
        <f t="shared" si="62"/>
        <v>4.7270673691239995E-4</v>
      </c>
      <c r="CU58" s="2">
        <f t="shared" si="63"/>
        <v>6.8454233733760003E-4</v>
      </c>
      <c r="CV58" s="2">
        <f t="shared" si="64"/>
        <v>6.2899900086255003E-4</v>
      </c>
      <c r="CW58" s="2">
        <f t="shared" si="65"/>
        <v>61.965899642600313</v>
      </c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</row>
    <row r="59" spans="66:155" x14ac:dyDescent="0.25">
      <c r="BN59" s="2">
        <f t="shared" ref="BN59:CG59" si="99">(BN31^2)</f>
        <v>3.5632160455823997E-7</v>
      </c>
      <c r="BO59" s="2">
        <f t="shared" si="99"/>
        <v>2.1605214755881001E-7</v>
      </c>
      <c r="BP59" s="2">
        <f t="shared" si="99"/>
        <v>7.0423700285689002E-7</v>
      </c>
      <c r="BQ59" s="2">
        <f t="shared" si="99"/>
        <v>2.84145500809E-7</v>
      </c>
      <c r="BR59" s="2">
        <f t="shared" si="99"/>
        <v>2.6165976942360995E-7</v>
      </c>
      <c r="BS59" s="2">
        <f t="shared" si="99"/>
        <v>1.1619719730440999E-7</v>
      </c>
      <c r="BT59" s="2">
        <f t="shared" si="99"/>
        <v>5.8428335808649005E-7</v>
      </c>
      <c r="BU59" s="2">
        <f t="shared" si="99"/>
        <v>7.4612158935888998E-7</v>
      </c>
      <c r="BV59" s="2">
        <f t="shared" si="99"/>
        <v>2.7516015116040999E-7</v>
      </c>
      <c r="BW59" s="2">
        <f t="shared" si="99"/>
        <v>4.4204493633316005E-7</v>
      </c>
      <c r="BX59" s="2">
        <f t="shared" si="99"/>
        <v>8.996022439569001E-8</v>
      </c>
      <c r="BY59" s="2">
        <f t="shared" si="99"/>
        <v>8.1431128609960003E-8</v>
      </c>
      <c r="BZ59" s="2">
        <f t="shared" si="99"/>
        <v>2.1022674332401002E-7</v>
      </c>
      <c r="CA59" s="2">
        <f t="shared" si="99"/>
        <v>1.3579283960064001E-5</v>
      </c>
      <c r="CB59" s="2">
        <f t="shared" si="99"/>
        <v>1.3760227032484001E-7</v>
      </c>
      <c r="CC59" s="2">
        <f t="shared" si="99"/>
        <v>1.7391143532361001E-7</v>
      </c>
      <c r="CD59" s="2">
        <f t="shared" si="99"/>
        <v>1.8532258717921E-7</v>
      </c>
      <c r="CE59" s="2">
        <f t="shared" si="99"/>
        <v>1.9501267968575999E-7</v>
      </c>
      <c r="CF59" s="2">
        <f t="shared" si="99"/>
        <v>2.7288567031715997E-7</v>
      </c>
      <c r="CG59" s="2">
        <f t="shared" si="99"/>
        <v>1.3076996461369001E-7</v>
      </c>
      <c r="CI59" s="2">
        <f t="shared" si="67"/>
        <v>9.5213149606439215E-7</v>
      </c>
      <c r="CJ59" s="2">
        <f t="shared" si="68"/>
        <v>952131496064.39209</v>
      </c>
      <c r="CM59" s="2">
        <f t="shared" si="69"/>
        <v>119.78696931652821</v>
      </c>
      <c r="CN59" s="2">
        <f t="shared" si="70"/>
        <v>9.5213149606439395E-7</v>
      </c>
      <c r="CR59" s="2">
        <f t="shared" ref="CR59:CR61" si="100">(CL32^2)</f>
        <v>8.9993796088036005E-5</v>
      </c>
      <c r="CS59" s="2">
        <f t="shared" ref="CS59:CS61" si="101">(CM32^2)</f>
        <v>9.0614844987489007E-5</v>
      </c>
      <c r="CT59" s="2">
        <f t="shared" ref="CT59:CT61" si="102">(CN32^2)</f>
        <v>8.1805910694244009E-5</v>
      </c>
      <c r="CU59" s="2">
        <f t="shared" ref="CU59:CU61" si="103">(CO32^2)</f>
        <v>9.1353395062608987E-5</v>
      </c>
      <c r="CV59" s="2">
        <f t="shared" si="64"/>
        <v>8.8441986708094505E-5</v>
      </c>
      <c r="CW59" s="2">
        <f t="shared" si="65"/>
        <v>53.445984984207719</v>
      </c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</row>
    <row r="60" spans="66:155" x14ac:dyDescent="0.25">
      <c r="BN60" s="2">
        <f t="shared" ref="BN60:CG60" si="104">(BN32^2)</f>
        <v>4.945740105604E-8</v>
      </c>
      <c r="BO60" s="2">
        <f t="shared" si="104"/>
        <v>4.8966785683360002E-8</v>
      </c>
      <c r="BP60" s="2">
        <f t="shared" si="104"/>
        <v>1.0234643900569E-7</v>
      </c>
      <c r="BQ60" s="2">
        <f t="shared" si="104"/>
        <v>3.9547685955999997E-8</v>
      </c>
      <c r="BR60" s="2">
        <f t="shared" si="104"/>
        <v>2.9605572731290001E-8</v>
      </c>
      <c r="BS60" s="2">
        <f t="shared" si="104"/>
        <v>2.4578337915039997E-8</v>
      </c>
      <c r="BT60" s="2">
        <f t="shared" si="104"/>
        <v>1.5314597811769E-7</v>
      </c>
      <c r="BU60" s="2">
        <f t="shared" si="104"/>
        <v>8.0552259779289997E-8</v>
      </c>
      <c r="BV60" s="2">
        <f t="shared" si="104"/>
        <v>6.5372518080250003E-8</v>
      </c>
      <c r="BW60" s="2">
        <f t="shared" si="104"/>
        <v>3.8217473950410002E-8</v>
      </c>
      <c r="BX60" s="2">
        <f t="shared" si="104"/>
        <v>1.8321734020839996E-8</v>
      </c>
      <c r="BY60" s="2">
        <f t="shared" si="104"/>
        <v>6.4392921230400004E-9</v>
      </c>
      <c r="BZ60" s="2">
        <f t="shared" si="104"/>
        <v>4.8079113630250001E-8</v>
      </c>
      <c r="CA60" s="2">
        <f t="shared" si="104"/>
        <v>2.8944557160999997E-6</v>
      </c>
      <c r="CB60" s="2">
        <f t="shared" si="104"/>
        <v>1.188520777249E-8</v>
      </c>
      <c r="CC60" s="2">
        <f t="shared" si="104"/>
        <v>1.2685652056359999E-8</v>
      </c>
      <c r="CD60" s="2">
        <f t="shared" si="104"/>
        <v>5.6893793985640006E-8</v>
      </c>
      <c r="CE60" s="2">
        <f t="shared" si="104"/>
        <v>2.2994083044000001E-8</v>
      </c>
      <c r="CF60" s="2">
        <f t="shared" si="104"/>
        <v>2.4315568290249999E-8</v>
      </c>
      <c r="CG60" s="2">
        <f t="shared" si="104"/>
        <v>9.7988082625449019E-9</v>
      </c>
      <c r="CI60" s="2">
        <f t="shared" si="67"/>
        <v>1.8688297107802367E-7</v>
      </c>
      <c r="CJ60" s="2">
        <f t="shared" si="68"/>
        <v>186882971078.02365</v>
      </c>
      <c r="CM60" s="2">
        <f t="shared" si="69"/>
        <v>112.71569729930027</v>
      </c>
      <c r="CN60" s="2">
        <f t="shared" si="70"/>
        <v>1.8688297107802435E-7</v>
      </c>
      <c r="CR60" s="2">
        <f t="shared" si="100"/>
        <v>2.7958861812996003E-5</v>
      </c>
      <c r="CS60" s="2">
        <f t="shared" si="101"/>
        <v>2.8180777422249001E-5</v>
      </c>
      <c r="CT60" s="2">
        <f t="shared" si="102"/>
        <v>2.7468919566400004E-5</v>
      </c>
      <c r="CU60" s="2">
        <f t="shared" si="103"/>
        <v>2.7938962775823996E-5</v>
      </c>
      <c r="CV60" s="2">
        <f t="shared" si="64"/>
        <v>2.7886880394367249E-5</v>
      </c>
      <c r="CW60" s="2">
        <f t="shared" si="65"/>
        <v>48.433399426839088</v>
      </c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</row>
    <row r="61" spans="66:155" x14ac:dyDescent="0.25">
      <c r="BN61" s="2">
        <f t="shared" ref="BN61:CG61" si="105">(BN33^2)</f>
        <v>2.0196730071039997E-8</v>
      </c>
      <c r="BO61" s="2">
        <f t="shared" si="105"/>
        <v>1.4818217246009998E-8</v>
      </c>
      <c r="BP61" s="2">
        <f t="shared" si="105"/>
        <v>1.2560043526560002E-8</v>
      </c>
      <c r="BQ61" s="2">
        <f t="shared" si="105"/>
        <v>1.4352950494440002E-8</v>
      </c>
      <c r="BR61" s="2">
        <f t="shared" si="105"/>
        <v>7.2414279276964E-9</v>
      </c>
      <c r="BS61" s="2">
        <f t="shared" si="105"/>
        <v>6.5074310928225001E-9</v>
      </c>
      <c r="BT61" s="2">
        <f t="shared" si="105"/>
        <v>3.8157246785440001E-8</v>
      </c>
      <c r="BU61" s="2">
        <f t="shared" si="105"/>
        <v>8.6842810464601001E-9</v>
      </c>
      <c r="BV61" s="2">
        <f t="shared" si="105"/>
        <v>2.0804629491609996E-8</v>
      </c>
      <c r="BW61" s="2">
        <f t="shared" si="105"/>
        <v>1.3739004582249999E-8</v>
      </c>
      <c r="BX61" s="2">
        <f t="shared" si="105"/>
        <v>7.5233210469263999E-9</v>
      </c>
      <c r="BY61" s="2">
        <f t="shared" si="105"/>
        <v>3.7568882387716007E-9</v>
      </c>
      <c r="BZ61" s="2">
        <f t="shared" si="105"/>
        <v>1.0837642816E-8</v>
      </c>
      <c r="CA61" s="2">
        <f t="shared" si="105"/>
        <v>1.2888266202250002E-6</v>
      </c>
      <c r="CB61" s="2">
        <f t="shared" si="105"/>
        <v>2.8208856062401004E-9</v>
      </c>
      <c r="CC61" s="2">
        <f t="shared" si="105"/>
        <v>4.1752067789055998E-9</v>
      </c>
      <c r="CD61" s="2">
        <f t="shared" si="105"/>
        <v>8.4393068364899996E-9</v>
      </c>
      <c r="CE61" s="2">
        <f t="shared" si="105"/>
        <v>5.6194183853284008E-9</v>
      </c>
      <c r="CF61" s="2">
        <f t="shared" si="105"/>
        <v>5.5602837206361E-9</v>
      </c>
      <c r="CG61" s="2">
        <f t="shared" si="105"/>
        <v>1.4863153036175998E-9</v>
      </c>
      <c r="CI61" s="2">
        <f t="shared" si="67"/>
        <v>7.4805392561112257E-8</v>
      </c>
      <c r="CJ61" s="2">
        <f t="shared" si="68"/>
        <v>74805392561.112259</v>
      </c>
      <c r="CM61" s="2">
        <f t="shared" si="69"/>
        <v>108.73932906355355</v>
      </c>
      <c r="CN61" s="2">
        <f t="shared" si="70"/>
        <v>7.4805392561112191E-8</v>
      </c>
      <c r="CR61" s="2">
        <f t="shared" si="100"/>
        <v>3.0780126464255998E-5</v>
      </c>
      <c r="CS61" s="2">
        <f t="shared" si="101"/>
        <v>3.2176757071936003E-5</v>
      </c>
      <c r="CT61" s="2">
        <f t="shared" si="102"/>
        <v>3.3704155358783998E-5</v>
      </c>
      <c r="CU61" s="2">
        <f t="shared" si="103"/>
        <v>3.2029657275625E-5</v>
      </c>
      <c r="CV61" s="2">
        <f t="shared" si="64"/>
        <v>3.217267404265025E-5</v>
      </c>
      <c r="CW61" s="2">
        <f t="shared" si="65"/>
        <v>49.054271676064658</v>
      </c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</row>
    <row r="62" spans="66:155" x14ac:dyDescent="0.25">
      <c r="BN62" s="2">
        <f t="shared" ref="BN62:CG62" si="106">(BN34^2)</f>
        <v>1.8193855317160003E-8</v>
      </c>
      <c r="BO62" s="2">
        <f t="shared" si="106"/>
        <v>1.4469106713759999E-8</v>
      </c>
      <c r="BP62" s="2">
        <f t="shared" si="106"/>
        <v>8.9505771641001011E-9</v>
      </c>
      <c r="BQ62" s="2">
        <f t="shared" si="106"/>
        <v>1.5782695892639999E-8</v>
      </c>
      <c r="BR62" s="2">
        <f t="shared" si="106"/>
        <v>4.8317554872888988E-9</v>
      </c>
      <c r="BS62" s="2">
        <f t="shared" si="106"/>
        <v>5.2271714286724006E-9</v>
      </c>
      <c r="BT62" s="2">
        <f t="shared" si="106"/>
        <v>4.1797471802489994E-8</v>
      </c>
      <c r="BU62" s="2">
        <f t="shared" si="106"/>
        <v>1.1318725710249999E-8</v>
      </c>
      <c r="BV62" s="2">
        <f t="shared" si="106"/>
        <v>4.1123865216039993E-8</v>
      </c>
      <c r="BW62" s="2">
        <f t="shared" si="106"/>
        <v>1.419789019401E-8</v>
      </c>
      <c r="BX62" s="2">
        <f t="shared" si="106"/>
        <v>6.0386280681320994E-9</v>
      </c>
      <c r="BY62" s="2">
        <f t="shared" si="106"/>
        <v>4.0789349315716001E-9</v>
      </c>
      <c r="BZ62" s="2">
        <f t="shared" si="106"/>
        <v>5.3751596076304009E-9</v>
      </c>
      <c r="CA62" s="2">
        <f t="shared" si="106"/>
        <v>2.4746750720999999E-6</v>
      </c>
      <c r="CB62" s="2">
        <f t="shared" si="106"/>
        <v>2.9373798457599996E-9</v>
      </c>
      <c r="CC62" s="2">
        <f t="shared" si="106"/>
        <v>2.6180905425984001E-9</v>
      </c>
      <c r="CD62" s="2">
        <f t="shared" si="106"/>
        <v>8.5977049409161007E-9</v>
      </c>
      <c r="CE62" s="2">
        <f t="shared" si="106"/>
        <v>3.2658184690755998E-9</v>
      </c>
      <c r="CF62" s="2">
        <f t="shared" si="106"/>
        <v>5.1502769430849003E-9</v>
      </c>
      <c r="CG62" s="2">
        <f t="shared" si="106"/>
        <v>2.0436104638161003E-9</v>
      </c>
      <c r="CI62" s="2">
        <f t="shared" si="67"/>
        <v>1.345336895419498E-7</v>
      </c>
      <c r="CJ62" s="2">
        <f t="shared" si="68"/>
        <v>134533689541.94978</v>
      </c>
      <c r="CM62" s="2">
        <f t="shared" si="69"/>
        <v>111.28831052740392</v>
      </c>
      <c r="CN62" s="2">
        <f t="shared" si="70"/>
        <v>1.3453368954194999E-7</v>
      </c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</row>
    <row r="63" spans="66:155" x14ac:dyDescent="0.25"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</row>
    <row r="64" spans="66:155" x14ac:dyDescent="0.25"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</row>
    <row r="65" spans="64:155" x14ac:dyDescent="0.25"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</row>
    <row r="66" spans="64:155" x14ac:dyDescent="0.25"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</row>
    <row r="67" spans="64:155" x14ac:dyDescent="0.25"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</row>
    <row r="68" spans="64:155" x14ac:dyDescent="0.25"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</row>
    <row r="69" spans="64:155" x14ac:dyDescent="0.25"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</row>
    <row r="70" spans="64:155" x14ac:dyDescent="0.25"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</row>
    <row r="71" spans="64:155" x14ac:dyDescent="0.25"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</row>
    <row r="72" spans="64:155" x14ac:dyDescent="0.25"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</row>
    <row r="73" spans="64:155" x14ac:dyDescent="0.25"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</row>
    <row r="74" spans="64:155" x14ac:dyDescent="0.25"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</row>
    <row r="75" spans="64:155" x14ac:dyDescent="0.25"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</row>
    <row r="76" spans="64:155" x14ac:dyDescent="0.25"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</row>
    <row r="77" spans="64:155" x14ac:dyDescent="0.25"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</row>
    <row r="78" spans="64:155" x14ac:dyDescent="0.25"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</row>
    <row r="79" spans="64:155" x14ac:dyDescent="0.25"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</row>
    <row r="80" spans="64:155" x14ac:dyDescent="0.25"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</row>
    <row r="81" spans="64:155" x14ac:dyDescent="0.25"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</row>
    <row r="82" spans="64:155" x14ac:dyDescent="0.25"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</row>
    <row r="83" spans="64:155" x14ac:dyDescent="0.25"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</row>
    <row r="84" spans="64:155" x14ac:dyDescent="0.25"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</row>
    <row r="85" spans="64:155" x14ac:dyDescent="0.25"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</row>
    <row r="86" spans="64:155" x14ac:dyDescent="0.25"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</row>
    <row r="87" spans="64:155" x14ac:dyDescent="0.25"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</row>
    <row r="88" spans="64:155" x14ac:dyDescent="0.25"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</row>
    <row r="89" spans="64:155" x14ac:dyDescent="0.25"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</row>
    <row r="90" spans="64:155" x14ac:dyDescent="0.25"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</row>
    <row r="91" spans="64:155" x14ac:dyDescent="0.25"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</row>
    <row r="92" spans="64:155" x14ac:dyDescent="0.25"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</row>
    <row r="93" spans="64:155" x14ac:dyDescent="0.25"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</row>
    <row r="94" spans="64:155" x14ac:dyDescent="0.25"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</row>
    <row r="95" spans="64:155" x14ac:dyDescent="0.25"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</row>
    <row r="96" spans="64:155" x14ac:dyDescent="0.25"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</row>
    <row r="97" spans="64:155" x14ac:dyDescent="0.25"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</row>
    <row r="98" spans="64:155" x14ac:dyDescent="0.25"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</row>
    <row r="99" spans="64:155" x14ac:dyDescent="0.25"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</row>
    <row r="100" spans="64:155" x14ac:dyDescent="0.25"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</row>
    <row r="101" spans="64:155" x14ac:dyDescent="0.25"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</row>
    <row r="102" spans="64:155" x14ac:dyDescent="0.25"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</row>
    <row r="103" spans="64:155" x14ac:dyDescent="0.25"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</row>
    <row r="104" spans="64:155" x14ac:dyDescent="0.25"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</row>
    <row r="105" spans="64:155" x14ac:dyDescent="0.25"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</row>
    <row r="106" spans="64:155" x14ac:dyDescent="0.25"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</row>
    <row r="107" spans="64:155" x14ac:dyDescent="0.25"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</row>
    <row r="108" spans="64:155" x14ac:dyDescent="0.25"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</row>
    <row r="109" spans="64:155" x14ac:dyDescent="0.25"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</row>
    <row r="110" spans="64:155" x14ac:dyDescent="0.25"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</row>
    <row r="111" spans="64:155" x14ac:dyDescent="0.25"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</row>
    <row r="112" spans="64:155" x14ac:dyDescent="0.25"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</row>
    <row r="113" spans="136:155" x14ac:dyDescent="0.25"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</row>
    <row r="114" spans="136:155" x14ac:dyDescent="0.25"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</row>
    <row r="115" spans="136:155" x14ac:dyDescent="0.25"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</row>
    <row r="116" spans="136:155" x14ac:dyDescent="0.25"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</row>
    <row r="117" spans="136:155" x14ac:dyDescent="0.25"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</row>
    <row r="118" spans="136:155" x14ac:dyDescent="0.25"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</row>
    <row r="119" spans="136:155" x14ac:dyDescent="0.25"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</row>
    <row r="120" spans="136:155" x14ac:dyDescent="0.25"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</row>
    <row r="121" spans="136:155" x14ac:dyDescent="0.25"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</row>
    <row r="122" spans="136:155" x14ac:dyDescent="0.25"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</row>
    <row r="123" spans="136:155" x14ac:dyDescent="0.25"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</row>
    <row r="124" spans="136:155" x14ac:dyDescent="0.25"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</row>
    <row r="125" spans="136:155" x14ac:dyDescent="0.25"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</row>
    <row r="126" spans="136:155" x14ac:dyDescent="0.25"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</row>
    <row r="127" spans="136:155" x14ac:dyDescent="0.25"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</row>
    <row r="128" spans="136:155" x14ac:dyDescent="0.25"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</row>
    <row r="129" spans="136:155" x14ac:dyDescent="0.25"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</row>
    <row r="130" spans="136:155" x14ac:dyDescent="0.25"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</row>
    <row r="131" spans="136:155" x14ac:dyDescent="0.25"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</row>
    <row r="132" spans="136:155" x14ac:dyDescent="0.25"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</row>
    <row r="133" spans="136:155" x14ac:dyDescent="0.25"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</row>
    <row r="134" spans="136:155" x14ac:dyDescent="0.25"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</row>
    <row r="135" spans="136:155" x14ac:dyDescent="0.25"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</row>
    <row r="136" spans="136:155" x14ac:dyDescent="0.25"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</row>
    <row r="137" spans="136:155" x14ac:dyDescent="0.25"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</row>
  </sheetData>
  <mergeCells count="32">
    <mergeCell ref="BJ8:BK8"/>
    <mergeCell ref="BN7:CG8"/>
    <mergeCell ref="CL8:CO8"/>
    <mergeCell ref="CQ8:CT8"/>
    <mergeCell ref="CV8:CY8"/>
    <mergeCell ref="AU8:AV8"/>
    <mergeCell ref="AY6:BH7"/>
    <mergeCell ref="AY8:AZ8"/>
    <mergeCell ref="BA8:BB8"/>
    <mergeCell ref="BC8:BD8"/>
    <mergeCell ref="BE8:BF8"/>
    <mergeCell ref="BG8:BH8"/>
    <mergeCell ref="U6:AD7"/>
    <mergeCell ref="AF8:AG8"/>
    <mergeCell ref="AJ6:AS7"/>
    <mergeCell ref="AJ8:AK8"/>
    <mergeCell ref="AL8:AM8"/>
    <mergeCell ref="AN8:AO8"/>
    <mergeCell ref="AP8:AQ8"/>
    <mergeCell ref="AR8:AS8"/>
    <mergeCell ref="AC8:AD8"/>
    <mergeCell ref="P8:Q8"/>
    <mergeCell ref="U8:V8"/>
    <mergeCell ref="W8:X8"/>
    <mergeCell ref="Y8:Z8"/>
    <mergeCell ref="AA8:AB8"/>
    <mergeCell ref="E6:N7"/>
    <mergeCell ref="E8:F8"/>
    <mergeCell ref="G8:H8"/>
    <mergeCell ref="I8:J8"/>
    <mergeCell ref="K8:L8"/>
    <mergeCell ref="M8:N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BG45"/>
  <sheetViews>
    <sheetView topLeftCell="A13" workbookViewId="0">
      <selection activeCell="U16" sqref="U16"/>
    </sheetView>
  </sheetViews>
  <sheetFormatPr defaultRowHeight="15" x14ac:dyDescent="0.25"/>
  <cols>
    <col min="3" max="3" width="10.85546875" customWidth="1"/>
    <col min="4" max="4" width="10.7109375" customWidth="1"/>
    <col min="7" max="7" width="11.7109375" customWidth="1"/>
    <col min="8" max="8" width="9.5703125" customWidth="1"/>
    <col min="9" max="10" width="14" customWidth="1"/>
    <col min="11" max="11" width="17.140625" customWidth="1"/>
    <col min="13" max="16" width="9.140625" style="22"/>
    <col min="17" max="17" width="10.5703125" style="22" customWidth="1"/>
    <col min="18" max="26" width="9.140625" style="22"/>
    <col min="27" max="27" width="9.140625" style="24"/>
    <col min="34" max="34" width="19" bestFit="1" customWidth="1"/>
  </cols>
  <sheetData>
    <row r="4" spans="3:59" x14ac:dyDescent="0.25">
      <c r="S4" s="24" t="s">
        <v>67</v>
      </c>
      <c r="T4" s="22">
        <f>1.08*1.76</f>
        <v>1.9008</v>
      </c>
    </row>
    <row r="5" spans="3:59" x14ac:dyDescent="0.25">
      <c r="S5" s="24" t="s">
        <v>41</v>
      </c>
      <c r="T5" s="22">
        <f>1.1/1000</f>
        <v>1.1000000000000001E-3</v>
      </c>
    </row>
    <row r="6" spans="3:59" x14ac:dyDescent="0.25">
      <c r="S6" s="24" t="s">
        <v>52</v>
      </c>
      <c r="T6" s="22">
        <f>2700</f>
        <v>2700</v>
      </c>
    </row>
    <row r="7" spans="3:59" x14ac:dyDescent="0.25">
      <c r="S7" s="24" t="s">
        <v>66</v>
      </c>
      <c r="T7" s="22">
        <f>T6*T5</f>
        <v>2.97</v>
      </c>
      <c r="AK7">
        <f>(343^2)/(2*PI())*((2700*0.001/((71*10^9)*((0.001^3)/12)))^(1/2))</f>
        <v>12648.869224606364</v>
      </c>
    </row>
    <row r="8" spans="3:59" x14ac:dyDescent="0.25">
      <c r="S8" s="24" t="s">
        <v>55</v>
      </c>
      <c r="T8" s="22">
        <f>EFICIENCIA_RAD!$DG$43</f>
        <v>344.95372153377326</v>
      </c>
    </row>
    <row r="9" spans="3:59" x14ac:dyDescent="0.25">
      <c r="S9" s="24" t="s">
        <v>56</v>
      </c>
      <c r="T9" s="22">
        <f>EFICIENCIA_RAD!$DG$42</f>
        <v>1.1921282474685293</v>
      </c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</row>
    <row r="10" spans="3:59" x14ac:dyDescent="0.25">
      <c r="C10" s="34" t="s">
        <v>60</v>
      </c>
      <c r="D10" s="34"/>
      <c r="E10" s="34"/>
      <c r="I10" s="2" t="s">
        <v>30</v>
      </c>
      <c r="J10" s="2"/>
      <c r="AB10" s="2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</row>
    <row r="11" spans="3:59" s="2" customFormat="1" ht="54.75" customHeight="1" x14ac:dyDescent="0.25">
      <c r="C11" s="1" t="s">
        <v>0</v>
      </c>
      <c r="D11" s="1" t="s">
        <v>61</v>
      </c>
      <c r="E11" s="1" t="s">
        <v>62</v>
      </c>
      <c r="F11" s="2" t="s">
        <v>63</v>
      </c>
      <c r="G11" s="1" t="s">
        <v>64</v>
      </c>
      <c r="I11" s="1" t="s">
        <v>37</v>
      </c>
      <c r="J11" s="1" t="s">
        <v>36</v>
      </c>
      <c r="K11" s="1" t="s">
        <v>57</v>
      </c>
      <c r="P11" s="1" t="s">
        <v>0</v>
      </c>
      <c r="Q11" s="1" t="s">
        <v>61</v>
      </c>
      <c r="R11" s="1" t="s">
        <v>62</v>
      </c>
      <c r="S11" s="2" t="s">
        <v>63</v>
      </c>
      <c r="T11" s="1" t="s">
        <v>64</v>
      </c>
      <c r="W11" s="2" t="s">
        <v>65</v>
      </c>
      <c r="X11" s="1" t="s">
        <v>68</v>
      </c>
      <c r="Y11" s="1" t="s">
        <v>69</v>
      </c>
      <c r="Z11" s="2" t="s">
        <v>70</v>
      </c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</row>
    <row r="12" spans="3:59" x14ac:dyDescent="0.25">
      <c r="C12" s="6">
        <v>25</v>
      </c>
      <c r="D12" s="21">
        <v>5.2928429999999998E-4</v>
      </c>
      <c r="E12" s="21">
        <v>4.984675E-3</v>
      </c>
      <c r="F12" s="5">
        <f>20*LOG10(D12/0.00002)</f>
        <v>28.453180323451406</v>
      </c>
      <c r="G12" s="5">
        <f>20*LOG10(E12/0.00002)</f>
        <v>47.932137039542042</v>
      </c>
      <c r="I12" s="4">
        <v>1.516869E-2</v>
      </c>
      <c r="J12" s="5">
        <f t="shared" ref="J12:J36" si="0">20*LOG10(I12/0.00002)</f>
        <v>57.59836160313079</v>
      </c>
      <c r="K12" s="2"/>
      <c r="P12" s="6">
        <v>25</v>
      </c>
      <c r="Q12" s="25">
        <v>1.8740499999999999E-3</v>
      </c>
      <c r="R12" s="25">
        <v>3.7272729999999997E-2</v>
      </c>
      <c r="S12" s="5">
        <f>20*LOG10(Q12/0.00002)</f>
        <v>39.435023561986256</v>
      </c>
      <c r="T12" s="5">
        <f>20*LOG10(R12/0.00002)</f>
        <v>65.407224153503464</v>
      </c>
      <c r="W12" s="22">
        <f>2*PI()*P12</f>
        <v>157.07963267948966</v>
      </c>
      <c r="X12" s="22">
        <f>20*LOG10(W12*$T$7/(2*$T$9*$T$8))</f>
        <v>-4.9247496542797711</v>
      </c>
      <c r="Y12" s="22">
        <f>10*LOG10(LN(1+((W12*$T$7/(2*$T$9*$T$8))^2)))</f>
        <v>-5.5445767999073157</v>
      </c>
      <c r="Z12" s="22">
        <f>-Y12+X12</f>
        <v>0.6198271456275446</v>
      </c>
      <c r="AB12" s="23">
        <v>8</v>
      </c>
      <c r="AC12" s="23">
        <v>3.6393519999999998E-4</v>
      </c>
      <c r="AD12" s="23">
        <v>3.4783349999999998E-4</v>
      </c>
      <c r="AE12" s="5">
        <f>20*LOG10(AC12/0.00002)</f>
        <v>25.199881342795063</v>
      </c>
      <c r="AF12" s="5">
        <f>20*LOG10(AD12/0.00002)</f>
        <v>24.806828222257664</v>
      </c>
      <c r="AH12" s="2" t="s">
        <v>40</v>
      </c>
      <c r="AI12" s="2">
        <v>1.08</v>
      </c>
      <c r="AJ12" s="2" t="s">
        <v>42</v>
      </c>
      <c r="AK12">
        <f>(((W12*$T$7)/(2*$T$9*$T$8))^2)</f>
        <v>0.32175480004345069</v>
      </c>
      <c r="AL12">
        <f>LN(1+AK12)</f>
        <v>0.27896024770878464</v>
      </c>
      <c r="AM12">
        <f>10*LOG10(AL12)</f>
        <v>-5.5445767999073157</v>
      </c>
      <c r="AN12">
        <f>10*LOG10(AK12)</f>
        <v>-4.9247496542797711</v>
      </c>
      <c r="AO12">
        <f>AN12-AM12</f>
        <v>0.6198271456275446</v>
      </c>
      <c r="AP12">
        <f>AN12-5</f>
        <v>-9.924749654279772</v>
      </c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</row>
    <row r="13" spans="3:59" x14ac:dyDescent="0.25">
      <c r="C13" s="6">
        <v>31.5</v>
      </c>
      <c r="D13" s="21">
        <v>1.0177039999999999E-3</v>
      </c>
      <c r="E13" s="21">
        <v>4.2388299999999999E-3</v>
      </c>
      <c r="F13" s="5">
        <f t="shared" ref="F13:F36" si="1">20*LOG10(D13/0.00002)</f>
        <v>34.131829716294419</v>
      </c>
      <c r="G13" s="5">
        <f t="shared" ref="G13:G36" si="2">20*LOG10(E13/0.00002)</f>
        <v>46.524320073935719</v>
      </c>
      <c r="I13" s="4">
        <v>3.0122360000000001E-2</v>
      </c>
      <c r="J13" s="5">
        <f t="shared" si="0"/>
        <v>63.557179978346682</v>
      </c>
      <c r="K13" s="2"/>
      <c r="P13" s="6">
        <v>31.5</v>
      </c>
      <c r="Q13" s="25">
        <v>4.5362290000000001E-3</v>
      </c>
      <c r="R13" s="25">
        <v>1.252844E-2</v>
      </c>
      <c r="S13" s="5">
        <f t="shared" ref="S13:S36" si="3">20*LOG10(Q13/0.00002)</f>
        <v>47.113299500563706</v>
      </c>
      <c r="T13" s="5">
        <f t="shared" ref="T13:T36" si="4">20*LOG10(R13/0.00002)</f>
        <v>55.937340035621716</v>
      </c>
      <c r="W13" s="24">
        <f t="shared" ref="W13:W36" si="5">2*PI()*P13</f>
        <v>197.92033717615698</v>
      </c>
      <c r="X13" s="24">
        <f t="shared" ref="X13:X36" si="6">20*LOG10(W13*$T$7/(2*$T$9*$T$8))</f>
        <v>-2.9173387519285128</v>
      </c>
      <c r="Y13" s="24">
        <f t="shared" ref="Y13:Y36" si="7">10*LOG10(LN(1+((W13*$T$7/(2*$T$9*$T$8))^2)))</f>
        <v>-3.8441691559323168</v>
      </c>
      <c r="Z13" s="24">
        <f t="shared" ref="Z13:Z36" si="8">-Y13+X13</f>
        <v>0.92683040400380401</v>
      </c>
      <c r="AB13" s="23">
        <v>10</v>
      </c>
      <c r="AC13" s="23">
        <v>5.539443E-4</v>
      </c>
      <c r="AD13" s="23">
        <v>5.4089000000000003E-4</v>
      </c>
      <c r="AE13" s="5">
        <f t="shared" ref="AE13:AE45" si="9">20*LOG10(AC13/0.00002)</f>
        <v>28.848722044870797</v>
      </c>
      <c r="AF13" s="5">
        <f t="shared" ref="AF13:AF45" si="10">20*LOG10(AD13/0.00002)</f>
        <v>28.641579131906084</v>
      </c>
      <c r="AH13" s="2" t="s">
        <v>41</v>
      </c>
      <c r="AI13" s="2">
        <v>1.76</v>
      </c>
      <c r="AJ13" s="2" t="s">
        <v>42</v>
      </c>
      <c r="AK13" s="24">
        <f t="shared" ref="AK13:AK35" si="11">((W13*$T$7/(2*$T$9*$T$8))^2)</f>
        <v>0.51081792054898234</v>
      </c>
      <c r="AL13" s="24">
        <f t="shared" ref="AL13:AL36" si="12">LN(1+AK13)</f>
        <v>0.41265117341474272</v>
      </c>
      <c r="AM13" s="24">
        <f t="shared" ref="AM13:AM36" si="13">10*LOG10(AL13)</f>
        <v>-3.8441691559323168</v>
      </c>
      <c r="AN13" s="24">
        <f t="shared" ref="AN13:AN36" si="14">10*LOG10(AK13)</f>
        <v>-2.9173387519285132</v>
      </c>
      <c r="AO13" s="24">
        <f t="shared" ref="AO13:AO36" si="15">AN13-AM13</f>
        <v>0.92683040400380357</v>
      </c>
      <c r="AP13" s="24">
        <f t="shared" ref="AP13:AP36" si="16">AN13-5</f>
        <v>-7.9173387519285132</v>
      </c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</row>
    <row r="14" spans="3:59" x14ac:dyDescent="0.25">
      <c r="C14" s="6">
        <v>40</v>
      </c>
      <c r="D14" s="21">
        <v>1.136375E-3</v>
      </c>
      <c r="E14" s="21">
        <v>9.5142460000000005E-3</v>
      </c>
      <c r="F14" s="5">
        <f t="shared" si="1"/>
        <v>35.08983350217909</v>
      </c>
      <c r="G14" s="5">
        <f t="shared" si="2"/>
        <v>53.546887613349384</v>
      </c>
      <c r="I14" s="4">
        <v>6.4724279999999995E-2</v>
      </c>
      <c r="J14" s="5">
        <f t="shared" si="0"/>
        <v>70.2007446466056</v>
      </c>
      <c r="K14" s="2"/>
      <c r="P14" s="6">
        <v>40</v>
      </c>
      <c r="Q14" s="25">
        <v>6.2844140000000003E-3</v>
      </c>
      <c r="R14" s="25">
        <v>3.7565679999999997E-2</v>
      </c>
      <c r="S14" s="5">
        <f t="shared" si="3"/>
        <v>49.94469583557202</v>
      </c>
      <c r="T14" s="5">
        <f t="shared" si="4"/>
        <v>65.475225180410149</v>
      </c>
      <c r="W14" s="24">
        <f t="shared" si="5"/>
        <v>251.32741228718345</v>
      </c>
      <c r="X14" s="24">
        <f t="shared" si="6"/>
        <v>-0.84235000116127567</v>
      </c>
      <c r="Y14" s="24">
        <f t="shared" si="7"/>
        <v>-2.2122441117832232</v>
      </c>
      <c r="Z14" s="24">
        <f t="shared" si="8"/>
        <v>1.3698941106219475</v>
      </c>
      <c r="AB14" s="23">
        <v>12.5</v>
      </c>
      <c r="AC14" s="23">
        <v>6.1419220000000002E-4</v>
      </c>
      <c r="AD14" s="23">
        <v>6.0888939999999996E-4</v>
      </c>
      <c r="AE14" s="5">
        <f t="shared" si="9"/>
        <v>29.745486022170766</v>
      </c>
      <c r="AF14" s="5">
        <f t="shared" si="10"/>
        <v>29.670168358693445</v>
      </c>
      <c r="AH14" s="2" t="s">
        <v>38</v>
      </c>
      <c r="AI14" s="2">
        <f>AI12*AI13</f>
        <v>1.9008</v>
      </c>
      <c r="AJ14" s="2" t="s">
        <v>39</v>
      </c>
      <c r="AK14" s="24">
        <f t="shared" si="11"/>
        <v>0.82369228811123374</v>
      </c>
      <c r="AL14" s="24">
        <f t="shared" si="12"/>
        <v>0.60086317572700587</v>
      </c>
      <c r="AM14" s="24">
        <f t="shared" si="13"/>
        <v>-2.2122441117832232</v>
      </c>
      <c r="AN14" s="24">
        <f t="shared" si="14"/>
        <v>-0.84235000116127601</v>
      </c>
      <c r="AO14" s="24">
        <f t="shared" si="15"/>
        <v>1.3698941106219471</v>
      </c>
      <c r="AP14" s="24">
        <f t="shared" si="16"/>
        <v>-5.8423500011612761</v>
      </c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</row>
    <row r="15" spans="3:59" x14ac:dyDescent="0.25">
      <c r="C15" s="6">
        <v>50</v>
      </c>
      <c r="D15" s="21">
        <v>4.1859009999999997E-3</v>
      </c>
      <c r="E15" s="21">
        <v>4.673857E-2</v>
      </c>
      <c r="F15" s="5">
        <f t="shared" si="1"/>
        <v>46.415179140772111</v>
      </c>
      <c r="G15" s="5">
        <f t="shared" si="2"/>
        <v>67.372908500899896</v>
      </c>
      <c r="I15" s="4">
        <v>6.6659999999999997E-2</v>
      </c>
      <c r="J15" s="5">
        <f t="shared" si="0"/>
        <v>70.4567062732106</v>
      </c>
      <c r="K15" s="2">
        <v>79.8</v>
      </c>
      <c r="L15">
        <f>4*((10^((-1)*((J15-K15)/10))))</f>
        <v>34.386610074920583</v>
      </c>
      <c r="M15" s="22">
        <f t="shared" ref="M15:M36" si="17">$G15-$F15+10*LOG10($AI$14/$L15)</f>
        <v>8.3831999530697576</v>
      </c>
      <c r="P15" s="6">
        <v>50</v>
      </c>
      <c r="Q15" s="25">
        <v>2.5021760000000001E-2</v>
      </c>
      <c r="R15" s="25">
        <v>0.19018650000000001</v>
      </c>
      <c r="S15" s="5">
        <f t="shared" si="3"/>
        <v>61.945757170211728</v>
      </c>
      <c r="T15" s="5">
        <f t="shared" si="4"/>
        <v>79.562993810505745</v>
      </c>
      <c r="U15" s="5">
        <f>-$S15+$T15+10*LOG10($AI$14/$L15)</f>
        <v>5.0427072332359888</v>
      </c>
      <c r="W15" s="24">
        <f t="shared" si="5"/>
        <v>314.15926535897933</v>
      </c>
      <c r="X15" s="24">
        <f t="shared" si="6"/>
        <v>1.0958502589998527</v>
      </c>
      <c r="Y15" s="24">
        <f t="shared" si="7"/>
        <v>-0.82363586219945562</v>
      </c>
      <c r="Z15" s="24">
        <f t="shared" si="8"/>
        <v>1.9194861211993084</v>
      </c>
      <c r="AB15" s="23">
        <v>16</v>
      </c>
      <c r="AC15" s="23">
        <v>2.9115599999999999E-4</v>
      </c>
      <c r="AD15" s="23">
        <v>3.0115019999999999E-4</v>
      </c>
      <c r="AE15" s="5">
        <f t="shared" si="9"/>
        <v>23.261914971997758</v>
      </c>
      <c r="AF15" s="5">
        <f t="shared" si="10"/>
        <v>23.555063205331027</v>
      </c>
      <c r="AK15" s="24">
        <f t="shared" si="11"/>
        <v>1.2870192001738028</v>
      </c>
      <c r="AL15" s="24">
        <f t="shared" si="12"/>
        <v>0.82724931035905558</v>
      </c>
      <c r="AM15" s="24">
        <f t="shared" si="13"/>
        <v>-0.82363586219945562</v>
      </c>
      <c r="AN15" s="24">
        <f t="shared" si="14"/>
        <v>1.0958502589998527</v>
      </c>
      <c r="AO15" s="24">
        <f t="shared" si="15"/>
        <v>1.9194861211993084</v>
      </c>
      <c r="AP15" s="24">
        <f t="shared" si="16"/>
        <v>-3.9041497410001473</v>
      </c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</row>
    <row r="16" spans="3:59" x14ac:dyDescent="0.25">
      <c r="C16" s="6">
        <v>63</v>
      </c>
      <c r="D16" s="21">
        <v>1.187876E-2</v>
      </c>
      <c r="E16" s="21">
        <v>9.9064639999999995E-2</v>
      </c>
      <c r="F16" s="5">
        <f t="shared" si="1"/>
        <v>55.474822244296654</v>
      </c>
      <c r="G16" s="5">
        <f t="shared" si="2"/>
        <v>73.897773399787013</v>
      </c>
      <c r="I16" s="4">
        <v>0.15363479999999999</v>
      </c>
      <c r="J16" s="5">
        <f t="shared" si="0"/>
        <v>77.70919207460922</v>
      </c>
      <c r="K16" s="2">
        <v>80.900000000000006</v>
      </c>
      <c r="L16" s="22">
        <f t="shared" ref="L16:L36" si="18">4*((10^((-1)*((J16-K16)/10))))</f>
        <v>8.3395148021753691</v>
      </c>
      <c r="M16" s="22">
        <f t="shared" si="17"/>
        <v>12.000907549830945</v>
      </c>
      <c r="P16" s="6">
        <v>63</v>
      </c>
      <c r="Q16" s="25">
        <v>1.0726640000000001E-2</v>
      </c>
      <c r="R16" s="25">
        <v>8.9438219999999999E-2</v>
      </c>
      <c r="S16" s="5">
        <f t="shared" si="3"/>
        <v>54.588674194298505</v>
      </c>
      <c r="T16" s="5">
        <f t="shared" si="4"/>
        <v>73.009863032658956</v>
      </c>
      <c r="U16" s="5">
        <f t="shared" ref="U16:U36" si="19">-$S16+$T16+10*LOG10($AI$14/$L16)</f>
        <v>11.999145232701036</v>
      </c>
      <c r="W16" s="24">
        <f t="shared" si="5"/>
        <v>395.84067435231395</v>
      </c>
      <c r="X16" s="24">
        <f t="shared" si="6"/>
        <v>3.1032611613511114</v>
      </c>
      <c r="Y16" s="24">
        <f t="shared" si="7"/>
        <v>0.46469077774802808</v>
      </c>
      <c r="Z16" s="24">
        <f t="shared" si="8"/>
        <v>2.6385703836030832</v>
      </c>
      <c r="AB16" s="23">
        <v>20</v>
      </c>
      <c r="AC16" s="23">
        <v>2.902642E-4</v>
      </c>
      <c r="AD16" s="23">
        <v>2.8560420000000003E-4</v>
      </c>
      <c r="AE16" s="5">
        <f t="shared" si="9"/>
        <v>23.235269587287007</v>
      </c>
      <c r="AF16" s="5">
        <f t="shared" si="10"/>
        <v>23.094691881535052</v>
      </c>
      <c r="AK16" s="24">
        <f t="shared" si="11"/>
        <v>2.0432716821959294</v>
      </c>
      <c r="AL16" s="24">
        <f t="shared" si="12"/>
        <v>1.1129331479666307</v>
      </c>
      <c r="AM16" s="24">
        <f t="shared" si="13"/>
        <v>0.46469077774802808</v>
      </c>
      <c r="AN16" s="24">
        <f t="shared" si="14"/>
        <v>3.103261161351111</v>
      </c>
      <c r="AO16" s="24">
        <f t="shared" si="15"/>
        <v>2.6385703836030827</v>
      </c>
      <c r="AP16" s="24">
        <f t="shared" si="16"/>
        <v>-1.896738838648889</v>
      </c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</row>
    <row r="17" spans="3:59" x14ac:dyDescent="0.25">
      <c r="C17" s="6">
        <v>80</v>
      </c>
      <c r="D17" s="21">
        <v>1.0740629999999999E-2</v>
      </c>
      <c r="E17" s="21">
        <v>0.10858279999999999</v>
      </c>
      <c r="F17" s="5">
        <f t="shared" si="1"/>
        <v>54.599995206540783</v>
      </c>
      <c r="G17" s="5">
        <f t="shared" si="2"/>
        <v>74.694620817064688</v>
      </c>
      <c r="I17" s="4">
        <v>0.1003739</v>
      </c>
      <c r="J17" s="5">
        <f t="shared" si="0"/>
        <v>74.011816064101893</v>
      </c>
      <c r="K17" s="2">
        <v>79.7</v>
      </c>
      <c r="L17" s="22">
        <f t="shared" si="18"/>
        <v>14.821029950986331</v>
      </c>
      <c r="M17" s="22">
        <f t="shared" si="17"/>
        <v>11.175205994357167</v>
      </c>
      <c r="P17" s="6">
        <v>80</v>
      </c>
      <c r="Q17" s="25">
        <v>1.0012450000000001E-2</v>
      </c>
      <c r="R17" s="25">
        <v>8.8814110000000002E-2</v>
      </c>
      <c r="S17" s="5">
        <f t="shared" si="3"/>
        <v>53.990207293228806</v>
      </c>
      <c r="T17" s="5">
        <f t="shared" si="4"/>
        <v>72.949039449216045</v>
      </c>
      <c r="U17" s="5">
        <f t="shared" si="19"/>
        <v>10.0394125398205</v>
      </c>
      <c r="W17" s="24">
        <f t="shared" si="5"/>
        <v>502.6548245743669</v>
      </c>
      <c r="X17" s="24">
        <f t="shared" si="6"/>
        <v>5.1782499121183481</v>
      </c>
      <c r="Y17" s="24">
        <f t="shared" si="7"/>
        <v>1.6357811139723779</v>
      </c>
      <c r="Z17" s="24">
        <f t="shared" si="8"/>
        <v>3.5424687981459702</v>
      </c>
      <c r="AB17" s="23">
        <v>25</v>
      </c>
      <c r="AC17" s="23">
        <v>7.3022020000000003E-4</v>
      </c>
      <c r="AD17" s="23">
        <v>7.783814E-4</v>
      </c>
      <c r="AE17" s="5">
        <f t="shared" si="9"/>
        <v>31.248476939114887</v>
      </c>
      <c r="AF17" s="5">
        <f t="shared" si="10"/>
        <v>31.803249078640672</v>
      </c>
      <c r="AK17" s="24">
        <f t="shared" si="11"/>
        <v>3.294769152444935</v>
      </c>
      <c r="AL17" s="24">
        <f t="shared" si="12"/>
        <v>1.4573978060161765</v>
      </c>
      <c r="AM17" s="24">
        <f t="shared" si="13"/>
        <v>1.6357811139723779</v>
      </c>
      <c r="AN17" s="24">
        <f t="shared" si="14"/>
        <v>5.1782499121183481</v>
      </c>
      <c r="AO17" s="24">
        <f t="shared" si="15"/>
        <v>3.5424687981459702</v>
      </c>
      <c r="AP17" s="24">
        <f t="shared" si="16"/>
        <v>0.17824991211834806</v>
      </c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</row>
    <row r="18" spans="3:59" x14ac:dyDescent="0.25">
      <c r="C18" s="6">
        <v>100</v>
      </c>
      <c r="D18" s="21">
        <v>1.708438E-2</v>
      </c>
      <c r="E18" s="21">
        <v>8.1054909999999994E-2</v>
      </c>
      <c r="F18" s="5">
        <f t="shared" si="1"/>
        <v>58.631384540209623</v>
      </c>
      <c r="G18" s="5">
        <f t="shared" si="2"/>
        <v>72.154986644703186</v>
      </c>
      <c r="I18" s="4">
        <v>9.6622029999999998E-2</v>
      </c>
      <c r="J18" s="5">
        <f t="shared" si="0"/>
        <v>73.680923239595217</v>
      </c>
      <c r="K18" s="2">
        <v>81.3</v>
      </c>
      <c r="L18" s="22">
        <f t="shared" si="18"/>
        <v>23.118926665141682</v>
      </c>
      <c r="M18" s="22">
        <f t="shared" si="17"/>
        <v>2.6732896638201513</v>
      </c>
      <c r="P18" s="6">
        <v>100</v>
      </c>
      <c r="Q18" s="25">
        <v>1.463564E-2</v>
      </c>
      <c r="R18" s="25">
        <v>7.6579380000000002E-2</v>
      </c>
      <c r="S18" s="5">
        <f t="shared" si="3"/>
        <v>57.287634454560923</v>
      </c>
      <c r="T18" s="5">
        <f t="shared" si="4"/>
        <v>71.661637004762895</v>
      </c>
      <c r="U18" s="5">
        <f t="shared" si="19"/>
        <v>3.5236901095285607</v>
      </c>
      <c r="W18" s="24">
        <f t="shared" si="5"/>
        <v>628.31853071795865</v>
      </c>
      <c r="X18" s="24">
        <f t="shared" si="6"/>
        <v>7.1164501722794764</v>
      </c>
      <c r="Y18" s="24">
        <f t="shared" si="7"/>
        <v>2.5914916055891188</v>
      </c>
      <c r="Z18" s="24">
        <f t="shared" si="8"/>
        <v>4.5249585666903576</v>
      </c>
      <c r="AB18" s="23">
        <v>31.5</v>
      </c>
      <c r="AC18" s="23">
        <v>8.2743059999999994E-5</v>
      </c>
      <c r="AD18" s="23">
        <v>7.9241229999999998E-5</v>
      </c>
      <c r="AE18" s="5">
        <f t="shared" si="9"/>
        <v>12.33403164501706</v>
      </c>
      <c r="AF18" s="5">
        <f t="shared" si="10"/>
        <v>11.958424249408178</v>
      </c>
      <c r="AK18" s="24">
        <f t="shared" si="11"/>
        <v>5.1480768006952111</v>
      </c>
      <c r="AL18" s="24">
        <f t="shared" si="12"/>
        <v>1.8161393175786784</v>
      </c>
      <c r="AM18" s="24">
        <f t="shared" si="13"/>
        <v>2.5914916055891188</v>
      </c>
      <c r="AN18" s="24">
        <f t="shared" si="14"/>
        <v>7.1164501722794764</v>
      </c>
      <c r="AO18" s="24">
        <f t="shared" si="15"/>
        <v>4.5249585666903576</v>
      </c>
      <c r="AP18" s="24">
        <f t="shared" si="16"/>
        <v>2.1164501722794764</v>
      </c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</row>
    <row r="19" spans="3:59" x14ac:dyDescent="0.25">
      <c r="C19" s="6">
        <v>125</v>
      </c>
      <c r="D19" s="21">
        <v>2.0865959999999999E-2</v>
      </c>
      <c r="E19" s="21">
        <v>0.20815020000000001</v>
      </c>
      <c r="F19" s="5">
        <f t="shared" si="1"/>
        <v>60.368167496825755</v>
      </c>
      <c r="G19" s="5">
        <f t="shared" si="2"/>
        <v>80.346936736970648</v>
      </c>
      <c r="I19" s="4">
        <v>6.4295969999999994E-2</v>
      </c>
      <c r="J19" s="5">
        <f t="shared" si="0"/>
        <v>70.143075140348998</v>
      </c>
      <c r="K19" s="2">
        <v>79.8</v>
      </c>
      <c r="L19" s="22">
        <f t="shared" si="18"/>
        <v>36.96174591876008</v>
      </c>
      <c r="M19" s="22">
        <f t="shared" si="17"/>
        <v>7.090608700225264</v>
      </c>
      <c r="P19" s="6">
        <v>125</v>
      </c>
      <c r="Q19" s="25">
        <v>1.390395E-2</v>
      </c>
      <c r="R19" s="25">
        <v>0.1455806</v>
      </c>
      <c r="S19" s="5">
        <f t="shared" si="3"/>
        <v>56.842164033537259</v>
      </c>
      <c r="T19" s="5">
        <f t="shared" si="4"/>
        <v>77.241470185944735</v>
      </c>
      <c r="U19" s="5">
        <f t="shared" si="19"/>
        <v>7.511145612487848</v>
      </c>
      <c r="W19" s="24">
        <f t="shared" si="5"/>
        <v>785.39816339744823</v>
      </c>
      <c r="X19" s="24">
        <f t="shared" si="6"/>
        <v>9.0546504324406047</v>
      </c>
      <c r="Y19" s="24">
        <f t="shared" si="7"/>
        <v>3.4283450862172264</v>
      </c>
      <c r="Z19" s="24">
        <f t="shared" si="8"/>
        <v>5.6263053462233783</v>
      </c>
      <c r="AB19" s="23">
        <v>40</v>
      </c>
      <c r="AC19" s="23">
        <v>2.7986889999999999E-4</v>
      </c>
      <c r="AD19" s="23">
        <v>2.9044280000000002E-4</v>
      </c>
      <c r="AE19" s="5">
        <f t="shared" si="9"/>
        <v>22.918492903574371</v>
      </c>
      <c r="AF19" s="5">
        <f t="shared" si="10"/>
        <v>23.240612384733126</v>
      </c>
      <c r="AK19" s="24">
        <f t="shared" si="11"/>
        <v>8.0438700010862689</v>
      </c>
      <c r="AL19" s="24">
        <f t="shared" si="12"/>
        <v>2.2020871802618043</v>
      </c>
      <c r="AM19" s="24">
        <f t="shared" si="13"/>
        <v>3.4283450862172264</v>
      </c>
      <c r="AN19" s="24">
        <f t="shared" si="14"/>
        <v>9.0546504324406047</v>
      </c>
      <c r="AO19" s="24">
        <f t="shared" si="15"/>
        <v>5.6263053462233783</v>
      </c>
      <c r="AP19" s="24">
        <f t="shared" si="16"/>
        <v>4.0546504324406047</v>
      </c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</row>
    <row r="20" spans="3:59" x14ac:dyDescent="0.25">
      <c r="C20" s="6">
        <v>160</v>
      </c>
      <c r="D20" s="21">
        <v>1.319436E-2</v>
      </c>
      <c r="E20" s="21">
        <v>0.22244849999999999</v>
      </c>
      <c r="F20" s="5">
        <f t="shared" si="1"/>
        <v>56.38716667400039</v>
      </c>
      <c r="G20" s="5">
        <f t="shared" si="2"/>
        <v>80.923989718483085</v>
      </c>
      <c r="I20" s="4">
        <v>7.2675429999999999E-2</v>
      </c>
      <c r="J20" s="5">
        <f t="shared" si="0"/>
        <v>71.207152287678326</v>
      </c>
      <c r="K20" s="2">
        <v>80.099999999999994</v>
      </c>
      <c r="L20" s="22">
        <f t="shared" si="18"/>
        <v>30.998791466875019</v>
      </c>
      <c r="M20" s="22">
        <f t="shared" si="17"/>
        <v>12.412739651892398</v>
      </c>
      <c r="P20" s="6">
        <v>160</v>
      </c>
      <c r="Q20" s="25">
        <v>8.390036E-3</v>
      </c>
      <c r="R20" s="25">
        <v>0.1361416</v>
      </c>
      <c r="S20" s="5">
        <f t="shared" si="3"/>
        <v>52.454676572824312</v>
      </c>
      <c r="T20" s="5">
        <f t="shared" si="4"/>
        <v>76.659217093344765</v>
      </c>
      <c r="U20" s="5">
        <f t="shared" si="19"/>
        <v>12.080457127930156</v>
      </c>
      <c r="W20" s="24">
        <f t="shared" si="5"/>
        <v>1005.3096491487338</v>
      </c>
      <c r="X20" s="24">
        <f t="shared" si="6"/>
        <v>11.198849825397971</v>
      </c>
      <c r="Y20" s="24">
        <f t="shared" si="7"/>
        <v>4.2353542719141055</v>
      </c>
      <c r="Z20" s="24">
        <f t="shared" si="8"/>
        <v>6.9634955534838658</v>
      </c>
      <c r="AB20" s="23">
        <v>50</v>
      </c>
      <c r="AC20" s="23">
        <v>3.996968E-4</v>
      </c>
      <c r="AD20" s="23">
        <v>4.1254399999999999E-4</v>
      </c>
      <c r="AE20" s="5">
        <f t="shared" si="9"/>
        <v>26.01401351237255</v>
      </c>
      <c r="AF20" s="5">
        <f t="shared" si="10"/>
        <v>26.288805589924429</v>
      </c>
      <c r="AK20" s="24">
        <f t="shared" si="11"/>
        <v>13.17907660977974</v>
      </c>
      <c r="AL20" s="24">
        <f t="shared" si="12"/>
        <v>2.6517673997861548</v>
      </c>
      <c r="AM20" s="24">
        <f t="shared" si="13"/>
        <v>4.2353542719141055</v>
      </c>
      <c r="AN20" s="24">
        <f t="shared" si="14"/>
        <v>11.198849825397971</v>
      </c>
      <c r="AO20" s="24">
        <f t="shared" si="15"/>
        <v>6.9634955534838658</v>
      </c>
      <c r="AP20" s="24">
        <f t="shared" si="16"/>
        <v>6.1988498253979714</v>
      </c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</row>
    <row r="21" spans="3:59" x14ac:dyDescent="0.25">
      <c r="C21" s="6">
        <v>200</v>
      </c>
      <c r="D21" s="21">
        <v>1.46535E-2</v>
      </c>
      <c r="E21" s="21">
        <v>0.22443569999999999</v>
      </c>
      <c r="F21" s="5">
        <f t="shared" si="1"/>
        <v>57.29822745989761</v>
      </c>
      <c r="G21" s="5">
        <f t="shared" si="2"/>
        <v>81.001238874573716</v>
      </c>
      <c r="I21" s="4">
        <v>7.5539309999999998E-2</v>
      </c>
      <c r="J21" s="5">
        <f t="shared" si="0"/>
        <v>71.542860357243882</v>
      </c>
      <c r="K21" s="2">
        <v>80.599999999999994</v>
      </c>
      <c r="L21" s="22">
        <f t="shared" si="18"/>
        <v>32.193927048266723</v>
      </c>
      <c r="M21" s="22">
        <f t="shared" si="17"/>
        <v>11.414636091651364</v>
      </c>
      <c r="P21" s="6">
        <v>200</v>
      </c>
      <c r="Q21" s="25">
        <v>9.5218530000000003E-3</v>
      </c>
      <c r="R21" s="25">
        <v>0.1242206</v>
      </c>
      <c r="S21" s="5">
        <f t="shared" si="3"/>
        <v>53.553829536271067</v>
      </c>
      <c r="T21" s="5">
        <f t="shared" si="4"/>
        <v>75.863272538873318</v>
      </c>
      <c r="U21" s="5">
        <f t="shared" si="19"/>
        <v>10.021067679577509</v>
      </c>
      <c r="W21" s="24">
        <f t="shared" si="5"/>
        <v>1256.6370614359173</v>
      </c>
      <c r="X21" s="24">
        <f t="shared" si="6"/>
        <v>13.137050085559101</v>
      </c>
      <c r="Y21" s="24">
        <f t="shared" si="7"/>
        <v>4.8746886567025065</v>
      </c>
      <c r="Z21" s="24">
        <f t="shared" si="8"/>
        <v>8.262361428856595</v>
      </c>
      <c r="AB21" s="23">
        <v>63</v>
      </c>
      <c r="AC21" s="23">
        <v>3.6846589999999999E-4</v>
      </c>
      <c r="AD21" s="23">
        <v>3.531036E-4</v>
      </c>
      <c r="AE21" s="5">
        <f t="shared" si="9"/>
        <v>25.307346124538299</v>
      </c>
      <c r="AF21" s="5">
        <f t="shared" si="10"/>
        <v>24.937442993754892</v>
      </c>
      <c r="AK21" s="24">
        <f t="shared" si="11"/>
        <v>20.592307202780844</v>
      </c>
      <c r="AL21" s="24">
        <f t="shared" si="12"/>
        <v>3.072337103234946</v>
      </c>
      <c r="AM21" s="24">
        <f t="shared" si="13"/>
        <v>4.8746886567025065</v>
      </c>
      <c r="AN21" s="24">
        <f t="shared" si="14"/>
        <v>13.137050085559101</v>
      </c>
      <c r="AO21" s="24">
        <f t="shared" si="15"/>
        <v>8.262361428856595</v>
      </c>
      <c r="AP21" s="24">
        <f t="shared" si="16"/>
        <v>8.1370500855591015</v>
      </c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</row>
    <row r="22" spans="3:59" x14ac:dyDescent="0.25">
      <c r="C22" s="6">
        <v>250</v>
      </c>
      <c r="D22" s="21">
        <v>1.5662280000000001E-2</v>
      </c>
      <c r="E22" s="21">
        <v>0.2161814</v>
      </c>
      <c r="F22" s="5">
        <f t="shared" si="1"/>
        <v>57.876499761392367</v>
      </c>
      <c r="G22" s="5">
        <f t="shared" si="2"/>
        <v>80.67576658721984</v>
      </c>
      <c r="I22" s="4">
        <v>9.9771230000000002E-2</v>
      </c>
      <c r="J22" s="5">
        <f t="shared" si="0"/>
        <v>73.959506613159533</v>
      </c>
      <c r="K22" s="2">
        <v>80.3</v>
      </c>
      <c r="L22" s="22">
        <f t="shared" si="18"/>
        <v>17.223020955975709</v>
      </c>
      <c r="M22" s="22">
        <f t="shared" si="17"/>
        <v>13.22753775871838</v>
      </c>
      <c r="P22" s="6">
        <v>250</v>
      </c>
      <c r="Q22" s="25">
        <v>1.006051E-2</v>
      </c>
      <c r="R22" s="25">
        <v>0.14362520000000001</v>
      </c>
      <c r="S22" s="5">
        <f t="shared" si="3"/>
        <v>54.031800028298761</v>
      </c>
      <c r="T22" s="5">
        <f t="shared" si="4"/>
        <v>77.124013015872407</v>
      </c>
      <c r="U22" s="5">
        <f t="shared" si="19"/>
        <v>13.520483920464553</v>
      </c>
      <c r="W22" s="24">
        <f t="shared" si="5"/>
        <v>1570.7963267948965</v>
      </c>
      <c r="X22" s="24">
        <f t="shared" si="6"/>
        <v>15.07525034572023</v>
      </c>
      <c r="Y22" s="24">
        <f t="shared" si="7"/>
        <v>5.4429270867972157</v>
      </c>
      <c r="Z22" s="24">
        <f t="shared" si="8"/>
        <v>9.6323232589230141</v>
      </c>
      <c r="AB22" s="23">
        <v>80</v>
      </c>
      <c r="AC22" s="23">
        <v>1.2903799999999999E-4</v>
      </c>
      <c r="AD22" s="23">
        <v>1.2544539999999999E-4</v>
      </c>
      <c r="AE22" s="5">
        <f t="shared" si="9"/>
        <v>16.193752550083204</v>
      </c>
      <c r="AF22" s="5">
        <f t="shared" si="10"/>
        <v>15.948494899733841</v>
      </c>
      <c r="AK22" s="24">
        <f t="shared" si="11"/>
        <v>32.175480004345076</v>
      </c>
      <c r="AL22" s="24">
        <f t="shared" si="12"/>
        <v>3.5018110489710232</v>
      </c>
      <c r="AM22" s="24">
        <f t="shared" si="13"/>
        <v>5.4429270867972157</v>
      </c>
      <c r="AN22" s="24">
        <f t="shared" si="14"/>
        <v>15.07525034572023</v>
      </c>
      <c r="AO22" s="24">
        <f t="shared" si="15"/>
        <v>9.6323232589230141</v>
      </c>
      <c r="AP22" s="24">
        <f t="shared" si="16"/>
        <v>10.07525034572023</v>
      </c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</row>
    <row r="23" spans="3:59" x14ac:dyDescent="0.25">
      <c r="C23" s="6">
        <v>315</v>
      </c>
      <c r="D23" s="21">
        <v>1.6941979999999999E-2</v>
      </c>
      <c r="E23" s="21">
        <v>0.23154159999999999</v>
      </c>
      <c r="F23" s="5">
        <f t="shared" si="1"/>
        <v>58.55868338114071</v>
      </c>
      <c r="G23" s="5">
        <f t="shared" si="2"/>
        <v>81.271980687309494</v>
      </c>
      <c r="I23" s="4">
        <v>9.3267459999999996E-2</v>
      </c>
      <c r="J23" s="5">
        <f t="shared" si="0"/>
        <v>73.37400307796446</v>
      </c>
      <c r="K23" s="2">
        <v>80</v>
      </c>
      <c r="L23" s="22">
        <f t="shared" si="18"/>
        <v>18.393301234956819</v>
      </c>
      <c r="M23" s="22">
        <f t="shared" si="17"/>
        <v>12.856064703864615</v>
      </c>
      <c r="P23" s="6">
        <v>315</v>
      </c>
      <c r="Q23" s="25">
        <v>8.6943950000000006E-3</v>
      </c>
      <c r="R23" s="25">
        <v>0.14021980000000001</v>
      </c>
      <c r="S23" s="5">
        <f t="shared" si="3"/>
        <v>52.764187426369034</v>
      </c>
      <c r="T23" s="5">
        <f t="shared" si="4"/>
        <v>76.915586953283523</v>
      </c>
      <c r="U23" s="5">
        <f t="shared" si="19"/>
        <v>14.29416692461032</v>
      </c>
      <c r="W23" s="24">
        <f t="shared" si="5"/>
        <v>1979.2033717615698</v>
      </c>
      <c r="X23" s="24">
        <f t="shared" si="6"/>
        <v>17.082661248071489</v>
      </c>
      <c r="Y23" s="24">
        <f t="shared" si="7"/>
        <v>5.9690653364260795</v>
      </c>
      <c r="Z23" s="24">
        <f t="shared" si="8"/>
        <v>11.113595911645408</v>
      </c>
      <c r="AB23" s="23">
        <v>100</v>
      </c>
      <c r="AC23" s="23">
        <v>1.4298539999999999E-4</v>
      </c>
      <c r="AD23" s="23">
        <v>1.4895739999999999E-4</v>
      </c>
      <c r="AE23" s="5">
        <f t="shared" si="9"/>
        <v>17.085233979637852</v>
      </c>
      <c r="AF23" s="5">
        <f t="shared" si="10"/>
        <v>17.440641751583406</v>
      </c>
      <c r="AK23" s="24">
        <f t="shared" si="11"/>
        <v>51.081792054898237</v>
      </c>
      <c r="AL23" s="24">
        <f t="shared" si="12"/>
        <v>3.9528154069645791</v>
      </c>
      <c r="AM23" s="24">
        <f t="shared" si="13"/>
        <v>5.9690653364260795</v>
      </c>
      <c r="AN23" s="24">
        <f t="shared" si="14"/>
        <v>17.082661248071489</v>
      </c>
      <c r="AO23" s="24">
        <f t="shared" si="15"/>
        <v>11.113595911645408</v>
      </c>
      <c r="AP23" s="24">
        <f t="shared" si="16"/>
        <v>12.082661248071489</v>
      </c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</row>
    <row r="24" spans="3:59" x14ac:dyDescent="0.25">
      <c r="C24" s="6">
        <v>400</v>
      </c>
      <c r="D24" s="21">
        <v>1.433713E-2</v>
      </c>
      <c r="E24" s="21">
        <v>0.24277799999999999</v>
      </c>
      <c r="F24" s="5">
        <f t="shared" si="1"/>
        <v>57.108644550023868</v>
      </c>
      <c r="G24" s="5">
        <f t="shared" si="2"/>
        <v>81.683586674530119</v>
      </c>
      <c r="I24" s="4">
        <v>0.10437780000000001</v>
      </c>
      <c r="J24" s="5">
        <f t="shared" si="0"/>
        <v>74.351562864120268</v>
      </c>
      <c r="K24" s="2">
        <v>79.900000000000006</v>
      </c>
      <c r="L24" s="22">
        <f t="shared" si="18"/>
        <v>14.351711809747272</v>
      </c>
      <c r="M24" s="22">
        <f t="shared" si="17"/>
        <v>15.795269308357884</v>
      </c>
      <c r="P24" s="6">
        <v>400</v>
      </c>
      <c r="Q24" s="25">
        <v>7.4005579999999998E-3</v>
      </c>
      <c r="R24" s="25">
        <v>0.1335557</v>
      </c>
      <c r="S24" s="5">
        <f t="shared" si="3"/>
        <v>51.364689419676722</v>
      </c>
      <c r="T24" s="5">
        <f t="shared" si="4"/>
        <v>76.49264864532023</v>
      </c>
      <c r="U24" s="5">
        <f t="shared" si="19"/>
        <v>16.348286409495142</v>
      </c>
      <c r="W24" s="24">
        <f t="shared" si="5"/>
        <v>2513.2741228718346</v>
      </c>
      <c r="X24" s="24">
        <f t="shared" si="6"/>
        <v>19.157649998838725</v>
      </c>
      <c r="Y24" s="24">
        <f t="shared" si="7"/>
        <v>6.4574436122850631</v>
      </c>
      <c r="Z24" s="24">
        <f t="shared" si="8"/>
        <v>12.700206386553662</v>
      </c>
      <c r="AB24" s="23">
        <v>125</v>
      </c>
      <c r="AC24" s="23">
        <v>5.365465E-4</v>
      </c>
      <c r="AD24" s="23">
        <v>5.5274299999999996E-4</v>
      </c>
      <c r="AE24" s="5">
        <f t="shared" si="9"/>
        <v>28.571547411204993</v>
      </c>
      <c r="AF24" s="5">
        <f t="shared" si="10"/>
        <v>28.829865113341082</v>
      </c>
      <c r="AK24" s="24">
        <f t="shared" si="11"/>
        <v>82.369228811123378</v>
      </c>
      <c r="AL24" s="24">
        <f t="shared" si="12"/>
        <v>4.423279282183306</v>
      </c>
      <c r="AM24" s="24">
        <f t="shared" si="13"/>
        <v>6.4574436122850631</v>
      </c>
      <c r="AN24" s="24">
        <f t="shared" si="14"/>
        <v>19.157649998838725</v>
      </c>
      <c r="AO24" s="24">
        <f t="shared" si="15"/>
        <v>12.700206386553662</v>
      </c>
      <c r="AP24" s="24">
        <f t="shared" si="16"/>
        <v>14.157649998838725</v>
      </c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</row>
    <row r="25" spans="3:59" x14ac:dyDescent="0.25">
      <c r="C25" s="6">
        <v>500</v>
      </c>
      <c r="D25" s="21">
        <v>1.0131879999999999E-2</v>
      </c>
      <c r="E25" s="21">
        <v>0.20173830000000001</v>
      </c>
      <c r="F25" s="5">
        <f t="shared" si="1"/>
        <v>54.093200835726094</v>
      </c>
      <c r="G25" s="5">
        <f t="shared" si="2"/>
        <v>80.075167222976148</v>
      </c>
      <c r="I25" s="4">
        <v>0.1098789</v>
      </c>
      <c r="J25" s="5">
        <f t="shared" si="0"/>
        <v>74.797686147500599</v>
      </c>
      <c r="K25" s="2">
        <v>80.099999999999994</v>
      </c>
      <c r="L25" s="22">
        <f t="shared" si="18"/>
        <v>13.560989402464738</v>
      </c>
      <c r="M25" s="22">
        <f t="shared" si="17"/>
        <v>17.44841685448203</v>
      </c>
      <c r="P25" s="6">
        <v>500</v>
      </c>
      <c r="Q25" s="25">
        <v>6.8921360000000001E-3</v>
      </c>
      <c r="R25" s="25">
        <v>0.1407159</v>
      </c>
      <c r="S25" s="5">
        <f t="shared" si="3"/>
        <v>50.74647685941602</v>
      </c>
      <c r="T25" s="5">
        <f t="shared" si="4"/>
        <v>76.946263541047287</v>
      </c>
      <c r="U25" s="5">
        <f t="shared" si="19"/>
        <v>17.666237148863242</v>
      </c>
      <c r="W25" s="24">
        <f t="shared" si="5"/>
        <v>3141.5926535897929</v>
      </c>
      <c r="X25" s="24">
        <f t="shared" si="6"/>
        <v>21.095850258999853</v>
      </c>
      <c r="Y25" s="24">
        <f t="shared" si="7"/>
        <v>6.8710417001439739</v>
      </c>
      <c r="Z25" s="24">
        <f t="shared" si="8"/>
        <v>14.22480855885588</v>
      </c>
      <c r="AB25" s="23">
        <v>160</v>
      </c>
      <c r="AC25" s="23">
        <v>1.043104E-4</v>
      </c>
      <c r="AD25" s="23">
        <v>1.028978E-4</v>
      </c>
      <c r="AE25" s="5">
        <f t="shared" si="9"/>
        <v>14.345952302699354</v>
      </c>
      <c r="AF25" s="5">
        <f t="shared" si="10"/>
        <v>14.22752187583219</v>
      </c>
      <c r="AK25" s="24">
        <f t="shared" si="11"/>
        <v>128.7019200173803</v>
      </c>
      <c r="AL25" s="24">
        <f t="shared" si="12"/>
        <v>4.8652388947392753</v>
      </c>
      <c r="AM25" s="24">
        <f t="shared" si="13"/>
        <v>6.8710417001439739</v>
      </c>
      <c r="AN25" s="24">
        <f t="shared" si="14"/>
        <v>21.095850258999853</v>
      </c>
      <c r="AO25" s="24">
        <f t="shared" si="15"/>
        <v>14.22480855885588</v>
      </c>
      <c r="AP25" s="24">
        <f t="shared" si="16"/>
        <v>16.095850258999853</v>
      </c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</row>
    <row r="26" spans="3:59" x14ac:dyDescent="0.25">
      <c r="C26" s="6">
        <v>630</v>
      </c>
      <c r="D26" s="21">
        <v>1.3998160000000001E-2</v>
      </c>
      <c r="E26" s="21">
        <v>0.31771769999999999</v>
      </c>
      <c r="F26" s="5">
        <f t="shared" si="1"/>
        <v>56.900819151194128</v>
      </c>
      <c r="G26" s="5">
        <f t="shared" si="2"/>
        <v>84.020228286203491</v>
      </c>
      <c r="I26" s="4">
        <v>0.1230453</v>
      </c>
      <c r="J26" s="5">
        <f t="shared" si="0"/>
        <v>75.780700676176465</v>
      </c>
      <c r="K26" s="2">
        <v>80.599999999999994</v>
      </c>
      <c r="L26" s="22">
        <f t="shared" si="18"/>
        <v>12.133606983326525</v>
      </c>
      <c r="M26" s="22">
        <f t="shared" si="17"/>
        <v>19.068874130917205</v>
      </c>
      <c r="P26" s="6">
        <v>630</v>
      </c>
      <c r="Q26" s="25">
        <v>6.640544E-3</v>
      </c>
      <c r="R26" s="25">
        <v>0.16089129999999999</v>
      </c>
      <c r="S26" s="5">
        <f t="shared" si="3"/>
        <v>50.423473259986508</v>
      </c>
      <c r="T26" s="5">
        <f t="shared" si="4"/>
        <v>78.110051302554808</v>
      </c>
      <c r="U26" s="5">
        <f t="shared" si="19"/>
        <v>19.636043038476142</v>
      </c>
      <c r="W26" s="24">
        <f t="shared" si="5"/>
        <v>3958.4067435231395</v>
      </c>
      <c r="X26" s="24">
        <f t="shared" si="6"/>
        <v>23.103261161351114</v>
      </c>
      <c r="Y26" s="24">
        <f t="shared" si="7"/>
        <v>7.262873670571941</v>
      </c>
      <c r="Z26" s="24">
        <f t="shared" si="8"/>
        <v>15.840387490779172</v>
      </c>
      <c r="AB26" s="23">
        <v>200</v>
      </c>
      <c r="AC26" s="23">
        <v>1.3063039999999999E-4</v>
      </c>
      <c r="AD26" s="23">
        <v>1.326241E-4</v>
      </c>
      <c r="AE26" s="5">
        <f t="shared" si="9"/>
        <v>16.300285220585273</v>
      </c>
      <c r="AF26" s="5">
        <f t="shared" si="10"/>
        <v>16.431849081819166</v>
      </c>
      <c r="AK26" s="24">
        <f t="shared" si="11"/>
        <v>204.32716821959295</v>
      </c>
      <c r="AL26" s="24">
        <f t="shared" si="12"/>
        <v>5.3246046495100741</v>
      </c>
      <c r="AM26" s="24">
        <f t="shared" si="13"/>
        <v>7.262873670571941</v>
      </c>
      <c r="AN26" s="24">
        <f t="shared" si="14"/>
        <v>23.103261161351114</v>
      </c>
      <c r="AO26" s="24">
        <f t="shared" si="15"/>
        <v>15.840387490779172</v>
      </c>
      <c r="AP26" s="24">
        <f t="shared" si="16"/>
        <v>18.103261161351114</v>
      </c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</row>
    <row r="27" spans="3:59" x14ac:dyDescent="0.25">
      <c r="C27" s="6">
        <v>800</v>
      </c>
      <c r="D27" s="21">
        <v>1.6587939999999999E-2</v>
      </c>
      <c r="E27" s="21">
        <v>0.4281045</v>
      </c>
      <c r="F27" s="5">
        <f t="shared" si="1"/>
        <v>58.375249203009894</v>
      </c>
      <c r="G27" s="5">
        <f t="shared" si="2"/>
        <v>86.610395945200409</v>
      </c>
      <c r="I27" s="4">
        <v>0.16032009999999999</v>
      </c>
      <c r="J27" s="5">
        <f t="shared" si="0"/>
        <v>78.07915958830705</v>
      </c>
      <c r="K27" s="2">
        <v>82.4</v>
      </c>
      <c r="L27" s="22">
        <f t="shared" si="18"/>
        <v>10.817926651912007</v>
      </c>
      <c r="M27" s="22">
        <f t="shared" si="17"/>
        <v>20.683070650228931</v>
      </c>
      <c r="P27" s="6">
        <v>800</v>
      </c>
      <c r="Q27" s="25">
        <v>7.6242749999999998E-3</v>
      </c>
      <c r="R27" s="25">
        <v>0.2092977</v>
      </c>
      <c r="S27" s="5">
        <f t="shared" si="3"/>
        <v>51.623371136357825</v>
      </c>
      <c r="T27" s="5">
        <f t="shared" si="4"/>
        <v>80.394689203632979</v>
      </c>
      <c r="U27" s="5">
        <f t="shared" si="19"/>
        <v>21.219241975313569</v>
      </c>
      <c r="W27" s="24">
        <f t="shared" si="5"/>
        <v>5026.5482457436692</v>
      </c>
      <c r="X27" s="24">
        <f t="shared" si="6"/>
        <v>25.17824991211835</v>
      </c>
      <c r="Y27" s="24">
        <f t="shared" si="7"/>
        <v>7.6346818707079658</v>
      </c>
      <c r="Z27" s="24">
        <f t="shared" si="8"/>
        <v>17.543568041410385</v>
      </c>
      <c r="AB27" s="23">
        <v>250</v>
      </c>
      <c r="AC27" s="23">
        <v>6.3793360000000002E-5</v>
      </c>
      <c r="AD27" s="23">
        <v>6.4422899999999996E-5</v>
      </c>
      <c r="AE27" s="5">
        <f t="shared" si="9"/>
        <v>10.074909628092861</v>
      </c>
      <c r="AF27" s="5">
        <f t="shared" si="10"/>
        <v>10.160205500942073</v>
      </c>
      <c r="AK27" s="24">
        <f t="shared" si="11"/>
        <v>329.47691524449351</v>
      </c>
      <c r="AL27" s="24">
        <f t="shared" si="12"/>
        <v>5.8005368088779568</v>
      </c>
      <c r="AM27" s="24">
        <f t="shared" si="13"/>
        <v>7.6346818707079658</v>
      </c>
      <c r="AN27" s="24">
        <f t="shared" si="14"/>
        <v>25.17824991211835</v>
      </c>
      <c r="AO27" s="24">
        <f t="shared" si="15"/>
        <v>17.543568041410385</v>
      </c>
      <c r="AP27" s="24">
        <f t="shared" si="16"/>
        <v>20.17824991211835</v>
      </c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</row>
    <row r="28" spans="3:59" x14ac:dyDescent="0.25">
      <c r="C28" s="6">
        <v>1000</v>
      </c>
      <c r="D28" s="21">
        <v>1.635437E-2</v>
      </c>
      <c r="E28" s="21">
        <v>0.54993060000000005</v>
      </c>
      <c r="F28" s="5">
        <f t="shared" si="1"/>
        <v>58.252076466159373</v>
      </c>
      <c r="G28" s="5">
        <f t="shared" si="2"/>
        <v>88.785557806104663</v>
      </c>
      <c r="I28" s="4">
        <v>0.18516150000000001</v>
      </c>
      <c r="J28" s="5">
        <f t="shared" si="0"/>
        <v>79.330413893926575</v>
      </c>
      <c r="K28" s="2">
        <v>83.3</v>
      </c>
      <c r="L28" s="22">
        <f t="shared" si="18"/>
        <v>9.9774279876459726</v>
      </c>
      <c r="M28" s="22">
        <f t="shared" si="17"/>
        <v>23.332659553603239</v>
      </c>
      <c r="P28" s="6">
        <v>1000</v>
      </c>
      <c r="Q28" s="25">
        <v>7.8958729999999994E-3</v>
      </c>
      <c r="R28" s="25">
        <v>0.2459315</v>
      </c>
      <c r="S28" s="5">
        <f t="shared" si="3"/>
        <v>51.927403174169896</v>
      </c>
      <c r="T28" s="5">
        <f t="shared" si="4"/>
        <v>81.795683260114259</v>
      </c>
      <c r="U28" s="5">
        <f t="shared" si="19"/>
        <v>22.667458299602313</v>
      </c>
      <c r="W28" s="24">
        <f t="shared" si="5"/>
        <v>6283.1853071795858</v>
      </c>
      <c r="X28" s="24">
        <f t="shared" si="6"/>
        <v>27.116450172279478</v>
      </c>
      <c r="Y28" s="24">
        <f t="shared" si="7"/>
        <v>7.9558348290547718</v>
      </c>
      <c r="Z28" s="24">
        <f t="shared" si="8"/>
        <v>19.160615343224705</v>
      </c>
      <c r="AB28" s="23">
        <v>315</v>
      </c>
      <c r="AC28" s="23">
        <v>5.9955989999999999E-5</v>
      </c>
      <c r="AD28" s="23">
        <v>6.8127209999999994E-5</v>
      </c>
      <c r="AE28" s="5">
        <f t="shared" si="9"/>
        <v>9.5360516565995574</v>
      </c>
      <c r="AF28" s="5">
        <f t="shared" si="10"/>
        <v>10.645812161291374</v>
      </c>
      <c r="AK28" s="24">
        <f t="shared" si="11"/>
        <v>514.80768006952121</v>
      </c>
      <c r="AL28" s="24">
        <f t="shared" si="12"/>
        <v>6.2457339829632295</v>
      </c>
      <c r="AM28" s="24">
        <f t="shared" si="13"/>
        <v>7.9558348290547718</v>
      </c>
      <c r="AN28" s="24">
        <f t="shared" si="14"/>
        <v>27.116450172279478</v>
      </c>
      <c r="AO28" s="24">
        <f t="shared" si="15"/>
        <v>19.160615343224705</v>
      </c>
      <c r="AP28" s="24">
        <f t="shared" si="16"/>
        <v>22.116450172279478</v>
      </c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</row>
    <row r="29" spans="3:59" x14ac:dyDescent="0.25">
      <c r="C29" s="6">
        <v>1250</v>
      </c>
      <c r="D29" s="21">
        <v>1.269085E-2</v>
      </c>
      <c r="E29" s="21">
        <v>0.49949519999999997</v>
      </c>
      <c r="F29" s="5">
        <f t="shared" si="1"/>
        <v>56.049214306308684</v>
      </c>
      <c r="G29" s="5">
        <f t="shared" si="2"/>
        <v>87.950026469550821</v>
      </c>
      <c r="I29" s="4">
        <v>0.22237009999999999</v>
      </c>
      <c r="J29" s="5">
        <f t="shared" si="0"/>
        <v>80.920927914167009</v>
      </c>
      <c r="K29" s="2">
        <v>84.6</v>
      </c>
      <c r="L29" s="22">
        <f t="shared" si="18"/>
        <v>9.3318381943182143</v>
      </c>
      <c r="M29" s="22">
        <f t="shared" si="17"/>
        <v>24.990504397140523</v>
      </c>
      <c r="P29" s="6">
        <v>1250</v>
      </c>
      <c r="Q29" s="25">
        <v>7.5958570000000001E-3</v>
      </c>
      <c r="R29" s="25">
        <v>0.29300330000000002</v>
      </c>
      <c r="S29" s="5">
        <f t="shared" si="3"/>
        <v>51.590935688547894</v>
      </c>
      <c r="T29" s="5">
        <f t="shared" si="4"/>
        <v>83.316850320677617</v>
      </c>
      <c r="U29" s="5">
        <f t="shared" si="19"/>
        <v>24.815606866028109</v>
      </c>
      <c r="W29" s="24">
        <f t="shared" si="5"/>
        <v>7853.981633974483</v>
      </c>
      <c r="X29" s="24">
        <f t="shared" si="6"/>
        <v>29.054650432440603</v>
      </c>
      <c r="Y29" s="24">
        <f t="shared" si="7"/>
        <v>8.2551198840684155</v>
      </c>
      <c r="Z29" s="24">
        <f t="shared" si="8"/>
        <v>20.799530548372189</v>
      </c>
      <c r="AB29" s="23">
        <v>400</v>
      </c>
      <c r="AC29" s="23">
        <v>1.393895E-4</v>
      </c>
      <c r="AD29" s="23">
        <v>1.4422950000000001E-4</v>
      </c>
      <c r="AE29" s="5">
        <f t="shared" si="9"/>
        <v>16.864001291686431</v>
      </c>
      <c r="AF29" s="5">
        <f t="shared" si="10"/>
        <v>17.160482045693261</v>
      </c>
      <c r="AK29" s="24">
        <f t="shared" si="11"/>
        <v>804.38700010862681</v>
      </c>
      <c r="AL29" s="24">
        <f t="shared" si="12"/>
        <v>6.6913229073740341</v>
      </c>
      <c r="AM29" s="24">
        <f t="shared" si="13"/>
        <v>8.2551198840684155</v>
      </c>
      <c r="AN29" s="24">
        <f t="shared" si="14"/>
        <v>29.054650432440603</v>
      </c>
      <c r="AO29" s="24">
        <f t="shared" si="15"/>
        <v>20.799530548372189</v>
      </c>
      <c r="AP29" s="24">
        <f t="shared" si="16"/>
        <v>24.054650432440603</v>
      </c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</row>
    <row r="30" spans="3:59" x14ac:dyDescent="0.25">
      <c r="C30" s="6">
        <v>1600</v>
      </c>
      <c r="D30" s="21">
        <v>9.6421790000000007E-3</v>
      </c>
      <c r="E30" s="21">
        <v>0.44842880000000002</v>
      </c>
      <c r="F30" s="5">
        <f t="shared" si="1"/>
        <v>53.662903878344387</v>
      </c>
      <c r="G30" s="5">
        <f t="shared" si="2"/>
        <v>87.01327002777596</v>
      </c>
      <c r="I30" s="4">
        <v>0.2364687</v>
      </c>
      <c r="J30" s="5">
        <f t="shared" si="0"/>
        <v>81.454873363090428</v>
      </c>
      <c r="K30" s="2">
        <v>83.3</v>
      </c>
      <c r="L30" s="22">
        <f t="shared" si="18"/>
        <v>6.1174813640961814</v>
      </c>
      <c r="M30" s="22">
        <f t="shared" si="17"/>
        <v>28.274003832253374</v>
      </c>
      <c r="P30" s="6">
        <v>1600</v>
      </c>
      <c r="Q30" s="25">
        <v>6.7027670000000001E-3</v>
      </c>
      <c r="R30" s="25">
        <v>0.30454940000000003</v>
      </c>
      <c r="S30" s="5">
        <f t="shared" si="3"/>
        <v>50.504482543002936</v>
      </c>
      <c r="T30" s="5">
        <f t="shared" si="4"/>
        <v>83.652555051208736</v>
      </c>
      <c r="U30" s="5">
        <f t="shared" si="19"/>
        <v>28.071710191027602</v>
      </c>
      <c r="W30" s="24">
        <f t="shared" si="5"/>
        <v>10053.096491487338</v>
      </c>
      <c r="X30" s="24">
        <f t="shared" si="6"/>
        <v>31.198849825397975</v>
      </c>
      <c r="Y30" s="24">
        <f t="shared" si="7"/>
        <v>8.5640012425156833</v>
      </c>
      <c r="Z30" s="24">
        <f t="shared" si="8"/>
        <v>22.634848582882292</v>
      </c>
      <c r="AB30" s="23">
        <v>500</v>
      </c>
      <c r="AC30" s="23">
        <v>5.3882360000000002E-5</v>
      </c>
      <c r="AD30" s="23">
        <v>5.5052970000000001E-5</v>
      </c>
      <c r="AE30" s="5">
        <f t="shared" si="9"/>
        <v>8.6083322704013039</v>
      </c>
      <c r="AF30" s="5">
        <f t="shared" si="10"/>
        <v>8.7950151522647282</v>
      </c>
      <c r="AK30" s="24">
        <f t="shared" si="11"/>
        <v>1317.907660977974</v>
      </c>
      <c r="AL30" s="24">
        <f t="shared" si="12"/>
        <v>7.1845591434266716</v>
      </c>
      <c r="AM30" s="24">
        <f t="shared" si="13"/>
        <v>8.5640012425156833</v>
      </c>
      <c r="AN30" s="24">
        <f t="shared" si="14"/>
        <v>31.198849825397975</v>
      </c>
      <c r="AO30" s="24">
        <f t="shared" si="15"/>
        <v>22.634848582882292</v>
      </c>
      <c r="AP30" s="24">
        <f t="shared" si="16"/>
        <v>26.198849825397975</v>
      </c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</row>
    <row r="31" spans="3:59" x14ac:dyDescent="0.25">
      <c r="C31" s="6">
        <v>2000</v>
      </c>
      <c r="D31" s="21">
        <v>6.6692679999999999E-3</v>
      </c>
      <c r="E31" s="21">
        <v>0.37973380000000001</v>
      </c>
      <c r="F31" s="5">
        <f t="shared" si="1"/>
        <v>50.4609634786759</v>
      </c>
      <c r="G31" s="5">
        <f t="shared" si="2"/>
        <v>85.568985192548993</v>
      </c>
      <c r="I31" s="4">
        <v>0.2474954</v>
      </c>
      <c r="J31" s="5">
        <f t="shared" si="0"/>
        <v>81.850742715895407</v>
      </c>
      <c r="K31" s="2">
        <v>85.6</v>
      </c>
      <c r="L31" s="22">
        <f t="shared" si="18"/>
        <v>9.4838727837536645</v>
      </c>
      <c r="M31" s="22">
        <f t="shared" si="17"/>
        <v>28.127528749499877</v>
      </c>
      <c r="P31" s="6">
        <v>2000</v>
      </c>
      <c r="Q31" s="25">
        <v>5.4175730000000002E-3</v>
      </c>
      <c r="R31" s="25">
        <v>0.31020760000000003</v>
      </c>
      <c r="S31" s="5">
        <f t="shared" si="3"/>
        <v>48.655495526829135</v>
      </c>
      <c r="T31" s="5">
        <f t="shared" si="4"/>
        <v>83.812448760761455</v>
      </c>
      <c r="U31" s="5">
        <f t="shared" si="19"/>
        <v>28.176460269559104</v>
      </c>
      <c r="W31" s="24">
        <f t="shared" si="5"/>
        <v>12566.370614359172</v>
      </c>
      <c r="X31" s="24">
        <f t="shared" si="6"/>
        <v>33.137050085559103</v>
      </c>
      <c r="Y31" s="24">
        <f t="shared" si="7"/>
        <v>8.8255716605609145</v>
      </c>
      <c r="Z31" s="24">
        <f t="shared" si="8"/>
        <v>24.311478424998189</v>
      </c>
      <c r="AB31" s="23">
        <v>630</v>
      </c>
      <c r="AC31" s="23">
        <v>6.3054939999999994E-5</v>
      </c>
      <c r="AD31" s="23">
        <v>6.2203860000000007E-5</v>
      </c>
      <c r="AE31" s="5">
        <f t="shared" si="9"/>
        <v>9.973782422173695</v>
      </c>
      <c r="AF31" s="5">
        <f t="shared" si="10"/>
        <v>9.8557467916898407</v>
      </c>
      <c r="AK31" s="24">
        <f t="shared" si="11"/>
        <v>2059.2307202780848</v>
      </c>
      <c r="AL31" s="24">
        <f t="shared" si="12"/>
        <v>7.6305732556470725</v>
      </c>
      <c r="AM31" s="24">
        <f t="shared" si="13"/>
        <v>8.8255716605609145</v>
      </c>
      <c r="AN31" s="24">
        <f t="shared" si="14"/>
        <v>33.137050085559103</v>
      </c>
      <c r="AO31" s="24">
        <f t="shared" si="15"/>
        <v>24.311478424998189</v>
      </c>
      <c r="AP31" s="24">
        <f t="shared" si="16"/>
        <v>28.137050085559103</v>
      </c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</row>
    <row r="32" spans="3:59" x14ac:dyDescent="0.25">
      <c r="C32" s="6">
        <v>2500</v>
      </c>
      <c r="D32" s="21">
        <v>4.2413850000000003E-3</v>
      </c>
      <c r="E32" s="21">
        <v>0.30333569999999999</v>
      </c>
      <c r="F32" s="5">
        <f t="shared" si="1"/>
        <v>46.529554009324571</v>
      </c>
      <c r="G32" s="5">
        <f t="shared" si="2"/>
        <v>83.617870607513666</v>
      </c>
      <c r="I32" s="4">
        <v>0.20667869999999999</v>
      </c>
      <c r="J32" s="5">
        <f t="shared" si="0"/>
        <v>80.285314510498068</v>
      </c>
      <c r="K32" s="2">
        <v>84.2</v>
      </c>
      <c r="L32" s="22">
        <f t="shared" si="18"/>
        <v>9.8520938510948124</v>
      </c>
      <c r="M32" s="22">
        <f t="shared" si="17"/>
        <v>29.942395428418532</v>
      </c>
      <c r="P32" s="6">
        <v>2500</v>
      </c>
      <c r="Q32" s="25">
        <v>3.5149500000000002E-3</v>
      </c>
      <c r="R32" s="25">
        <v>0.25235089999999999</v>
      </c>
      <c r="S32" s="5">
        <f t="shared" si="3"/>
        <v>44.897783118340556</v>
      </c>
      <c r="T32" s="5">
        <f t="shared" si="4"/>
        <v>82.019497246068639</v>
      </c>
      <c r="U32" s="5">
        <f t="shared" si="19"/>
        <v>29.97579295795752</v>
      </c>
      <c r="W32" s="24">
        <f t="shared" si="5"/>
        <v>15707.963267948966</v>
      </c>
      <c r="X32" s="24">
        <f t="shared" si="6"/>
        <v>35.075250345720228</v>
      </c>
      <c r="Y32" s="24">
        <f t="shared" si="7"/>
        <v>9.0723317777516694</v>
      </c>
      <c r="Z32" s="24">
        <f t="shared" si="8"/>
        <v>26.002918567968557</v>
      </c>
      <c r="AB32" s="23">
        <v>800</v>
      </c>
      <c r="AC32" s="23">
        <v>9.3496410000000002E-5</v>
      </c>
      <c r="AD32" s="23">
        <v>9.2319759999999994E-5</v>
      </c>
      <c r="AE32" s="5">
        <f t="shared" si="9"/>
        <v>13.395298796764848</v>
      </c>
      <c r="AF32" s="5">
        <f t="shared" si="10"/>
        <v>13.285293422621795</v>
      </c>
      <c r="AK32" s="24">
        <f t="shared" si="11"/>
        <v>3217.5480004345072</v>
      </c>
      <c r="AL32" s="24">
        <f t="shared" si="12"/>
        <v>8.0766856052961735</v>
      </c>
      <c r="AM32" s="24">
        <f t="shared" si="13"/>
        <v>9.0723317777516694</v>
      </c>
      <c r="AN32" s="24">
        <f t="shared" si="14"/>
        <v>35.075250345720228</v>
      </c>
      <c r="AO32" s="24">
        <f t="shared" si="15"/>
        <v>26.002918567968557</v>
      </c>
      <c r="AP32" s="24">
        <f t="shared" si="16"/>
        <v>30.075250345720228</v>
      </c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</row>
    <row r="33" spans="3:59" x14ac:dyDescent="0.25">
      <c r="C33" s="6">
        <v>3150</v>
      </c>
      <c r="D33" s="21">
        <v>2.9775919999999998E-3</v>
      </c>
      <c r="E33" s="21">
        <v>0.26702819999999999</v>
      </c>
      <c r="F33" s="5">
        <f t="shared" si="1"/>
        <v>43.456703865803739</v>
      </c>
      <c r="G33" s="5">
        <f t="shared" si="2"/>
        <v>82.510542651665659</v>
      </c>
      <c r="I33" s="4">
        <v>0.16864319999999999</v>
      </c>
      <c r="J33" s="5">
        <f t="shared" si="0"/>
        <v>78.518776773445907</v>
      </c>
      <c r="K33" s="2">
        <v>83.1</v>
      </c>
      <c r="L33" s="22">
        <f t="shared" si="18"/>
        <v>11.486357100604033</v>
      </c>
      <c r="M33" s="22">
        <f t="shared" si="17"/>
        <v>31.241379879039204</v>
      </c>
      <c r="P33" s="6">
        <v>3150</v>
      </c>
      <c r="Q33" s="25">
        <v>2.2170369999999998E-3</v>
      </c>
      <c r="R33" s="25">
        <v>0.1967835</v>
      </c>
      <c r="S33" s="5">
        <f t="shared" si="3"/>
        <v>40.894858908520675</v>
      </c>
      <c r="T33" s="5">
        <f t="shared" si="4"/>
        <v>79.859173700398557</v>
      </c>
      <c r="U33" s="5">
        <f t="shared" si="19"/>
        <v>31.151855885055166</v>
      </c>
      <c r="W33" s="24">
        <f t="shared" si="5"/>
        <v>19792.033717615697</v>
      </c>
      <c r="X33" s="24">
        <f t="shared" si="6"/>
        <v>37.082661248071489</v>
      </c>
      <c r="Y33" s="24">
        <f t="shared" si="7"/>
        <v>9.3139653854372604</v>
      </c>
      <c r="Z33" s="24">
        <f t="shared" si="8"/>
        <v>27.768695862634228</v>
      </c>
      <c r="AB33" s="23">
        <v>1000</v>
      </c>
      <c r="AC33" s="23">
        <v>9.6983839999999994E-5</v>
      </c>
      <c r="AD33" s="23">
        <v>9.6621490000000002E-5</v>
      </c>
      <c r="AE33" s="5">
        <f t="shared" si="9"/>
        <v>13.71338760018935</v>
      </c>
      <c r="AF33" s="5">
        <f t="shared" si="10"/>
        <v>13.680874695867542</v>
      </c>
      <c r="AK33" s="24">
        <f t="shared" si="11"/>
        <v>5108.1792054898233</v>
      </c>
      <c r="AL33" s="24">
        <f t="shared" si="12"/>
        <v>8.5387940451473874</v>
      </c>
      <c r="AM33" s="24">
        <f t="shared" si="13"/>
        <v>9.3139653854372604</v>
      </c>
      <c r="AN33" s="24">
        <f t="shared" si="14"/>
        <v>37.082661248071489</v>
      </c>
      <c r="AO33" s="24">
        <f t="shared" si="15"/>
        <v>27.768695862634228</v>
      </c>
      <c r="AP33" s="24">
        <f t="shared" si="16"/>
        <v>32.082661248071489</v>
      </c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</row>
    <row r="34" spans="3:59" x14ac:dyDescent="0.25">
      <c r="C34" s="6">
        <v>4000</v>
      </c>
      <c r="D34" s="21">
        <v>2.4686059999999999E-3</v>
      </c>
      <c r="E34" s="21">
        <v>0.28183659999999999</v>
      </c>
      <c r="F34" s="5">
        <f t="shared" si="1"/>
        <v>41.828435691108339</v>
      </c>
      <c r="G34" s="5">
        <f t="shared" si="2"/>
        <v>82.979347906608666</v>
      </c>
      <c r="I34" s="4">
        <v>0.15982150000000001</v>
      </c>
      <c r="J34" s="5">
        <f t="shared" si="0"/>
        <v>78.052104134875592</v>
      </c>
      <c r="K34" s="2">
        <v>83</v>
      </c>
      <c r="L34" s="22">
        <f t="shared" si="18"/>
        <v>12.498260657072146</v>
      </c>
      <c r="M34" s="22">
        <f t="shared" si="17"/>
        <v>32.971780670107293</v>
      </c>
      <c r="P34" s="6">
        <v>4000</v>
      </c>
      <c r="Q34" s="25">
        <v>1.61495E-3</v>
      </c>
      <c r="R34" s="25">
        <v>0.1774588</v>
      </c>
      <c r="S34" s="5">
        <f t="shared" si="3"/>
        <v>38.142581702908089</v>
      </c>
      <c r="T34" s="5">
        <f t="shared" si="4"/>
        <v>78.961350895436823</v>
      </c>
      <c r="U34" s="5">
        <f t="shared" si="19"/>
        <v>32.6396376471357</v>
      </c>
      <c r="W34" s="24">
        <f t="shared" si="5"/>
        <v>25132.741228718343</v>
      </c>
      <c r="X34" s="24">
        <f t="shared" si="6"/>
        <v>39.157649998838721</v>
      </c>
      <c r="Y34" s="24">
        <f t="shared" si="7"/>
        <v>9.5503815626216202</v>
      </c>
      <c r="Z34" s="24">
        <f t="shared" si="8"/>
        <v>29.607268436217101</v>
      </c>
      <c r="AB34" s="23">
        <v>1250</v>
      </c>
      <c r="AC34" s="23">
        <v>1.10876E-4</v>
      </c>
      <c r="AD34" s="23">
        <v>1.0994639999999999E-4</v>
      </c>
      <c r="AE34" s="5">
        <f t="shared" si="9"/>
        <v>14.87615108264089</v>
      </c>
      <c r="AF34" s="5">
        <f t="shared" si="10"/>
        <v>14.803020361251205</v>
      </c>
      <c r="AK34" s="24">
        <f t="shared" si="11"/>
        <v>8236.9228811123394</v>
      </c>
      <c r="AL34" s="24">
        <f t="shared" si="12"/>
        <v>9.0165035135917257</v>
      </c>
      <c r="AM34" s="24">
        <f t="shared" si="13"/>
        <v>9.5503815626216202</v>
      </c>
      <c r="AN34" s="24">
        <f t="shared" si="14"/>
        <v>39.157649998838721</v>
      </c>
      <c r="AO34" s="24">
        <f t="shared" si="15"/>
        <v>29.607268436217101</v>
      </c>
      <c r="AP34" s="24">
        <f t="shared" si="16"/>
        <v>34.157649998838721</v>
      </c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</row>
    <row r="35" spans="3:59" x14ac:dyDescent="0.25">
      <c r="C35" s="6">
        <v>5000</v>
      </c>
      <c r="D35" s="21">
        <v>1.521384E-3</v>
      </c>
      <c r="E35" s="21">
        <v>0.21402579999999999</v>
      </c>
      <c r="F35" s="5">
        <f t="shared" si="1"/>
        <v>37.624176978337545</v>
      </c>
      <c r="G35" s="5">
        <f t="shared" si="2"/>
        <v>80.588722667933922</v>
      </c>
      <c r="I35" s="4">
        <v>0.1331273</v>
      </c>
      <c r="J35" s="5">
        <f t="shared" si="0"/>
        <v>76.464742567154801</v>
      </c>
      <c r="K35" s="2">
        <v>82.3</v>
      </c>
      <c r="L35" s="22">
        <f t="shared" si="18"/>
        <v>15.331538382918128</v>
      </c>
      <c r="M35" s="22">
        <f t="shared" si="17"/>
        <v>33.898052576482556</v>
      </c>
      <c r="P35" s="6">
        <v>5000</v>
      </c>
      <c r="Q35" s="25">
        <v>1.054281E-3</v>
      </c>
      <c r="R35" s="25">
        <v>0.1493989</v>
      </c>
      <c r="S35" s="5">
        <f t="shared" si="3"/>
        <v>34.438527683465324</v>
      </c>
      <c r="T35" s="5">
        <f t="shared" si="4"/>
        <v>77.466348083739192</v>
      </c>
      <c r="U35" s="5">
        <f t="shared" si="19"/>
        <v>33.961327287160046</v>
      </c>
      <c r="W35" s="24">
        <f t="shared" si="5"/>
        <v>31415.926535897932</v>
      </c>
      <c r="X35" s="24">
        <f t="shared" si="6"/>
        <v>41.095850258999853</v>
      </c>
      <c r="Y35" s="24">
        <f t="shared" si="7"/>
        <v>9.7601722486132392</v>
      </c>
      <c r="Z35" s="24">
        <f t="shared" si="8"/>
        <v>31.335678010386616</v>
      </c>
      <c r="AB35" s="23">
        <v>1600</v>
      </c>
      <c r="AC35" s="23">
        <v>8.6717370000000002E-5</v>
      </c>
      <c r="AD35" s="23">
        <v>8.7035369999999995E-5</v>
      </c>
      <c r="AE35" s="5">
        <f t="shared" si="9"/>
        <v>12.741522045374207</v>
      </c>
      <c r="AF35" s="5">
        <f t="shared" si="10"/>
        <v>12.773315684874653</v>
      </c>
      <c r="AK35" s="24">
        <f t="shared" si="11"/>
        <v>12870.192001738029</v>
      </c>
      <c r="AL35" s="24">
        <f t="shared" si="12"/>
        <v>9.4627469149289958</v>
      </c>
      <c r="AM35" s="24">
        <f t="shared" si="13"/>
        <v>9.7601722486132392</v>
      </c>
      <c r="AN35" s="24">
        <f t="shared" si="14"/>
        <v>41.095850258999853</v>
      </c>
      <c r="AO35" s="24">
        <f t="shared" si="15"/>
        <v>31.335678010386616</v>
      </c>
      <c r="AP35" s="24">
        <f t="shared" si="16"/>
        <v>36.095850258999853</v>
      </c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</row>
    <row r="36" spans="3:59" x14ac:dyDescent="0.25">
      <c r="C36" s="6">
        <v>6300</v>
      </c>
      <c r="D36" s="21">
        <v>1.5544459999999999E-3</v>
      </c>
      <c r="E36" s="21">
        <v>0.28020499999999998</v>
      </c>
      <c r="F36" s="5">
        <f t="shared" si="1"/>
        <v>37.810912879864361</v>
      </c>
      <c r="G36" s="5">
        <f t="shared" si="2"/>
        <v>82.928917698794393</v>
      </c>
      <c r="I36" s="4">
        <v>0.1106456</v>
      </c>
      <c r="J36" s="5">
        <f t="shared" si="0"/>
        <v>74.858083050501079</v>
      </c>
      <c r="K36" s="2">
        <v>81.5</v>
      </c>
      <c r="L36" s="22">
        <f t="shared" si="18"/>
        <v>18.460849691399652</v>
      </c>
      <c r="M36" s="22">
        <f t="shared" si="17"/>
        <v>35.244852189162486</v>
      </c>
      <c r="P36" s="6">
        <v>6300</v>
      </c>
      <c r="Q36" s="25">
        <v>6.9124150000000005E-4</v>
      </c>
      <c r="R36" s="25">
        <v>0.12407260000000001</v>
      </c>
      <c r="S36" s="5">
        <f t="shared" si="3"/>
        <v>30.771996165719258</v>
      </c>
      <c r="T36" s="5">
        <f t="shared" si="4"/>
        <v>75.852917750110024</v>
      </c>
      <c r="U36" s="5">
        <f t="shared" si="19"/>
        <v>35.207768954623219</v>
      </c>
      <c r="W36" s="24">
        <f t="shared" si="5"/>
        <v>39584.067435231394</v>
      </c>
      <c r="X36" s="24">
        <f t="shared" si="6"/>
        <v>43.103261161351114</v>
      </c>
      <c r="Y36" s="24">
        <f t="shared" si="7"/>
        <v>9.9672796002034119</v>
      </c>
      <c r="Z36" s="24">
        <f t="shared" si="8"/>
        <v>33.135981561147702</v>
      </c>
      <c r="AB36" s="23">
        <v>2000</v>
      </c>
      <c r="AC36" s="23">
        <v>6.7520039999999993E-5</v>
      </c>
      <c r="AD36" s="23">
        <v>6.6756870000000002E-5</v>
      </c>
      <c r="AE36" s="5">
        <f t="shared" si="9"/>
        <v>10.56805390474004</v>
      </c>
      <c r="AF36" s="5">
        <f t="shared" si="10"/>
        <v>10.469319404924688</v>
      </c>
      <c r="AK36" s="24">
        <f>((W36*$T$7/(2*$T$9*$T$8))^2)</f>
        <v>20432.716821959293</v>
      </c>
      <c r="AL36" s="24">
        <f t="shared" si="12"/>
        <v>9.9249416008758047</v>
      </c>
      <c r="AM36" s="24">
        <f t="shared" si="13"/>
        <v>9.9672796002034119</v>
      </c>
      <c r="AN36" s="24">
        <f t="shared" si="14"/>
        <v>43.103261161351114</v>
      </c>
      <c r="AO36" s="24">
        <f t="shared" si="15"/>
        <v>33.135981561147702</v>
      </c>
      <c r="AP36" s="24">
        <f t="shared" si="16"/>
        <v>38.103261161351114</v>
      </c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</row>
    <row r="37" spans="3:59" x14ac:dyDescent="0.25">
      <c r="AB37" s="23">
        <v>2500</v>
      </c>
      <c r="AC37" s="23">
        <v>5.601803E-5</v>
      </c>
      <c r="AD37" s="23">
        <v>5.5303439999999999E-5</v>
      </c>
      <c r="AE37" s="5">
        <f t="shared" si="9"/>
        <v>8.945956723000096</v>
      </c>
      <c r="AF37" s="5">
        <f t="shared" si="10"/>
        <v>8.8344430117483448</v>
      </c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</row>
    <row r="38" spans="3:59" x14ac:dyDescent="0.25">
      <c r="AB38" s="23">
        <v>3150</v>
      </c>
      <c r="AC38" s="23">
        <v>5.0153189999999999E-5</v>
      </c>
      <c r="AD38" s="23">
        <v>5.0153230000000002E-5</v>
      </c>
      <c r="AE38" s="5">
        <f t="shared" si="9"/>
        <v>7.9853713185299053</v>
      </c>
      <c r="AF38" s="5">
        <f t="shared" si="10"/>
        <v>7.9853782460144176</v>
      </c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</row>
    <row r="39" spans="3:59" x14ac:dyDescent="0.25">
      <c r="AB39" s="23">
        <v>4000</v>
      </c>
      <c r="AC39" s="23">
        <v>4.818935E-5</v>
      </c>
      <c r="AD39" s="23">
        <v>4.8493520000000001E-5</v>
      </c>
      <c r="AE39" s="5">
        <f t="shared" si="9"/>
        <v>7.6384214542813513</v>
      </c>
      <c r="AF39" s="5">
        <f t="shared" si="10"/>
        <v>7.6930742747402743</v>
      </c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</row>
    <row r="40" spans="3:59" x14ac:dyDescent="0.25">
      <c r="AB40" s="23">
        <v>5000</v>
      </c>
      <c r="AC40" s="23">
        <v>4.9568009999999998E-5</v>
      </c>
      <c r="AD40" s="23">
        <v>4.9735959999999997E-5</v>
      </c>
      <c r="AE40" s="5">
        <f t="shared" si="9"/>
        <v>7.8834297606203929</v>
      </c>
      <c r="AF40" s="5">
        <f t="shared" si="10"/>
        <v>7.912810188323899</v>
      </c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</row>
    <row r="41" spans="3:59" x14ac:dyDescent="0.25">
      <c r="AB41" s="23">
        <v>6300</v>
      </c>
      <c r="AC41" s="23">
        <v>5.3413450000000003E-5</v>
      </c>
      <c r="AD41" s="23">
        <v>5.4801520000000002E-5</v>
      </c>
      <c r="AE41" s="5">
        <f t="shared" si="9"/>
        <v>8.5324126899424986</v>
      </c>
      <c r="AF41" s="5">
        <f t="shared" si="10"/>
        <v>8.7552521755528705</v>
      </c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</row>
    <row r="42" spans="3:59" x14ac:dyDescent="0.25">
      <c r="AB42" s="23">
        <v>8000</v>
      </c>
      <c r="AC42" s="23">
        <v>5.5384599999999998E-5</v>
      </c>
      <c r="AD42" s="23">
        <v>5.7410639999999998E-5</v>
      </c>
      <c r="AE42" s="5">
        <f t="shared" si="9"/>
        <v>8.8471805564615522</v>
      </c>
      <c r="AF42" s="5">
        <f t="shared" si="10"/>
        <v>9.1592478528200729</v>
      </c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</row>
    <row r="43" spans="3:59" x14ac:dyDescent="0.25">
      <c r="AB43" s="23">
        <v>10000</v>
      </c>
      <c r="AC43" s="23">
        <v>5.5215779999999999E-5</v>
      </c>
      <c r="AD43" s="23">
        <v>5.793597E-5</v>
      </c>
      <c r="AE43" s="5">
        <f t="shared" si="9"/>
        <v>8.8206643179547726</v>
      </c>
      <c r="AF43" s="5">
        <f t="shared" si="10"/>
        <v>9.2383657385134619</v>
      </c>
    </row>
    <row r="44" spans="3:59" x14ac:dyDescent="0.25">
      <c r="AB44" s="23">
        <v>12500</v>
      </c>
      <c r="AC44" s="23">
        <v>5.4978059999999999E-5</v>
      </c>
      <c r="AD44" s="23">
        <v>5.7244629999999999E-5</v>
      </c>
      <c r="AE44" s="5">
        <f t="shared" si="9"/>
        <v>8.7831883049960204</v>
      </c>
      <c r="AF44" s="5">
        <f t="shared" si="10"/>
        <v>9.1340951398839483</v>
      </c>
    </row>
    <row r="45" spans="3:59" x14ac:dyDescent="0.25">
      <c r="AB45" s="23">
        <v>16000</v>
      </c>
      <c r="AC45" s="23">
        <v>5.167535E-5</v>
      </c>
      <c r="AD45" s="23">
        <v>5.1711330000000003E-5</v>
      </c>
      <c r="AE45" s="5">
        <f t="shared" si="9"/>
        <v>8.2450686229164347</v>
      </c>
      <c r="AF45" s="5">
        <f t="shared" si="10"/>
        <v>8.2511142435281872</v>
      </c>
    </row>
  </sheetData>
  <mergeCells count="1">
    <mergeCell ref="C10:E1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EFICIENCIA_RAD</vt:lpstr>
      <vt:lpstr>PERDA_TRANSMISSAO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LVA 167</dc:creator>
  <cp:lastModifiedBy>Usuário</cp:lastModifiedBy>
  <dcterms:created xsi:type="dcterms:W3CDTF">2014-11-17T17:03:13Z</dcterms:created>
  <dcterms:modified xsi:type="dcterms:W3CDTF">2015-11-24T16:08:24Z</dcterms:modified>
</cp:coreProperties>
</file>