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880" yWindow="1460" windowWidth="24880" windowHeight="16540"/>
  </bookViews>
  <sheets>
    <sheet name="cell2cell_lrmodeldata.csv" sheetId="4" r:id="rId1"/>
    <sheet name="Model" sheetId="1" r:id="rId2"/>
    <sheet name="User Simulator" sheetId="3" r:id="rId3"/>
    <sheet name="Offer Response Model" sheetId="2" r:id="rId4"/>
  </sheets>
  <definedNames>
    <definedName name="gamma">'Offer Response Model'!$B$5</definedName>
    <definedName name="prob">'Offer Response Model'!$B$3</definedName>
    <definedName name="profit">'Offer Response Model'!$B$8</definedName>
    <definedName name="rate">'Offer Response Model'!$B$7</definedName>
    <definedName name="solver_adj" localSheetId="1" hidden="1">Model!$G$24</definedName>
    <definedName name="solver_adj" localSheetId="2" hidden="1">'User Simulator'!$G$24</definedName>
    <definedName name="solver_cvg" localSheetId="2" hidden="1">0.0001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itr" localSheetId="2" hidden="1">2147483647</definedName>
    <definedName name="solver_lin" localSheetId="1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opt" localSheetId="2" hidden="1">'User Simulator'!$G$31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2" i="1" l="1"/>
  <c r="R32" i="1"/>
  <c r="E12" i="3"/>
  <c r="AB6" i="1"/>
  <c r="AC6" i="1"/>
  <c r="AD6" i="1"/>
  <c r="AE6" i="1"/>
  <c r="AB7" i="1"/>
  <c r="AC7" i="1"/>
  <c r="AD7" i="1"/>
  <c r="AE7" i="1"/>
  <c r="AB8" i="1"/>
  <c r="AC8" i="1"/>
  <c r="AD8" i="1"/>
  <c r="AE8" i="1"/>
  <c r="AB9" i="1"/>
  <c r="AC9" i="1"/>
  <c r="AD9" i="1"/>
  <c r="AE9" i="1"/>
  <c r="AB10" i="1"/>
  <c r="AC10" i="1"/>
  <c r="AD10" i="1"/>
  <c r="AE10" i="1"/>
  <c r="AC5" i="1"/>
  <c r="AD5" i="1"/>
  <c r="AE5" i="1"/>
  <c r="AB5" i="1"/>
  <c r="F22" i="3"/>
  <c r="G22" i="3"/>
  <c r="E22" i="3"/>
  <c r="B13" i="2"/>
  <c r="C13" i="2"/>
  <c r="A14" i="2"/>
  <c r="A15" i="2"/>
  <c r="B12" i="2"/>
  <c r="C12" i="2"/>
  <c r="B6" i="2"/>
  <c r="F12" i="3"/>
  <c r="G12" i="3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V6" i="1"/>
  <c r="V7" i="1"/>
  <c r="V8" i="1"/>
  <c r="V9" i="1"/>
  <c r="V10" i="1"/>
  <c r="V5" i="1"/>
  <c r="G18" i="3"/>
  <c r="G21" i="3"/>
  <c r="F18" i="3"/>
  <c r="F21" i="3"/>
  <c r="E18" i="3"/>
  <c r="E21" i="3"/>
  <c r="J6" i="1"/>
  <c r="J7" i="1"/>
  <c r="K7" i="1"/>
  <c r="L7" i="1"/>
  <c r="J8" i="1"/>
  <c r="J9" i="1"/>
  <c r="K9" i="1"/>
  <c r="L9" i="1"/>
  <c r="J10" i="1"/>
  <c r="K10" i="1"/>
  <c r="L10" i="1"/>
  <c r="J5" i="1"/>
  <c r="K5" i="1"/>
  <c r="L5" i="1"/>
  <c r="Q16" i="1"/>
  <c r="Q19" i="1"/>
  <c r="R16" i="1"/>
  <c r="R19" i="1"/>
  <c r="R25" i="1"/>
  <c r="S16" i="1"/>
  <c r="S19" i="1"/>
  <c r="S24" i="1"/>
  <c r="P16" i="1"/>
  <c r="P19" i="1"/>
  <c r="Q27" i="1"/>
  <c r="R27" i="1"/>
  <c r="S27" i="1"/>
  <c r="P27" i="1"/>
  <c r="Q20" i="1"/>
  <c r="R20" i="1"/>
  <c r="R21" i="1"/>
  <c r="S20" i="1"/>
  <c r="P20" i="1"/>
  <c r="P21" i="1"/>
  <c r="G16" i="1"/>
  <c r="G19" i="1"/>
  <c r="K6" i="1"/>
  <c r="L6" i="1"/>
  <c r="K8" i="1"/>
  <c r="L8" i="1"/>
  <c r="J4" i="1"/>
  <c r="K4" i="1"/>
  <c r="B14" i="2"/>
  <c r="C14" i="2"/>
  <c r="F25" i="3"/>
  <c r="F28" i="3"/>
  <c r="F29" i="3"/>
  <c r="Q24" i="1"/>
  <c r="Q25" i="1"/>
  <c r="Q21" i="1"/>
  <c r="R24" i="1"/>
  <c r="R26" i="1"/>
  <c r="R28" i="1"/>
  <c r="S21" i="1"/>
  <c r="S25" i="1"/>
  <c r="S26" i="1"/>
  <c r="B15" i="2"/>
  <c r="C15" i="2"/>
  <c r="A16" i="2"/>
  <c r="R33" i="1"/>
  <c r="G29" i="3"/>
  <c r="G25" i="3"/>
  <c r="G28" i="3"/>
  <c r="P24" i="1"/>
  <c r="P25" i="1"/>
  <c r="E25" i="3"/>
  <c r="E28" i="3"/>
  <c r="E29" i="3"/>
  <c r="F30" i="3"/>
  <c r="F31" i="3"/>
  <c r="S32" i="1"/>
  <c r="S33" i="1"/>
  <c r="S34" i="1"/>
  <c r="S28" i="1"/>
  <c r="R34" i="1"/>
  <c r="Q26" i="1"/>
  <c r="B16" i="2"/>
  <c r="C16" i="2"/>
  <c r="A17" i="2"/>
  <c r="E30" i="3"/>
  <c r="E31" i="3"/>
  <c r="P26" i="1"/>
  <c r="G30" i="3"/>
  <c r="G31" i="3"/>
  <c r="Q33" i="1"/>
  <c r="Q34" i="1"/>
  <c r="Q28" i="1"/>
  <c r="A18" i="2"/>
  <c r="B17" i="2"/>
  <c r="C17" i="2"/>
  <c r="P28" i="1"/>
  <c r="P32" i="1"/>
  <c r="P33" i="1"/>
  <c r="P34" i="1"/>
  <c r="B18" i="2"/>
  <c r="C18" i="2"/>
  <c r="A19" i="2"/>
  <c r="B19" i="2"/>
  <c r="C19" i="2"/>
  <c r="A20" i="2"/>
  <c r="A21" i="2"/>
  <c r="B20" i="2"/>
  <c r="C20" i="2"/>
  <c r="A22" i="2"/>
  <c r="B21" i="2"/>
  <c r="C21" i="2"/>
  <c r="B22" i="2"/>
  <c r="C22" i="2"/>
  <c r="A23" i="2"/>
  <c r="B23" i="2"/>
  <c r="C23" i="2"/>
  <c r="A24" i="2"/>
  <c r="B24" i="2"/>
  <c r="C24" i="2"/>
  <c r="A25" i="2"/>
  <c r="A26" i="2"/>
  <c r="B25" i="2"/>
  <c r="C25" i="2"/>
  <c r="B26" i="2"/>
  <c r="C26" i="2"/>
  <c r="A27" i="2"/>
  <c r="B27" i="2"/>
  <c r="C27" i="2"/>
  <c r="A28" i="2"/>
  <c r="A29" i="2"/>
  <c r="B28" i="2"/>
  <c r="C28" i="2"/>
  <c r="A30" i="2"/>
  <c r="B29" i="2"/>
  <c r="C29" i="2"/>
  <c r="B30" i="2"/>
  <c r="C30" i="2"/>
  <c r="A31" i="2"/>
  <c r="B31" i="2"/>
  <c r="C31" i="2"/>
  <c r="A32" i="2"/>
  <c r="B32" i="2"/>
  <c r="C32" i="2"/>
  <c r="A33" i="2"/>
  <c r="A34" i="2"/>
  <c r="B33" i="2"/>
  <c r="C33" i="2"/>
  <c r="B34" i="2"/>
  <c r="C34" i="2"/>
  <c r="A35" i="2"/>
  <c r="B35" i="2"/>
  <c r="C35" i="2"/>
  <c r="A36" i="2"/>
  <c r="B36" i="2"/>
  <c r="C36" i="2"/>
  <c r="A37" i="2"/>
  <c r="A38" i="2"/>
  <c r="B37" i="2"/>
  <c r="C37" i="2"/>
  <c r="B38" i="2"/>
  <c r="C38" i="2"/>
  <c r="A39" i="2"/>
  <c r="B39" i="2"/>
  <c r="C39" i="2"/>
  <c r="A40" i="2"/>
  <c r="A41" i="2"/>
  <c r="B40" i="2"/>
  <c r="C40" i="2"/>
  <c r="A42" i="2"/>
  <c r="B41" i="2"/>
  <c r="C41" i="2"/>
  <c r="B42" i="2"/>
  <c r="C42" i="2"/>
  <c r="A43" i="2"/>
  <c r="B43" i="2"/>
  <c r="C43" i="2"/>
  <c r="A44" i="2"/>
  <c r="A45" i="2"/>
  <c r="B44" i="2"/>
  <c r="C44" i="2"/>
  <c r="A46" i="2"/>
  <c r="B45" i="2"/>
  <c r="C45" i="2"/>
  <c r="B46" i="2"/>
  <c r="C46" i="2"/>
  <c r="A47" i="2"/>
  <c r="B47" i="2"/>
  <c r="C47" i="2"/>
  <c r="A48" i="2"/>
  <c r="B48" i="2"/>
  <c r="C48" i="2"/>
  <c r="A49" i="2"/>
  <c r="A50" i="2"/>
  <c r="B49" i="2"/>
  <c r="C49" i="2"/>
  <c r="B50" i="2"/>
  <c r="C50" i="2"/>
  <c r="A51" i="2"/>
  <c r="B51" i="2"/>
  <c r="C51" i="2"/>
  <c r="A52" i="2"/>
  <c r="B52" i="2"/>
  <c r="C52" i="2"/>
</calcChain>
</file>

<file path=xl/comments1.xml><?xml version="1.0" encoding="utf-8"?>
<comments xmlns="http://schemas.openxmlformats.org/spreadsheetml/2006/main">
  <authors>
    <author>Alan Montgomery</author>
  </authors>
  <commentList>
    <comment ref="B12" authorId="0">
      <text>
        <r>
          <rPr>
            <b/>
            <sz val="9"/>
            <color rgb="FF000000"/>
            <rFont val="Calibri"/>
            <family val="2"/>
          </rPr>
          <t>Alan Montgomery: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This is just a guess.  Try different values.  This value equates the value of a $200 new phone with a $200 gift card from Goal Seek.
</t>
        </r>
      </text>
    </comment>
  </commentList>
</comments>
</file>

<file path=xl/comments2.xml><?xml version="1.0" encoding="utf-8"?>
<comments xmlns="http://schemas.openxmlformats.org/spreadsheetml/2006/main">
  <authors>
    <author>Alan Montgomery</author>
  </authors>
  <commentList>
    <comment ref="B5" authorId="0">
      <text>
        <r>
          <rPr>
            <b/>
            <sz val="9"/>
            <color rgb="FF000000"/>
            <rFont val="Calibri"/>
            <family val="2"/>
          </rPr>
          <t>Alan Montgomery: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This is just a guess.  Try different values.  This value equates the value of a $200 new phone with a $200 gift card from Goal Seek.
</t>
        </r>
      </text>
    </comment>
  </commentList>
</comments>
</file>

<file path=xl/sharedStrings.xml><?xml version="1.0" encoding="utf-8"?>
<sst xmlns="http://schemas.openxmlformats.org/spreadsheetml/2006/main" count="182" uniqueCount="84">
  <si>
    <t>Score or Log(OddsRatio)</t>
  </si>
  <si>
    <t>Probability</t>
  </si>
  <si>
    <t>Importance</t>
  </si>
  <si>
    <t>Exp(Parameter)</t>
  </si>
  <si>
    <t>Logistic Regression for Cell2Cell</t>
  </si>
  <si>
    <t>Months</t>
  </si>
  <si>
    <t>Overage</t>
  </si>
  <si>
    <t>Mou</t>
  </si>
  <si>
    <t>Changem</t>
  </si>
  <si>
    <t>Retcall</t>
  </si>
  <si>
    <t>Estimate</t>
  </si>
  <si>
    <t>Std. Error</t>
  </si>
  <si>
    <t>z value</t>
  </si>
  <si>
    <t>Pr(&gt;|z|)</t>
  </si>
  <si>
    <t>(Intercept)</t>
  </si>
  <si>
    <t>Eqpdays</t>
  </si>
  <si>
    <t>Mean</t>
  </si>
  <si>
    <t>Std Dev</t>
  </si>
  <si>
    <t>Exp(Parameter*StdDev)</t>
  </si>
  <si>
    <t>Churn</t>
  </si>
  <si>
    <t>Customer</t>
  </si>
  <si>
    <t>Rank Importance</t>
  </si>
  <si>
    <t>LTV</t>
  </si>
  <si>
    <t>MonthProfit</t>
  </si>
  <si>
    <t>Score</t>
  </si>
  <si>
    <t>Pr(Churn)</t>
  </si>
  <si>
    <t>Revenue</t>
  </si>
  <si>
    <t>A</t>
  </si>
  <si>
    <t>B</t>
  </si>
  <si>
    <t>AdjPr(Churn)</t>
  </si>
  <si>
    <t>Offer</t>
  </si>
  <si>
    <t>SuccessRate</t>
  </si>
  <si>
    <t>LTV (AdjPr)</t>
  </si>
  <si>
    <t>LTV (AdjSuccess)</t>
  </si>
  <si>
    <t>ChurnProb</t>
  </si>
  <si>
    <t>LTV Change</t>
  </si>
  <si>
    <t>How does each variable influence the score?</t>
  </si>
  <si>
    <t>Parameter Estimates</t>
  </si>
  <si>
    <t>Data Descriptive Stats</t>
  </si>
  <si>
    <t>What variables are important?</t>
  </si>
  <si>
    <t>Look at specific users</t>
  </si>
  <si>
    <t>Churn and LTV calculations (using oversampled data)</t>
  </si>
  <si>
    <t>Effect of offers on Churn and LTV (projected for original data)</t>
  </si>
  <si>
    <t>Churn and LTV calculations (projected for original data)</t>
  </si>
  <si>
    <t>How does an offer effect response?</t>
  </si>
  <si>
    <t>Offer ($)</t>
  </si>
  <si>
    <t>Coefficient</t>
  </si>
  <si>
    <t>Adj Prob</t>
  </si>
  <si>
    <t>Init Prob</t>
  </si>
  <si>
    <t>AdjProb</t>
  </si>
  <si>
    <t>Profit (Month)</t>
  </si>
  <si>
    <t>InterestRate (Year)</t>
  </si>
  <si>
    <t>LTV-Offer</t>
  </si>
  <si>
    <t>Simulator Model for a Specific User</t>
  </si>
  <si>
    <t>Let's assume that the user is given a new equipment</t>
  </si>
  <si>
    <t>Current</t>
  </si>
  <si>
    <t>Promo</t>
  </si>
  <si>
    <t>NewPhone</t>
  </si>
  <si>
    <t>PromoOffer</t>
  </si>
  <si>
    <t>New Phone</t>
  </si>
  <si>
    <t>Assume new phone costs $200</t>
  </si>
  <si>
    <t>User #119</t>
  </si>
  <si>
    <t>User #240</t>
  </si>
  <si>
    <t>User #30</t>
  </si>
  <si>
    <t>User #32</t>
  </si>
  <si>
    <t>Take the log of the PromoOffer+1 given below</t>
  </si>
  <si>
    <t>Use Solver to find the optimal PromoOffer</t>
  </si>
  <si>
    <t>The calculations above compute the contribution to the score of each variable relative to the average user: =Parameter*(Value-Mean)</t>
  </si>
  <si>
    <t>The calculations above compute the contribution to the score of each variable: =Parameter*Value</t>
  </si>
  <si>
    <t>User #15747</t>
  </si>
  <si>
    <t>User #29301</t>
  </si>
  <si>
    <t>User #8695</t>
  </si>
  <si>
    <t>User #34573</t>
  </si>
  <si>
    <t>Current  + Promo</t>
  </si>
  <si>
    <t>rn</t>
  </si>
  <si>
    <t>meandata</t>
  </si>
  <si>
    <t>sddata</t>
  </si>
  <si>
    <t>X15747</t>
  </si>
  <si>
    <t>X29301</t>
  </si>
  <si>
    <t>X8695</t>
  </si>
  <si>
    <t>X34573</t>
  </si>
  <si>
    <t>NA</t>
  </si>
  <si>
    <t>pchurn.lr</t>
  </si>
  <si>
    <t>pchurn.tree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</si>
</sst>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0.000"/>
    <numFmt numFmtId="165" formatCode="0.0000"/>
    <numFmt numFmtId="166" formatCode="0.0"/>
    <numFmt numFmtId="167" formatCode="_([$$-409]* #,##0.00_);_([$$-409]* \(#,##0.00\);_([$$-409]* &quot;-&quot;??_);_(@_)"/>
    <numFmt numFmtId="168" formatCode="&quot;$&quot;#,##0.00"/>
    <numFmt numFmtId="169" formatCode="&quot;$&quot;#,##0"/>
    <numFmt numFmtId="170" formatCode="_(&quot;$&quot;* #,##0_);_(&quot;$&quot;* \(#,##0\);_(&quot;$&quot;* &quot;-&quot;??_);_(@_)"/>
    <numFmt numFmtId="171" formatCode="0.0%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scheme val="minor"/>
    </font>
    <font>
      <sz val="10"/>
      <color theme="1"/>
      <name val="Calibri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0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" fillId="0" borderId="0"/>
  </cellStyleXfs>
  <cellXfs count="10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right" wrapText="1"/>
    </xf>
    <xf numFmtId="0" fontId="4" fillId="0" borderId="0" xfId="0" applyFont="1"/>
    <xf numFmtId="0" fontId="5" fillId="0" borderId="0" xfId="0" applyFont="1"/>
    <xf numFmtId="0" fontId="0" fillId="0" borderId="0" xfId="0" applyFill="1"/>
    <xf numFmtId="0" fontId="6" fillId="0" borderId="0" xfId="0" applyFont="1"/>
    <xf numFmtId="165" fontId="0" fillId="0" borderId="0" xfId="0" applyNumberFormat="1" applyFill="1"/>
    <xf numFmtId="165" fontId="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165" fontId="0" fillId="6" borderId="0" xfId="0" applyNumberFormat="1" applyFill="1"/>
    <xf numFmtId="9" fontId="0" fillId="6" borderId="0" xfId="1" applyFont="1" applyFill="1"/>
    <xf numFmtId="1" fontId="0" fillId="0" borderId="0" xfId="0" applyNumberFormat="1" applyFill="1"/>
    <xf numFmtId="9" fontId="0" fillId="0" borderId="1" xfId="1" applyFont="1" applyFill="1" applyBorder="1"/>
    <xf numFmtId="0" fontId="0" fillId="0" borderId="4" xfId="0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6" xfId="0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0" fontId="0" fillId="0" borderId="1" xfId="0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167" fontId="0" fillId="4" borderId="0" xfId="0" applyNumberFormat="1" applyFill="1" applyBorder="1"/>
    <xf numFmtId="167" fontId="0" fillId="4" borderId="5" xfId="0" applyNumberFormat="1" applyFill="1" applyBorder="1"/>
    <xf numFmtId="167" fontId="0" fillId="0" borderId="7" xfId="0" applyNumberFormat="1" applyBorder="1"/>
    <xf numFmtId="167" fontId="0" fillId="0" borderId="8" xfId="0" applyNumberFormat="1" applyBorder="1"/>
    <xf numFmtId="0" fontId="3" fillId="0" borderId="1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2" fontId="0" fillId="7" borderId="4" xfId="0" applyNumberFormat="1" applyFill="1" applyBorder="1"/>
    <xf numFmtId="0" fontId="3" fillId="0" borderId="1" xfId="0" applyFont="1" applyBorder="1" applyAlignment="1">
      <alignment wrapText="1"/>
    </xf>
    <xf numFmtId="0" fontId="5" fillId="0" borderId="4" xfId="0" applyFont="1" applyBorder="1"/>
    <xf numFmtId="165" fontId="0" fillId="2" borderId="0" xfId="0" applyNumberFormat="1" applyFill="1" applyBorder="1"/>
    <xf numFmtId="165" fontId="0" fillId="2" borderId="5" xfId="0" applyNumberFormat="1" applyFill="1" applyBorder="1"/>
    <xf numFmtId="0" fontId="5" fillId="0" borderId="6" xfId="0" applyFont="1" applyBorder="1"/>
    <xf numFmtId="165" fontId="0" fillId="2" borderId="7" xfId="0" applyNumberFormat="1" applyFill="1" applyBorder="1"/>
    <xf numFmtId="165" fontId="0" fillId="2" borderId="8" xfId="0" applyNumberFormat="1" applyFill="1" applyBorder="1"/>
    <xf numFmtId="0" fontId="9" fillId="0" borderId="1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166" fontId="0" fillId="4" borderId="4" xfId="0" applyNumberFormat="1" applyFill="1" applyBorder="1"/>
    <xf numFmtId="166" fontId="0" fillId="4" borderId="5" xfId="0" applyNumberFormat="1" applyFill="1" applyBorder="1"/>
    <xf numFmtId="166" fontId="6" fillId="4" borderId="4" xfId="0" applyNumberFormat="1" applyFont="1" applyFill="1" applyBorder="1"/>
    <xf numFmtId="166" fontId="6" fillId="4" borderId="5" xfId="0" applyNumberFormat="1" applyFont="1" applyFill="1" applyBorder="1"/>
    <xf numFmtId="166" fontId="6" fillId="4" borderId="6" xfId="0" applyNumberFormat="1" applyFont="1" applyFill="1" applyBorder="1"/>
    <xf numFmtId="166" fontId="6" fillId="4" borderId="8" xfId="0" applyNumberFormat="1" applyFont="1" applyFill="1" applyBorder="1"/>
    <xf numFmtId="164" fontId="0" fillId="3" borderId="4" xfId="0" applyNumberFormat="1" applyFill="1" applyBorder="1"/>
    <xf numFmtId="2" fontId="0" fillId="3" borderId="0" xfId="0" applyNumberFormat="1" applyFill="1" applyBorder="1"/>
    <xf numFmtId="1" fontId="0" fillId="3" borderId="5" xfId="0" applyNumberFormat="1" applyFill="1" applyBorder="1"/>
    <xf numFmtId="164" fontId="0" fillId="3" borderId="6" xfId="0" applyNumberFormat="1" applyFill="1" applyBorder="1"/>
    <xf numFmtId="2" fontId="0" fillId="3" borderId="7" xfId="0" applyNumberFormat="1" applyFill="1" applyBorder="1"/>
    <xf numFmtId="1" fontId="0" fillId="3" borderId="8" xfId="0" applyNumberFormat="1" applyFill="1" applyBorder="1"/>
    <xf numFmtId="0" fontId="0" fillId="0" borderId="1" xfId="0" applyBorder="1" applyAlignment="1">
      <alignment wrapText="1"/>
    </xf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2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167" fontId="0" fillId="0" borderId="0" xfId="0" applyNumberFormat="1" applyFill="1" applyBorder="1"/>
    <xf numFmtId="168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168" fontId="0" fillId="0" borderId="0" xfId="1" applyNumberFormat="1" applyFont="1"/>
    <xf numFmtId="169" fontId="0" fillId="0" borderId="0" xfId="0" applyNumberFormat="1"/>
    <xf numFmtId="170" fontId="0" fillId="0" borderId="2" xfId="0" applyNumberFormat="1" applyBorder="1"/>
    <xf numFmtId="170" fontId="0" fillId="0" borderId="3" xfId="0" applyNumberFormat="1" applyBorder="1"/>
    <xf numFmtId="171" fontId="0" fillId="5" borderId="0" xfId="1" applyNumberFormat="1" applyFont="1" applyFill="1" applyBorder="1"/>
    <xf numFmtId="171" fontId="0" fillId="5" borderId="5" xfId="1" applyNumberFormat="1" applyFont="1" applyFill="1" applyBorder="1"/>
    <xf numFmtId="171" fontId="0" fillId="6" borderId="0" xfId="1" applyNumberFormat="1" applyFont="1" applyFill="1" applyBorder="1"/>
    <xf numFmtId="171" fontId="0" fillId="6" borderId="5" xfId="1" applyNumberFormat="1" applyFont="1" applyFill="1" applyBorder="1"/>
    <xf numFmtId="0" fontId="5" fillId="0" borderId="0" xfId="0" applyFont="1" applyBorder="1"/>
    <xf numFmtId="0" fontId="9" fillId="0" borderId="2" xfId="0" applyFont="1" applyBorder="1" applyAlignment="1">
      <alignment horizontal="right" wrapText="1"/>
    </xf>
    <xf numFmtId="0" fontId="9" fillId="0" borderId="3" xfId="0" applyFont="1" applyBorder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171" fontId="0" fillId="0" borderId="0" xfId="1" applyNumberFormat="1" applyFont="1"/>
    <xf numFmtId="10" fontId="0" fillId="0" borderId="0" xfId="1" applyNumberFormat="1" applyFont="1"/>
    <xf numFmtId="165" fontId="0" fillId="0" borderId="10" xfId="0" applyNumberFormat="1" applyFill="1" applyBorder="1"/>
    <xf numFmtId="165" fontId="0" fillId="0" borderId="11" xfId="0" applyNumberFormat="1" applyFill="1" applyBorder="1"/>
    <xf numFmtId="165" fontId="0" fillId="0" borderId="9" xfId="0" applyNumberFormat="1" applyFill="1" applyBorder="1"/>
    <xf numFmtId="9" fontId="0" fillId="0" borderId="2" xfId="1" applyFont="1" applyFill="1" applyBorder="1"/>
    <xf numFmtId="9" fontId="0" fillId="0" borderId="3" xfId="1" applyFont="1" applyFill="1" applyBorder="1"/>
    <xf numFmtId="44" fontId="0" fillId="6" borderId="0" xfId="0" applyNumberFormat="1" applyFill="1" applyBorder="1"/>
    <xf numFmtId="44" fontId="0" fillId="6" borderId="5" xfId="0" applyNumberFormat="1" applyFill="1" applyBorder="1"/>
    <xf numFmtId="0" fontId="0" fillId="6" borderId="0" xfId="0" applyFill="1" applyBorder="1"/>
    <xf numFmtId="171" fontId="0" fillId="6" borderId="2" xfId="1" applyNumberFormat="1" applyFont="1" applyFill="1" applyBorder="1"/>
    <xf numFmtId="171" fontId="0" fillId="6" borderId="3" xfId="1" applyNumberFormat="1" applyFont="1" applyFill="1" applyBorder="1"/>
    <xf numFmtId="44" fontId="0" fillId="5" borderId="0" xfId="78" applyFont="1" applyFill="1" applyBorder="1"/>
    <xf numFmtId="0" fontId="10" fillId="0" borderId="0" xfId="0" applyFont="1" applyFill="1" applyAlignment="1">
      <alignment vertical="center" wrapText="1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0" borderId="0" xfId="79"/>
    <xf numFmtId="11" fontId="1" fillId="0" borderId="0" xfId="79" applyNumberFormat="1"/>
  </cellXfs>
  <cellStyles count="80">
    <cellStyle name="Currency" xfId="78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  <cellStyle name="Normal 2" xfId="79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'Offer Response Model'!$B$11</c:f>
              <c:strCache>
                <c:ptCount val="1"/>
                <c:pt idx="0">
                  <c:v>AdjProb</c:v>
                </c:pt>
              </c:strCache>
            </c:strRef>
          </c:tx>
          <c:xVal>
            <c:numRef>
              <c:f>'Offer Response Model'!$A$12:$A$52</c:f>
              <c:numCache>
                <c:formatCode>"$"#,##0</c:formatCode>
                <c:ptCount val="4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</c:numCache>
            </c:numRef>
          </c:xVal>
          <c:yVal>
            <c:numRef>
              <c:f>'Offer Response Model'!$B$12:$B$52</c:f>
              <c:numCache>
                <c:formatCode>0.00%</c:formatCode>
                <c:ptCount val="41"/>
                <c:pt idx="0">
                  <c:v>0.081</c:v>
                </c:pt>
                <c:pt idx="1">
                  <c:v>0.0669428195493902</c:v>
                </c:pt>
                <c:pt idx="2">
                  <c:v>0.0551787222689751</c:v>
                </c:pt>
                <c:pt idx="3">
                  <c:v>0.0453814209820624</c:v>
                </c:pt>
                <c:pt idx="4">
                  <c:v>0.037255094600803</c:v>
                </c:pt>
                <c:pt idx="5">
                  <c:v>0.0305373779518804</c:v>
                </c:pt>
                <c:pt idx="6">
                  <c:v>0.024999523800925</c:v>
                </c:pt>
                <c:pt idx="7">
                  <c:v>0.0204447626394356</c:v>
                </c:pt>
                <c:pt idx="8">
                  <c:v>0.016705632630081</c:v>
                </c:pt>
                <c:pt idx="9">
                  <c:v>0.0136408268631884</c:v>
                </c:pt>
                <c:pt idx="10">
                  <c:v>0.011131923144263</c:v>
                </c:pt>
                <c:pt idx="11">
                  <c:v>0.00908022419241115</c:v>
                </c:pt>
                <c:pt idx="12">
                  <c:v>0.00740383788566855</c:v>
                </c:pt>
                <c:pt idx="13">
                  <c:v>0.00603506022624728</c:v>
                </c:pt>
                <c:pt idx="14">
                  <c:v>0.00491808025598855</c:v>
                </c:pt>
                <c:pt idx="15">
                  <c:v>0.00400699957141332</c:v>
                </c:pt>
                <c:pt idx="16">
                  <c:v>0.0032641441125183</c:v>
                </c:pt>
                <c:pt idx="17">
                  <c:v>0.00265863860656794</c:v>
                </c:pt>
                <c:pt idx="18">
                  <c:v>0.00216521162990176</c:v>
                </c:pt>
                <c:pt idx="19">
                  <c:v>0.00176319976688597</c:v>
                </c:pt>
                <c:pt idx="20">
                  <c:v>0.00143572149691829</c:v>
                </c:pt>
                <c:pt idx="21">
                  <c:v>0.00116899438661043</c:v>
                </c:pt>
                <c:pt idx="22">
                  <c:v>0.00095177238010796</c:v>
                </c:pt>
                <c:pt idx="23">
                  <c:v>0.000774883154228873</c:v>
                </c:pt>
                <c:pt idx="24">
                  <c:v>0.000630848464748845</c:v>
                </c:pt>
                <c:pt idx="25">
                  <c:v>0.000513573072867742</c:v>
                </c:pt>
                <c:pt idx="26">
                  <c:v>0.000418090178660281</c:v>
                </c:pt>
                <c:pt idx="27">
                  <c:v>0.000340353305375567</c:v>
                </c:pt>
                <c:pt idx="28">
                  <c:v>0.000277066296638151</c:v>
                </c:pt>
                <c:pt idx="29">
                  <c:v>0.000225544538135939</c:v>
                </c:pt>
                <c:pt idx="30">
                  <c:v>0.000183601729246308</c:v>
                </c:pt>
                <c:pt idx="31">
                  <c:v>0.000149457540740863</c:v>
                </c:pt>
                <c:pt idx="32">
                  <c:v>0.000121662332445851</c:v>
                </c:pt>
                <c:pt idx="33">
                  <c:v>9.90357966477535E-5</c:v>
                </c:pt>
                <c:pt idx="34">
                  <c:v>8.06169628905344E-5</c:v>
                </c:pt>
                <c:pt idx="35">
                  <c:v>6.56234680841444E-5</c:v>
                </c:pt>
                <c:pt idx="36">
                  <c:v>5.34183799451385E-5</c:v>
                </c:pt>
                <c:pt idx="37">
                  <c:v>4.348317639116E-5</c:v>
                </c:pt>
                <c:pt idx="38">
                  <c:v>3.53957408848343E-5</c:v>
                </c:pt>
                <c:pt idx="39">
                  <c:v>2.88124440797454E-5</c:v>
                </c:pt>
                <c:pt idx="40">
                  <c:v>2.34535539188531E-5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06A-DF4C-8C11-014B0726B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405256"/>
        <c:axId val="-2130402200"/>
      </c:scatterChart>
      <c:scatterChart>
        <c:scatterStyle val="smoothMarker"/>
        <c:varyColors val="0"/>
        <c:ser>
          <c:idx val="1"/>
          <c:order val="1"/>
          <c:tx>
            <c:strRef>
              <c:f>'Offer Response Model'!$C$11</c:f>
              <c:strCache>
                <c:ptCount val="1"/>
                <c:pt idx="0">
                  <c:v>LTV-Offer</c:v>
                </c:pt>
              </c:strCache>
            </c:strRef>
          </c:tx>
          <c:xVal>
            <c:numRef>
              <c:f>'Offer Response Model'!$A$12:$A$52</c:f>
              <c:numCache>
                <c:formatCode>"$"#,##0</c:formatCode>
                <c:ptCount val="41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</c:numCache>
            </c:numRef>
          </c:xVal>
          <c:yVal>
            <c:numRef>
              <c:f>'Offer Response Model'!$C$12:$C$52</c:f>
              <c:numCache>
                <c:formatCode>"$"#,##0.00</c:formatCode>
                <c:ptCount val="41"/>
                <c:pt idx="0">
                  <c:v>711.3272994129159</c:v>
                </c:pt>
                <c:pt idx="1">
                  <c:v>751.9450529558242</c:v>
                </c:pt>
                <c:pt idx="2">
                  <c:v>820.8269940853977</c:v>
                </c:pt>
                <c:pt idx="3">
                  <c:v>922.6783691328582</c:v>
                </c:pt>
                <c:pt idx="4">
                  <c:v>1062.549470284771</c:v>
                </c:pt>
                <c:pt idx="5">
                  <c:v>1245.657477849804</c:v>
                </c:pt>
                <c:pt idx="6">
                  <c:v>1477.10962689199</c:v>
                </c:pt>
                <c:pt idx="7">
                  <c:v>1761.513886354382</c:v>
                </c:pt>
                <c:pt idx="8">
                  <c:v>2102.477304426155</c:v>
                </c:pt>
                <c:pt idx="9">
                  <c:v>2502.015836671943</c:v>
                </c:pt>
                <c:pt idx="10">
                  <c:v>2959.93197730677</c:v>
                </c:pt>
                <c:pt idx="11">
                  <c:v>3473.252368761301</c:v>
                </c:pt>
                <c:pt idx="12">
                  <c:v>4035.84556973993</c:v>
                </c:pt>
                <c:pt idx="13">
                  <c:v>4638.345109206902</c:v>
                </c:pt>
                <c:pt idx="14">
                  <c:v>5268.471396701698</c:v>
                </c:pt>
                <c:pt idx="15">
                  <c:v>5911.774989998957</c:v>
                </c:pt>
                <c:pt idx="16">
                  <c:v>6552.727447952164</c:v>
                </c:pt>
                <c:pt idx="17">
                  <c:v>7175.994929863378</c:v>
                </c:pt>
                <c:pt idx="18">
                  <c:v>7767.67836691244</c:v>
                </c:pt>
                <c:pt idx="19">
                  <c:v>8316.313584605521</c:v>
                </c:pt>
                <c:pt idx="20">
                  <c:v>8813.49118109558</c:v>
                </c:pt>
                <c:pt idx="21">
                  <c:v>9254.052364850245</c:v>
                </c:pt>
                <c:pt idx="22">
                  <c:v>9635.908261557864</c:v>
                </c:pt>
                <c:pt idx="23">
                  <c:v>9959.590046796538</c:v>
                </c:pt>
                <c:pt idx="24">
                  <c:v>10227.65688914577</c:v>
                </c:pt>
                <c:pt idx="25">
                  <c:v>10444.07516953967</c:v>
                </c:pt>
                <c:pt idx="26">
                  <c:v>10613.65059125181</c:v>
                </c:pt>
                <c:pt idx="27">
                  <c:v>10741.55902920248</c:v>
                </c:pt>
                <c:pt idx="28">
                  <c:v>10832.99178872028</c:v>
                </c:pt>
                <c:pt idx="29">
                  <c:v>10892.91026209266</c:v>
                </c:pt>
                <c:pt idx="30">
                  <c:v>10925.89364300273</c:v>
                </c:pt>
                <c:pt idx="31">
                  <c:v>10936.05922554955</c:v>
                </c:pt>
                <c:pt idx="32">
                  <c:v>10927.03526537672</c:v>
                </c:pt>
                <c:pt idx="33">
                  <c:v>10901.9691999167</c:v>
                </c:pt>
                <c:pt idx="34">
                  <c:v>10863.55767211056</c:v>
                </c:pt>
                <c:pt idx="35">
                  <c:v>10814.08837087373</c:v>
                </c:pt>
                <c:pt idx="36">
                  <c:v>10755.48675698832</c:v>
                </c:pt>
                <c:pt idx="37">
                  <c:v>10689.36314817718</c:v>
                </c:pt>
                <c:pt idx="38">
                  <c:v>10617.05741712207</c:v>
                </c:pt>
                <c:pt idx="39">
                  <c:v>10539.67980792121</c:v>
                </c:pt>
                <c:pt idx="40">
                  <c:v>10458.14721553137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06A-DF4C-8C11-014B0726B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395864"/>
        <c:axId val="-2130399160"/>
      </c:scatterChart>
      <c:valAx>
        <c:axId val="-2130405256"/>
        <c:scaling>
          <c:orientation val="minMax"/>
        </c:scaling>
        <c:delete val="0"/>
        <c:axPos val="b"/>
        <c:numFmt formatCode="&quot;$&quot;#,##0" sourceLinked="1"/>
        <c:majorTickMark val="out"/>
        <c:minorTickMark val="none"/>
        <c:tickLblPos val="nextTo"/>
        <c:crossAx val="-2130402200"/>
        <c:crosses val="autoZero"/>
        <c:crossBetween val="midCat"/>
      </c:valAx>
      <c:valAx>
        <c:axId val="-21304022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30405256"/>
        <c:crosses val="autoZero"/>
        <c:crossBetween val="midCat"/>
      </c:valAx>
      <c:valAx>
        <c:axId val="-2130399160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crossAx val="-2130395864"/>
        <c:crosses val="max"/>
        <c:crossBetween val="midCat"/>
      </c:valAx>
      <c:valAx>
        <c:axId val="-2130395864"/>
        <c:scaling>
          <c:orientation val="minMax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-2130399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11</xdr:row>
      <xdr:rowOff>12700</xdr:rowOff>
    </xdr:from>
    <xdr:to>
      <xdr:col>12</xdr:col>
      <xdr:colOff>635000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/>
  </sheetViews>
  <sheetFormatPr baseColWidth="10" defaultRowHeight="15" x14ac:dyDescent="0"/>
  <cols>
    <col min="1" max="16384" width="10.83203125" style="103"/>
  </cols>
  <sheetData>
    <row r="1" spans="1:12">
      <c r="B1" s="103" t="s">
        <v>74</v>
      </c>
      <c r="C1" s="103" t="s">
        <v>10</v>
      </c>
      <c r="D1" s="103" t="s">
        <v>11</v>
      </c>
      <c r="E1" s="103" t="s">
        <v>12</v>
      </c>
      <c r="F1" s="103" t="s">
        <v>13</v>
      </c>
      <c r="G1" s="103" t="s">
        <v>75</v>
      </c>
      <c r="H1" s="103" t="s">
        <v>76</v>
      </c>
      <c r="I1" s="103" t="s">
        <v>77</v>
      </c>
      <c r="J1" s="103" t="s">
        <v>78</v>
      </c>
      <c r="K1" s="103" t="s">
        <v>79</v>
      </c>
      <c r="L1" s="103" t="s">
        <v>80</v>
      </c>
    </row>
    <row r="2" spans="1:12">
      <c r="A2" s="103">
        <v>1</v>
      </c>
      <c r="B2" s="103" t="s">
        <v>14</v>
      </c>
      <c r="C2" s="103">
        <v>-0.162028950680426</v>
      </c>
      <c r="D2" s="103">
        <v>3.5769437537185103E-2</v>
      </c>
      <c r="E2" s="103">
        <v>-4.5298154468317904</v>
      </c>
      <c r="F2" s="104">
        <v>5.9035231428951103E-6</v>
      </c>
      <c r="G2" s="103">
        <v>1</v>
      </c>
      <c r="H2" s="103">
        <v>0</v>
      </c>
      <c r="I2" s="103">
        <v>1</v>
      </c>
      <c r="J2" s="103">
        <v>1</v>
      </c>
      <c r="K2" s="103">
        <v>1</v>
      </c>
      <c r="L2" s="103">
        <v>1</v>
      </c>
    </row>
    <row r="3" spans="1:12">
      <c r="A3" s="103">
        <v>2</v>
      </c>
      <c r="B3" s="103" t="s">
        <v>15</v>
      </c>
      <c r="C3" s="103">
        <v>1.0527262161282799E-3</v>
      </c>
      <c r="D3" s="104">
        <v>6.2747054595983795E-5</v>
      </c>
      <c r="E3" s="103">
        <v>16.777300909287</v>
      </c>
      <c r="F3" s="104">
        <v>3.5772992125982401E-63</v>
      </c>
      <c r="G3" s="103">
        <v>393.277625</v>
      </c>
      <c r="H3" s="103">
        <v>258.12627419847399</v>
      </c>
      <c r="I3" s="103">
        <v>391</v>
      </c>
      <c r="J3" s="103">
        <v>238</v>
      </c>
      <c r="K3" s="103">
        <v>716</v>
      </c>
      <c r="L3" s="103">
        <v>29</v>
      </c>
    </row>
    <row r="4" spans="1:12">
      <c r="A4" s="103">
        <v>3</v>
      </c>
      <c r="B4" s="103" t="s">
        <v>9</v>
      </c>
      <c r="C4" s="103">
        <v>0.79846194631900202</v>
      </c>
      <c r="D4" s="103">
        <v>7.0602096740413706E-2</v>
      </c>
      <c r="E4" s="103">
        <v>11.309323422146299</v>
      </c>
      <c r="F4" s="104">
        <v>1.17995868118892E-29</v>
      </c>
      <c r="G4" s="103">
        <v>4.0333333333333297E-2</v>
      </c>
      <c r="H4" s="103">
        <v>0.19674391577862199</v>
      </c>
      <c r="I4" s="103">
        <v>1</v>
      </c>
      <c r="J4" s="103">
        <v>0</v>
      </c>
      <c r="K4" s="103">
        <v>1</v>
      </c>
      <c r="L4" s="103">
        <v>0</v>
      </c>
    </row>
    <row r="5" spans="1:12">
      <c r="A5" s="103">
        <v>4</v>
      </c>
      <c r="B5" s="103" t="s">
        <v>5</v>
      </c>
      <c r="C5" s="103">
        <v>-1.2954215712031701E-2</v>
      </c>
      <c r="D5" s="103">
        <v>1.6059297691003399E-3</v>
      </c>
      <c r="E5" s="103">
        <v>-8.0664895571920496</v>
      </c>
      <c r="F5" s="104">
        <v>7.2348267387916097E-16</v>
      </c>
      <c r="G5" s="103">
        <v>18.811</v>
      </c>
      <c r="H5" s="103">
        <v>9.5857763185609794</v>
      </c>
      <c r="I5" s="103">
        <v>16</v>
      </c>
      <c r="J5" s="103">
        <v>8</v>
      </c>
      <c r="K5" s="103">
        <v>24</v>
      </c>
      <c r="L5" s="103">
        <v>10</v>
      </c>
    </row>
    <row r="6" spans="1:12">
      <c r="A6" s="103">
        <v>5</v>
      </c>
      <c r="B6" s="103" t="s">
        <v>6</v>
      </c>
      <c r="C6" s="103">
        <v>1.7312776960191601E-3</v>
      </c>
      <c r="D6" s="103">
        <v>1.8379129837021199E-4</v>
      </c>
      <c r="E6" s="103">
        <v>9.4198023049591804</v>
      </c>
      <c r="F6" s="104">
        <v>4.5193813736619201E-21</v>
      </c>
      <c r="G6" s="103">
        <v>40.878331729978001</v>
      </c>
      <c r="H6" s="103">
        <v>94.170318099409599</v>
      </c>
      <c r="I6" s="103">
        <v>0</v>
      </c>
      <c r="J6" s="103">
        <v>0</v>
      </c>
      <c r="K6" s="103">
        <v>0</v>
      </c>
      <c r="L6" s="103">
        <v>0</v>
      </c>
    </row>
    <row r="7" spans="1:12">
      <c r="A7" s="103">
        <v>6</v>
      </c>
      <c r="B7" s="103" t="s">
        <v>7</v>
      </c>
      <c r="C7" s="103">
        <v>-2.4447386644794197E-4</v>
      </c>
      <c r="D7" s="104">
        <v>3.2664152853107197E-5</v>
      </c>
      <c r="E7" s="103">
        <v>-7.4844698268268797</v>
      </c>
      <c r="F7" s="104">
        <v>7.1836535312715796E-14</v>
      </c>
      <c r="G7" s="103">
        <v>516.80299582568705</v>
      </c>
      <c r="H7" s="103">
        <v>527.25725677096295</v>
      </c>
      <c r="I7" s="103">
        <v>0</v>
      </c>
      <c r="J7" s="103">
        <v>466</v>
      </c>
      <c r="K7" s="103">
        <v>0</v>
      </c>
      <c r="L7" s="103">
        <v>793.25</v>
      </c>
    </row>
    <row r="8" spans="1:12">
      <c r="A8" s="103">
        <v>7</v>
      </c>
      <c r="B8" s="103" t="s">
        <v>8</v>
      </c>
      <c r="C8" s="103">
        <v>-2.5510266907012401E-4</v>
      </c>
      <c r="D8" s="104">
        <v>5.10110647638413E-5</v>
      </c>
      <c r="E8" s="103">
        <v>-5.0009281368882599</v>
      </c>
      <c r="F8" s="104">
        <v>5.7054977939484603E-7</v>
      </c>
      <c r="G8" s="103">
        <v>-15.4084738035505</v>
      </c>
      <c r="H8" s="103">
        <v>261.42110880222401</v>
      </c>
      <c r="I8" s="103">
        <v>0</v>
      </c>
      <c r="J8" s="103">
        <v>64</v>
      </c>
      <c r="K8" s="103">
        <v>0</v>
      </c>
      <c r="L8" s="103">
        <v>68.75</v>
      </c>
    </row>
    <row r="9" spans="1:12">
      <c r="A9" s="103">
        <v>8</v>
      </c>
      <c r="B9" s="103" t="s">
        <v>20</v>
      </c>
      <c r="C9" s="103" t="s">
        <v>81</v>
      </c>
      <c r="D9" s="103" t="s">
        <v>81</v>
      </c>
      <c r="E9" s="103" t="s">
        <v>81</v>
      </c>
      <c r="F9" s="103" t="s">
        <v>81</v>
      </c>
      <c r="G9" s="103" t="s">
        <v>81</v>
      </c>
      <c r="H9" s="103" t="s">
        <v>81</v>
      </c>
      <c r="I9" s="103">
        <v>1039199</v>
      </c>
      <c r="J9" s="103">
        <v>1073314</v>
      </c>
      <c r="K9" s="103">
        <v>1021961</v>
      </c>
      <c r="L9" s="103">
        <v>1086325</v>
      </c>
    </row>
    <row r="10" spans="1:12">
      <c r="A10" s="103">
        <v>9</v>
      </c>
      <c r="B10" s="103" t="s">
        <v>26</v>
      </c>
      <c r="C10" s="103" t="s">
        <v>81</v>
      </c>
      <c r="D10" s="103" t="s">
        <v>81</v>
      </c>
      <c r="E10" s="103" t="s">
        <v>81</v>
      </c>
      <c r="F10" s="103" t="s">
        <v>81</v>
      </c>
      <c r="G10" s="103" t="s">
        <v>81</v>
      </c>
      <c r="H10" s="103" t="s">
        <v>81</v>
      </c>
      <c r="I10" s="103">
        <v>60.325000000000003</v>
      </c>
      <c r="J10" s="103">
        <v>53.715000000000003</v>
      </c>
      <c r="K10" s="103">
        <v>5</v>
      </c>
      <c r="L10" s="103">
        <v>34.99</v>
      </c>
    </row>
    <row r="11" spans="1:12">
      <c r="A11" s="103">
        <v>10</v>
      </c>
      <c r="B11" s="103" t="s">
        <v>19</v>
      </c>
      <c r="C11" s="103" t="s">
        <v>81</v>
      </c>
      <c r="D11" s="103" t="s">
        <v>81</v>
      </c>
      <c r="E11" s="103" t="s">
        <v>81</v>
      </c>
      <c r="F11" s="103" t="s">
        <v>81</v>
      </c>
      <c r="G11" s="103" t="s">
        <v>81</v>
      </c>
      <c r="H11" s="103" t="s">
        <v>81</v>
      </c>
      <c r="I11" s="103">
        <v>1</v>
      </c>
      <c r="J11" s="103">
        <v>1</v>
      </c>
      <c r="K11" s="103">
        <v>0</v>
      </c>
      <c r="L11" s="103">
        <v>0</v>
      </c>
    </row>
    <row r="12" spans="1:12">
      <c r="A12" s="103">
        <v>11</v>
      </c>
      <c r="B12" s="103" t="s">
        <v>82</v>
      </c>
      <c r="C12" s="103" t="s">
        <v>81</v>
      </c>
      <c r="D12" s="103" t="s">
        <v>81</v>
      </c>
      <c r="E12" s="103" t="s">
        <v>81</v>
      </c>
      <c r="F12" s="103" t="s">
        <v>81</v>
      </c>
      <c r="G12" s="103" t="s">
        <v>81</v>
      </c>
      <c r="H12" s="103" t="s">
        <v>81</v>
      </c>
      <c r="I12" s="103">
        <v>0.69862978229737305</v>
      </c>
      <c r="J12" s="103">
        <v>0.46372255184643701</v>
      </c>
      <c r="K12" s="103">
        <v>0.74635842318520196</v>
      </c>
      <c r="L12" s="103">
        <v>0.38402250985932401</v>
      </c>
    </row>
    <row r="13" spans="1:12">
      <c r="A13" s="103">
        <v>12</v>
      </c>
      <c r="B13" s="103" t="s">
        <v>83</v>
      </c>
      <c r="C13" s="103" t="s">
        <v>81</v>
      </c>
      <c r="D13" s="103" t="s">
        <v>81</v>
      </c>
      <c r="E13" s="103" t="s">
        <v>81</v>
      </c>
      <c r="F13" s="103" t="s">
        <v>81</v>
      </c>
      <c r="G13" s="103" t="s">
        <v>81</v>
      </c>
      <c r="H13" s="103" t="s">
        <v>81</v>
      </c>
      <c r="I13" s="103">
        <v>0.77287066246056801</v>
      </c>
      <c r="J13" s="103">
        <v>0.17073170731707299</v>
      </c>
      <c r="K13" s="103">
        <v>0.77287066246056801</v>
      </c>
      <c r="L13" s="103">
        <v>0.17073170731707299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zoomScale="109" zoomScaleNormal="109" zoomScalePageLayoutView="109" workbookViewId="0"/>
  </sheetViews>
  <sheetFormatPr baseColWidth="10" defaultColWidth="8.83203125" defaultRowHeight="14" x14ac:dyDescent="0"/>
  <cols>
    <col min="1" max="1" width="14" customWidth="1"/>
    <col min="2" max="5" width="13" customWidth="1"/>
    <col min="6" max="6" width="3.6640625" customWidth="1"/>
    <col min="7" max="7" width="11.33203125" customWidth="1"/>
    <col min="8" max="8" width="10.5" customWidth="1"/>
    <col min="9" max="9" width="2.83203125" customWidth="1"/>
    <col min="10" max="10" width="15.33203125" customWidth="1"/>
    <col min="11" max="11" width="15" customWidth="1"/>
    <col min="12" max="13" width="11.6640625" customWidth="1"/>
    <col min="14" max="14" width="3.5" customWidth="1"/>
    <col min="15" max="15" width="12.1640625" customWidth="1"/>
    <col min="16" max="19" width="10.5" customWidth="1"/>
  </cols>
  <sheetData>
    <row r="1" spans="1:31" ht="18">
      <c r="A1" s="3" t="s">
        <v>4</v>
      </c>
    </row>
    <row r="2" spans="1:31">
      <c r="A2" s="96" t="s">
        <v>37</v>
      </c>
      <c r="B2" s="96"/>
      <c r="C2" s="96"/>
      <c r="D2" s="96"/>
      <c r="E2" s="96"/>
      <c r="G2" s="96" t="s">
        <v>38</v>
      </c>
      <c r="H2" s="96"/>
      <c r="J2" s="96" t="s">
        <v>39</v>
      </c>
      <c r="K2" s="96"/>
      <c r="L2" s="96"/>
      <c r="M2" s="96"/>
      <c r="O2" s="96" t="s">
        <v>40</v>
      </c>
      <c r="P2" s="96"/>
      <c r="Q2" s="96"/>
      <c r="R2" s="96"/>
      <c r="S2" s="96"/>
      <c r="V2" s="96" t="s">
        <v>36</v>
      </c>
      <c r="W2" s="96"/>
      <c r="X2" s="96"/>
      <c r="Y2" s="96"/>
      <c r="AB2" s="96" t="s">
        <v>36</v>
      </c>
      <c r="AC2" s="96"/>
      <c r="AD2" s="96"/>
      <c r="AE2" s="96"/>
    </row>
    <row r="3" spans="1:31" s="1" customFormat="1" ht="46.5" customHeight="1">
      <c r="A3" s="37"/>
      <c r="B3" s="31" t="s">
        <v>10</v>
      </c>
      <c r="C3" s="31" t="s">
        <v>11</v>
      </c>
      <c r="D3" s="31" t="s">
        <v>12</v>
      </c>
      <c r="E3" s="32" t="s">
        <v>13</v>
      </c>
      <c r="F3" s="2"/>
      <c r="G3" s="44" t="s">
        <v>16</v>
      </c>
      <c r="H3" s="45" t="s">
        <v>17</v>
      </c>
      <c r="I3" s="6"/>
      <c r="J3" s="30" t="s">
        <v>3</v>
      </c>
      <c r="K3" s="31" t="s">
        <v>18</v>
      </c>
      <c r="L3" s="31" t="s">
        <v>2</v>
      </c>
      <c r="M3" s="32" t="s">
        <v>21</v>
      </c>
      <c r="O3" s="58"/>
      <c r="P3" s="79" t="s">
        <v>69</v>
      </c>
      <c r="Q3" s="79" t="s">
        <v>70</v>
      </c>
      <c r="R3" s="79" t="s">
        <v>71</v>
      </c>
      <c r="S3" s="80" t="s">
        <v>72</v>
      </c>
      <c r="V3" s="81" t="s">
        <v>69</v>
      </c>
      <c r="W3" s="79" t="s">
        <v>70</v>
      </c>
      <c r="X3" s="79" t="s">
        <v>71</v>
      </c>
      <c r="Y3" s="80" t="s">
        <v>72</v>
      </c>
      <c r="AB3" s="81" t="s">
        <v>61</v>
      </c>
      <c r="AC3" s="79" t="s">
        <v>62</v>
      </c>
      <c r="AD3" s="79" t="s">
        <v>63</v>
      </c>
      <c r="AE3" s="80" t="s">
        <v>64</v>
      </c>
    </row>
    <row r="4" spans="1:31" ht="15">
      <c r="A4" s="38" t="s">
        <v>14</v>
      </c>
      <c r="B4" s="39">
        <v>-0.162028951</v>
      </c>
      <c r="C4" s="39">
        <v>3.5769438000000001E-2</v>
      </c>
      <c r="D4" s="39">
        <v>-4.5298154469999998</v>
      </c>
      <c r="E4" s="40">
        <v>5.9000000000000003E-6</v>
      </c>
      <c r="F4" s="5"/>
      <c r="G4" s="46">
        <v>1</v>
      </c>
      <c r="H4" s="47"/>
      <c r="I4" s="6"/>
      <c r="J4" s="52">
        <f>EXP(B4)</f>
        <v>0.85041658377331997</v>
      </c>
      <c r="K4" s="53">
        <f t="shared" ref="K4:K10" si="0">J4^H4</f>
        <v>1</v>
      </c>
      <c r="L4" s="53"/>
      <c r="M4" s="54"/>
      <c r="O4" s="59"/>
      <c r="P4" s="60">
        <v>1</v>
      </c>
      <c r="Q4" s="60">
        <v>1</v>
      </c>
      <c r="R4" s="60">
        <v>1</v>
      </c>
      <c r="S4" s="61">
        <v>1</v>
      </c>
      <c r="V4" s="33"/>
      <c r="W4" s="34"/>
      <c r="X4" s="34"/>
      <c r="Y4" s="35"/>
      <c r="AB4" s="33"/>
      <c r="AC4" s="34"/>
      <c r="AD4" s="34"/>
      <c r="AE4" s="35"/>
    </row>
    <row r="5" spans="1:31" ht="15">
      <c r="A5" s="38" t="s">
        <v>15</v>
      </c>
      <c r="B5" s="39">
        <v>1.0527259999999999E-3</v>
      </c>
      <c r="C5" s="39">
        <v>6.2700000000000006E-5</v>
      </c>
      <c r="D5" s="39">
        <v>16.777300910000001</v>
      </c>
      <c r="E5" s="40">
        <v>3.5800000000000002E-63</v>
      </c>
      <c r="F5" s="5"/>
      <c r="G5" s="48">
        <v>392.83949999999999</v>
      </c>
      <c r="H5" s="49">
        <v>256.71598180000001</v>
      </c>
      <c r="I5" s="6"/>
      <c r="J5" s="52">
        <f t="shared" ref="J5:J10" si="1">EXP(B5)</f>
        <v>1.0010532803105108</v>
      </c>
      <c r="K5" s="53">
        <f t="shared" si="0"/>
        <v>1.3102940643910912</v>
      </c>
      <c r="L5" s="53">
        <f t="shared" ref="L5:L10" si="2">ABS(K5-1)</f>
        <v>0.3102940643910912</v>
      </c>
      <c r="M5" s="54">
        <v>1</v>
      </c>
      <c r="O5" s="59" t="s">
        <v>15</v>
      </c>
      <c r="P5" s="60">
        <v>391</v>
      </c>
      <c r="Q5" s="60">
        <v>238</v>
      </c>
      <c r="R5" s="60">
        <v>716</v>
      </c>
      <c r="S5" s="61">
        <v>29</v>
      </c>
      <c r="U5" s="59" t="s">
        <v>15</v>
      </c>
      <c r="V5" s="36">
        <f t="shared" ref="V5:V10" si="3">(P5-$G5)*$B5</f>
        <v>-1.936489476999986E-3</v>
      </c>
      <c r="W5" s="36">
        <f t="shared" ref="W5:Y10" si="4">(Q5-$G5)*$B5</f>
        <v>-0.16300356747699998</v>
      </c>
      <c r="X5" s="36">
        <f t="shared" si="4"/>
        <v>0.34019946052299999</v>
      </c>
      <c r="Y5" s="36">
        <f t="shared" si="4"/>
        <v>-0.38302330147699998</v>
      </c>
      <c r="AA5" s="59" t="s">
        <v>15</v>
      </c>
      <c r="AB5" s="36">
        <f t="shared" ref="AB5:AE10" si="5">$B5*P5</f>
        <v>0.411615866</v>
      </c>
      <c r="AC5" s="36">
        <f t="shared" si="5"/>
        <v>0.25054878799999997</v>
      </c>
      <c r="AD5" s="36">
        <f t="shared" si="5"/>
        <v>0.75375181599999996</v>
      </c>
      <c r="AE5" s="36">
        <f t="shared" si="5"/>
        <v>3.0529053999999996E-2</v>
      </c>
    </row>
    <row r="6" spans="1:31" ht="15">
      <c r="A6" s="38" t="s">
        <v>9</v>
      </c>
      <c r="B6" s="39">
        <v>0.79846194599999998</v>
      </c>
      <c r="C6" s="39">
        <v>7.0602097000000003E-2</v>
      </c>
      <c r="D6" s="39">
        <v>11.30932342</v>
      </c>
      <c r="E6" s="40">
        <v>1.18E-29</v>
      </c>
      <c r="F6" s="5"/>
      <c r="G6" s="48">
        <v>4.0425000000000003E-2</v>
      </c>
      <c r="H6" s="49">
        <v>0.19695631299999999</v>
      </c>
      <c r="I6" s="6"/>
      <c r="J6" s="52">
        <f t="shared" si="1"/>
        <v>2.2221205573972305</v>
      </c>
      <c r="K6" s="53">
        <f t="shared" si="0"/>
        <v>1.1703023344657217</v>
      </c>
      <c r="L6" s="53">
        <f t="shared" si="2"/>
        <v>0.17030233446572174</v>
      </c>
      <c r="M6" s="54">
        <v>3</v>
      </c>
      <c r="O6" s="59" t="s">
        <v>9</v>
      </c>
      <c r="P6" s="60">
        <v>1</v>
      </c>
      <c r="Q6" s="60">
        <v>0</v>
      </c>
      <c r="R6" s="60">
        <v>1</v>
      </c>
      <c r="S6" s="61">
        <v>0</v>
      </c>
      <c r="U6" s="59" t="s">
        <v>9</v>
      </c>
      <c r="V6" s="36">
        <f t="shared" si="3"/>
        <v>0.76618412183294993</v>
      </c>
      <c r="W6" s="36">
        <f t="shared" si="4"/>
        <v>-3.2277824167050002E-2</v>
      </c>
      <c r="X6" s="36">
        <f t="shared" si="4"/>
        <v>0.76618412183294993</v>
      </c>
      <c r="Y6" s="36">
        <f t="shared" si="4"/>
        <v>-3.2277824167050002E-2</v>
      </c>
      <c r="AA6" s="59" t="s">
        <v>9</v>
      </c>
      <c r="AB6" s="36">
        <f t="shared" si="5"/>
        <v>0.79846194599999998</v>
      </c>
      <c r="AC6" s="36">
        <f t="shared" si="5"/>
        <v>0</v>
      </c>
      <c r="AD6" s="36">
        <f t="shared" si="5"/>
        <v>0.79846194599999998</v>
      </c>
      <c r="AE6" s="36">
        <f t="shared" si="5"/>
        <v>0</v>
      </c>
    </row>
    <row r="7" spans="1:31" ht="15">
      <c r="A7" s="38" t="s">
        <v>5</v>
      </c>
      <c r="B7" s="39">
        <v>-1.2954215999999999E-2</v>
      </c>
      <c r="C7" s="39">
        <v>1.60593E-3</v>
      </c>
      <c r="D7" s="39">
        <v>-8.0664895570000006</v>
      </c>
      <c r="E7" s="40">
        <v>7.2300000000000001E-16</v>
      </c>
      <c r="F7" s="5"/>
      <c r="G7" s="48">
        <v>18.83175</v>
      </c>
      <c r="H7" s="49">
        <v>9.6246042910000007</v>
      </c>
      <c r="I7" s="6"/>
      <c r="J7" s="52">
        <f t="shared" si="1"/>
        <v>0.98712932871489156</v>
      </c>
      <c r="K7" s="53">
        <f t="shared" si="0"/>
        <v>0.88278005044565766</v>
      </c>
      <c r="L7" s="53">
        <f t="shared" si="2"/>
        <v>0.11721994955434234</v>
      </c>
      <c r="M7" s="54">
        <v>4</v>
      </c>
      <c r="O7" s="59" t="s">
        <v>5</v>
      </c>
      <c r="P7" s="60">
        <v>16</v>
      </c>
      <c r="Q7" s="60">
        <v>8</v>
      </c>
      <c r="R7" s="60">
        <v>24</v>
      </c>
      <c r="S7" s="61">
        <v>10</v>
      </c>
      <c r="U7" s="59" t="s">
        <v>5</v>
      </c>
      <c r="V7" s="36">
        <f t="shared" si="3"/>
        <v>3.6683101157999991E-2</v>
      </c>
      <c r="W7" s="36">
        <f t="shared" si="4"/>
        <v>0.14031682915799998</v>
      </c>
      <c r="X7" s="36">
        <f t="shared" si="4"/>
        <v>-6.6950626841999997E-2</v>
      </c>
      <c r="Y7" s="36">
        <f t="shared" si="4"/>
        <v>0.11440839715799998</v>
      </c>
      <c r="AA7" s="59" t="s">
        <v>5</v>
      </c>
      <c r="AB7" s="36">
        <f t="shared" si="5"/>
        <v>-0.20726745599999999</v>
      </c>
      <c r="AC7" s="36">
        <f t="shared" si="5"/>
        <v>-0.10363372799999999</v>
      </c>
      <c r="AD7" s="36">
        <f t="shared" si="5"/>
        <v>-0.310901184</v>
      </c>
      <c r="AE7" s="36">
        <f t="shared" si="5"/>
        <v>-0.12954215999999999</v>
      </c>
    </row>
    <row r="8" spans="1:31" ht="15">
      <c r="A8" s="38" t="s">
        <v>6</v>
      </c>
      <c r="B8" s="39">
        <v>1.7312779999999999E-3</v>
      </c>
      <c r="C8" s="39">
        <v>1.8379099999999999E-4</v>
      </c>
      <c r="D8" s="39">
        <v>9.4198023049999993</v>
      </c>
      <c r="E8" s="40">
        <v>4.5200000000000002E-21</v>
      </c>
      <c r="F8" s="5"/>
      <c r="G8" s="48">
        <v>40.863133169999998</v>
      </c>
      <c r="H8" s="49">
        <v>98.098748990000004</v>
      </c>
      <c r="I8" s="6"/>
      <c r="J8" s="52">
        <f t="shared" si="1"/>
        <v>1.0017327775269977</v>
      </c>
      <c r="K8" s="53">
        <f t="shared" si="0"/>
        <v>1.1851107213420098</v>
      </c>
      <c r="L8" s="53">
        <f t="shared" si="2"/>
        <v>0.18511072134200979</v>
      </c>
      <c r="M8" s="54">
        <v>2</v>
      </c>
      <c r="O8" s="59" t="s">
        <v>6</v>
      </c>
      <c r="P8" s="60">
        <v>0</v>
      </c>
      <c r="Q8" s="60">
        <v>0</v>
      </c>
      <c r="R8" s="60">
        <v>0</v>
      </c>
      <c r="S8" s="61">
        <v>0</v>
      </c>
      <c r="U8" s="59" t="s">
        <v>6</v>
      </c>
      <c r="V8" s="36">
        <f t="shared" si="3"/>
        <v>-7.0745443468291258E-2</v>
      </c>
      <c r="W8" s="36">
        <f t="shared" si="4"/>
        <v>-7.0745443468291258E-2</v>
      </c>
      <c r="X8" s="36">
        <f t="shared" si="4"/>
        <v>-7.0745443468291258E-2</v>
      </c>
      <c r="Y8" s="36">
        <f t="shared" si="4"/>
        <v>-7.0745443468291258E-2</v>
      </c>
      <c r="AA8" s="59" t="s">
        <v>6</v>
      </c>
      <c r="AB8" s="36">
        <f t="shared" si="5"/>
        <v>0</v>
      </c>
      <c r="AC8" s="36">
        <f t="shared" si="5"/>
        <v>0</v>
      </c>
      <c r="AD8" s="36">
        <f t="shared" si="5"/>
        <v>0</v>
      </c>
      <c r="AE8" s="36">
        <f t="shared" si="5"/>
        <v>0</v>
      </c>
    </row>
    <row r="9" spans="1:31" ht="15">
      <c r="A9" s="38" t="s">
        <v>7</v>
      </c>
      <c r="B9" s="39">
        <v>-2.44474E-4</v>
      </c>
      <c r="C9" s="39">
        <v>3.2700000000000002E-5</v>
      </c>
      <c r="D9" s="39">
        <v>-7.4844698269999999</v>
      </c>
      <c r="E9" s="40">
        <v>7.1799999999999994E-14</v>
      </c>
      <c r="F9" s="5"/>
      <c r="G9" s="48">
        <v>513.97350970000002</v>
      </c>
      <c r="H9" s="49">
        <v>523.83416099999999</v>
      </c>
      <c r="I9" s="6"/>
      <c r="J9" s="52">
        <f t="shared" si="1"/>
        <v>0.99975555588133325</v>
      </c>
      <c r="K9" s="53">
        <f t="shared" si="0"/>
        <v>0.87979721754119378</v>
      </c>
      <c r="L9" s="53">
        <f t="shared" si="2"/>
        <v>0.12020278245880622</v>
      </c>
      <c r="M9" s="54">
        <v>5</v>
      </c>
      <c r="O9" s="59" t="s">
        <v>7</v>
      </c>
      <c r="P9" s="60">
        <v>0</v>
      </c>
      <c r="Q9" s="60">
        <v>466</v>
      </c>
      <c r="R9" s="60">
        <v>0</v>
      </c>
      <c r="S9" s="61">
        <v>793.25</v>
      </c>
      <c r="U9" s="59" t="s">
        <v>7</v>
      </c>
      <c r="V9" s="36">
        <f t="shared" si="3"/>
        <v>0.12565315981039782</v>
      </c>
      <c r="W9" s="36">
        <f t="shared" si="4"/>
        <v>1.1728275810397806E-2</v>
      </c>
      <c r="X9" s="36">
        <f t="shared" si="4"/>
        <v>0.12565315981039782</v>
      </c>
      <c r="Y9" s="36">
        <f t="shared" si="4"/>
        <v>-6.8275840689602199E-2</v>
      </c>
      <c r="AA9" s="59" t="s">
        <v>7</v>
      </c>
      <c r="AB9" s="36">
        <f t="shared" si="5"/>
        <v>0</v>
      </c>
      <c r="AC9" s="36">
        <f t="shared" si="5"/>
        <v>-0.113924884</v>
      </c>
      <c r="AD9" s="36">
        <f t="shared" si="5"/>
        <v>0</v>
      </c>
      <c r="AE9" s="36">
        <f t="shared" si="5"/>
        <v>-0.1939290005</v>
      </c>
    </row>
    <row r="10" spans="1:31" ht="15">
      <c r="A10" s="41" t="s">
        <v>8</v>
      </c>
      <c r="B10" s="42">
        <v>-2.5510300000000001E-4</v>
      </c>
      <c r="C10" s="42">
        <v>5.1E-5</v>
      </c>
      <c r="D10" s="42">
        <v>-5.0009281369999998</v>
      </c>
      <c r="E10" s="43">
        <v>5.7100000000000002E-7</v>
      </c>
      <c r="F10" s="5"/>
      <c r="G10" s="48">
        <v>-15.00692815</v>
      </c>
      <c r="H10" s="49">
        <v>258.4721667</v>
      </c>
      <c r="I10" s="5"/>
      <c r="J10" s="55">
        <f t="shared" si="1"/>
        <v>0.99974492953600358</v>
      </c>
      <c r="K10" s="56">
        <f t="shared" si="0"/>
        <v>0.93618981885648667</v>
      </c>
      <c r="L10" s="56">
        <f t="shared" si="2"/>
        <v>6.3810181143513334E-2</v>
      </c>
      <c r="M10" s="57">
        <v>6</v>
      </c>
      <c r="O10" s="59" t="s">
        <v>8</v>
      </c>
      <c r="P10" s="60">
        <v>0</v>
      </c>
      <c r="Q10" s="60">
        <v>64</v>
      </c>
      <c r="R10" s="60">
        <v>0</v>
      </c>
      <c r="S10" s="61">
        <v>68.75</v>
      </c>
      <c r="U10" s="59" t="s">
        <v>8</v>
      </c>
      <c r="V10" s="36">
        <f t="shared" si="3"/>
        <v>-3.8283123918494504E-3</v>
      </c>
      <c r="W10" s="36">
        <f t="shared" si="4"/>
        <v>-2.015490439184945E-2</v>
      </c>
      <c r="X10" s="36">
        <f t="shared" si="4"/>
        <v>-3.8283123918494504E-3</v>
      </c>
      <c r="Y10" s="36">
        <f t="shared" si="4"/>
        <v>-2.136664364184945E-2</v>
      </c>
      <c r="AA10" s="59" t="s">
        <v>8</v>
      </c>
      <c r="AB10" s="36">
        <f t="shared" si="5"/>
        <v>0</v>
      </c>
      <c r="AC10" s="36">
        <f t="shared" si="5"/>
        <v>-1.6326592000000001E-2</v>
      </c>
      <c r="AD10" s="36">
        <f t="shared" si="5"/>
        <v>0</v>
      </c>
      <c r="AE10" s="36">
        <f t="shared" si="5"/>
        <v>-1.7538331250000001E-2</v>
      </c>
    </row>
    <row r="11" spans="1:31" ht="15">
      <c r="A11" s="4" t="s">
        <v>26</v>
      </c>
      <c r="B11" s="7"/>
      <c r="C11" s="7"/>
      <c r="D11" s="7"/>
      <c r="E11" s="7"/>
      <c r="F11" s="5"/>
      <c r="G11" s="50">
        <v>58.634113875092098</v>
      </c>
      <c r="H11" s="51">
        <v>44.063585421381802</v>
      </c>
      <c r="I11" s="5"/>
      <c r="J11" s="9"/>
      <c r="K11" s="10"/>
      <c r="L11" s="10"/>
      <c r="M11" s="13"/>
      <c r="O11" s="59" t="s">
        <v>26</v>
      </c>
      <c r="P11" s="60">
        <v>60.325000000000003</v>
      </c>
      <c r="Q11" s="60">
        <v>53.715000000000003</v>
      </c>
      <c r="R11" s="60">
        <v>5</v>
      </c>
      <c r="S11" s="62">
        <v>34.99</v>
      </c>
      <c r="V11" s="5"/>
      <c r="W11" s="5"/>
      <c r="X11" s="5"/>
      <c r="Y11" s="5"/>
    </row>
    <row r="12" spans="1:31" ht="15">
      <c r="A12" s="4"/>
      <c r="B12" s="7"/>
      <c r="C12" s="7"/>
      <c r="D12" s="7"/>
      <c r="E12" s="7"/>
      <c r="F12" s="5"/>
      <c r="G12" s="8"/>
      <c r="H12" s="8"/>
      <c r="I12" s="5"/>
      <c r="J12" s="9"/>
      <c r="K12" s="10"/>
      <c r="L12" s="10"/>
      <c r="M12" s="10"/>
      <c r="N12" s="5"/>
      <c r="O12" s="59" t="s">
        <v>19</v>
      </c>
      <c r="P12" s="60">
        <v>1</v>
      </c>
      <c r="Q12" s="60">
        <v>1</v>
      </c>
      <c r="R12" s="60">
        <v>0</v>
      </c>
      <c r="S12" s="61">
        <v>0</v>
      </c>
      <c r="V12" s="95" t="s">
        <v>67</v>
      </c>
      <c r="W12" s="95"/>
      <c r="X12" s="95"/>
      <c r="Y12" s="95"/>
      <c r="AB12" s="95" t="s">
        <v>68</v>
      </c>
      <c r="AC12" s="95"/>
      <c r="AD12" s="95"/>
      <c r="AE12" s="95"/>
    </row>
    <row r="13" spans="1:31" ht="15">
      <c r="A13" s="4"/>
      <c r="B13" s="7"/>
      <c r="C13" s="7"/>
      <c r="D13" s="7"/>
      <c r="E13" s="7"/>
      <c r="F13" s="5"/>
      <c r="G13" s="8"/>
      <c r="H13" s="8"/>
      <c r="I13" s="5"/>
      <c r="J13" s="9"/>
      <c r="K13" s="10"/>
      <c r="L13" s="10"/>
      <c r="M13" s="10"/>
      <c r="N13" s="5"/>
      <c r="O13" s="59" t="s">
        <v>34</v>
      </c>
      <c r="P13" s="74">
        <v>0.69862978229737305</v>
      </c>
      <c r="Q13" s="74">
        <v>0.46372255184643701</v>
      </c>
      <c r="R13" s="74">
        <v>0.74635842318520196</v>
      </c>
      <c r="S13" s="75">
        <v>0.38402250985932401</v>
      </c>
      <c r="V13" s="95"/>
      <c r="W13" s="95"/>
      <c r="X13" s="95"/>
      <c r="Y13" s="95"/>
      <c r="AB13" s="95"/>
      <c r="AC13" s="95"/>
      <c r="AD13" s="95"/>
      <c r="AE13" s="95"/>
    </row>
    <row r="14" spans="1:31" ht="15">
      <c r="A14" s="4"/>
      <c r="B14" s="7"/>
      <c r="C14" s="7"/>
      <c r="D14" s="7"/>
      <c r="E14" s="7"/>
      <c r="F14" s="5"/>
      <c r="G14" s="8"/>
      <c r="H14" s="8"/>
      <c r="I14" s="5"/>
      <c r="J14" s="9"/>
      <c r="K14" s="10"/>
      <c r="L14" s="10"/>
      <c r="M14" s="10"/>
      <c r="N14" s="5"/>
      <c r="O14" s="63" t="s">
        <v>20</v>
      </c>
      <c r="P14" s="64">
        <v>1039199</v>
      </c>
      <c r="Q14" s="64">
        <v>1073314</v>
      </c>
      <c r="R14" s="64">
        <v>1021961</v>
      </c>
      <c r="S14" s="65">
        <v>1086325</v>
      </c>
      <c r="V14" s="95"/>
      <c r="W14" s="95"/>
      <c r="X14" s="95"/>
      <c r="Y14" s="95"/>
      <c r="AB14" s="95"/>
      <c r="AC14" s="95"/>
      <c r="AD14" s="95"/>
      <c r="AE14" s="95"/>
    </row>
    <row r="15" spans="1:31">
      <c r="A15" s="4"/>
    </row>
    <row r="16" spans="1:31">
      <c r="A16" s="4" t="s">
        <v>0</v>
      </c>
      <c r="G16" s="11">
        <f>SUMPRODUCT($B$4:$B$10,G4:G10)</f>
        <v>-1.1228732464207155E-2</v>
      </c>
      <c r="O16" s="7" t="s">
        <v>24</v>
      </c>
      <c r="P16" s="11">
        <f>SUMPRODUCT($B$4:$B$10,P4:P10)</f>
        <v>0.84078140500000009</v>
      </c>
      <c r="Q16" s="11">
        <f>SUMPRODUCT($B$4:$B$10,Q4:Q10)</f>
        <v>-0.14536536700000005</v>
      </c>
      <c r="R16" s="11">
        <f>SUMPRODUCT($B$4:$B$10,R4:R10)</f>
        <v>1.0792836269999999</v>
      </c>
      <c r="S16" s="11">
        <f>SUMPRODUCT($B$4:$B$10,S4:S10)</f>
        <v>-0.47250938874999998</v>
      </c>
    </row>
    <row r="17" spans="1:19">
      <c r="A17" s="4"/>
      <c r="G17" s="7"/>
      <c r="O17" s="7"/>
      <c r="P17" s="7"/>
      <c r="Q17" s="7"/>
      <c r="R17" s="7"/>
      <c r="S17" s="7"/>
    </row>
    <row r="18" spans="1:19">
      <c r="A18" s="4"/>
      <c r="O18" s="97" t="s">
        <v>41</v>
      </c>
      <c r="P18" s="97"/>
      <c r="Q18" s="97"/>
      <c r="R18" s="97"/>
      <c r="S18" s="97"/>
    </row>
    <row r="19" spans="1:19">
      <c r="A19" s="4" t="s">
        <v>1</v>
      </c>
      <c r="G19" s="12">
        <f>1/(1+EXP(-G16))</f>
        <v>0.49719284637875055</v>
      </c>
      <c r="O19" s="14" t="s">
        <v>25</v>
      </c>
      <c r="P19" s="92">
        <f>1/(1+EXP(-P16))</f>
        <v>0.69862976340038196</v>
      </c>
      <c r="Q19" s="92">
        <f>1/(1+EXP(-Q16))</f>
        <v>0.46372251765820771</v>
      </c>
      <c r="R19" s="92">
        <f>1/(1+EXP(-R16))</f>
        <v>0.74635839246103131</v>
      </c>
      <c r="S19" s="93">
        <f>1/(1+EXP(-S16))</f>
        <v>0.38402247717802107</v>
      </c>
    </row>
    <row r="20" spans="1:19">
      <c r="O20" s="15" t="s">
        <v>23</v>
      </c>
      <c r="P20" s="16">
        <f>P$11</f>
        <v>60.325000000000003</v>
      </c>
      <c r="Q20" s="16">
        <f>Q$11</f>
        <v>53.715000000000003</v>
      </c>
      <c r="R20" s="16">
        <f>R$11</f>
        <v>5</v>
      </c>
      <c r="S20" s="17">
        <f>S$11</f>
        <v>34.99</v>
      </c>
    </row>
    <row r="21" spans="1:19">
      <c r="O21" s="18" t="s">
        <v>22</v>
      </c>
      <c r="P21" s="19">
        <f>P20*(1+0.05/12)/(1+0.05/12-(1-P19))</f>
        <v>86.193315126668367</v>
      </c>
      <c r="Q21" s="19">
        <f>Q20*(1+0.05/12)/(1+0.05/12-(1-Q19))</f>
        <v>115.28116978773356</v>
      </c>
      <c r="R21" s="19">
        <f>R20*(1+0.05/12)/(1+0.05/12-(1-R19))</f>
        <v>6.6897610842852142</v>
      </c>
      <c r="S21" s="20">
        <f>S20*(1+0.05/12)/(1+0.05/12-(1-S19))</f>
        <v>90.512040905307487</v>
      </c>
    </row>
    <row r="22" spans="1:19">
      <c r="O22" s="34"/>
      <c r="P22" s="66"/>
      <c r="Q22" s="66"/>
      <c r="R22" s="66"/>
      <c r="S22" s="66"/>
    </row>
    <row r="23" spans="1:19">
      <c r="A23" s="4"/>
      <c r="O23" s="98" t="s">
        <v>43</v>
      </c>
      <c r="P23" s="98"/>
      <c r="Q23" s="98"/>
      <c r="R23" s="98"/>
      <c r="S23" s="98"/>
    </row>
    <row r="24" spans="1:19">
      <c r="O24" s="21" t="s">
        <v>27</v>
      </c>
      <c r="P24" s="22">
        <f>P19/(0.5/0.02)</f>
        <v>2.7945190536015279E-2</v>
      </c>
      <c r="Q24" s="22">
        <f>Q19/(0.5/0.02)</f>
        <v>1.8548900706328308E-2</v>
      </c>
      <c r="R24" s="22">
        <f>R19/(0.5/0.02)</f>
        <v>2.9854335698441252E-2</v>
      </c>
      <c r="S24" s="23">
        <f>S19/(0.5/0.02)</f>
        <v>1.5360899087120843E-2</v>
      </c>
    </row>
    <row r="25" spans="1:19">
      <c r="O25" s="15" t="s">
        <v>28</v>
      </c>
      <c r="P25" s="24">
        <f>(1-P19)/(0.5/0.98)</f>
        <v>0.59068566373525133</v>
      </c>
      <c r="Q25" s="24">
        <f>(1-Q19)/(0.5/0.98)</f>
        <v>1.051103865389913</v>
      </c>
      <c r="R25" s="24">
        <f>(1-R19)/(0.5/0.98)</f>
        <v>0.49713755077637861</v>
      </c>
      <c r="S25" s="25">
        <f>(1-S19)/(0.5/0.98)</f>
        <v>1.2073159447310786</v>
      </c>
    </row>
    <row r="26" spans="1:19">
      <c r="O26" s="15" t="s">
        <v>29</v>
      </c>
      <c r="P26" s="76">
        <f>P24/(P24+P25)</f>
        <v>4.5172642688399517E-2</v>
      </c>
      <c r="Q26" s="76">
        <f>Q24/(Q24+Q25)</f>
        <v>1.734104869753535E-2</v>
      </c>
      <c r="R26" s="76">
        <f>R24/(R24+R25)</f>
        <v>5.6650465528310781E-2</v>
      </c>
      <c r="S26" s="77">
        <f>S24/(S24+S25)</f>
        <v>1.2563335246582019E-2</v>
      </c>
    </row>
    <row r="27" spans="1:19">
      <c r="O27" s="15" t="s">
        <v>23</v>
      </c>
      <c r="P27" s="16">
        <f>P$11</f>
        <v>60.325000000000003</v>
      </c>
      <c r="Q27" s="16">
        <f>Q$11</f>
        <v>53.715000000000003</v>
      </c>
      <c r="R27" s="16">
        <f>R$11</f>
        <v>5</v>
      </c>
      <c r="S27" s="17">
        <f>S$11</f>
        <v>34.99</v>
      </c>
    </row>
    <row r="28" spans="1:19">
      <c r="O28" s="18" t="s">
        <v>32</v>
      </c>
      <c r="P28" s="19">
        <f>P$27*(1+0.05/12)/(1+0.05/12-(1-P26))</f>
        <v>1227.7503467009253</v>
      </c>
      <c r="Q28" s="19">
        <f>Q$27*(1+0.05/12)/(1+0.05/12-(1-Q26))</f>
        <v>2507.8820128788325</v>
      </c>
      <c r="R28" s="19">
        <f>R$27*(1+0.05/12)/(1+0.05/12-(1-R26))</f>
        <v>82.556232958119949</v>
      </c>
      <c r="S28" s="20">
        <f>S$27*(1+0.05/12)/(1+0.05/12-(1-S26))</f>
        <v>2100.1666257337488</v>
      </c>
    </row>
    <row r="29" spans="1:19">
      <c r="O29" s="34"/>
      <c r="P29" s="66"/>
      <c r="Q29" s="66"/>
      <c r="R29" s="66"/>
      <c r="S29" s="66"/>
    </row>
    <row r="30" spans="1:19">
      <c r="O30" s="98" t="s">
        <v>42</v>
      </c>
      <c r="P30" s="98"/>
      <c r="Q30" s="98"/>
      <c r="R30" s="98"/>
      <c r="S30" s="98"/>
    </row>
    <row r="31" spans="1:19">
      <c r="O31" s="21" t="s">
        <v>30</v>
      </c>
      <c r="P31" s="72">
        <v>100</v>
      </c>
      <c r="Q31" s="72"/>
      <c r="R31" s="72">
        <v>50</v>
      </c>
      <c r="S31" s="73">
        <v>0</v>
      </c>
    </row>
    <row r="32" spans="1:19">
      <c r="O32" s="15" t="s">
        <v>31</v>
      </c>
      <c r="P32" s="76">
        <f>P26*0.5</f>
        <v>2.2586321344199758E-2</v>
      </c>
      <c r="Q32" s="76">
        <f>Q26</f>
        <v>1.734104869753535E-2</v>
      </c>
      <c r="R32" s="76">
        <f>R26*0.25</f>
        <v>1.4162616382077695E-2</v>
      </c>
      <c r="S32" s="77">
        <f>S26</f>
        <v>1.2563335246582019E-2</v>
      </c>
    </row>
    <row r="33" spans="15:19">
      <c r="O33" s="15" t="s">
        <v>33</v>
      </c>
      <c r="P33" s="26">
        <f>P$27*(1+0.05/12)/(1+0.05/12-(1-P32))</f>
        <v>2264.2836808382654</v>
      </c>
      <c r="Q33" s="26">
        <f>Q$27*(1+0.05/12)/(1+0.05/12-(1-Q32))</f>
        <v>2507.8820128788325</v>
      </c>
      <c r="R33" s="26">
        <f>R$27*(1+0.05/12)/(1+0.05/12-(1-R32))</f>
        <v>273.92415295137693</v>
      </c>
      <c r="S33" s="27">
        <f>S$27*(1+0.05/12)/(1+0.05/12-(1-S32))</f>
        <v>2100.1666257337488</v>
      </c>
    </row>
    <row r="34" spans="15:19">
      <c r="O34" s="18" t="s">
        <v>35</v>
      </c>
      <c r="P34" s="28">
        <f>P33-P28-P31</f>
        <v>936.53333413734003</v>
      </c>
      <c r="Q34" s="28">
        <f>Q33-Q28-Q31</f>
        <v>0</v>
      </c>
      <c r="R34" s="28">
        <f>R33-R28-R31</f>
        <v>141.36791999325698</v>
      </c>
      <c r="S34" s="29">
        <f>S33-S28-S31</f>
        <v>0</v>
      </c>
    </row>
  </sheetData>
  <mergeCells count="11">
    <mergeCell ref="O30:S30"/>
    <mergeCell ref="V2:Y2"/>
    <mergeCell ref="A2:E2"/>
    <mergeCell ref="G2:H2"/>
    <mergeCell ref="J2:M2"/>
    <mergeCell ref="O2:S2"/>
    <mergeCell ref="AB12:AE14"/>
    <mergeCell ref="AB2:AE2"/>
    <mergeCell ref="V12:Y14"/>
    <mergeCell ref="O18:S18"/>
    <mergeCell ref="O23:S23"/>
  </mergeCells>
  <conditionalFormatting sqref="L4:L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{3C4BDFD6-46CC-9C43-A2B6-1C2E22E816F6}</x14:id>
        </ext>
      </extLst>
    </cfRule>
  </conditionalFormatting>
  <conditionalFormatting sqref="V5:Y1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{091964DF-4D8B-4A42-A4F2-14DA0C44E343}</x14:id>
        </ext>
      </extLst>
    </cfRule>
  </conditionalFormatting>
  <conditionalFormatting sqref="AB5:AE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{93C3FC75-8505-1E49-89FD-E09504A872EC}</x14:id>
        </ext>
      </extLst>
    </cfRule>
  </conditionalFormatting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4BDFD6-46CC-9C43-A2B6-1C2E22E816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L4:L10</xm:sqref>
        </x14:conditionalFormatting>
        <x14:conditionalFormatting xmlns:xm="http://schemas.microsoft.com/office/excel/2006/main">
          <x14:cfRule type="dataBar" id="{091964DF-4D8B-4A42-A4F2-14DA0C44E3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V5:Y10</xm:sqref>
        </x14:conditionalFormatting>
        <x14:conditionalFormatting xmlns:xm="http://schemas.microsoft.com/office/excel/2006/main">
          <x14:cfRule type="dataBar" id="{93C3FC75-8505-1E49-89FD-E09504A872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AB5:AE10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1"/>
  <sheetViews>
    <sheetView zoomScale="125" zoomScaleNormal="125" zoomScalePageLayoutView="125" workbookViewId="0">
      <selection activeCell="H32" sqref="H32"/>
    </sheetView>
  </sheetViews>
  <sheetFormatPr baseColWidth="10" defaultRowHeight="14" x14ac:dyDescent="0"/>
  <cols>
    <col min="3" max="3" width="10.83203125" customWidth="1"/>
    <col min="4" max="4" width="12.6640625" customWidth="1"/>
  </cols>
  <sheetData>
    <row r="1" spans="1:8" ht="18">
      <c r="A1" s="3" t="s">
        <v>53</v>
      </c>
    </row>
    <row r="3" spans="1:8">
      <c r="D3" s="96"/>
      <c r="E3" s="96"/>
      <c r="F3" s="98"/>
      <c r="G3" s="98"/>
    </row>
    <row r="4" spans="1:8" ht="27" customHeight="1">
      <c r="A4" s="37"/>
      <c r="B4" s="31" t="s">
        <v>10</v>
      </c>
      <c r="D4" s="58"/>
      <c r="E4" s="31" t="s">
        <v>55</v>
      </c>
      <c r="F4" s="31" t="s">
        <v>59</v>
      </c>
      <c r="G4" s="32" t="s">
        <v>73</v>
      </c>
    </row>
    <row r="5" spans="1:8">
      <c r="A5" s="38" t="s">
        <v>14</v>
      </c>
      <c r="B5" s="39">
        <v>-0.162028951</v>
      </c>
      <c r="D5" s="59"/>
      <c r="E5" s="60">
        <v>1</v>
      </c>
      <c r="F5" s="60">
        <v>1</v>
      </c>
      <c r="G5" s="60">
        <v>1</v>
      </c>
    </row>
    <row r="6" spans="1:8">
      <c r="A6" s="38" t="s">
        <v>15</v>
      </c>
      <c r="B6" s="39">
        <v>1.0527259999999999E-3</v>
      </c>
      <c r="D6" s="59" t="s">
        <v>15</v>
      </c>
      <c r="E6" s="91">
        <v>391</v>
      </c>
      <c r="F6" s="91">
        <v>0</v>
      </c>
      <c r="G6" s="91">
        <v>391</v>
      </c>
      <c r="H6" t="s">
        <v>54</v>
      </c>
    </row>
    <row r="7" spans="1:8">
      <c r="A7" s="38" t="s">
        <v>9</v>
      </c>
      <c r="B7" s="39">
        <v>0.79846194599999998</v>
      </c>
      <c r="D7" s="59" t="s">
        <v>9</v>
      </c>
      <c r="E7" s="60">
        <v>1</v>
      </c>
      <c r="F7" s="60">
        <v>1</v>
      </c>
      <c r="G7" s="60">
        <v>1</v>
      </c>
    </row>
    <row r="8" spans="1:8">
      <c r="A8" s="38" t="s">
        <v>5</v>
      </c>
      <c r="B8" s="39">
        <v>-1.2954215999999999E-2</v>
      </c>
      <c r="D8" s="59" t="s">
        <v>5</v>
      </c>
      <c r="E8" s="60">
        <v>16</v>
      </c>
      <c r="F8" s="60">
        <v>16</v>
      </c>
      <c r="G8" s="60">
        <v>16</v>
      </c>
    </row>
    <row r="9" spans="1:8">
      <c r="A9" s="38" t="s">
        <v>6</v>
      </c>
      <c r="B9" s="39">
        <v>1.7312779999999999E-3</v>
      </c>
      <c r="D9" s="59" t="s">
        <v>6</v>
      </c>
      <c r="E9" s="60">
        <v>0</v>
      </c>
      <c r="F9" s="60">
        <v>0</v>
      </c>
      <c r="G9" s="60">
        <v>0</v>
      </c>
    </row>
    <row r="10" spans="1:8">
      <c r="A10" s="38" t="s">
        <v>7</v>
      </c>
      <c r="B10" s="39">
        <v>-2.44474E-4</v>
      </c>
      <c r="D10" s="59" t="s">
        <v>7</v>
      </c>
      <c r="E10" s="60">
        <v>0</v>
      </c>
      <c r="F10" s="60">
        <v>0</v>
      </c>
      <c r="G10" s="60">
        <v>0</v>
      </c>
    </row>
    <row r="11" spans="1:8">
      <c r="A11" s="41" t="s">
        <v>8</v>
      </c>
      <c r="B11" s="42">
        <v>-2.5510300000000001E-4</v>
      </c>
      <c r="D11" s="59" t="s">
        <v>8</v>
      </c>
      <c r="E11" s="60">
        <v>0</v>
      </c>
      <c r="F11" s="60">
        <v>0</v>
      </c>
      <c r="G11" s="60">
        <v>0</v>
      </c>
    </row>
    <row r="12" spans="1:8">
      <c r="A12" s="78" t="s">
        <v>56</v>
      </c>
      <c r="B12" s="39">
        <v>-2.0579070250000019E-3</v>
      </c>
      <c r="D12" s="59" t="s">
        <v>58</v>
      </c>
      <c r="E12" s="89">
        <f>E24</f>
        <v>0</v>
      </c>
      <c r="F12" s="89">
        <f>F24</f>
        <v>0</v>
      </c>
      <c r="G12" s="89">
        <f>G24</f>
        <v>200</v>
      </c>
      <c r="H12" t="s">
        <v>65</v>
      </c>
    </row>
    <row r="13" spans="1:8">
      <c r="D13" s="59" t="s">
        <v>26</v>
      </c>
      <c r="E13" s="94">
        <v>60.325000000000003</v>
      </c>
      <c r="F13" s="94">
        <v>60.325000000000003</v>
      </c>
      <c r="G13" s="94">
        <v>60.325000000000003</v>
      </c>
    </row>
    <row r="14" spans="1:8">
      <c r="D14" s="59" t="s">
        <v>19</v>
      </c>
      <c r="E14" s="60">
        <v>1</v>
      </c>
      <c r="F14" s="60">
        <v>1</v>
      </c>
      <c r="G14" s="60">
        <v>1</v>
      </c>
    </row>
    <row r="15" spans="1:8">
      <c r="D15" s="59" t="s">
        <v>34</v>
      </c>
      <c r="E15" s="74">
        <v>0.69862978229737305</v>
      </c>
      <c r="F15" s="74">
        <v>0.69862978229737305</v>
      </c>
      <c r="G15" s="74">
        <v>0.69862978229737305</v>
      </c>
    </row>
    <row r="16" spans="1:8">
      <c r="D16" s="63" t="s">
        <v>20</v>
      </c>
      <c r="E16" s="64">
        <v>1039199</v>
      </c>
      <c r="F16" s="64">
        <v>1039199</v>
      </c>
      <c r="G16" s="64">
        <v>1039199</v>
      </c>
    </row>
    <row r="18" spans="4:8">
      <c r="D18" s="84" t="s">
        <v>24</v>
      </c>
      <c r="E18" s="85">
        <f>SUMPRODUCT($B$5:$B$12,E5:E12)</f>
        <v>0.84078140500000009</v>
      </c>
      <c r="F18" s="85">
        <f>SUMPRODUCT($B$5:$B$12,F5:F12)</f>
        <v>0.42916553899999998</v>
      </c>
      <c r="G18" s="86">
        <f>SUMPRODUCT($B$5:$B$12,G5:G12)</f>
        <v>0.42919999999999969</v>
      </c>
    </row>
    <row r="19" spans="4:8">
      <c r="D19" s="7"/>
      <c r="E19" s="7"/>
      <c r="F19" s="7"/>
      <c r="G19" s="7"/>
    </row>
    <row r="20" spans="4:8" ht="27" customHeight="1">
      <c r="D20" s="99" t="s">
        <v>41</v>
      </c>
      <c r="E20" s="99"/>
      <c r="F20" s="100"/>
      <c r="G20" s="100"/>
    </row>
    <row r="21" spans="4:8">
      <c r="D21" s="14" t="s">
        <v>25</v>
      </c>
      <c r="E21" s="87">
        <f>1/(1+EXP(-E18))</f>
        <v>0.69862976340038196</v>
      </c>
      <c r="F21" s="87">
        <f>1/(1+EXP(-F18))</f>
        <v>0.60567438925585282</v>
      </c>
      <c r="G21" s="88">
        <f>1/(1+EXP(-G18))</f>
        <v>0.60568261964725501</v>
      </c>
    </row>
    <row r="22" spans="4:8">
      <c r="D22" s="15" t="s">
        <v>23</v>
      </c>
      <c r="E22" s="16">
        <f>E$13</f>
        <v>60.325000000000003</v>
      </c>
      <c r="F22" s="16">
        <f>F$13</f>
        <v>60.325000000000003</v>
      </c>
      <c r="G22" s="16">
        <f>G$13</f>
        <v>60.325000000000003</v>
      </c>
    </row>
    <row r="23" spans="4:8">
      <c r="D23" s="15" t="s">
        <v>57</v>
      </c>
      <c r="E23" s="89">
        <v>0</v>
      </c>
      <c r="F23" s="89">
        <v>200</v>
      </c>
      <c r="G23" s="90">
        <v>0</v>
      </c>
      <c r="H23" t="s">
        <v>60</v>
      </c>
    </row>
    <row r="24" spans="4:8">
      <c r="D24" s="15" t="s">
        <v>58</v>
      </c>
      <c r="E24" s="89">
        <v>0</v>
      </c>
      <c r="F24" s="89">
        <v>0</v>
      </c>
      <c r="G24" s="90">
        <v>200</v>
      </c>
      <c r="H24" t="s">
        <v>66</v>
      </c>
    </row>
    <row r="25" spans="4:8">
      <c r="D25" s="18" t="s">
        <v>22</v>
      </c>
      <c r="E25" s="19">
        <f>E22*(1+0.05/12)/(1+0.05/12-(1-E21))-SUM(E23:E24)</f>
        <v>86.193315126668367</v>
      </c>
      <c r="F25" s="19">
        <f>F22*(1+0.05/12)/(1+0.05/12-(1-F21))-SUM(F23:F24)</f>
        <v>-100.66861917810448</v>
      </c>
      <c r="G25" s="20">
        <f>G22*(1+0.05/12)/(1+0.05/12-(1-G21))-SUM(G23:G24)</f>
        <v>-100.66995973250214</v>
      </c>
    </row>
    <row r="26" spans="4:8">
      <c r="D26" s="34"/>
      <c r="E26" s="66"/>
      <c r="F26" s="66"/>
      <c r="G26" s="66"/>
    </row>
    <row r="27" spans="4:8" ht="28" customHeight="1">
      <c r="D27" s="101" t="s">
        <v>43</v>
      </c>
      <c r="E27" s="101"/>
      <c r="F27" s="101"/>
      <c r="G27" s="102"/>
    </row>
    <row r="28" spans="4:8">
      <c r="D28" s="21" t="s">
        <v>27</v>
      </c>
      <c r="E28" s="22">
        <f>E21/(0.5/0.02)</f>
        <v>2.7945190536015279E-2</v>
      </c>
      <c r="F28" s="22">
        <f>F21/(0.5/0.02)</f>
        <v>2.4226975570234111E-2</v>
      </c>
      <c r="G28" s="23">
        <f>G21/(0.5/0.02)</f>
        <v>2.4227304785890202E-2</v>
      </c>
    </row>
    <row r="29" spans="4:8">
      <c r="D29" s="15" t="s">
        <v>28</v>
      </c>
      <c r="E29" s="24">
        <f>(1-E21)/(0.5/0.98)</f>
        <v>0.59068566373525133</v>
      </c>
      <c r="F29" s="24">
        <f>(1-F21)/(0.5/0.98)</f>
        <v>0.77287819705852845</v>
      </c>
      <c r="G29" s="25">
        <f>(1-G21)/(0.5/0.98)</f>
        <v>0.77286206549138015</v>
      </c>
    </row>
    <row r="30" spans="4:8">
      <c r="D30" s="15" t="s">
        <v>29</v>
      </c>
      <c r="E30" s="76">
        <f>E28/(E28+E29)</f>
        <v>4.5172642688399517E-2</v>
      </c>
      <c r="F30" s="76">
        <f>F28/(F28+F29)</f>
        <v>3.0393700106519556E-2</v>
      </c>
      <c r="G30" s="77">
        <f>G28/(G28+G29)</f>
        <v>3.0394715685974648E-2</v>
      </c>
    </row>
    <row r="31" spans="4:8">
      <c r="D31" s="18" t="s">
        <v>32</v>
      </c>
      <c r="E31" s="19">
        <f>E$22*(1+0.05/12)/(1+0.05/12-(1-E30))-SUM(E23:E24)</f>
        <v>1227.7503467009253</v>
      </c>
      <c r="F31" s="19">
        <f>F$22*(1+0.05/12)/(1+0.05/12-(1-F30))-SUM(F23:F24)</f>
        <v>1552.7694241273241</v>
      </c>
      <c r="G31" s="20">
        <f>G$22*(1+0.05/12)/(1+0.05/12-(1-G30))-SUM(G23:G24)</f>
        <v>1552.7179193408986</v>
      </c>
    </row>
  </sheetData>
  <mergeCells count="3">
    <mergeCell ref="D3:G3"/>
    <mergeCell ref="D20:G20"/>
    <mergeCell ref="D27:G27"/>
  </mergeCells>
  <pageMargins left="0.75" right="0.75" top="1" bottom="1" header="0.5" footer="0.5"/>
  <pageSetup orientation="portrait" horizontalDpi="4294967292" verticalDpi="4294967292"/>
  <ignoredErrors>
    <ignoredError sqref="E18" formulaRange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2"/>
  <sheetViews>
    <sheetView zoomScale="125" zoomScaleNormal="125" zoomScalePageLayoutView="125" workbookViewId="0">
      <selection activeCell="B5" sqref="B5"/>
    </sheetView>
  </sheetViews>
  <sheetFormatPr baseColWidth="10" defaultRowHeight="14" x14ac:dyDescent="0"/>
  <cols>
    <col min="1" max="1" width="15.1640625" customWidth="1"/>
    <col min="2" max="2" width="12.1640625" bestFit="1" customWidth="1"/>
  </cols>
  <sheetData>
    <row r="1" spans="1:3" ht="18">
      <c r="A1" s="3" t="s">
        <v>44</v>
      </c>
    </row>
    <row r="3" spans="1:3">
      <c r="A3" t="s">
        <v>48</v>
      </c>
      <c r="B3" s="82">
        <v>8.1000000000000003E-2</v>
      </c>
    </row>
    <row r="4" spans="1:3">
      <c r="A4" t="s">
        <v>45</v>
      </c>
      <c r="B4" s="67">
        <v>200</v>
      </c>
    </row>
    <row r="5" spans="1:3">
      <c r="A5" t="s">
        <v>46</v>
      </c>
      <c r="B5" s="39">
        <v>-2.0579070250000019E-3</v>
      </c>
    </row>
    <row r="6" spans="1:3">
      <c r="A6" t="s">
        <v>47</v>
      </c>
      <c r="B6" s="82">
        <f>1/(1+EXP(-(LN(prob/(1-prob))+gamma*B4)))</f>
        <v>5.5178722268975106E-2</v>
      </c>
    </row>
    <row r="7" spans="1:3">
      <c r="A7" t="s">
        <v>51</v>
      </c>
      <c r="B7" s="68">
        <v>0.05</v>
      </c>
    </row>
    <row r="8" spans="1:3">
      <c r="A8" t="s">
        <v>50</v>
      </c>
      <c r="B8" s="70">
        <v>60.33</v>
      </c>
    </row>
    <row r="11" spans="1:3">
      <c r="A11" s="69" t="s">
        <v>30</v>
      </c>
      <c r="B11" s="69" t="s">
        <v>49</v>
      </c>
      <c r="C11" s="69" t="s">
        <v>52</v>
      </c>
    </row>
    <row r="12" spans="1:3">
      <c r="A12" s="71">
        <v>0</v>
      </c>
      <c r="B12" s="83">
        <f t="shared" ref="B12:B52" si="0">1/(1+EXP(-(LN(prob/(1-prob))+gamma*(A12))))</f>
        <v>8.1000000000000003E-2</v>
      </c>
      <c r="C12" s="67">
        <f t="shared" ref="C12:C52" si="1">profit*(1+rate/12)/(1+rate/12-1+B12)-A12</f>
        <v>711.32729941291586</v>
      </c>
    </row>
    <row r="13" spans="1:3">
      <c r="A13" s="71">
        <v>100</v>
      </c>
      <c r="B13" s="83">
        <f t="shared" si="0"/>
        <v>6.6942819549390187E-2</v>
      </c>
      <c r="C13" s="67">
        <f t="shared" si="1"/>
        <v>751.94505295582417</v>
      </c>
    </row>
    <row r="14" spans="1:3">
      <c r="A14" s="71">
        <f>A13+$A$13</f>
        <v>200</v>
      </c>
      <c r="B14" s="83">
        <f t="shared" si="0"/>
        <v>5.5178722268975106E-2</v>
      </c>
      <c r="C14" s="67">
        <f t="shared" si="1"/>
        <v>820.8269940853977</v>
      </c>
    </row>
    <row r="15" spans="1:3">
      <c r="A15" s="71">
        <f t="shared" ref="A15:A52" si="2">A14+$A$13</f>
        <v>300</v>
      </c>
      <c r="B15" s="83">
        <f t="shared" si="0"/>
        <v>4.538142098206243E-2</v>
      </c>
      <c r="C15" s="67">
        <f t="shared" si="1"/>
        <v>922.67836913285828</v>
      </c>
    </row>
    <row r="16" spans="1:3">
      <c r="A16" s="71">
        <f t="shared" si="2"/>
        <v>400</v>
      </c>
      <c r="B16" s="83">
        <f t="shared" si="0"/>
        <v>3.7255094600803E-2</v>
      </c>
      <c r="C16" s="67">
        <f t="shared" si="1"/>
        <v>1062.5494702847711</v>
      </c>
    </row>
    <row r="17" spans="1:3">
      <c r="A17" s="71">
        <f t="shared" si="2"/>
        <v>500</v>
      </c>
      <c r="B17" s="83">
        <f t="shared" si="0"/>
        <v>3.0537377951880443E-2</v>
      </c>
      <c r="C17" s="67">
        <f t="shared" si="1"/>
        <v>1245.6574778498043</v>
      </c>
    </row>
    <row r="18" spans="1:3">
      <c r="A18" s="71">
        <f t="shared" si="2"/>
        <v>600</v>
      </c>
      <c r="B18" s="83">
        <f t="shared" si="0"/>
        <v>2.4999523800924999E-2</v>
      </c>
      <c r="C18" s="67">
        <f t="shared" si="1"/>
        <v>1477.1096268919896</v>
      </c>
    </row>
    <row r="19" spans="1:3">
      <c r="A19" s="71">
        <f t="shared" si="2"/>
        <v>700</v>
      </c>
      <c r="B19" s="83">
        <f t="shared" si="0"/>
        <v>2.0444762639435649E-2</v>
      </c>
      <c r="C19" s="67">
        <f t="shared" si="1"/>
        <v>1761.5138863543816</v>
      </c>
    </row>
    <row r="20" spans="1:3">
      <c r="A20" s="71">
        <f t="shared" si="2"/>
        <v>800</v>
      </c>
      <c r="B20" s="83">
        <f t="shared" si="0"/>
        <v>1.6705632630080982E-2</v>
      </c>
      <c r="C20" s="67">
        <f t="shared" si="1"/>
        <v>2102.4773044261547</v>
      </c>
    </row>
    <row r="21" spans="1:3">
      <c r="A21" s="71">
        <f t="shared" si="2"/>
        <v>900</v>
      </c>
      <c r="B21" s="83">
        <f t="shared" si="0"/>
        <v>1.3640826863188382E-2</v>
      </c>
      <c r="C21" s="67">
        <f t="shared" si="1"/>
        <v>2502.0158366719434</v>
      </c>
    </row>
    <row r="22" spans="1:3">
      <c r="A22" s="71">
        <f t="shared" si="2"/>
        <v>1000</v>
      </c>
      <c r="B22" s="83">
        <f t="shared" si="0"/>
        <v>1.1131923144263032E-2</v>
      </c>
      <c r="C22" s="67">
        <f t="shared" si="1"/>
        <v>2959.9319773067705</v>
      </c>
    </row>
    <row r="23" spans="1:3">
      <c r="A23" s="71">
        <f t="shared" si="2"/>
        <v>1100</v>
      </c>
      <c r="B23" s="83">
        <f t="shared" si="0"/>
        <v>9.0802241924111508E-3</v>
      </c>
      <c r="C23" s="67">
        <f t="shared" si="1"/>
        <v>3473.2523687613011</v>
      </c>
    </row>
    <row r="24" spans="1:3">
      <c r="A24" s="71">
        <f t="shared" si="2"/>
        <v>1200</v>
      </c>
      <c r="B24" s="83">
        <f t="shared" si="0"/>
        <v>7.4038378856685566E-3</v>
      </c>
      <c r="C24" s="67">
        <f t="shared" si="1"/>
        <v>4035.8455697399304</v>
      </c>
    </row>
    <row r="25" spans="1:3">
      <c r="A25" s="71">
        <f t="shared" si="2"/>
        <v>1300</v>
      </c>
      <c r="B25" s="83">
        <f t="shared" si="0"/>
        <v>6.0350602262472823E-3</v>
      </c>
      <c r="C25" s="67">
        <f t="shared" si="1"/>
        <v>4638.3451092069026</v>
      </c>
    </row>
    <row r="26" spans="1:3">
      <c r="A26" s="71">
        <f t="shared" si="2"/>
        <v>1400</v>
      </c>
      <c r="B26" s="83">
        <f t="shared" si="0"/>
        <v>4.9180802559885507E-3</v>
      </c>
      <c r="C26" s="67">
        <f t="shared" si="1"/>
        <v>5268.4713967016978</v>
      </c>
    </row>
    <row r="27" spans="1:3">
      <c r="A27" s="71">
        <f t="shared" si="2"/>
        <v>1500</v>
      </c>
      <c r="B27" s="83">
        <f t="shared" si="0"/>
        <v>4.0069995714133201E-3</v>
      </c>
      <c r="C27" s="67">
        <f t="shared" si="1"/>
        <v>5911.7749899989567</v>
      </c>
    </row>
    <row r="28" spans="1:3">
      <c r="A28" s="71">
        <f t="shared" si="2"/>
        <v>1600</v>
      </c>
      <c r="B28" s="83">
        <f t="shared" si="0"/>
        <v>3.2641441125183042E-3</v>
      </c>
      <c r="C28" s="67">
        <f t="shared" si="1"/>
        <v>6552.7274479521639</v>
      </c>
    </row>
    <row r="29" spans="1:3">
      <c r="A29" s="71">
        <f t="shared" si="2"/>
        <v>1700</v>
      </c>
      <c r="B29" s="83">
        <f t="shared" si="0"/>
        <v>2.6586386065679374E-3</v>
      </c>
      <c r="C29" s="67">
        <f t="shared" si="1"/>
        <v>7175.9949298633783</v>
      </c>
    </row>
    <row r="30" spans="1:3">
      <c r="A30" s="71">
        <f t="shared" si="2"/>
        <v>1800</v>
      </c>
      <c r="B30" s="83">
        <f t="shared" si="0"/>
        <v>2.1652116299017607E-3</v>
      </c>
      <c r="C30" s="67">
        <f t="shared" si="1"/>
        <v>7767.6783669124397</v>
      </c>
    </row>
    <row r="31" spans="1:3">
      <c r="A31" s="71">
        <f t="shared" si="2"/>
        <v>1900</v>
      </c>
      <c r="B31" s="83">
        <f t="shared" si="0"/>
        <v>1.7631997668859744E-3</v>
      </c>
      <c r="C31" s="67">
        <f t="shared" si="1"/>
        <v>8316.3135846055211</v>
      </c>
    </row>
    <row r="32" spans="1:3">
      <c r="A32" s="71">
        <f t="shared" si="2"/>
        <v>2000</v>
      </c>
      <c r="B32" s="83">
        <f t="shared" si="0"/>
        <v>1.4357214969182865E-3</v>
      </c>
      <c r="C32" s="67">
        <f t="shared" si="1"/>
        <v>8813.49118109558</v>
      </c>
    </row>
    <row r="33" spans="1:3">
      <c r="A33" s="71">
        <f t="shared" si="2"/>
        <v>2100</v>
      </c>
      <c r="B33" s="83">
        <f t="shared" si="0"/>
        <v>1.1689943866104295E-3</v>
      </c>
      <c r="C33" s="67">
        <f t="shared" si="1"/>
        <v>9254.0523648502458</v>
      </c>
    </row>
    <row r="34" spans="1:3">
      <c r="A34" s="71">
        <f t="shared" si="2"/>
        <v>2200</v>
      </c>
      <c r="B34" s="83">
        <f t="shared" si="0"/>
        <v>9.5177238010796077E-4</v>
      </c>
      <c r="C34" s="67">
        <f t="shared" si="1"/>
        <v>9635.9082615578645</v>
      </c>
    </row>
    <row r="35" spans="1:3">
      <c r="A35" s="71">
        <f t="shared" si="2"/>
        <v>2300</v>
      </c>
      <c r="B35" s="83">
        <f t="shared" si="0"/>
        <v>7.7488315422887314E-4</v>
      </c>
      <c r="C35" s="67">
        <f t="shared" si="1"/>
        <v>9959.5900467965384</v>
      </c>
    </row>
    <row r="36" spans="1:3">
      <c r="A36" s="71">
        <f t="shared" si="2"/>
        <v>2400</v>
      </c>
      <c r="B36" s="83">
        <f t="shared" si="0"/>
        <v>6.3084846474884492E-4</v>
      </c>
      <c r="C36" s="67">
        <f t="shared" si="1"/>
        <v>10227.656889145774</v>
      </c>
    </row>
    <row r="37" spans="1:3">
      <c r="A37" s="71">
        <f t="shared" si="2"/>
        <v>2500</v>
      </c>
      <c r="B37" s="83">
        <f t="shared" si="0"/>
        <v>5.1357307286774246E-4</v>
      </c>
      <c r="C37" s="67">
        <f t="shared" si="1"/>
        <v>10444.075169539674</v>
      </c>
    </row>
    <row r="38" spans="1:3">
      <c r="A38" s="71">
        <f t="shared" si="2"/>
        <v>2600</v>
      </c>
      <c r="B38" s="83">
        <f t="shared" si="0"/>
        <v>4.1809017866028067E-4</v>
      </c>
      <c r="C38" s="67">
        <f t="shared" si="1"/>
        <v>10613.650591251808</v>
      </c>
    </row>
    <row r="39" spans="1:3">
      <c r="A39" s="71">
        <f t="shared" si="2"/>
        <v>2700</v>
      </c>
      <c r="B39" s="83">
        <f t="shared" si="0"/>
        <v>3.4035330537556733E-4</v>
      </c>
      <c r="C39" s="67">
        <f t="shared" si="1"/>
        <v>10741.559029202477</v>
      </c>
    </row>
    <row r="40" spans="1:3">
      <c r="A40" s="71">
        <f t="shared" si="2"/>
        <v>2800</v>
      </c>
      <c r="B40" s="83">
        <f t="shared" si="0"/>
        <v>2.7706629663815129E-4</v>
      </c>
      <c r="C40" s="67">
        <f t="shared" si="1"/>
        <v>10832.991788720276</v>
      </c>
    </row>
    <row r="41" spans="1:3">
      <c r="A41" s="71">
        <f t="shared" si="2"/>
        <v>2900</v>
      </c>
      <c r="B41" s="83">
        <f t="shared" si="0"/>
        <v>2.2554453813593883E-4</v>
      </c>
      <c r="C41" s="67">
        <f t="shared" si="1"/>
        <v>10892.910262092655</v>
      </c>
    </row>
    <row r="42" spans="1:3">
      <c r="A42" s="71">
        <f t="shared" si="2"/>
        <v>3000</v>
      </c>
      <c r="B42" s="83">
        <f t="shared" si="0"/>
        <v>1.8360172924630818E-4</v>
      </c>
      <c r="C42" s="67">
        <f t="shared" si="1"/>
        <v>10925.893643002733</v>
      </c>
    </row>
    <row r="43" spans="1:3">
      <c r="A43" s="71">
        <f t="shared" si="2"/>
        <v>3100</v>
      </c>
      <c r="B43" s="83">
        <f t="shared" si="0"/>
        <v>1.4945754074086263E-4</v>
      </c>
      <c r="C43" s="67">
        <f t="shared" si="1"/>
        <v>10936.059225549554</v>
      </c>
    </row>
    <row r="44" spans="1:3">
      <c r="A44" s="71">
        <f t="shared" si="2"/>
        <v>3200</v>
      </c>
      <c r="B44" s="83">
        <f t="shared" si="0"/>
        <v>1.2166233244585126E-4</v>
      </c>
      <c r="C44" s="67">
        <f t="shared" si="1"/>
        <v>10927.035265376722</v>
      </c>
    </row>
    <row r="45" spans="1:3">
      <c r="A45" s="71">
        <f t="shared" si="2"/>
        <v>3300</v>
      </c>
      <c r="B45" s="83">
        <f t="shared" si="0"/>
        <v>9.9035796647753492E-5</v>
      </c>
      <c r="C45" s="67">
        <f t="shared" si="1"/>
        <v>10901.969199916703</v>
      </c>
    </row>
    <row r="46" spans="1:3">
      <c r="A46" s="71">
        <f t="shared" si="2"/>
        <v>3400</v>
      </c>
      <c r="B46" s="83">
        <f t="shared" si="0"/>
        <v>8.0616962890534412E-5</v>
      </c>
      <c r="C46" s="67">
        <f t="shared" si="1"/>
        <v>10863.557672110563</v>
      </c>
    </row>
    <row r="47" spans="1:3">
      <c r="A47" s="71">
        <f t="shared" si="2"/>
        <v>3500</v>
      </c>
      <c r="B47" s="83">
        <f t="shared" si="0"/>
        <v>6.5623468084144421E-5</v>
      </c>
      <c r="C47" s="67">
        <f t="shared" si="1"/>
        <v>10814.088370873733</v>
      </c>
    </row>
    <row r="48" spans="1:3">
      <c r="A48" s="71">
        <f t="shared" si="2"/>
        <v>3600</v>
      </c>
      <c r="B48" s="83">
        <f t="shared" si="0"/>
        <v>5.3418379945138471E-5</v>
      </c>
      <c r="C48" s="67">
        <f t="shared" si="1"/>
        <v>10755.486756988321</v>
      </c>
    </row>
    <row r="49" spans="1:3">
      <c r="A49" s="71">
        <f t="shared" si="2"/>
        <v>3700</v>
      </c>
      <c r="B49" s="83">
        <f t="shared" si="0"/>
        <v>4.348317639116001E-5</v>
      </c>
      <c r="C49" s="67">
        <f t="shared" si="1"/>
        <v>10689.363148177175</v>
      </c>
    </row>
    <row r="50" spans="1:3">
      <c r="A50" s="71">
        <f t="shared" si="2"/>
        <v>3800</v>
      </c>
      <c r="B50" s="83">
        <f t="shared" si="0"/>
        <v>3.5395740884834347E-5</v>
      </c>
      <c r="C50" s="67">
        <f t="shared" si="1"/>
        <v>10617.057417122074</v>
      </c>
    </row>
    <row r="51" spans="1:3">
      <c r="A51" s="71">
        <f t="shared" si="2"/>
        <v>3900</v>
      </c>
      <c r="B51" s="83">
        <f t="shared" si="0"/>
        <v>2.8812444079745414E-5</v>
      </c>
      <c r="C51" s="67">
        <f t="shared" si="1"/>
        <v>10539.679807921211</v>
      </c>
    </row>
    <row r="52" spans="1:3">
      <c r="A52" s="71">
        <f t="shared" si="2"/>
        <v>4000</v>
      </c>
      <c r="B52" s="83">
        <f t="shared" si="0"/>
        <v>2.3453553918853081E-5</v>
      </c>
      <c r="C52" s="67">
        <f t="shared" si="1"/>
        <v>10458.147215531366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cell2cell_lrmodeldata.csv</vt:lpstr>
      <vt:lpstr>Model</vt:lpstr>
      <vt:lpstr>User Simulator</vt:lpstr>
      <vt:lpstr>Offer Response 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 Montgomery</cp:lastModifiedBy>
  <dcterms:created xsi:type="dcterms:W3CDTF">2016-03-01T02:01:29Z</dcterms:created>
  <dcterms:modified xsi:type="dcterms:W3CDTF">2020-02-24T20:08:14Z</dcterms:modified>
</cp:coreProperties>
</file>