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3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tudent/Desktop/Tau Seeding Project/Protocols/"/>
    </mc:Choice>
  </mc:AlternateContent>
  <bookViews>
    <workbookView xWindow="0" yWindow="460" windowWidth="25600" windowHeight="14460" tabRatio="500"/>
  </bookViews>
  <sheets>
    <sheet name="Sheet1" sheetId="1" r:id="rId1"/>
  </sheets>
  <definedNames>
    <definedName name="_xlnm.Print_Area" localSheetId="0">Sheet1!$A$1:$H$125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50" i="1" l="1"/>
  <c r="G51" i="1"/>
  <c r="G50" i="1"/>
  <c r="F76" i="1"/>
  <c r="F67" i="1"/>
  <c r="B19" i="1"/>
  <c r="F96" i="1"/>
  <c r="E54" i="1"/>
  <c r="D50" i="1"/>
  <c r="E50" i="1"/>
  <c r="D51" i="1"/>
  <c r="F51" i="1"/>
  <c r="F50" i="1"/>
  <c r="E51" i="1"/>
  <c r="B34" i="1"/>
  <c r="B17" i="1"/>
  <c r="B91" i="1"/>
  <c r="B90" i="1"/>
  <c r="B92" i="1"/>
  <c r="B93" i="1"/>
  <c r="G96" i="1"/>
  <c r="F97" i="1"/>
  <c r="E91" i="1"/>
  <c r="E92" i="1"/>
  <c r="E93" i="1"/>
  <c r="G97" i="1"/>
  <c r="H97" i="1"/>
  <c r="H96" i="1"/>
  <c r="B85" i="1"/>
  <c r="B88" i="1"/>
  <c r="B28" i="1"/>
  <c r="B31" i="1"/>
  <c r="F40" i="1"/>
  <c r="B104" i="1"/>
  <c r="E110" i="1"/>
  <c r="F110" i="1"/>
  <c r="E112" i="1"/>
  <c r="E111" i="1"/>
  <c r="B89" i="1"/>
  <c r="B56" i="1"/>
  <c r="E70" i="1"/>
  <c r="D47" i="1"/>
  <c r="H51" i="1"/>
  <c r="D75" i="1"/>
  <c r="D72" i="1"/>
  <c r="D46" i="1"/>
  <c r="D66" i="1"/>
  <c r="D63" i="1"/>
  <c r="E47" i="1"/>
  <c r="E46" i="1"/>
  <c r="E100" i="1"/>
  <c r="B102" i="1"/>
  <c r="E116" i="1"/>
  <c r="E117" i="1"/>
  <c r="B103" i="1"/>
  <c r="B116" i="1"/>
  <c r="B117" i="1"/>
  <c r="B125" i="1"/>
  <c r="B124" i="1"/>
  <c r="B122" i="1"/>
  <c r="F111" i="1"/>
  <c r="F112" i="1"/>
  <c r="B106" i="1"/>
  <c r="E61" i="1"/>
  <c r="B32" i="1"/>
  <c r="B33" i="1"/>
  <c r="F39" i="1"/>
  <c r="B35" i="1"/>
  <c r="B36" i="1"/>
  <c r="G39" i="1"/>
  <c r="H39" i="1"/>
  <c r="F69" i="1"/>
  <c r="E71" i="1"/>
  <c r="E72" i="1"/>
  <c r="E73" i="1"/>
  <c r="E74" i="1"/>
  <c r="E75" i="1"/>
  <c r="E76" i="1"/>
  <c r="E62" i="1"/>
  <c r="E63" i="1"/>
  <c r="E64" i="1"/>
  <c r="E65" i="1"/>
  <c r="E66" i="1"/>
  <c r="E67" i="1"/>
  <c r="F75" i="1"/>
  <c r="F74" i="1"/>
  <c r="F73" i="1"/>
  <c r="F72" i="1"/>
  <c r="F71" i="1"/>
  <c r="F70" i="1"/>
  <c r="E34" i="1"/>
  <c r="E35" i="1"/>
  <c r="E36" i="1"/>
  <c r="G40" i="1"/>
  <c r="H40" i="1"/>
  <c r="F66" i="1"/>
  <c r="F62" i="1"/>
  <c r="F61" i="1"/>
  <c r="F60" i="1"/>
  <c r="F64" i="1"/>
  <c r="F65" i="1"/>
  <c r="F63" i="1"/>
</calcChain>
</file>

<file path=xl/sharedStrings.xml><?xml version="1.0" encoding="utf-8"?>
<sst xmlns="http://schemas.openxmlformats.org/spreadsheetml/2006/main" count="172" uniqueCount="109">
  <si>
    <t>Make PBS + 2 mM MgCl, FS</t>
  </si>
  <si>
    <t>total volume per sample</t>
  </si>
  <si>
    <t>variant</t>
  </si>
  <si>
    <t>prep date</t>
  </si>
  <si>
    <t>dialysis date</t>
  </si>
  <si>
    <t>ul</t>
  </si>
  <si>
    <t>WT</t>
  </si>
  <si>
    <t>Make 20 ml 0.01% Triton solution in ddH2O (20 uL of 10% Triton solution from the fridge into 19.98 mL water)</t>
  </si>
  <si>
    <t>Fill wells (25 uL per well) then remove and let dry</t>
  </si>
  <si>
    <t>For 30 mL assay buffer,  dilute 60 uL of 1M MgCl from the fridge with D-PBS from cold room up to 30 mL total</t>
  </si>
  <si>
    <t>conc (uM)</t>
  </si>
  <si>
    <t>assay buffer</t>
  </si>
  <si>
    <t>tau (total uL to prepare per monomer)</t>
  </si>
  <si>
    <t>Components of each well</t>
  </si>
  <si>
    <t>vol (uL)</t>
  </si>
  <si>
    <t>tau, final 10uM and DTT final 1mM</t>
  </si>
  <si>
    <t>chaperone</t>
  </si>
  <si>
    <t>ThT, final 10uM</t>
  </si>
  <si>
    <t>Desired tau stock conc</t>
  </si>
  <si>
    <t>Desired DTT conc in tau stock</t>
  </si>
  <si>
    <t>uM</t>
  </si>
  <si>
    <t>mM</t>
  </si>
  <si>
    <t>Desired total DTT in tau stock</t>
  </si>
  <si>
    <t>umol</t>
  </si>
  <si>
    <t>DTT to supplement</t>
  </si>
  <si>
    <t>Vol 100mM DTT stock to supplement</t>
  </si>
  <si>
    <t>uL</t>
  </si>
  <si>
    <t>vol  100mM DTT</t>
  </si>
  <si>
    <t>Preparation of chaperones</t>
  </si>
  <si>
    <t>vol chaperone for each concentration</t>
  </si>
  <si>
    <t>Chaperone</t>
  </si>
  <si>
    <t>Dialysis date</t>
  </si>
  <si>
    <t>Stock conc</t>
  </si>
  <si>
    <t>Vol assay buffer</t>
  </si>
  <si>
    <t>Vol chaperone</t>
  </si>
  <si>
    <t>NBD</t>
  </si>
  <si>
    <t>Hsc70</t>
  </si>
  <si>
    <t>Desired chaperone stock conc (for 5uM total)</t>
  </si>
  <si>
    <t>Desired chaperone stock conc (for 10uM total)</t>
  </si>
  <si>
    <t>Desired chaperone stock conc (for 20uM total)</t>
  </si>
  <si>
    <t>heparin, final 22 ug/mL</t>
  </si>
  <si>
    <t>Prepare 66.66uM ThT</t>
  </si>
  <si>
    <t>Prepare by combining 1 part .5mg/mL ThT stock with 22.5 parts buffer</t>
  </si>
  <si>
    <t>Vol ThT stock</t>
  </si>
  <si>
    <t>tau fibril, 3% w/w</t>
  </si>
  <si>
    <t>P301L</t>
  </si>
  <si>
    <t>April 2015</t>
  </si>
  <si>
    <t>DTT contributed by dialyzed WT tau</t>
  </si>
  <si>
    <t>DTT contributed by dialyzed PL tau</t>
  </si>
  <si>
    <t>Preparation of fibrils</t>
  </si>
  <si>
    <t>Vol fibril required</t>
  </si>
  <si>
    <t>for FL tau</t>
  </si>
  <si>
    <t>10 uM = 0.43 mg/mL</t>
  </si>
  <si>
    <t>mg/ml</t>
  </si>
  <si>
    <t>3% seed of FL tau</t>
  </si>
  <si>
    <t>seed type</t>
  </si>
  <si>
    <t>stock mg/ml</t>
  </si>
  <si>
    <t>WT fibril, no chaperone</t>
  </si>
  <si>
    <t>WT fibril, made with A2</t>
  </si>
  <si>
    <t>WT fibril incubated with A2</t>
  </si>
  <si>
    <t>WT fibril, made with NBD</t>
  </si>
  <si>
    <t>WT fibril, incubated with NBD</t>
  </si>
  <si>
    <t>WT fibril, made with NBD, no heparin</t>
  </si>
  <si>
    <t>WT fibril, made with A2, no heparin</t>
  </si>
  <si>
    <t>no fibril</t>
  </si>
  <si>
    <t>-</t>
  </si>
  <si>
    <t>PL fibril, no chaperone</t>
  </si>
  <si>
    <t>PL fibril, made with A2</t>
  </si>
  <si>
    <t>PL fibril incubated with A2</t>
  </si>
  <si>
    <t>PL fibril, made with A2, no heparin</t>
  </si>
  <si>
    <t>PL fibril, made with NBD</t>
  </si>
  <si>
    <t>PL fibril, incubated with NBD</t>
  </si>
  <si>
    <t>PL fibril, made with NBD, no heparin</t>
  </si>
  <si>
    <t>100617 Agg assay seeded by fibrils made in the presence of/incubated with A2 and NBD</t>
  </si>
  <si>
    <t>Major question to address: are WT and P301L fibrils differentially neutralized by DNAJA2?</t>
  </si>
  <si>
    <t>vol of seed stock (uL)</t>
  </si>
  <si>
    <t>Preparation of Tau Monomer for Seeding</t>
  </si>
  <si>
    <t>Seeding Assay</t>
  </si>
  <si>
    <t>Chaperoning Assay</t>
  </si>
  <si>
    <r>
      <t xml:space="preserve">number groups per monomer for </t>
    </r>
    <r>
      <rPr>
        <b/>
        <sz val="12"/>
        <color theme="1"/>
        <rFont val="Calibri"/>
        <family val="2"/>
        <scheme val="minor"/>
      </rPr>
      <t>seeding</t>
    </r>
  </si>
  <si>
    <r>
      <t xml:space="preserve">number groups per monomer for </t>
    </r>
    <r>
      <rPr>
        <b/>
        <sz val="12"/>
        <color theme="1"/>
        <rFont val="Calibri"/>
        <family val="2"/>
        <scheme val="minor"/>
      </rPr>
      <t>chaperoning</t>
    </r>
  </si>
  <si>
    <t>Vol of ThT stock to prepare</t>
  </si>
  <si>
    <t>Prepare .147mg/mL heparin for seeded assay, 0.11mg/mL heparin for chaperoning assay, FS</t>
  </si>
  <si>
    <t>Preparation of Tau Monomer for Chaperoning</t>
  </si>
  <si>
    <t>(3 wells + 1 extra) X 2 (induced and uninduced)  X 2 tau monomers X 6.5 uL per sample</t>
  </si>
  <si>
    <t>Vol of 61.54uM stock to prepare</t>
  </si>
  <si>
    <t>Prep 200uL to be safe</t>
  </si>
  <si>
    <t>A2</t>
  </si>
  <si>
    <t>Dilute the prepared chaperone stock to prep the lower concentrations</t>
  </si>
  <si>
    <t>To prep the 30.77uM stock:</t>
  </si>
  <si>
    <t>Vol of 61.54uM stock</t>
  </si>
  <si>
    <t>To prep the 15.38uM stock:</t>
  </si>
  <si>
    <t>these concentrations will change upon addition of chaperone</t>
  </si>
  <si>
    <r>
      <t xml:space="preserve">Since fibrils were made in the presence of 20uM chaperone, fibrils will also be incubated with </t>
    </r>
    <r>
      <rPr>
        <b/>
        <sz val="12"/>
        <color rgb="FFFF0000"/>
        <rFont val="Calibri (Body)"/>
      </rPr>
      <t>2X</t>
    </r>
    <r>
      <rPr>
        <sz val="12"/>
        <color theme="1"/>
        <rFont val="Calibri"/>
        <family val="2"/>
        <scheme val="minor"/>
      </rPr>
      <t xml:space="preserve"> chaperone</t>
    </r>
  </si>
  <si>
    <t>Fibril type</t>
  </si>
  <si>
    <t>Tau conc (uM)</t>
  </si>
  <si>
    <t>2X Chaperone conc</t>
  </si>
  <si>
    <t>WT fibril</t>
  </si>
  <si>
    <t>PL fibril</t>
  </si>
  <si>
    <t>Fibril conc (mg/mL)</t>
  </si>
  <si>
    <t>Vol of fibril to add</t>
  </si>
  <si>
    <t>Vol A2 to add</t>
  </si>
  <si>
    <t>Vol NBD to add</t>
  </si>
  <si>
    <t>Amount chaperone to add (umol)</t>
  </si>
  <si>
    <t>Final fibril conc with A2</t>
  </si>
  <si>
    <t>Final fibril conc with NBD</t>
  </si>
  <si>
    <t>Aggregation assay to compare seeding capacity of fibrils made in the presence of A2 to those incubated for 30 min with A2</t>
  </si>
  <si>
    <t>May 2015</t>
  </si>
  <si>
    <t>(3 wells + 1 extra) X 2 (induced and uninduced) X 1 tau monomer  X 8 uL per sample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</si>
</sst>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 (Body)"/>
    </font>
    <font>
      <b/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1">
    <xf numFmtId="0" fontId="0" fillId="0" borderId="0" xfId="0"/>
    <xf numFmtId="2" fontId="0" fillId="0" borderId="0" xfId="0" applyNumberFormat="1"/>
    <xf numFmtId="0" fontId="0" fillId="0" borderId="0" xfId="0" applyBorder="1"/>
    <xf numFmtId="2" fontId="0" fillId="0" borderId="0" xfId="0" applyNumberFormat="1" applyBorder="1"/>
    <xf numFmtId="0" fontId="0" fillId="0" borderId="0" xfId="0" applyFill="1" applyBorder="1"/>
    <xf numFmtId="164" fontId="0" fillId="0" borderId="0" xfId="0" applyNumberFormat="1" applyBorder="1"/>
    <xf numFmtId="164" fontId="0" fillId="0" borderId="0" xfId="0" applyNumberFormat="1"/>
    <xf numFmtId="14" fontId="0" fillId="0" borderId="0" xfId="0" applyNumberFormat="1"/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49" fontId="0" fillId="0" borderId="0" xfId="0" applyNumberFormat="1" applyBorder="1" applyAlignment="1">
      <alignment horizontal="right"/>
    </xf>
    <xf numFmtId="14" fontId="0" fillId="0" borderId="0" xfId="0" applyNumberFormat="1" applyAlignment="1">
      <alignment horizontal="right"/>
    </xf>
    <xf numFmtId="49" fontId="0" fillId="0" borderId="0" xfId="0" applyNumberFormat="1" applyAlignment="1">
      <alignment horizontal="right"/>
    </xf>
    <xf numFmtId="0" fontId="4" fillId="0" borderId="0" xfId="0" applyFont="1"/>
    <xf numFmtId="0" fontId="4" fillId="0" borderId="0" xfId="0" applyFont="1" applyFill="1" applyBorder="1"/>
    <xf numFmtId="14" fontId="0" fillId="2" borderId="0" xfId="0" applyNumberFormat="1" applyFill="1" applyAlignment="1">
      <alignment horizontal="center"/>
    </xf>
    <xf numFmtId="2" fontId="0" fillId="2" borderId="0" xfId="0" applyNumberFormat="1" applyFill="1" applyBorder="1"/>
    <xf numFmtId="2" fontId="0" fillId="2" borderId="0" xfId="0" applyNumberFormat="1" applyFill="1" applyAlignment="1">
      <alignment horizontal="right"/>
    </xf>
    <xf numFmtId="164" fontId="0" fillId="0" borderId="0" xfId="0" applyNumberFormat="1" applyFill="1"/>
    <xf numFmtId="0" fontId="6" fillId="0" borderId="0" xfId="0" applyFont="1"/>
    <xf numFmtId="14" fontId="0" fillId="0" borderId="0" xfId="0" applyNumberFormat="1" applyFill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149"/>
  <sheetViews>
    <sheetView tabSelected="1" workbookViewId="0">
      <selection activeCell="B19" sqref="B19"/>
    </sheetView>
  </sheetViews>
  <sheetFormatPr baseColWidth="10" defaultRowHeight="16" x14ac:dyDescent="0.2"/>
  <cols>
    <col min="1" max="1" width="42" customWidth="1"/>
    <col min="2" max="2" width="32.1640625" customWidth="1"/>
    <col min="3" max="3" width="17.33203125" customWidth="1"/>
    <col min="4" max="4" width="31.1640625" customWidth="1"/>
    <col min="5" max="5" width="18.1640625" customWidth="1"/>
    <col min="6" max="6" width="18" customWidth="1"/>
    <col min="7" max="7" width="19.83203125" customWidth="1"/>
    <col min="8" max="10" width="15.5" customWidth="1"/>
    <col min="11" max="12" width="16.6640625" customWidth="1"/>
    <col min="17" max="17" width="19.5" customWidth="1"/>
    <col min="18" max="19" width="10.83203125" style="1"/>
  </cols>
  <sheetData>
    <row r="1" spans="1:19" x14ac:dyDescent="0.2">
      <c r="A1" t="s">
        <v>73</v>
      </c>
    </row>
    <row r="2" spans="1:19" x14ac:dyDescent="0.2">
      <c r="A2" t="s">
        <v>106</v>
      </c>
    </row>
    <row r="3" spans="1:19" x14ac:dyDescent="0.2">
      <c r="A3" t="s">
        <v>74</v>
      </c>
    </row>
    <row r="6" spans="1:19" x14ac:dyDescent="0.2">
      <c r="A6" t="s">
        <v>7</v>
      </c>
    </row>
    <row r="7" spans="1:19" x14ac:dyDescent="0.2">
      <c r="A7" t="s">
        <v>8</v>
      </c>
    </row>
    <row r="9" spans="1:19" x14ac:dyDescent="0.2">
      <c r="A9" t="s">
        <v>0</v>
      </c>
    </row>
    <row r="10" spans="1:19" x14ac:dyDescent="0.2">
      <c r="A10" t="s">
        <v>9</v>
      </c>
      <c r="R10"/>
      <c r="S10"/>
    </row>
    <row r="11" spans="1:19" x14ac:dyDescent="0.2">
      <c r="R11"/>
      <c r="S11"/>
    </row>
    <row r="12" spans="1:19" x14ac:dyDescent="0.2">
      <c r="A12" t="s">
        <v>82</v>
      </c>
      <c r="R12"/>
      <c r="S12"/>
    </row>
    <row r="13" spans="1:19" x14ac:dyDescent="0.2">
      <c r="R13"/>
      <c r="S13"/>
    </row>
    <row r="14" spans="1:19" x14ac:dyDescent="0.2">
      <c r="A14" s="2"/>
      <c r="R14"/>
      <c r="S14"/>
    </row>
    <row r="15" spans="1:19" x14ac:dyDescent="0.2">
      <c r="A15" s="2"/>
      <c r="R15"/>
      <c r="S15"/>
    </row>
    <row r="16" spans="1:19" x14ac:dyDescent="0.2">
      <c r="A16" s="2" t="s">
        <v>79</v>
      </c>
      <c r="B16" s="2">
        <v>16</v>
      </c>
      <c r="R16"/>
      <c r="S16"/>
    </row>
    <row r="17" spans="1:19" x14ac:dyDescent="0.2">
      <c r="A17" s="2" t="s">
        <v>12</v>
      </c>
      <c r="B17" s="3">
        <f>6*B16*4</f>
        <v>384</v>
      </c>
      <c r="R17"/>
      <c r="S17"/>
    </row>
    <row r="18" spans="1:19" x14ac:dyDescent="0.2">
      <c r="A18" s="2" t="s">
        <v>80</v>
      </c>
      <c r="B18" s="2">
        <v>20</v>
      </c>
      <c r="R18"/>
      <c r="S18"/>
    </row>
    <row r="19" spans="1:19" x14ac:dyDescent="0.2">
      <c r="A19" s="2" t="s">
        <v>12</v>
      </c>
      <c r="B19" s="3">
        <f>6.5*B18*4</f>
        <v>520</v>
      </c>
      <c r="R19"/>
      <c r="S19"/>
    </row>
    <row r="20" spans="1:19" x14ac:dyDescent="0.2">
      <c r="A20" s="2"/>
      <c r="B20" s="3"/>
      <c r="R20"/>
      <c r="S20"/>
    </row>
    <row r="21" spans="1:19" x14ac:dyDescent="0.2">
      <c r="A21" s="2"/>
      <c r="B21" s="3"/>
      <c r="R21"/>
      <c r="S21"/>
    </row>
    <row r="22" spans="1:19" x14ac:dyDescent="0.2">
      <c r="A22" s="14" t="s">
        <v>77</v>
      </c>
      <c r="B22" s="3"/>
      <c r="R22"/>
      <c r="S22"/>
    </row>
    <row r="23" spans="1:19" x14ac:dyDescent="0.2">
      <c r="A23" s="2" t="s">
        <v>13</v>
      </c>
      <c r="B23" s="3" t="s">
        <v>14</v>
      </c>
      <c r="R23"/>
      <c r="S23"/>
    </row>
    <row r="24" spans="1:19" x14ac:dyDescent="0.2">
      <c r="A24" s="4" t="s">
        <v>15</v>
      </c>
      <c r="B24" s="3">
        <v>6</v>
      </c>
    </row>
    <row r="25" spans="1:19" x14ac:dyDescent="0.2">
      <c r="A25" s="4" t="s">
        <v>44</v>
      </c>
      <c r="B25" s="3">
        <v>8</v>
      </c>
    </row>
    <row r="26" spans="1:19" x14ac:dyDescent="0.2">
      <c r="A26" s="2" t="s">
        <v>17</v>
      </c>
      <c r="B26" s="3">
        <v>3</v>
      </c>
    </row>
    <row r="27" spans="1:19" x14ac:dyDescent="0.2">
      <c r="A27" s="2" t="s">
        <v>40</v>
      </c>
      <c r="B27" s="3">
        <v>3</v>
      </c>
    </row>
    <row r="28" spans="1:19" x14ac:dyDescent="0.2">
      <c r="A28" s="4" t="s">
        <v>1</v>
      </c>
      <c r="B28" s="1">
        <f>SUM(B24:B27)</f>
        <v>20</v>
      </c>
    </row>
    <row r="29" spans="1:19" x14ac:dyDescent="0.2">
      <c r="A29" s="4"/>
      <c r="B29" s="1"/>
      <c r="D29" s="4"/>
      <c r="E29" s="1"/>
    </row>
    <row r="30" spans="1:19" x14ac:dyDescent="0.2">
      <c r="A30" s="13" t="s">
        <v>76</v>
      </c>
    </row>
    <row r="31" spans="1:19" x14ac:dyDescent="0.2">
      <c r="A31" t="s">
        <v>18</v>
      </c>
      <c r="B31">
        <f>10*B28/B24</f>
        <v>33.333333333333336</v>
      </c>
      <c r="C31" t="s">
        <v>20</v>
      </c>
    </row>
    <row r="32" spans="1:19" x14ac:dyDescent="0.2">
      <c r="A32" t="s">
        <v>19</v>
      </c>
      <c r="B32">
        <f>1*B28/B24</f>
        <v>3.3333333333333335</v>
      </c>
      <c r="C32" t="s">
        <v>21</v>
      </c>
    </row>
    <row r="33" spans="1:8" x14ac:dyDescent="0.2">
      <c r="A33" t="s">
        <v>22</v>
      </c>
      <c r="B33">
        <f>B32/1000*B17</f>
        <v>1.28</v>
      </c>
      <c r="C33" t="s">
        <v>23</v>
      </c>
    </row>
    <row r="34" spans="1:8" x14ac:dyDescent="0.2">
      <c r="A34" t="s">
        <v>47</v>
      </c>
      <c r="B34">
        <f>1/1000*F39</f>
        <v>3.7608344351402964E-2</v>
      </c>
      <c r="C34" t="s">
        <v>23</v>
      </c>
      <c r="D34" t="s">
        <v>48</v>
      </c>
      <c r="E34">
        <f>1/1000*F40</f>
        <v>4.7058823529411771E-2</v>
      </c>
      <c r="F34" t="s">
        <v>23</v>
      </c>
    </row>
    <row r="35" spans="1:8" x14ac:dyDescent="0.2">
      <c r="A35" t="s">
        <v>24</v>
      </c>
      <c r="B35">
        <f>$B$33-B34</f>
        <v>1.242391655648597</v>
      </c>
      <c r="C35" t="s">
        <v>23</v>
      </c>
      <c r="D35" t="s">
        <v>24</v>
      </c>
      <c r="E35">
        <f>$B$33-E34</f>
        <v>1.2329411764705882</v>
      </c>
      <c r="F35" t="s">
        <v>23</v>
      </c>
    </row>
    <row r="36" spans="1:8" x14ac:dyDescent="0.2">
      <c r="A36" t="s">
        <v>25</v>
      </c>
      <c r="B36">
        <f>B35*1000/100</f>
        <v>12.42391655648597</v>
      </c>
      <c r="C36" t="s">
        <v>26</v>
      </c>
      <c r="D36" t="s">
        <v>25</v>
      </c>
      <c r="E36">
        <f>E35*1000/100</f>
        <v>12.329411764705883</v>
      </c>
      <c r="F36" t="s">
        <v>26</v>
      </c>
    </row>
    <row r="38" spans="1:8" x14ac:dyDescent="0.2">
      <c r="B38" t="s">
        <v>2</v>
      </c>
      <c r="C38" t="s">
        <v>3</v>
      </c>
      <c r="D38" t="s">
        <v>4</v>
      </c>
      <c r="E38" t="s">
        <v>10</v>
      </c>
      <c r="F38" t="s">
        <v>5</v>
      </c>
      <c r="G38" t="s">
        <v>27</v>
      </c>
      <c r="H38" t="s">
        <v>11</v>
      </c>
    </row>
    <row r="39" spans="1:8" x14ac:dyDescent="0.2">
      <c r="A39">
        <v>1</v>
      </c>
      <c r="B39" t="s">
        <v>6</v>
      </c>
      <c r="C39" s="10" t="s">
        <v>107</v>
      </c>
      <c r="D39" s="7">
        <v>42236</v>
      </c>
      <c r="E39" s="5">
        <v>340.35</v>
      </c>
      <c r="F39" s="6">
        <f>B$17*B$31/E39</f>
        <v>37.608344351402963</v>
      </c>
      <c r="G39">
        <f>B36</f>
        <v>12.42391655648597</v>
      </c>
      <c r="H39" s="5">
        <f>$B$17-F39-G39</f>
        <v>333.96773909211112</v>
      </c>
    </row>
    <row r="40" spans="1:8" x14ac:dyDescent="0.2">
      <c r="A40">
        <v>2</v>
      </c>
      <c r="B40" s="1" t="s">
        <v>45</v>
      </c>
      <c r="C40" s="12" t="s">
        <v>46</v>
      </c>
      <c r="D40" s="7">
        <v>42829</v>
      </c>
      <c r="E40">
        <v>272</v>
      </c>
      <c r="F40" s="6">
        <f>B$17*B$31/E40</f>
        <v>47.058823529411768</v>
      </c>
      <c r="G40">
        <f>E36</f>
        <v>12.329411764705883</v>
      </c>
      <c r="H40" s="5">
        <f>$B$17-F40-G40</f>
        <v>324.61176470588236</v>
      </c>
    </row>
    <row r="41" spans="1:8" x14ac:dyDescent="0.2">
      <c r="B41" s="1"/>
      <c r="C41" s="1"/>
    </row>
    <row r="42" spans="1:8" x14ac:dyDescent="0.2">
      <c r="A42" s="13" t="s">
        <v>49</v>
      </c>
      <c r="B42" s="1"/>
      <c r="C42" s="1"/>
    </row>
    <row r="43" spans="1:8" x14ac:dyDescent="0.2">
      <c r="A43" t="s">
        <v>93</v>
      </c>
    </row>
    <row r="44" spans="1:8" x14ac:dyDescent="0.2">
      <c r="A44" s="19"/>
    </row>
    <row r="45" spans="1:8" x14ac:dyDescent="0.2">
      <c r="B45" t="s">
        <v>94</v>
      </c>
      <c r="C45" t="s">
        <v>99</v>
      </c>
      <c r="D45" t="s">
        <v>95</v>
      </c>
      <c r="E45" t="s">
        <v>96</v>
      </c>
    </row>
    <row r="46" spans="1:8" x14ac:dyDescent="0.2">
      <c r="A46">
        <v>1</v>
      </c>
      <c r="B46" t="s">
        <v>97</v>
      </c>
      <c r="C46">
        <v>0.28000000000000003</v>
      </c>
      <c r="D46">
        <f>C46*1000*1000/43000</f>
        <v>6.5116279069767442</v>
      </c>
      <c r="E46">
        <f>2*D46</f>
        <v>13.023255813953488</v>
      </c>
    </row>
    <row r="47" spans="1:8" x14ac:dyDescent="0.2">
      <c r="A47">
        <v>2</v>
      </c>
      <c r="B47" t="s">
        <v>98</v>
      </c>
      <c r="C47">
        <v>0.21</v>
      </c>
      <c r="D47">
        <f>C47*1000*1000/43000</f>
        <v>4.8837209302325579</v>
      </c>
      <c r="E47">
        <f>2*D47</f>
        <v>9.7674418604651159</v>
      </c>
    </row>
    <row r="48" spans="1:8" x14ac:dyDescent="0.2">
      <c r="A48" s="13"/>
      <c r="B48" s="1"/>
      <c r="C48" s="1"/>
    </row>
    <row r="49" spans="1:19" x14ac:dyDescent="0.2">
      <c r="B49" t="s">
        <v>94</v>
      </c>
      <c r="C49" t="s">
        <v>100</v>
      </c>
      <c r="D49" t="s">
        <v>103</v>
      </c>
      <c r="E49" t="s">
        <v>101</v>
      </c>
      <c r="F49" t="s">
        <v>102</v>
      </c>
      <c r="G49" t="s">
        <v>104</v>
      </c>
      <c r="H49" t="s">
        <v>105</v>
      </c>
    </row>
    <row r="50" spans="1:19" x14ac:dyDescent="0.2">
      <c r="A50">
        <v>1</v>
      </c>
      <c r="B50" t="s">
        <v>97</v>
      </c>
      <c r="C50" s="6">
        <v>15</v>
      </c>
      <c r="D50">
        <f>D46/(1000*1000)*C50*2</f>
        <v>1.9534883720930232E-4</v>
      </c>
      <c r="E50">
        <f>D50*1000*1000/D111</f>
        <v>3.0146425495262705</v>
      </c>
      <c r="F50">
        <f>D50*1000*1000/D112</f>
        <v>1.3289036544850499</v>
      </c>
      <c r="G50">
        <f>C46*C50/(C50+E50)</f>
        <v>0.23314367678699496</v>
      </c>
      <c r="H50">
        <f>C46*C50/(C50+F50)</f>
        <v>0.25721261444557481</v>
      </c>
    </row>
    <row r="51" spans="1:19" x14ac:dyDescent="0.2">
      <c r="A51">
        <v>2</v>
      </c>
      <c r="B51" t="s">
        <v>98</v>
      </c>
      <c r="C51" s="6">
        <v>15</v>
      </c>
      <c r="D51">
        <f>D47/(1000*1000)*C51*2</f>
        <v>1.4651162790697673E-4</v>
      </c>
      <c r="E51">
        <f>D51*1000*1000/D111</f>
        <v>2.2609819121447026</v>
      </c>
      <c r="F51">
        <f>D51*1000*1000/D112</f>
        <v>0.99667774086378713</v>
      </c>
      <c r="G51">
        <f>C47*C51/(C51+E51)</f>
        <v>0.18249251497005986</v>
      </c>
      <c r="H51">
        <f>C47*C51/(C51+F51)</f>
        <v>0.19691588785046729</v>
      </c>
    </row>
    <row r="52" spans="1:19" x14ac:dyDescent="0.2">
      <c r="A52" s="13"/>
      <c r="B52" s="1"/>
      <c r="C52" s="1"/>
    </row>
    <row r="53" spans="1:19" x14ac:dyDescent="0.2">
      <c r="A53" s="13"/>
      <c r="B53" s="1"/>
      <c r="C53" s="1"/>
    </row>
    <row r="54" spans="1:19" x14ac:dyDescent="0.2">
      <c r="A54" t="s">
        <v>50</v>
      </c>
      <c r="B54" s="1" t="s">
        <v>108</v>
      </c>
      <c r="C54" s="1"/>
      <c r="E54">
        <f>4*2*8</f>
        <v>64</v>
      </c>
    </row>
    <row r="55" spans="1:19" x14ac:dyDescent="0.2">
      <c r="A55" t="s">
        <v>51</v>
      </c>
      <c r="B55" t="s">
        <v>52</v>
      </c>
    </row>
    <row r="56" spans="1:19" x14ac:dyDescent="0.2">
      <c r="A56" t="s">
        <v>54</v>
      </c>
      <c r="B56">
        <f>0.43*0.03*20/8</f>
        <v>3.2250000000000001E-2</v>
      </c>
      <c r="C56" t="s">
        <v>53</v>
      </c>
    </row>
    <row r="58" spans="1:19" x14ac:dyDescent="0.2">
      <c r="C58" s="1"/>
      <c r="D58" s="1"/>
    </row>
    <row r="59" spans="1:19" x14ac:dyDescent="0.2">
      <c r="B59" t="s">
        <v>55</v>
      </c>
      <c r="C59" t="s">
        <v>3</v>
      </c>
      <c r="D59" s="1" t="s">
        <v>56</v>
      </c>
      <c r="E59" s="1" t="s">
        <v>75</v>
      </c>
      <c r="F59" t="s">
        <v>11</v>
      </c>
    </row>
    <row r="60" spans="1:19" x14ac:dyDescent="0.2">
      <c r="A60">
        <v>1</v>
      </c>
      <c r="B60" t="s">
        <v>64</v>
      </c>
      <c r="C60" s="11" t="s">
        <v>65</v>
      </c>
      <c r="D60" s="9" t="s">
        <v>65</v>
      </c>
      <c r="E60" s="6">
        <v>0</v>
      </c>
      <c r="F60" s="6">
        <f>$E$54-E60</f>
        <v>64</v>
      </c>
    </row>
    <row r="61" spans="1:19" x14ac:dyDescent="0.2">
      <c r="A61">
        <v>2</v>
      </c>
      <c r="B61" t="s">
        <v>57</v>
      </c>
      <c r="C61" s="7">
        <v>42992</v>
      </c>
      <c r="D61" s="3">
        <v>0.28100000000000003</v>
      </c>
      <c r="E61" s="6">
        <f>$E$54*$B$56/D61</f>
        <v>7.345195729537366</v>
      </c>
      <c r="F61" s="6">
        <f t="shared" ref="F61:F62" si="0">$E$54-E61</f>
        <v>56.654804270462634</v>
      </c>
    </row>
    <row r="62" spans="1:19" x14ac:dyDescent="0.2">
      <c r="A62">
        <v>3</v>
      </c>
      <c r="B62" t="s">
        <v>58</v>
      </c>
      <c r="C62" s="7">
        <v>42992</v>
      </c>
      <c r="D62" s="3">
        <v>0.186</v>
      </c>
      <c r="E62" s="6">
        <f t="shared" ref="E62:E67" si="1">$E$54*$B$56/D62</f>
        <v>11.096774193548388</v>
      </c>
      <c r="F62" s="6">
        <f t="shared" si="0"/>
        <v>52.903225806451616</v>
      </c>
    </row>
    <row r="63" spans="1:19" x14ac:dyDescent="0.2">
      <c r="A63">
        <v>4</v>
      </c>
      <c r="B63" t="s">
        <v>59</v>
      </c>
      <c r="C63" s="7">
        <v>42992</v>
      </c>
      <c r="D63" s="16">
        <f>G50</f>
        <v>0.23314367678699496</v>
      </c>
      <c r="E63" s="18">
        <f t="shared" si="1"/>
        <v>8.8529100529100546</v>
      </c>
      <c r="F63" s="6">
        <f>$E$54-E63</f>
        <v>55.147089947089945</v>
      </c>
    </row>
    <row r="64" spans="1:19" x14ac:dyDescent="0.2">
      <c r="A64">
        <v>5</v>
      </c>
      <c r="B64" t="s">
        <v>63</v>
      </c>
      <c r="C64" s="7">
        <v>43011</v>
      </c>
      <c r="D64" s="3">
        <v>0.37009829000000005</v>
      </c>
      <c r="E64" s="6">
        <f t="shared" si="1"/>
        <v>5.5768968832576871</v>
      </c>
      <c r="F64" s="6">
        <f>$E$54-E64</f>
        <v>58.423103116742311</v>
      </c>
      <c r="Q64" s="1"/>
      <c r="S64"/>
    </row>
    <row r="65" spans="1:19" x14ac:dyDescent="0.2">
      <c r="A65">
        <v>6</v>
      </c>
      <c r="B65" t="s">
        <v>60</v>
      </c>
      <c r="C65" s="7">
        <v>42992</v>
      </c>
      <c r="D65" s="3">
        <v>0.39600000000000002</v>
      </c>
      <c r="E65" s="6">
        <f t="shared" si="1"/>
        <v>5.2121212121212119</v>
      </c>
      <c r="F65" s="6">
        <f>$E$54-E65</f>
        <v>58.787878787878789</v>
      </c>
      <c r="Q65" s="1"/>
      <c r="S65"/>
    </row>
    <row r="66" spans="1:19" x14ac:dyDescent="0.2">
      <c r="A66">
        <v>7</v>
      </c>
      <c r="B66" t="s">
        <v>61</v>
      </c>
      <c r="C66" s="7">
        <v>42992</v>
      </c>
      <c r="D66" s="17">
        <f>H50</f>
        <v>0.25721261444557481</v>
      </c>
      <c r="E66" s="18">
        <f t="shared" si="1"/>
        <v>8.0244897959183668</v>
      </c>
      <c r="F66" s="6">
        <f>$E$54-E66</f>
        <v>55.97551020408163</v>
      </c>
      <c r="Q66" s="1"/>
      <c r="S66"/>
    </row>
    <row r="67" spans="1:19" x14ac:dyDescent="0.2">
      <c r="A67">
        <v>8</v>
      </c>
      <c r="B67" t="s">
        <v>62</v>
      </c>
      <c r="C67" s="7">
        <v>43011</v>
      </c>
      <c r="D67" s="9">
        <v>0.38741954000000001</v>
      </c>
      <c r="E67" s="6">
        <f t="shared" si="1"/>
        <v>5.3275578201347304</v>
      </c>
      <c r="F67" s="6">
        <f>$E$54-E67</f>
        <v>58.672442179865271</v>
      </c>
      <c r="Q67" s="1"/>
      <c r="S67"/>
    </row>
    <row r="68" spans="1:19" x14ac:dyDescent="0.2">
      <c r="Q68" s="1"/>
      <c r="S68"/>
    </row>
    <row r="69" spans="1:19" x14ac:dyDescent="0.2">
      <c r="A69">
        <v>1</v>
      </c>
      <c r="B69" t="s">
        <v>64</v>
      </c>
      <c r="C69" s="11" t="s">
        <v>65</v>
      </c>
      <c r="D69" s="9" t="s">
        <v>65</v>
      </c>
      <c r="E69" s="6">
        <v>0</v>
      </c>
      <c r="F69" s="6">
        <f>$E$54-E69</f>
        <v>64</v>
      </c>
      <c r="Q69" s="1"/>
      <c r="S69"/>
    </row>
    <row r="70" spans="1:19" x14ac:dyDescent="0.2">
      <c r="A70">
        <v>2</v>
      </c>
      <c r="B70" t="s">
        <v>66</v>
      </c>
      <c r="C70" s="7">
        <v>43001</v>
      </c>
      <c r="D70" s="3">
        <v>0.214</v>
      </c>
      <c r="E70" s="6">
        <f>$E$54*$B$56/D70</f>
        <v>9.6448598130841123</v>
      </c>
      <c r="F70" s="6">
        <f t="shared" ref="F70:F71" si="2">$E$54-E70</f>
        <v>54.355140186915889</v>
      </c>
      <c r="Q70" s="1"/>
      <c r="S70"/>
    </row>
    <row r="71" spans="1:19" x14ac:dyDescent="0.2">
      <c r="A71">
        <v>3</v>
      </c>
      <c r="B71" t="s">
        <v>67</v>
      </c>
      <c r="C71" s="7">
        <v>43003</v>
      </c>
      <c r="D71" s="3">
        <v>0.154</v>
      </c>
      <c r="E71" s="6">
        <f t="shared" ref="E71:E76" si="3">$E$54*$B$56/D71</f>
        <v>13.402597402597403</v>
      </c>
      <c r="F71" s="6">
        <f t="shared" si="2"/>
        <v>50.597402597402599</v>
      </c>
      <c r="Q71" s="1"/>
      <c r="S71"/>
    </row>
    <row r="72" spans="1:19" x14ac:dyDescent="0.2">
      <c r="A72">
        <v>4</v>
      </c>
      <c r="B72" t="s">
        <v>68</v>
      </c>
      <c r="C72" s="7">
        <v>43001</v>
      </c>
      <c r="D72" s="16">
        <f>G51</f>
        <v>0.18249251497005986</v>
      </c>
      <c r="E72" s="18">
        <f t="shared" si="3"/>
        <v>11.310052910052912</v>
      </c>
      <c r="F72" s="6">
        <f>$E$54-E72</f>
        <v>52.68994708994709</v>
      </c>
      <c r="R72"/>
      <c r="S72"/>
    </row>
    <row r="73" spans="1:19" x14ac:dyDescent="0.2">
      <c r="A73">
        <v>5</v>
      </c>
      <c r="B73" t="s">
        <v>69</v>
      </c>
      <c r="C73" s="7">
        <v>43011</v>
      </c>
      <c r="D73" s="3">
        <v>0.28867643999999998</v>
      </c>
      <c r="E73" s="6">
        <f t="shared" si="3"/>
        <v>7.1498734015148591</v>
      </c>
      <c r="F73" s="6">
        <f t="shared" ref="F73:F74" si="4">$E$54-E73</f>
        <v>56.85012659848514</v>
      </c>
      <c r="R73"/>
      <c r="S73"/>
    </row>
    <row r="74" spans="1:19" x14ac:dyDescent="0.2">
      <c r="A74">
        <v>6</v>
      </c>
      <c r="B74" t="s">
        <v>70</v>
      </c>
      <c r="C74" s="7">
        <v>43003</v>
      </c>
      <c r="D74" s="3">
        <v>0.27700000000000002</v>
      </c>
      <c r="E74" s="6">
        <f t="shared" si="3"/>
        <v>7.4512635379061365</v>
      </c>
      <c r="F74" s="6">
        <f t="shared" si="4"/>
        <v>56.548736462093864</v>
      </c>
      <c r="R74"/>
      <c r="S74"/>
    </row>
    <row r="75" spans="1:19" x14ac:dyDescent="0.2">
      <c r="A75">
        <v>7</v>
      </c>
      <c r="B75" t="s">
        <v>71</v>
      </c>
      <c r="C75" s="7">
        <v>43001</v>
      </c>
      <c r="D75" s="17">
        <f>H51</f>
        <v>0.19691588785046729</v>
      </c>
      <c r="E75" s="18">
        <f t="shared" si="3"/>
        <v>10.481632653061224</v>
      </c>
      <c r="F75" s="6">
        <f>$E$54-E75</f>
        <v>53.518367346938774</v>
      </c>
      <c r="R75"/>
      <c r="S75"/>
    </row>
    <row r="76" spans="1:19" x14ac:dyDescent="0.2">
      <c r="A76">
        <v>8</v>
      </c>
      <c r="B76" t="s">
        <v>72</v>
      </c>
      <c r="C76" s="7">
        <v>43011</v>
      </c>
      <c r="D76" s="9">
        <v>0.24135110999999998</v>
      </c>
      <c r="E76" s="6">
        <f t="shared" si="3"/>
        <v>8.5518562562235587</v>
      </c>
      <c r="F76" s="6">
        <f>$E$54-E76</f>
        <v>55.448143743776441</v>
      </c>
      <c r="R76"/>
      <c r="S76"/>
    </row>
    <row r="77" spans="1:19" x14ac:dyDescent="0.2">
      <c r="D77" s="11"/>
      <c r="E77" s="9"/>
      <c r="F77" s="6"/>
      <c r="G77" s="6"/>
      <c r="R77"/>
      <c r="S77"/>
    </row>
    <row r="78" spans="1:19" x14ac:dyDescent="0.2">
      <c r="D78" s="11"/>
      <c r="E78" s="9"/>
      <c r="F78" s="6"/>
      <c r="G78" s="6"/>
      <c r="R78"/>
      <c r="S78"/>
    </row>
    <row r="79" spans="1:19" x14ac:dyDescent="0.2">
      <c r="A79" s="14" t="s">
        <v>78</v>
      </c>
      <c r="B79" s="3"/>
      <c r="D79" s="15" t="s">
        <v>92</v>
      </c>
      <c r="E79" s="15"/>
      <c r="F79" s="15"/>
      <c r="G79" s="6"/>
      <c r="R79"/>
      <c r="S79"/>
    </row>
    <row r="80" spans="1:19" x14ac:dyDescent="0.2">
      <c r="A80" s="2" t="s">
        <v>13</v>
      </c>
      <c r="B80" s="3" t="s">
        <v>14</v>
      </c>
      <c r="D80" s="11"/>
      <c r="E80" s="9"/>
      <c r="F80" s="6"/>
      <c r="G80" s="6"/>
      <c r="R80"/>
      <c r="S80"/>
    </row>
    <row r="81" spans="1:19" x14ac:dyDescent="0.2">
      <c r="A81" s="4" t="s">
        <v>15</v>
      </c>
      <c r="B81" s="3">
        <v>6.5</v>
      </c>
      <c r="D81" s="11"/>
      <c r="E81" s="9"/>
      <c r="F81" s="6"/>
      <c r="G81" s="6"/>
      <c r="R81"/>
      <c r="S81"/>
    </row>
    <row r="82" spans="1:19" x14ac:dyDescent="0.2">
      <c r="A82" s="4" t="s">
        <v>16</v>
      </c>
      <c r="B82" s="3">
        <v>6.5</v>
      </c>
      <c r="D82" s="2"/>
      <c r="E82" s="6"/>
      <c r="F82" s="6"/>
      <c r="R82"/>
      <c r="S82"/>
    </row>
    <row r="83" spans="1:19" x14ac:dyDescent="0.2">
      <c r="A83" s="2" t="s">
        <v>17</v>
      </c>
      <c r="B83" s="3">
        <v>3</v>
      </c>
      <c r="D83" s="2"/>
      <c r="E83" s="6"/>
      <c r="F83" s="6"/>
      <c r="R83"/>
      <c r="S83"/>
    </row>
    <row r="84" spans="1:19" x14ac:dyDescent="0.2">
      <c r="A84" s="2" t="s">
        <v>40</v>
      </c>
      <c r="B84" s="3">
        <v>4</v>
      </c>
      <c r="D84" s="4"/>
      <c r="E84" s="6"/>
      <c r="F84" s="6"/>
      <c r="R84"/>
      <c r="S84"/>
    </row>
    <row r="85" spans="1:19" x14ac:dyDescent="0.2">
      <c r="A85" s="4" t="s">
        <v>1</v>
      </c>
      <c r="B85" s="1">
        <f>SUM(B81:B84)</f>
        <v>20</v>
      </c>
      <c r="D85" s="2"/>
      <c r="E85" s="6"/>
      <c r="F85" s="6"/>
      <c r="R85"/>
      <c r="S85"/>
    </row>
    <row r="86" spans="1:19" x14ac:dyDescent="0.2">
      <c r="D86" s="9"/>
      <c r="E86" s="1"/>
      <c r="F86" s="6"/>
      <c r="R86"/>
      <c r="S86"/>
    </row>
    <row r="87" spans="1:19" x14ac:dyDescent="0.2">
      <c r="A87" s="13" t="s">
        <v>83</v>
      </c>
      <c r="R87"/>
      <c r="S87"/>
    </row>
    <row r="88" spans="1:19" x14ac:dyDescent="0.2">
      <c r="A88" t="s">
        <v>18</v>
      </c>
      <c r="B88">
        <f>10*B85/B81</f>
        <v>30.76923076923077</v>
      </c>
      <c r="C88" t="s">
        <v>20</v>
      </c>
      <c r="R88"/>
      <c r="S88"/>
    </row>
    <row r="89" spans="1:19" x14ac:dyDescent="0.2">
      <c r="A89" t="s">
        <v>19</v>
      </c>
      <c r="B89">
        <f>1*B85/B81</f>
        <v>3.0769230769230771</v>
      </c>
      <c r="C89" t="s">
        <v>21</v>
      </c>
      <c r="R89"/>
      <c r="S89"/>
    </row>
    <row r="90" spans="1:19" x14ac:dyDescent="0.2">
      <c r="A90" t="s">
        <v>22</v>
      </c>
      <c r="B90">
        <f>B89/1000*B19</f>
        <v>1.6</v>
      </c>
      <c r="C90" t="s">
        <v>23</v>
      </c>
      <c r="R90"/>
      <c r="S90"/>
    </row>
    <row r="91" spans="1:19" x14ac:dyDescent="0.2">
      <c r="A91" t="s">
        <v>47</v>
      </c>
      <c r="B91">
        <f>1/1000*F96</f>
        <v>4.7010430439253702E-2</v>
      </c>
      <c r="C91" t="s">
        <v>23</v>
      </c>
      <c r="D91" t="s">
        <v>48</v>
      </c>
      <c r="E91">
        <f>1/1000*F97</f>
        <v>5.8823529411764705E-2</v>
      </c>
      <c r="F91" t="s">
        <v>23</v>
      </c>
      <c r="R91"/>
      <c r="S91"/>
    </row>
    <row r="92" spans="1:19" x14ac:dyDescent="0.2">
      <c r="A92" t="s">
        <v>24</v>
      </c>
      <c r="B92">
        <f>B90-B91</f>
        <v>1.5529895695607463</v>
      </c>
      <c r="C92" t="s">
        <v>23</v>
      </c>
      <c r="D92" t="s">
        <v>24</v>
      </c>
      <c r="E92">
        <f>B90-E91</f>
        <v>1.5411764705882354</v>
      </c>
      <c r="F92" t="s">
        <v>23</v>
      </c>
      <c r="R92"/>
      <c r="S92"/>
    </row>
    <row r="93" spans="1:19" x14ac:dyDescent="0.2">
      <c r="A93" t="s">
        <v>25</v>
      </c>
      <c r="B93">
        <f>B92*1000/100</f>
        <v>15.529895695607463</v>
      </c>
      <c r="C93" t="s">
        <v>26</v>
      </c>
      <c r="D93" t="s">
        <v>25</v>
      </c>
      <c r="E93">
        <f>E92*1000/100</f>
        <v>15.411764705882353</v>
      </c>
      <c r="F93" t="s">
        <v>26</v>
      </c>
      <c r="R93"/>
      <c r="S93"/>
    </row>
    <row r="94" spans="1:19" x14ac:dyDescent="0.2">
      <c r="R94"/>
      <c r="S94"/>
    </row>
    <row r="95" spans="1:19" x14ac:dyDescent="0.2">
      <c r="B95" t="s">
        <v>2</v>
      </c>
      <c r="C95" t="s">
        <v>3</v>
      </c>
      <c r="D95" t="s">
        <v>4</v>
      </c>
      <c r="E95" t="s">
        <v>10</v>
      </c>
      <c r="F95" t="s">
        <v>5</v>
      </c>
      <c r="G95" t="s">
        <v>27</v>
      </c>
      <c r="H95" t="s">
        <v>11</v>
      </c>
      <c r="R95"/>
      <c r="S95"/>
    </row>
    <row r="96" spans="1:19" x14ac:dyDescent="0.2">
      <c r="A96">
        <v>1</v>
      </c>
      <c r="B96" t="s">
        <v>6</v>
      </c>
      <c r="C96" s="10" t="s">
        <v>107</v>
      </c>
      <c r="D96" s="7">
        <v>42236</v>
      </c>
      <c r="E96" s="5">
        <v>340.35</v>
      </c>
      <c r="F96" s="6">
        <f>B$19*B$88/E96</f>
        <v>47.010430439253703</v>
      </c>
      <c r="G96">
        <f>B93</f>
        <v>15.529895695607463</v>
      </c>
      <c r="H96" s="5">
        <f>$B$19-F96-G96</f>
        <v>457.45967386513883</v>
      </c>
      <c r="R96"/>
      <c r="S96"/>
    </row>
    <row r="97" spans="1:20" x14ac:dyDescent="0.2">
      <c r="A97">
        <v>2</v>
      </c>
      <c r="B97" s="1" t="s">
        <v>45</v>
      </c>
      <c r="C97" s="12" t="s">
        <v>46</v>
      </c>
      <c r="D97" s="7">
        <v>42829</v>
      </c>
      <c r="E97">
        <v>272</v>
      </c>
      <c r="F97" s="6">
        <f>B$19*B$88/E97</f>
        <v>58.823529411764703</v>
      </c>
      <c r="G97">
        <f>E93</f>
        <v>15.411764705882353</v>
      </c>
      <c r="H97" s="5">
        <f>$B$19-F97-G97</f>
        <v>445.76470588235293</v>
      </c>
      <c r="R97"/>
      <c r="S97"/>
    </row>
    <row r="98" spans="1:20" x14ac:dyDescent="0.2">
      <c r="D98" s="2"/>
      <c r="E98" s="6"/>
      <c r="F98" s="6"/>
      <c r="R98"/>
      <c r="S98"/>
    </row>
    <row r="99" spans="1:20" x14ac:dyDescent="0.2">
      <c r="A99" s="13" t="s">
        <v>28</v>
      </c>
      <c r="B99" s="1"/>
      <c r="C99" s="1"/>
      <c r="R99"/>
      <c r="S99"/>
    </row>
    <row r="100" spans="1:20" x14ac:dyDescent="0.2">
      <c r="A100" t="s">
        <v>29</v>
      </c>
      <c r="B100" s="1" t="s">
        <v>84</v>
      </c>
      <c r="C100" s="1"/>
      <c r="E100">
        <f>4*2*2*6.5</f>
        <v>104</v>
      </c>
      <c r="R100"/>
      <c r="S100"/>
    </row>
    <row r="101" spans="1:20" x14ac:dyDescent="0.2">
      <c r="B101" s="1"/>
      <c r="C101" s="1"/>
      <c r="L101" s="1"/>
      <c r="M101" s="1"/>
      <c r="R101"/>
      <c r="S101"/>
    </row>
    <row r="102" spans="1:20" x14ac:dyDescent="0.2">
      <c r="A102" t="s">
        <v>37</v>
      </c>
      <c r="B102" s="1">
        <f>B85*5/B82</f>
        <v>15.384615384615385</v>
      </c>
      <c r="C102" s="1" t="s">
        <v>20</v>
      </c>
      <c r="L102" s="1"/>
      <c r="M102" s="1"/>
      <c r="R102"/>
      <c r="S102"/>
    </row>
    <row r="103" spans="1:20" x14ac:dyDescent="0.2">
      <c r="A103" t="s">
        <v>38</v>
      </c>
      <c r="B103" s="1">
        <f>B85*10/B82</f>
        <v>30.76923076923077</v>
      </c>
      <c r="C103" s="1" t="s">
        <v>20</v>
      </c>
      <c r="R103"/>
      <c r="T103" s="1"/>
    </row>
    <row r="104" spans="1:20" x14ac:dyDescent="0.2">
      <c r="A104" t="s">
        <v>39</v>
      </c>
      <c r="B104" s="1">
        <f>B85*20/B82</f>
        <v>61.53846153846154</v>
      </c>
      <c r="C104" s="1" t="s">
        <v>20</v>
      </c>
      <c r="D104" s="1"/>
    </row>
    <row r="105" spans="1:20" x14ac:dyDescent="0.2">
      <c r="B105" s="1"/>
      <c r="C105" s="1"/>
      <c r="D105" s="1"/>
    </row>
    <row r="106" spans="1:20" x14ac:dyDescent="0.2">
      <c r="A106" t="s">
        <v>85</v>
      </c>
      <c r="B106" s="1">
        <f>E100+(B103*E100/B104)+(B102*E100/B104)</f>
        <v>182</v>
      </c>
      <c r="C106" s="1" t="s">
        <v>26</v>
      </c>
      <c r="D106" s="1"/>
    </row>
    <row r="107" spans="1:20" x14ac:dyDescent="0.2">
      <c r="A107" t="s">
        <v>86</v>
      </c>
      <c r="B107" s="1"/>
      <c r="C107" s="1"/>
      <c r="D107" s="1"/>
    </row>
    <row r="108" spans="1:20" x14ac:dyDescent="0.2">
      <c r="C108" s="1"/>
      <c r="D108" s="1"/>
    </row>
    <row r="109" spans="1:20" x14ac:dyDescent="0.2">
      <c r="B109" t="s">
        <v>30</v>
      </c>
      <c r="C109" t="s">
        <v>31</v>
      </c>
      <c r="D109" s="1" t="s">
        <v>32</v>
      </c>
      <c r="E109" s="1" t="s">
        <v>34</v>
      </c>
      <c r="F109" t="s">
        <v>33</v>
      </c>
      <c r="R109"/>
      <c r="S109"/>
    </row>
    <row r="110" spans="1:20" x14ac:dyDescent="0.2">
      <c r="A110">
        <v>1</v>
      </c>
      <c r="B110" t="s">
        <v>36</v>
      </c>
      <c r="C110" s="7">
        <v>42997</v>
      </c>
      <c r="D110" s="3">
        <v>88.378571428571433</v>
      </c>
      <c r="E110" s="6">
        <f>200*B104/D110</f>
        <v>139.26104607426842</v>
      </c>
      <c r="F110" s="6">
        <f>200-E110</f>
        <v>60.738953925731579</v>
      </c>
      <c r="R110"/>
      <c r="S110"/>
    </row>
    <row r="111" spans="1:20" x14ac:dyDescent="0.2">
      <c r="A111">
        <v>2</v>
      </c>
      <c r="B111" t="s">
        <v>87</v>
      </c>
      <c r="C111" s="20">
        <v>42031</v>
      </c>
      <c r="D111" s="3">
        <v>64.8</v>
      </c>
      <c r="E111" s="6">
        <f>200*B104/D111</f>
        <v>189.93352326685661</v>
      </c>
      <c r="F111" s="6">
        <f t="shared" ref="F111:F112" si="5">200-E111</f>
        <v>10.066476733143389</v>
      </c>
      <c r="R111"/>
      <c r="S111"/>
    </row>
    <row r="112" spans="1:20" x14ac:dyDescent="0.2">
      <c r="A112">
        <v>3</v>
      </c>
      <c r="B112" t="s">
        <v>35</v>
      </c>
      <c r="C112" s="7">
        <v>41879</v>
      </c>
      <c r="D112" s="1">
        <v>147</v>
      </c>
      <c r="E112" s="6">
        <f>200*B104/D112</f>
        <v>83.725798011512296</v>
      </c>
      <c r="F112" s="6">
        <f t="shared" si="5"/>
        <v>116.2742019884877</v>
      </c>
      <c r="R112"/>
      <c r="S112"/>
    </row>
    <row r="113" spans="1:19" x14ac:dyDescent="0.2">
      <c r="R113"/>
      <c r="S113"/>
    </row>
    <row r="114" spans="1:19" x14ac:dyDescent="0.2">
      <c r="A114" t="s">
        <v>88</v>
      </c>
      <c r="R114"/>
      <c r="S114"/>
    </row>
    <row r="115" spans="1:19" x14ac:dyDescent="0.2">
      <c r="A115" t="s">
        <v>89</v>
      </c>
      <c r="C115" s="13"/>
      <c r="D115" t="s">
        <v>91</v>
      </c>
      <c r="R115"/>
      <c r="S115"/>
    </row>
    <row r="116" spans="1:19" x14ac:dyDescent="0.2">
      <c r="A116" t="s">
        <v>90</v>
      </c>
      <c r="B116">
        <f>B103*E100/B104</f>
        <v>52</v>
      </c>
      <c r="D116" t="s">
        <v>90</v>
      </c>
      <c r="E116">
        <f>B102*E100/B104</f>
        <v>26</v>
      </c>
      <c r="R116"/>
      <c r="S116"/>
    </row>
    <row r="117" spans="1:19" x14ac:dyDescent="0.2">
      <c r="A117" t="s">
        <v>33</v>
      </c>
      <c r="B117">
        <f>E100-B116</f>
        <v>52</v>
      </c>
      <c r="C117" s="7"/>
      <c r="D117" t="s">
        <v>33</v>
      </c>
      <c r="E117">
        <f>E100-E116</f>
        <v>78</v>
      </c>
      <c r="F117" s="6"/>
      <c r="R117"/>
      <c r="S117"/>
    </row>
    <row r="118" spans="1:19" x14ac:dyDescent="0.2">
      <c r="C118" s="7"/>
      <c r="D118" s="3"/>
      <c r="E118" s="6"/>
      <c r="F118" s="6"/>
      <c r="R118"/>
      <c r="S118"/>
    </row>
    <row r="119" spans="1:19" x14ac:dyDescent="0.2">
      <c r="C119" s="7"/>
      <c r="D119" s="8"/>
      <c r="E119" s="6"/>
      <c r="F119" s="6"/>
      <c r="R119"/>
      <c r="S119"/>
    </row>
    <row r="120" spans="1:19" x14ac:dyDescent="0.2">
      <c r="D120" s="7"/>
      <c r="E120" s="8"/>
      <c r="F120" s="6"/>
      <c r="G120" s="6"/>
      <c r="R120"/>
      <c r="S120"/>
    </row>
    <row r="121" spans="1:19" x14ac:dyDescent="0.2">
      <c r="A121" t="s">
        <v>41</v>
      </c>
      <c r="D121" s="7"/>
      <c r="E121" s="8"/>
      <c r="F121" s="6"/>
      <c r="G121" s="6"/>
      <c r="R121"/>
      <c r="S121"/>
    </row>
    <row r="122" spans="1:19" x14ac:dyDescent="0.2">
      <c r="A122" t="s">
        <v>81</v>
      </c>
      <c r="B122">
        <f>394*3</f>
        <v>1182</v>
      </c>
      <c r="C122" t="s">
        <v>26</v>
      </c>
      <c r="D122" s="7"/>
      <c r="E122" s="9"/>
      <c r="F122" s="6"/>
      <c r="G122" s="6"/>
      <c r="R122"/>
      <c r="S122"/>
    </row>
    <row r="123" spans="1:19" x14ac:dyDescent="0.2">
      <c r="A123" t="s">
        <v>42</v>
      </c>
      <c r="D123" s="7"/>
      <c r="E123" s="9"/>
      <c r="F123" s="6"/>
      <c r="G123" s="6"/>
      <c r="R123"/>
      <c r="S123"/>
    </row>
    <row r="124" spans="1:19" x14ac:dyDescent="0.2">
      <c r="A124" t="s">
        <v>43</v>
      </c>
      <c r="B124">
        <f>1*50</f>
        <v>50</v>
      </c>
      <c r="C124" t="s">
        <v>26</v>
      </c>
      <c r="D124" s="7"/>
      <c r="E124" s="9"/>
      <c r="F124" s="6"/>
      <c r="G124" s="6"/>
      <c r="R124"/>
      <c r="S124"/>
    </row>
    <row r="125" spans="1:19" x14ac:dyDescent="0.2">
      <c r="A125" t="s">
        <v>33</v>
      </c>
      <c r="B125" s="1">
        <f>22.5*50</f>
        <v>1125</v>
      </c>
      <c r="C125" s="1" t="s">
        <v>26</v>
      </c>
      <c r="R125"/>
      <c r="S125"/>
    </row>
    <row r="126" spans="1:19" x14ac:dyDescent="0.2">
      <c r="R126"/>
      <c r="S126"/>
    </row>
    <row r="127" spans="1:19" x14ac:dyDescent="0.2">
      <c r="R127"/>
      <c r="S127"/>
    </row>
    <row r="128" spans="1:19" x14ac:dyDescent="0.2">
      <c r="R128"/>
      <c r="S128"/>
    </row>
    <row r="129" spans="18:19" x14ac:dyDescent="0.2">
      <c r="R129"/>
      <c r="S129"/>
    </row>
    <row r="130" spans="18:19" x14ac:dyDescent="0.2">
      <c r="R130"/>
      <c r="S130"/>
    </row>
    <row r="131" spans="18:19" x14ac:dyDescent="0.2">
      <c r="R131"/>
      <c r="S131"/>
    </row>
    <row r="132" spans="18:19" x14ac:dyDescent="0.2">
      <c r="R132"/>
      <c r="S132"/>
    </row>
    <row r="133" spans="18:19" x14ac:dyDescent="0.2">
      <c r="R133"/>
      <c r="S133"/>
    </row>
    <row r="134" spans="18:19" x14ac:dyDescent="0.2">
      <c r="R134"/>
      <c r="S134"/>
    </row>
    <row r="135" spans="18:19" x14ac:dyDescent="0.2">
      <c r="R135"/>
      <c r="S135"/>
    </row>
    <row r="136" spans="18:19" x14ac:dyDescent="0.2">
      <c r="R136"/>
      <c r="S136"/>
    </row>
    <row r="137" spans="18:19" x14ac:dyDescent="0.2">
      <c r="R137"/>
      <c r="S137"/>
    </row>
    <row r="138" spans="18:19" x14ac:dyDescent="0.2">
      <c r="R138"/>
      <c r="S138"/>
    </row>
    <row r="139" spans="18:19" x14ac:dyDescent="0.2">
      <c r="R139"/>
      <c r="S139"/>
    </row>
    <row r="140" spans="18:19" x14ac:dyDescent="0.2">
      <c r="R140"/>
      <c r="S140"/>
    </row>
    <row r="141" spans="18:19" x14ac:dyDescent="0.2">
      <c r="R141"/>
      <c r="S141"/>
    </row>
    <row r="142" spans="18:19" x14ac:dyDescent="0.2">
      <c r="R142"/>
      <c r="S142"/>
    </row>
    <row r="143" spans="18:19" x14ac:dyDescent="0.2">
      <c r="R143"/>
      <c r="S143"/>
    </row>
    <row r="144" spans="18:19" x14ac:dyDescent="0.2">
      <c r="R144"/>
      <c r="S144"/>
    </row>
    <row r="145" spans="18:19" x14ac:dyDescent="0.2">
      <c r="R145"/>
      <c r="S145"/>
    </row>
    <row r="149" spans="18:19" x14ac:dyDescent="0.2">
      <c r="R149"/>
      <c r="S149"/>
    </row>
  </sheetData>
  <mergeCells count="1">
    <mergeCell ref="D79:F79"/>
  </mergeCells>
  <phoneticPr fontId="3" type="noConversion"/>
  <printOptions gridLines="1"/>
  <pageMargins left="0.75" right="0.75" top="1" bottom="1" header="0.5" footer="0.5"/>
  <pageSetup scale="43" fitToHeight="2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Sue-Ann Mok</dc:creator>
  <cp:lastModifiedBy>Microsoft Office User</cp:lastModifiedBy>
  <cp:lastPrinted>2017-10-08T14:56:57Z</cp:lastPrinted>
  <dcterms:created xsi:type="dcterms:W3CDTF">2017-07-18T14:51:43Z</dcterms:created>
  <dcterms:modified xsi:type="dcterms:W3CDTF">2017-10-08T17:52:40Z</dcterms:modified>
</cp:coreProperties>
</file>