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ac44d67c14197e/Desktop/blp/data/"/>
    </mc:Choice>
  </mc:AlternateContent>
  <xr:revisionPtr revIDLastSave="0" documentId="8_{2A9773E9-FE50-4D7C-8F0C-5428DED75F8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Income - Adjusted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/>
  <c r="H19" i="2"/>
  <c r="D15" i="2"/>
  <c r="D31" i="2"/>
  <c r="E24" i="2"/>
  <c r="E40" i="2"/>
  <c r="I44" i="2"/>
  <c r="H35" i="2"/>
  <c r="D57" i="2"/>
  <c r="G50" i="2"/>
  <c r="F49" i="2"/>
  <c r="E70" i="2"/>
  <c r="H62" i="2"/>
  <c r="I74" i="2"/>
  <c r="D6" i="2"/>
  <c r="C76" i="2"/>
  <c r="H18" i="2"/>
  <c r="H10" i="2"/>
  <c r="I27" i="2"/>
  <c r="E23" i="2"/>
  <c r="F32" i="2"/>
  <c r="C37" i="2"/>
  <c r="C45" i="2"/>
  <c r="G41" i="2"/>
  <c r="E57" i="2"/>
  <c r="G49" i="2"/>
  <c r="H61" i="2"/>
  <c r="C64" i="2"/>
  <c r="G71" i="2"/>
  <c r="I73" i="2"/>
  <c r="G79" i="2"/>
  <c r="D13" i="2"/>
  <c r="H9" i="2"/>
  <c r="H17" i="2"/>
  <c r="F23" i="2"/>
  <c r="I26" i="2"/>
  <c r="F31" i="2"/>
  <c r="D37" i="2"/>
  <c r="H41" i="2"/>
  <c r="D45" i="2"/>
  <c r="E56" i="2"/>
  <c r="I50" i="2"/>
  <c r="I61" i="2"/>
  <c r="D64" i="2"/>
  <c r="C74" i="2"/>
  <c r="H71" i="2"/>
  <c r="G78" i="2"/>
  <c r="C27" i="2"/>
  <c r="H8" i="2"/>
  <c r="G23" i="2"/>
  <c r="E13" i="2"/>
  <c r="C19" i="2"/>
  <c r="G31" i="2"/>
  <c r="D36" i="2"/>
  <c r="I41" i="2"/>
  <c r="F46" i="2"/>
  <c r="C52" i="2"/>
  <c r="G57" i="2"/>
  <c r="G69" i="2"/>
  <c r="D63" i="2"/>
  <c r="D74" i="2"/>
  <c r="G77" i="2"/>
  <c r="H7" i="2"/>
  <c r="C10" i="2"/>
  <c r="D11" i="2"/>
  <c r="E12" i="2"/>
  <c r="H15" i="2"/>
  <c r="F13" i="2"/>
  <c r="I16" i="2"/>
  <c r="C18" i="2"/>
  <c r="D19" i="2"/>
  <c r="E20" i="2"/>
  <c r="G14" i="2"/>
  <c r="F21" i="2"/>
  <c r="I24" i="2"/>
  <c r="G22" i="2"/>
  <c r="H23" i="2"/>
  <c r="D27" i="2"/>
  <c r="G30" i="2"/>
  <c r="E28" i="2"/>
  <c r="C26" i="2"/>
  <c r="I32" i="2"/>
  <c r="F29" i="2"/>
  <c r="H31" i="2"/>
  <c r="E36" i="2"/>
  <c r="C34" i="2"/>
  <c r="D35" i="2"/>
  <c r="F37" i="2"/>
  <c r="G38" i="2"/>
  <c r="H39" i="2"/>
  <c r="I40" i="2"/>
  <c r="D43" i="2"/>
  <c r="E44" i="2"/>
  <c r="F45" i="2"/>
  <c r="G46" i="2"/>
  <c r="H47" i="2"/>
  <c r="C50" i="2"/>
  <c r="I48" i="2"/>
  <c r="D52" i="2"/>
  <c r="E53" i="2"/>
  <c r="H57" i="2"/>
  <c r="G56" i="2"/>
  <c r="I58" i="2"/>
  <c r="D62" i="2"/>
  <c r="F64" i="2"/>
  <c r="C61" i="2"/>
  <c r="E63" i="2"/>
  <c r="G68" i="2"/>
  <c r="I70" i="2"/>
  <c r="H69" i="2"/>
  <c r="E74" i="2"/>
  <c r="C72" i="2"/>
  <c r="G76" i="2"/>
  <c r="H77" i="2"/>
  <c r="F75" i="2"/>
  <c r="D7" i="2"/>
  <c r="I78" i="2"/>
  <c r="C14" i="2"/>
  <c r="D23" i="2"/>
  <c r="C30" i="2"/>
  <c r="G18" i="2"/>
  <c r="G34" i="2"/>
  <c r="D39" i="2"/>
  <c r="D73" i="2"/>
  <c r="D47" i="2"/>
  <c r="H43" i="2"/>
  <c r="I63" i="2"/>
  <c r="F71" i="2"/>
  <c r="H52" i="2"/>
  <c r="E58" i="2"/>
  <c r="F79" i="2"/>
  <c r="D22" i="2"/>
  <c r="G9" i="2"/>
  <c r="H26" i="2"/>
  <c r="E31" i="2"/>
  <c r="G17" i="2"/>
  <c r="I35" i="2"/>
  <c r="F40" i="2"/>
  <c r="D46" i="2"/>
  <c r="D56" i="2"/>
  <c r="I62" i="2"/>
  <c r="H50" i="2"/>
  <c r="H72" i="2"/>
  <c r="C75" i="2"/>
  <c r="D68" i="2"/>
  <c r="F78" i="2"/>
  <c r="G8" i="2"/>
  <c r="E14" i="2"/>
  <c r="I18" i="2"/>
  <c r="E22" i="2"/>
  <c r="G32" i="2"/>
  <c r="C36" i="2"/>
  <c r="G40" i="2"/>
  <c r="H49" i="2"/>
  <c r="E46" i="2"/>
  <c r="C63" i="2"/>
  <c r="F57" i="2"/>
  <c r="G70" i="2"/>
  <c r="I72" i="2"/>
  <c r="I9" i="2"/>
  <c r="D75" i="2"/>
  <c r="F14" i="2"/>
  <c r="I17" i="2"/>
  <c r="H79" i="2"/>
  <c r="C28" i="2"/>
  <c r="F22" i="2"/>
  <c r="D28" i="2"/>
  <c r="H32" i="2"/>
  <c r="E37" i="2"/>
  <c r="H40" i="2"/>
  <c r="I49" i="2"/>
  <c r="E45" i="2"/>
  <c r="F56" i="2"/>
  <c r="C62" i="2"/>
  <c r="H70" i="2"/>
  <c r="E75" i="2"/>
  <c r="F76" i="2"/>
  <c r="G6" i="2"/>
  <c r="I7" i="2"/>
  <c r="E11" i="2"/>
  <c r="F12" i="2"/>
  <c r="G13" i="2"/>
  <c r="I15" i="2"/>
  <c r="H14" i="2"/>
  <c r="C17" i="2"/>
  <c r="D18" i="2"/>
  <c r="E19" i="2"/>
  <c r="H22" i="2"/>
  <c r="F20" i="2"/>
  <c r="G21" i="2"/>
  <c r="I23" i="2"/>
  <c r="C25" i="2"/>
  <c r="D26" i="2"/>
  <c r="E27" i="2"/>
  <c r="F28" i="2"/>
  <c r="G29" i="2"/>
  <c r="H30" i="2"/>
  <c r="I31" i="2"/>
  <c r="C33" i="2"/>
  <c r="D34" i="2"/>
  <c r="E35" i="2"/>
  <c r="F36" i="2"/>
  <c r="G37" i="2"/>
  <c r="H38" i="2"/>
  <c r="I39" i="2"/>
  <c r="C41" i="2"/>
  <c r="E43" i="2"/>
  <c r="G45" i="2"/>
  <c r="H46" i="2"/>
  <c r="F44" i="2"/>
  <c r="I47" i="2"/>
  <c r="C49" i="2"/>
  <c r="E52" i="2"/>
  <c r="D50" i="2"/>
  <c r="H56" i="2"/>
  <c r="F53" i="2"/>
  <c r="C59" i="2"/>
  <c r="I57" i="2"/>
  <c r="E62" i="2"/>
  <c r="D61" i="2"/>
  <c r="F63" i="2"/>
  <c r="D72" i="2"/>
  <c r="H68" i="2"/>
  <c r="G64" i="2"/>
  <c r="I69" i="2"/>
  <c r="G75" i="2"/>
  <c r="E73" i="2"/>
  <c r="C79" i="2"/>
  <c r="F74" i="2"/>
  <c r="C71" i="2"/>
  <c r="H76" i="2"/>
  <c r="G10" i="2"/>
  <c r="C6" i="2"/>
  <c r="I77" i="2"/>
  <c r="I12" i="2"/>
  <c r="I28" i="2"/>
  <c r="F25" i="2"/>
  <c r="F17" i="2"/>
  <c r="I53" i="2"/>
  <c r="E32" i="2"/>
  <c r="C22" i="2"/>
  <c r="I36" i="2"/>
  <c r="F41" i="2"/>
  <c r="G72" i="2"/>
  <c r="E48" i="2"/>
  <c r="F59" i="2"/>
  <c r="D69" i="2"/>
  <c r="F8" i="2"/>
  <c r="E78" i="2"/>
  <c r="D14" i="2"/>
  <c r="E15" i="2"/>
  <c r="I19" i="2"/>
  <c r="I43" i="2"/>
  <c r="F48" i="2"/>
  <c r="G25" i="2"/>
  <c r="C29" i="2"/>
  <c r="D76" i="2"/>
  <c r="H34" i="2"/>
  <c r="E6" i="2"/>
  <c r="E39" i="2"/>
  <c r="C54" i="2"/>
  <c r="C42" i="2"/>
  <c r="F58" i="2"/>
  <c r="E69" i="2"/>
  <c r="F39" i="2"/>
  <c r="G16" i="2"/>
  <c r="I10" i="2"/>
  <c r="D21" i="2"/>
  <c r="D29" i="2"/>
  <c r="H59" i="2"/>
  <c r="H25" i="2"/>
  <c r="F77" i="2"/>
  <c r="G7" i="2"/>
  <c r="I34" i="2"/>
  <c r="G48" i="2"/>
  <c r="F69" i="2"/>
  <c r="D54" i="2"/>
  <c r="D42" i="2"/>
  <c r="H16" i="2"/>
  <c r="E21" i="2"/>
  <c r="F30" i="2"/>
  <c r="D12" i="2"/>
  <c r="H58" i="2"/>
  <c r="H24" i="2"/>
  <c r="G39" i="2"/>
  <c r="H48" i="2"/>
  <c r="D53" i="2"/>
  <c r="E64" i="2"/>
  <c r="D44" i="2"/>
  <c r="C35" i="2"/>
  <c r="C73" i="2"/>
  <c r="E10" i="2"/>
  <c r="I8" i="2"/>
  <c r="H78" i="2"/>
  <c r="I6" i="2"/>
  <c r="C8" i="2"/>
  <c r="F11" i="2"/>
  <c r="D9" i="2"/>
  <c r="D17" i="2"/>
  <c r="C9" i="2"/>
  <c r="H13" i="2"/>
  <c r="G12" i="2"/>
  <c r="H21" i="2"/>
  <c r="I22" i="2"/>
  <c r="I14" i="2"/>
  <c r="G20" i="2"/>
  <c r="E18" i="2"/>
  <c r="C16" i="2"/>
  <c r="E34" i="2"/>
  <c r="F19" i="2"/>
  <c r="C24" i="2"/>
  <c r="D25" i="2"/>
  <c r="D33" i="2"/>
  <c r="F27" i="2"/>
  <c r="G28" i="2"/>
  <c r="H45" i="2"/>
  <c r="E26" i="2"/>
  <c r="H29" i="2"/>
  <c r="D49" i="2"/>
  <c r="F35" i="2"/>
  <c r="C40" i="2"/>
  <c r="I30" i="2"/>
  <c r="C32" i="2"/>
  <c r="G36" i="2"/>
  <c r="H37" i="2"/>
  <c r="I38" i="2"/>
  <c r="E50" i="2"/>
  <c r="I46" i="2"/>
  <c r="D41" i="2"/>
  <c r="I56" i="2"/>
  <c r="C48" i="2"/>
  <c r="C58" i="2"/>
  <c r="F73" i="2"/>
  <c r="G63" i="2"/>
  <c r="H64" i="2"/>
  <c r="F52" i="2"/>
  <c r="G53" i="2"/>
  <c r="G44" i="2"/>
  <c r="D71" i="2"/>
  <c r="F62" i="2"/>
  <c r="F43" i="2"/>
  <c r="E61" i="2"/>
  <c r="C70" i="2"/>
  <c r="I76" i="2"/>
  <c r="D59" i="2"/>
  <c r="I68" i="2"/>
  <c r="E72" i="2"/>
  <c r="F9" i="2"/>
  <c r="G74" i="2"/>
  <c r="H75" i="2"/>
  <c r="D79" i="2"/>
  <c r="H11" i="2"/>
  <c r="C78" i="2"/>
  <c r="E16" i="2"/>
  <c r="I20" i="2"/>
  <c r="G26" i="2"/>
  <c r="H27" i="2"/>
  <c r="C38" i="2"/>
  <c r="G54" i="2"/>
  <c r="G42" i="2"/>
  <c r="F33" i="2"/>
  <c r="C46" i="2"/>
  <c r="H73" i="2"/>
  <c r="C56" i="2"/>
  <c r="D38" i="2"/>
  <c r="C13" i="2"/>
  <c r="G61" i="2"/>
  <c r="C68" i="2"/>
  <c r="D77" i="2"/>
  <c r="C21" i="2"/>
  <c r="E7" i="2"/>
  <c r="F24" i="2"/>
  <c r="F16" i="2"/>
  <c r="G33" i="2"/>
  <c r="D30" i="2"/>
  <c r="H54" i="2"/>
  <c r="H42" i="2"/>
  <c r="I52" i="2"/>
  <c r="C12" i="2"/>
  <c r="E47" i="2"/>
  <c r="F15" i="2"/>
  <c r="F70" i="2"/>
  <c r="G59" i="2"/>
  <c r="E77" i="2"/>
  <c r="G58" i="2"/>
  <c r="C20" i="2"/>
  <c r="F7" i="2"/>
  <c r="F47" i="2"/>
  <c r="G24" i="2"/>
  <c r="C44" i="2"/>
  <c r="E30" i="2"/>
  <c r="C53" i="2"/>
  <c r="F6" i="2"/>
  <c r="H33" i="2"/>
  <c r="E38" i="2"/>
  <c r="E68" i="2"/>
  <c r="C11" i="2"/>
  <c r="D20" i="2"/>
  <c r="I25" i="2"/>
  <c r="I59" i="2"/>
  <c r="G15" i="2"/>
  <c r="E76" i="2"/>
  <c r="I33" i="2"/>
  <c r="G47" i="2"/>
  <c r="E29" i="2"/>
  <c r="I79" i="2"/>
  <c r="F38" i="2"/>
  <c r="C43" i="2"/>
  <c r="E54" i="2"/>
  <c r="E42" i="2"/>
  <c r="F68" i="2"/>
  <c r="F10" i="2"/>
  <c r="H6" i="2"/>
  <c r="D8" i="2"/>
  <c r="I71" i="2"/>
  <c r="G11" i="2"/>
  <c r="D10" i="2"/>
  <c r="C7" i="2"/>
  <c r="E9" i="2"/>
  <c r="C31" i="2"/>
  <c r="I13" i="2"/>
  <c r="H12" i="2"/>
  <c r="C15" i="2"/>
  <c r="D16" i="2"/>
  <c r="C23" i="2"/>
  <c r="G19" i="2"/>
  <c r="H20" i="2"/>
  <c r="E17" i="2"/>
  <c r="H28" i="2"/>
  <c r="F18" i="2"/>
  <c r="I21" i="2"/>
  <c r="F26" i="2"/>
  <c r="E25" i="2"/>
  <c r="G27" i="2"/>
  <c r="D24" i="2"/>
  <c r="H36" i="2"/>
  <c r="C39" i="2"/>
  <c r="D32" i="2"/>
  <c r="F34" i="2"/>
  <c r="G35" i="2"/>
  <c r="E33" i="2"/>
  <c r="H44" i="2"/>
  <c r="I29" i="2"/>
  <c r="I37" i="2"/>
  <c r="F54" i="2"/>
  <c r="F42" i="2"/>
  <c r="E41" i="2"/>
  <c r="C57" i="2"/>
  <c r="D40" i="2"/>
  <c r="H53" i="2"/>
  <c r="I45" i="2"/>
  <c r="G43" i="2"/>
  <c r="D48" i="2"/>
  <c r="C47" i="2"/>
  <c r="E49" i="2"/>
  <c r="F50" i="2"/>
  <c r="D58" i="2"/>
  <c r="G62" i="2"/>
  <c r="G52" i="2"/>
  <c r="I54" i="2"/>
  <c r="I42" i="2"/>
  <c r="F72" i="2"/>
  <c r="E59" i="2"/>
  <c r="H63" i="2"/>
  <c r="I11" i="2"/>
  <c r="E71" i="2"/>
  <c r="I64" i="2"/>
  <c r="H74" i="2"/>
  <c r="F61" i="2"/>
  <c r="D78" i="2"/>
  <c r="C69" i="2"/>
  <c r="G73" i="2"/>
  <c r="C77" i="2"/>
  <c r="I75" i="2"/>
  <c r="E79" i="2"/>
  <c r="D70" i="2"/>
</calcChain>
</file>

<file path=xl/sharedStrings.xml><?xml version="1.0" encoding="utf-8"?>
<sst xmlns="http://schemas.openxmlformats.org/spreadsheetml/2006/main" count="171" uniqueCount="159">
  <si>
    <t>Revenue</t>
  </si>
  <si>
    <t>Gross Profit</t>
  </si>
  <si>
    <t>Reference Items</t>
  </si>
  <si>
    <t>Right click to show data transparency (not supported for all values)</t>
  </si>
  <si>
    <t>Microchip Technology Inc (MCHP US) - Adjusted</t>
  </si>
  <si>
    <t>In Millions of USD except Per Share</t>
  </si>
  <si>
    <t>FY 2014</t>
  </si>
  <si>
    <t>FY 2015</t>
  </si>
  <si>
    <t>FY 2016</t>
  </si>
  <si>
    <t>FY 2017</t>
  </si>
  <si>
    <t>FY 2018</t>
  </si>
  <si>
    <t>FY 2019</t>
  </si>
  <si>
    <t>FY 2020</t>
  </si>
  <si>
    <t>Last 12M</t>
  </si>
  <si>
    <t>FY 2021 Est</t>
  </si>
  <si>
    <t>FY 2022 Est</t>
  </si>
  <si>
    <t>12 Months Ending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</si>
  <si>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</si>
  <si>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</si>
  <si>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</si>
  <si>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</si>
  <si>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</si>
  <si>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</si>
  <si>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</si>
  <si>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09/30/2020</t>
  </si>
  <si>
    <t>03/31/2021</t>
  </si>
  <si>
    <t>03/31/2022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</si>
  <si>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</si>
  <si>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</si>
  <si>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</si>
  <si>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</si>
  <si>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</si>
  <si>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</si>
  <si>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</si>
  <si>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</si>
  <si>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</si>
  <si>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</si>
  <si>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</si>
  <si>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</si>
  <si>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</si>
  <si>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</si>
  <si>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</si>
  <si>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</si>
  <si>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</si>
  <si>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</si>
  <si>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</si>
  <si>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</si>
  <si>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</si>
  <si>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</si>
  <si>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</si>
  <si>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</si>
  <si>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</si>
  <si>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</si>
  <si>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</si>
  <si>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</si>
  <si>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</si>
  <si>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</si>
  <si>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</si>
  <si>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</si>
  <si>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</si>
  <si>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</si>
  <si>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</si>
  <si>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</si>
  <si>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</si>
  <si>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</si>
  <si>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</si>
  <si>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</si>
  <si>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</si>
  <si>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</si>
  <si>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</si>
  <si>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</si>
  <si>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</si>
  <si>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</si>
  <si>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</si>
  <si>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</si>
  <si>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</si>
  <si>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</si>
  <si>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</si>
  <si>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</si>
  <si>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</si>
  <si>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</si>
  <si>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</si>
  <si>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</si>
  <si>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</si>
  <si>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</si>
  <si>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</si>
  <si>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</si>
  <si>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</si>
  <si>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</si>
  <si>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</si>
  <si>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</si>
  <si>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</si>
  <si>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</si>
  <si>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</si>
  <si>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</si>
  <si>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</si>
  <si>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</si>
  <si>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</si>
  <si>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</si>
  <si>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</si>
  <si>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</si>
  <si>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</si>
  <si>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</si>
  <si>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</si>
  <si>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</si>
  <si>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</si>
  <si>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</si>
  <si>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</si>
  <si>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</si>
  <si>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</si>
  <si>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</si>
  <si>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</si>
  <si>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</si>
  <si>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</si>
  <si>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</si>
  <si>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</si>
  <si>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</si>
  <si>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</si>
  <si>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</si>
  <si>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</si>
  <si>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</si>
  <si>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</si>
  <si>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</si>
  <si>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</si>
  <si>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</si>
  <si>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</si>
  <si>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</si>
  <si>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</si>
  <si>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</si>
  <si>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</si>
  <si>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</si>
  <si>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</si>
  <si>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</si>
  <si>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</si>
  <si>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</si>
  <si>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</si>
  <si>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</si>
  <si>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</si>
  <si>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</si>
  <si>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</si>
  <si>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</si>
  <si>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</si>
  <si>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</si>
  <si>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</si>
  <si>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</si>
  <si>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</si>
  <si>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</si>
  <si>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</si>
  <si>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</si>
  <si>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</si>
  <si>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</si>
  <si>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</si>
  <si>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</si>
  <si>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</si>
  <si>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</si>
  <si>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</si>
  <si>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Rental Expense</t>
  </si>
  <si>
    <t>BS_CURR_RENTAL_EXPENSE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</si>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</sst>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171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171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9" xr:uid="{00000000-0005-0000-0000-000023000000}"/>
    <cellStyle name="fa_data_bold_1_grouped" xfId="60" xr:uid="{00000000-0005-0000-0000-000024000000}"/>
    <cellStyle name="fa_data_bold_2_grouped" xfId="61" xr:uid="{00000000-0005-0000-0000-000025000000}"/>
    <cellStyle name="fa_data_current_bold_0_grouped" xfId="62" xr:uid="{00000000-0005-0000-0000-000026000000}"/>
    <cellStyle name="fa_data_current_bold_1_grouped" xfId="63" xr:uid="{00000000-0005-0000-0000-000027000000}"/>
    <cellStyle name="fa_data_current_bold_2_grouped" xfId="64" xr:uid="{00000000-0005-0000-0000-000028000000}"/>
    <cellStyle name="fa_data_current_italic_1_grouped" xfId="66" xr:uid="{00000000-0005-0000-0000-000029000000}"/>
    <cellStyle name="fa_data_current_standard_0_grouped" xfId="56" xr:uid="{00000000-0005-0000-0000-00002A000000}"/>
    <cellStyle name="fa_data_current_standard_1_grouped" xfId="57" xr:uid="{00000000-0005-0000-0000-00002B000000}"/>
    <cellStyle name="fa_data_current_standard_2_grouped" xfId="58" xr:uid="{00000000-0005-0000-0000-00002C000000}"/>
    <cellStyle name="fa_data_italic_1_grouped" xfId="65" xr:uid="{00000000-0005-0000-0000-00002D000000}"/>
    <cellStyle name="fa_data_standard_0_grouped" xfId="53" xr:uid="{00000000-0005-0000-0000-00002E000000}"/>
    <cellStyle name="fa_data_standard_1_grouped" xfId="54" xr:uid="{00000000-0005-0000-0000-00002F000000}"/>
    <cellStyle name="fa_data_standard_2_grouped" xfId="55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italic" xfId="36" xr:uid="{00000000-0005-0000-0000-000033000000}"/>
    <cellStyle name="fa_row_header_standard" xfId="37" xr:uid="{00000000-0005-0000-0000-000034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BDH|16212035041540742866</stp>
        <tr r="G13" s="2"/>
      </tp>
      <tp t="s">
        <v>#N/A N/A</v>
        <stp/>
        <stp>BDH|14746845060673052300</stp>
        <tr r="F28" s="2"/>
      </tp>
      <tp t="s">
        <v>#N/A N/A</v>
        <stp/>
        <stp>BDH|10867952805885290688</stp>
        <tr r="G57" s="2"/>
      </tp>
      <tp t="s">
        <v>#N/A N/A</v>
        <stp/>
        <stp>BDH|15894084496441679751</stp>
        <tr r="G6" s="2"/>
      </tp>
      <tp t="s">
        <v>#N/A N/A</v>
        <stp/>
        <stp>BDH|15685236045381017874</stp>
        <tr r="H50" s="2"/>
      </tp>
      <tp t="s">
        <v>#N/A N/A</v>
        <stp/>
        <stp>BDH|14859341639716767895</stp>
        <tr r="I41" s="2"/>
      </tp>
      <tp t="s">
        <v>#N/A N/A</v>
        <stp/>
        <stp>BDH|10095315969206147933</stp>
        <tr r="G11" s="2"/>
      </tp>
      <tp t="s">
        <v>#N/A N/A</v>
        <stp/>
        <stp>BDH|14443155453692659897</stp>
        <tr r="I10" s="2"/>
      </tp>
      <tp t="s">
        <v>#N/A N/A</v>
        <stp/>
        <stp>BDH|12934664356473226873</stp>
        <tr r="D22" s="2"/>
      </tp>
      <tp t="s">
        <v>#N/A N/A</v>
        <stp/>
        <stp>BDH|12342965116859577876</stp>
        <tr r="E41" s="2"/>
      </tp>
      <tp t="s">
        <v>#N/A N/A</v>
        <stp/>
        <stp>BDH|14479428082331240275</stp>
        <tr r="F71" s="2"/>
      </tp>
      <tp t="s">
        <v>#N/A N/A</v>
        <stp/>
        <stp>BDH|14278160883215622315</stp>
        <tr r="I6" s="2"/>
      </tp>
      <tp t="s">
        <v>#N/A N/A</v>
        <stp/>
        <stp>BDH|17119021397755508016</stp>
        <tr r="F32" s="2"/>
      </tp>
      <tp t="s">
        <v>#N/A N/A</v>
        <stp/>
        <stp>BDH|13150044395812029337</stp>
        <tr r="H17" s="2"/>
      </tp>
      <tp t="s">
        <v>#N/A N/A</v>
        <stp/>
        <stp>BDH|16207931001691543504</stp>
        <tr r="C28" s="2"/>
      </tp>
      <tp t="s">
        <v>#N/A N/A</v>
        <stp/>
        <stp>BDH|17611168596447401393</stp>
        <tr r="D23" s="2"/>
      </tp>
      <tp t="s">
        <v>#N/A N/A</v>
        <stp/>
        <stp>BDH|11268901648140567726</stp>
        <tr r="E74" s="2"/>
      </tp>
      <tp t="s">
        <v>#N/A N/A</v>
        <stp/>
        <stp>BDH|11392655243931037992</stp>
        <tr r="H43" s="2"/>
      </tp>
      <tp t="s">
        <v>#N/A N/A</v>
        <stp/>
        <stp>BDH|16056427238739393366</stp>
        <tr r="F50" s="2"/>
      </tp>
      <tp t="s">
        <v>#N/A N/A</v>
        <stp/>
        <stp>BDH|13000481861149510339</stp>
        <tr r="D12" s="2"/>
      </tp>
      <tp t="s">
        <v>#N/A N/A</v>
        <stp/>
        <stp>BDH|15093589754247006924</stp>
        <tr r="F21" s="2"/>
      </tp>
      <tp t="s">
        <v>#N/A N/A</v>
        <stp/>
        <stp>BDH|13949846916817939526</stp>
        <tr r="F20" s="2"/>
      </tp>
      <tp t="s">
        <v>#N/A N/A</v>
        <stp/>
        <stp>BDH|17213552467375248916</stp>
        <tr r="F53" s="2"/>
      </tp>
      <tp t="s">
        <v>#N/A N/A</v>
        <stp/>
        <stp>BDH|16207815880579363733</stp>
        <tr r="F36" s="2"/>
      </tp>
      <tp t="s">
        <v>#N/A N/A</v>
        <stp/>
        <stp>BDH|12262205696864140575</stp>
        <tr r="G17" s="2"/>
      </tp>
      <tp t="s">
        <v>#N/A N/A</v>
        <stp/>
        <stp>BDH|12168245474426161996</stp>
        <tr r="D38" s="2"/>
      </tp>
      <tp t="s">
        <v>#N/A N/A</v>
        <stp/>
        <stp>BDH|12574620928049386719</stp>
        <tr r="D15" s="2"/>
      </tp>
      <tp t="s">
        <v>#N/A N/A</v>
        <stp/>
        <stp>BDH|13161434305958038782</stp>
        <tr r="C40" s="2"/>
      </tp>
      <tp t="s">
        <v>#N/A N/A</v>
        <stp/>
        <stp>BDH|11280886994130853896</stp>
        <tr r="G47" s="2"/>
      </tp>
      <tp t="s">
        <v>#N/A N/A</v>
        <stp/>
        <stp>BDH|16784532318692448869</stp>
        <tr r="I16" s="2"/>
      </tp>
      <tp t="s">
        <v>#N/A N/A</v>
        <stp/>
        <stp>BDH|11747790792405729254</stp>
        <tr r="G53" s="2"/>
      </tp>
      <tp t="s">
        <v>#N/A N/A</v>
        <stp/>
        <stp>BDH|18090002120892753092</stp>
        <tr r="G9" s="2"/>
      </tp>
      <tp t="s">
        <v>#N/A N/A</v>
        <stp/>
        <stp>BDH|14345175726008744643</stp>
        <tr r="D9" s="2"/>
      </tp>
      <tp t="s">
        <v>#N/A N/A</v>
        <stp/>
        <stp>BDH|10347303292452007106</stp>
        <tr r="G28" s="2"/>
      </tp>
      <tp t="s">
        <v>#N/A N/A</v>
        <stp/>
        <stp>BDH|10661852478467344187</stp>
        <tr r="D59" s="2"/>
      </tp>
      <tp t="s">
        <v>#N/A N/A</v>
        <stp/>
        <stp>BDH|12455712636098423758</stp>
        <tr r="I73" s="2"/>
      </tp>
      <tp t="s">
        <v>#N/A N/A</v>
        <stp/>
        <stp>BDH|11150845578397239086</stp>
        <tr r="H78" s="2"/>
      </tp>
      <tp t="s">
        <v>#N/A N/A</v>
        <stp/>
        <stp>BDH|17777077343879410310</stp>
        <tr r="F70" s="2"/>
      </tp>
      <tp t="s">
        <v>#N/A N/A</v>
        <stp/>
        <stp>BDH|14998513985693694328</stp>
        <tr r="D58" s="2"/>
      </tp>
      <tp t="s">
        <v>#N/A N/A</v>
        <stp/>
        <stp>BDH|10304961118872483338</stp>
        <tr r="C45" s="2"/>
      </tp>
      <tp t="s">
        <v>#N/A N/A</v>
        <stp/>
        <stp>BDH|11763720889422099511</stp>
        <tr r="H49" s="2"/>
      </tp>
      <tp t="s">
        <v>#N/A N/A</v>
        <stp/>
        <stp>BDH|14637880574651589324</stp>
        <tr r="H24" s="2"/>
      </tp>
      <tp t="s">
        <v>#N/A N/A</v>
        <stp/>
        <stp>BDH|14624349089682195469</stp>
        <tr r="C36" s="2"/>
      </tp>
      <tp t="s">
        <v>#N/A N/A</v>
        <stp/>
        <stp>BDH|17476440561894523881</stp>
        <tr r="C37" s="2"/>
      </tp>
      <tp t="s">
        <v>#N/A N/A</v>
        <stp/>
        <stp>BDH|10913907347265154107</stp>
        <tr r="G72" s="2"/>
      </tp>
      <tp t="s">
        <v>#N/A N/A</v>
        <stp/>
        <stp>BDH|14199622980963572773</stp>
        <tr r="G58" s="2"/>
      </tp>
      <tp t="s">
        <v>#N/A N/A</v>
        <stp/>
        <stp>BDH|11480823721422533720</stp>
        <tr r="I50" s="2"/>
      </tp>
      <tp t="s">
        <v>#N/A N/A</v>
        <stp/>
        <stp>BDH|14814892655110433705</stp>
        <tr r="H59" s="2"/>
      </tp>
      <tp t="s">
        <v>#N/A N/A</v>
        <stp/>
        <stp>BDH|13258561341399348551</stp>
        <tr r="I11" s="2"/>
      </tp>
      <tp t="s">
        <v>#N/A N/A</v>
        <stp/>
        <stp>BDH|10337907131567171301</stp>
        <tr r="D21" s="2"/>
      </tp>
      <tp t="s">
        <v>#N/A N/A</v>
        <stp/>
        <stp>BDH|11837644843308810522</stp>
        <tr r="F61" s="2"/>
      </tp>
      <tp t="s">
        <v>#N/A N/A</v>
        <stp/>
        <stp>BDH|18161429549440510682</stp>
        <tr r="C59" s="2"/>
      </tp>
      <tp t="s">
        <v>#N/A N/A</v>
        <stp/>
        <stp>BDH|16439079566357529960</stp>
        <tr r="F18" s="2"/>
      </tp>
      <tp t="s">
        <v>#N/A N/A</v>
        <stp/>
        <stp>BDH|17008576095041247463</stp>
        <tr r="D62" s="2"/>
      </tp>
      <tp t="s">
        <v>#N/A N/A</v>
        <stp/>
        <stp>BDH|17962809869161953673</stp>
        <tr r="D78" s="2"/>
      </tp>
      <tp t="s">
        <v>#N/A N/A</v>
        <stp/>
        <stp>BDH|14766962408007765400</stp>
        <tr r="I25" s="2"/>
      </tp>
      <tp t="s">
        <v>#N/A N/A</v>
        <stp/>
        <stp>BDH|17825087590389354836</stp>
        <tr r="E20" s="2"/>
      </tp>
      <tp t="s">
        <v>#N/A N/A</v>
        <stp/>
        <stp>BDH|10774578281986644443</stp>
        <tr r="G64" s="2"/>
      </tp>
      <tp t="s">
        <v>#N/A N/A</v>
        <stp/>
        <stp>BDH|15748881485712024895</stp>
        <tr r="D7" s="2"/>
      </tp>
      <tp t="s">
        <v>#N/A N/A</v>
        <stp/>
        <stp>BDH|11964982117883698576</stp>
        <tr r="D32" s="2"/>
      </tp>
      <tp t="s">
        <v>#N/A N/A</v>
        <stp/>
        <stp>BDH|11321412184541190309</stp>
        <tr r="H11" s="2"/>
      </tp>
      <tp t="s">
        <v>#N/A N/A</v>
        <stp/>
        <stp>BDH|16461803309511326078</stp>
        <tr r="I40" s="2"/>
      </tp>
      <tp t="s">
        <v>#N/A N/A</v>
        <stp/>
        <stp>BDH|16740318557449808615</stp>
        <tr r="I29" s="2"/>
      </tp>
      <tp t="s">
        <v>#N/A N/A</v>
        <stp/>
        <stp>BDH|17196248554748952757</stp>
        <tr r="C61" s="2"/>
      </tp>
      <tp t="s">
        <v>#N/A N/A</v>
        <stp/>
        <stp>BDH|12818972512846503342</stp>
        <tr r="E25" s="2"/>
      </tp>
      <tp t="s">
        <v>#N/A N/A</v>
        <stp/>
        <stp>BDH|11309924055143881139</stp>
        <tr r="D69" s="2"/>
      </tp>
      <tp t="s">
        <v>#N/A N/A</v>
        <stp/>
        <stp>BDH|16325407227979370571</stp>
        <tr r="G79" s="2"/>
      </tp>
      <tp t="s">
        <v>#N/A N/A</v>
        <stp/>
        <stp>BDH|15044834138674200694</stp>
        <tr r="D10" s="2"/>
      </tp>
      <tp t="s">
        <v>#N/A N/A</v>
        <stp/>
        <stp>BDH|17697087809069499237</stp>
        <tr r="H39" s="2"/>
      </tp>
      <tp t="s">
        <v>#N/A N/A</v>
        <stp/>
        <stp>BDH|11289898136673961570</stp>
        <tr r="G34" s="2"/>
      </tp>
      <tp t="s">
        <v>#N/A N/A</v>
        <stp/>
        <stp>BDH|16604043397776069564</stp>
        <tr r="C38" s="2"/>
      </tp>
      <tp t="s">
        <v>#N/A N/A</v>
        <stp/>
        <stp>BDH|14832848633363936049</stp>
        <tr r="H53" s="2"/>
      </tp>
      <tp t="s">
        <v>#N/A N/A</v>
        <stp/>
        <stp>BDH|11240942410660018544</stp>
        <tr r="G38" s="2"/>
      </tp>
      <tp t="s">
        <v>#N/A N/A</v>
        <stp/>
        <stp>BDH|15251645044558665313</stp>
        <tr r="E44" s="2"/>
      </tp>
      <tp t="s">
        <v>#N/A N/A</v>
        <stp/>
        <stp>BDH|15429460011818095478</stp>
        <tr r="H63" s="2"/>
      </tp>
      <tp t="s">
        <v>#N/A N/A</v>
        <stp/>
        <stp>BDH|17000201145329514441</stp>
        <tr r="G61" s="2"/>
      </tp>
      <tp t="s">
        <v>#N/A N/A</v>
        <stp/>
        <stp>BDH|15130385165978984413</stp>
        <tr r="I8" s="2"/>
      </tp>
      <tp t="s">
        <v>#N/A N/A</v>
        <stp/>
        <stp>BDH|14905097397289470843</stp>
        <tr r="G46" s="2"/>
      </tp>
      <tp t="s">
        <v>#N/A N/A</v>
        <stp/>
        <stp>BDH|12030136405518763796</stp>
        <tr r="D47" s="2"/>
      </tp>
      <tp t="s">
        <v>#N/A N/A</v>
        <stp/>
        <stp>BDH|14905567214329127520</stp>
        <tr r="I31" s="2"/>
      </tp>
      <tp t="s">
        <v>#N/A N/A</v>
        <stp/>
        <stp>BDH|12060981383128491705</stp>
        <tr r="G18" s="2"/>
      </tp>
      <tp t="s">
        <v>#N/A N/A</v>
        <stp/>
        <stp>BDH|10706763879765591935</stp>
        <tr r="F24" s="2"/>
      </tp>
      <tp t="s">
        <v>#N/A N/A</v>
        <stp/>
        <stp>BDH|12248877642657447425</stp>
        <tr r="F31" s="2"/>
      </tp>
      <tp t="s">
        <v>#N/A N/A</v>
        <stp/>
        <stp>BDH|16140156311019490219</stp>
        <tr r="G48" s="2"/>
      </tp>
      <tp t="s">
        <v>#N/A N/A</v>
        <stp/>
        <stp>BDH|12110332721209657752</stp>
        <tr r="I47" s="2"/>
      </tp>
      <tp t="s">
        <v>#N/A N/A</v>
        <stp/>
        <stp>BDH|13592096542548811251</stp>
        <tr r="E58" s="2"/>
      </tp>
      <tp t="s">
        <v>#N/A N/A</v>
        <stp/>
        <stp>BDH|16473739665092613865</stp>
        <tr r="C41" s="2"/>
      </tp>
      <tp t="s">
        <v>#N/A N/A</v>
        <stp/>
        <stp>BDH|15365987805415075495</stp>
        <tr r="F7" s="2"/>
      </tp>
      <tp t="s">
        <v>#N/A N/A</v>
        <stp/>
        <stp>BDH|15672862730610122366</stp>
        <tr r="E22" s="2"/>
      </tp>
      <tp t="s">
        <v>#N/A N/A</v>
        <stp/>
        <stp>BDH|16595844310326100468</stp>
        <tr r="G35" s="2"/>
      </tp>
      <tp t="s">
        <v>#N/A N/A</v>
        <stp/>
        <stp>BDH|15775072335032877944</stp>
        <tr r="G45" s="2"/>
      </tp>
      <tp t="s">
        <v>#N/A N/A</v>
        <stp/>
        <stp>BDH|17854903070923256721</stp>
        <tr r="C76" s="2"/>
      </tp>
      <tp t="s">
        <v>#N/A N/A</v>
        <stp/>
        <stp>BDH|13448834391918875769</stp>
        <tr r="C9" s="2"/>
      </tp>
      <tp t="s">
        <v>#N/A N/A</v>
        <stp/>
        <stp>BDH|12835741752464147948</stp>
        <tr r="I43" s="2"/>
      </tp>
      <tp t="s">
        <v>#N/A N/A</v>
        <stp/>
        <stp>BDH|17969268247279634540</stp>
        <tr r="H74" s="2"/>
      </tp>
      <tp t="s">
        <v>#N/A N/A</v>
        <stp/>
        <stp>BDH|15820356936794375382</stp>
        <tr r="E19" s="2"/>
      </tp>
      <tp t="s">
        <v>#N/A N/A</v>
        <stp/>
        <stp>BDH|13433344025715266554</stp>
        <tr r="D20" s="2"/>
      </tp>
      <tp t="s">
        <v>#N/A N/A</v>
        <stp/>
        <stp>BDH|18403168288171838272</stp>
        <tr r="H14" s="2"/>
      </tp>
      <tp t="s">
        <v>#N/A N/A</v>
        <stp/>
        <stp>BDH|11246467311260028613</stp>
        <tr r="D76" s="2"/>
      </tp>
      <tp t="s">
        <v>#N/A N/A</v>
        <stp/>
        <stp>BDH|16095721024797736683</stp>
        <tr r="F39" s="2"/>
      </tp>
      <tp t="s">
        <v>#N/A N/A</v>
        <stp/>
        <stp>BDH|13254572490705961851</stp>
        <tr r="I19" s="2"/>
      </tp>
      <tp t="s">
        <v>#N/A N/A</v>
        <stp/>
        <stp>BDH|14381338756684477496</stp>
        <tr r="F40" s="2"/>
      </tp>
      <tp t="s">
        <v>#N/A N/A</v>
        <stp/>
        <stp>BDH|14516586800691727216</stp>
        <tr r="H28" s="2"/>
      </tp>
      <tp t="s">
        <v>#N/A N/A</v>
        <stp/>
        <stp>BDH|17652712375411852412</stp>
        <tr r="I48" s="2"/>
      </tp>
      <tp t="s">
        <v>#N/A N/A</v>
        <stp/>
        <stp>BDH|11687539815996799069</stp>
        <tr r="F34" s="2"/>
      </tp>
      <tp t="s">
        <v>#N/A N/A</v>
        <stp/>
        <stp>BDH|12994253233420729087</stp>
        <tr r="E40" s="2"/>
      </tp>
      <tp t="s">
        <v>#N/A N/A</v>
        <stp/>
        <stp>BDH|10409698952477668799</stp>
        <tr r="H37" s="2"/>
      </tp>
      <tp t="s">
        <v>#N/A N/A</v>
        <stp/>
        <stp>BDH|13194481804470166483</stp>
        <tr r="H30" s="2"/>
      </tp>
      <tp t="s">
        <v>#N/A N/A</v>
        <stp/>
        <stp>BDH|17995194719455982179</stp>
        <tr r="C33" s="2"/>
      </tp>
      <tp t="s">
        <v>#N/A N/A</v>
        <stp/>
        <stp>BDH|14927735675051975602</stp>
        <tr r="C34" s="2"/>
      </tp>
      <tp t="s">
        <v>#N/A N/A</v>
        <stp/>
        <stp>BDH|10087665010672629688</stp>
        <tr r="F33" s="2"/>
      </tp>
      <tp t="s">
        <v>#N/A N/A</v>
        <stp/>
        <stp>BDH|13621328635413846364</stp>
        <tr r="H10" s="2"/>
      </tp>
      <tp t="s">
        <v>#N/A N/A</v>
        <stp/>
        <stp>BDH|16725691177640467439</stp>
        <tr r="F69" s="2"/>
      </tp>
      <tp t="s">
        <v>#N/A N/A</v>
        <stp/>
        <stp>BDH|13897644338753168545</stp>
        <tr r="F15" s="2"/>
      </tp>
      <tp t="s">
        <v>#N/A N/A</v>
        <stp/>
        <stp>BDH|16500470008973212182</stp>
        <tr r="F72" s="2"/>
      </tp>
      <tp t="s">
        <v>#N/A N/A</v>
        <stp/>
        <stp>BDH|15272432356915234159</stp>
        <tr r="G22" s="2"/>
      </tp>
      <tp t="s">
        <v>#N/A N/A</v>
        <stp/>
        <stp>BDH|12407148634639048979</stp>
        <tr r="E15" s="2"/>
      </tp>
      <tp t="s">
        <v>#N/A N/A</v>
        <stp/>
        <stp>BDH|13224163601430117277</stp>
        <tr r="E47" s="2"/>
      </tp>
      <tp t="s">
        <v>#N/A N/A</v>
        <stp/>
        <stp>BDH|11728603743194398753</stp>
        <tr r="G76" s="2"/>
      </tp>
      <tp t="s">
        <v>#N/A N/A</v>
        <stp/>
        <stp>BDH|15602729942963746532</stp>
        <tr r="H12" s="2"/>
      </tp>
      <tp t="s">
        <v>#N/A N/A</v>
        <stp/>
        <stp>BDH|15480298151052882009</stp>
        <tr r="G21" s="2"/>
      </tp>
      <tp t="s">
        <v>#N/A N/A</v>
        <stp/>
        <stp>BDH|11256311881749545332</stp>
        <tr r="F77" s="2"/>
      </tp>
      <tp t="s">
        <v>#N/A N/A</v>
        <stp/>
        <stp>BDH|16414126497469769721</stp>
        <tr r="I44" s="2"/>
      </tp>
      <tp t="s">
        <v>#N/A N/A</v>
        <stp/>
        <stp>BDH|17285722107630075006</stp>
        <tr r="C70" s="2"/>
      </tp>
      <tp t="s">
        <v>#N/A N/A</v>
        <stp/>
        <stp>BDH|10541686993698057789</stp>
        <tr r="C16" s="2"/>
      </tp>
      <tp t="s">
        <v>#N/A N/A</v>
        <stp/>
        <stp>BDH|10944074865193151536</stp>
        <tr r="I52" s="2"/>
      </tp>
      <tp t="s">
        <v>#N/A N/A</v>
        <stp/>
        <stp>BDH|17081984740868157201</stp>
        <tr r="C7" s="2"/>
      </tp>
      <tp t="s">
        <v>#N/A N/A</v>
        <stp/>
        <stp>BDH|12389758403631929453</stp>
        <tr r="C6" s="2"/>
      </tp>
      <tp t="s">
        <v>#N/A N/A</v>
        <stp/>
        <stp>BDH|13831147967575264110</stp>
        <tr r="C26" s="2"/>
      </tp>
      <tp t="s">
        <v>#N/A N/A</v>
        <stp/>
        <stp>BDH|10376509372761873325</stp>
        <tr r="I32" s="2"/>
      </tp>
      <tp t="s">
        <v>#N/A N/A</v>
        <stp/>
        <stp>BDH|10849957961947677802</stp>
        <tr r="H20" s="2"/>
      </tp>
      <tp t="s">
        <v>#N/A N/A</v>
        <stp/>
        <stp>BDH|17134934686520861669</stp>
        <tr r="D8" s="2"/>
      </tp>
      <tp t="s">
        <v>#N/A N/A</v>
        <stp/>
        <stp>BDH|17342694635000762257</stp>
        <tr r="C62" s="2"/>
      </tp>
      <tp t="s">
        <v>#N/A N/A</v>
        <stp/>
        <stp>BDH|15754358389456511839</stp>
        <tr r="E50" s="2"/>
      </tp>
      <tp t="s">
        <v>#N/A N/A</v>
        <stp/>
        <stp>BDH|17979370463441817392</stp>
        <tr r="D25" s="2"/>
      </tp>
      <tp t="s">
        <v>#N/A N/A</v>
        <stp/>
        <stp>BDH|16762418748374385234</stp>
        <tr r="D43" s="2"/>
      </tp>
      <tp t="s">
        <v>#N/A N/A</v>
        <stp/>
        <stp>BDH|16714355065443320151</stp>
        <tr r="D27" s="2"/>
      </tp>
      <tp t="s">
        <v>#N/A N/A</v>
        <stp/>
        <stp>BDH|10490971291349213839</stp>
        <tr r="E63" s="2"/>
      </tp>
      <tp t="s">
        <v>#N/A N/A</v>
        <stp/>
        <stp>BDH|16641238978290654295</stp>
        <tr r="D61" s="2"/>
      </tp>
      <tp t="s">
        <v>#N/A N/A</v>
        <stp/>
        <stp>BDH|15201253934111938485</stp>
        <tr r="I7" s="2"/>
      </tp>
      <tp t="s">
        <v>#N/A N/A</v>
        <stp/>
        <stp>BDH|16632267133467529138</stp>
        <tr r="H48" s="2"/>
      </tp>
      <tp t="s">
        <v>#N/A N/A</v>
        <stp/>
        <stp>BDH|11485240776302117700</stp>
        <tr r="D31" s="2"/>
      </tp>
      <tp t="s">
        <v>#N/A N/A</v>
        <stp/>
        <stp>BDH|11621108596511443932</stp>
        <tr r="D24" s="2"/>
      </tp>
      <tp t="s">
        <v>#N/A N/A</v>
        <stp/>
        <stp>BDH|15600349948886790558</stp>
        <tr r="E27" s="2"/>
      </tp>
      <tp t="s">
        <v>#N/A N/A</v>
        <stp/>
        <stp>BDH|17795323201582758785</stp>
        <tr r="E70" s="2"/>
      </tp>
      <tp t="s">
        <v>#N/A N/A</v>
        <stp/>
        <stp>BDH|11968013428493371181</stp>
        <tr r="E8" s="2"/>
      </tp>
      <tp t="s">
        <v>#N/A N/A</v>
        <stp/>
        <stp>BDH|17694900895665830376</stp>
        <tr r="E52" s="2"/>
      </tp>
      <tp t="s">
        <v>#N/A N/A</v>
        <stp/>
        <stp>BDH|15619429229335246736</stp>
        <tr r="I27" s="2"/>
      </tp>
      <tp t="s">
        <v>#N/A N/A</v>
        <stp/>
        <stp>BDH|10602537672464159789</stp>
        <tr r="G52" s="2"/>
      </tp>
      <tp t="s">
        <v>#N/A N/A</v>
        <stp/>
        <stp>BDH|16278325430495982594</stp>
        <tr r="F59" s="2"/>
      </tp>
      <tp t="s">
        <v>#N/A N/A</v>
        <stp/>
        <stp>BDH|10960791854654249069</stp>
        <tr r="G40" s="2"/>
      </tp>
      <tp t="s">
        <v>#N/A N/A</v>
        <stp/>
        <stp>BDH|12489672406574137673</stp>
        <tr r="D45" s="2"/>
      </tp>
      <tp t="s">
        <v>#N/A N/A</v>
        <stp/>
        <stp>BDH|17642281295359827305</stp>
        <tr r="D53" s="2"/>
      </tp>
      <tp t="s">
        <v>#N/A N/A</v>
        <stp/>
        <stp>BDH|16428613006473333536</stp>
        <tr r="E78" s="2"/>
      </tp>
      <tp t="s">
        <v>#N/A N/A</v>
        <stp/>
        <stp>BDH|13318666077575065109</stp>
        <tr r="G75" s="2"/>
      </tp>
      <tp t="s">
        <v>#N/A N/A</v>
        <stp/>
        <stp>BDH|18049347287863166609</stp>
        <tr r="F10" s="2"/>
      </tp>
      <tp t="s">
        <v>#N/A N/A</v>
        <stp/>
        <stp>BDH|10209832181783578527</stp>
        <tr r="H18" s="2"/>
      </tp>
      <tp t="s">
        <v>#N/A N/A</v>
        <stp/>
        <stp>BDH|11473170216691372605</stp>
        <tr r="D34" s="2"/>
      </tp>
      <tp t="s">
        <v>#N/A N/A</v>
        <stp/>
        <stp>BDH|18246581617982992826</stp>
        <tr r="I17" s="2"/>
      </tp>
      <tp t="s">
        <v>#N/A N/A</v>
        <stp/>
        <stp>BDH|12400746464727448288</stp>
        <tr r="C29" s="2"/>
      </tp>
      <tp t="s">
        <v>#N/A N/A</v>
        <stp/>
        <stp>BDH|15743542277802806370</stp>
        <tr r="D33" s="2"/>
      </tp>
      <tp t="s">
        <v>#N/A N/A</v>
        <stp/>
        <stp>BDH|11672172762594821401</stp>
        <tr r="C18" s="2"/>
      </tp>
      <tp t="s">
        <v>#N/A N/A</v>
        <stp/>
        <stp>BDH|14142502269653254211</stp>
        <tr r="G39" s="2"/>
      </tp>
      <tp t="s">
        <v>#N/A N/A</v>
        <stp/>
        <stp>BDH|13041842092837878343</stp>
        <tr r="D52" s="2"/>
      </tp>
      <tp t="s">
        <v>#N/A N/A</v>
        <stp/>
        <stp>BDH|15686772855772872307</stp>
        <tr r="I21" s="2"/>
      </tp>
      <tp t="s">
        <v>#N/A N/A</v>
        <stp/>
        <stp>BDH|11937324105206615275</stp>
        <tr r="G68" s="2"/>
      </tp>
      <tp t="s">
        <v>#N/A N/A</v>
        <stp/>
        <stp>BDH|17429918420359750236</stp>
        <tr r="F58" s="2"/>
      </tp>
      <tp t="s">
        <v>#N/A N/A</v>
        <stp/>
        <stp>BDH|14260919508883299984</stp>
        <tr r="E30" s="2"/>
      </tp>
      <tp t="s">
        <v>#N/A N/A</v>
        <stp/>
        <stp>BDH|10471564426411443119</stp>
        <tr r="G77" s="2"/>
      </tp>
      <tp t="s">
        <v>#N/A N/A</v>
        <stp/>
        <stp>BDH|18109209472082507874</stp>
        <tr r="E46" s="2"/>
      </tp>
      <tp t="s">
        <v>#N/A N/A</v>
        <stp/>
        <stp>BDH|14022108059754210384</stp>
        <tr r="G30" s="2"/>
      </tp>
      <tp t="s">
        <v>#N/A N/A</v>
        <stp/>
        <stp>BDH|18304873306862499550</stp>
        <tr r="H47" s="2"/>
      </tp>
      <tp t="s">
        <v>#N/A N/A</v>
        <stp/>
        <stp>BDH|15199033693148753347</stp>
        <tr r="E68" s="2"/>
      </tp>
      <tp t="s">
        <v>#N/A N/A</v>
        <stp/>
        <stp>BDH|17092985352595110998</stp>
        <tr r="D18" s="2"/>
      </tp>
      <tp t="s">
        <v>#N/A N/A</v>
        <stp/>
        <stp>BDH|18155059854569452314</stp>
        <tr r="E28" s="2"/>
      </tp>
      <tp t="s">
        <v>#N/A N/A</v>
        <stp/>
        <stp>BDH|17589985997883887370</stp>
        <tr r="H40" s="2"/>
      </tp>
      <tp t="s">
        <v>#N/A N/A</v>
        <stp/>
        <stp>BDH|11618869726068328408</stp>
        <tr r="D79" s="2"/>
      </tp>
      <tp t="s">
        <v>#N/A N/A</v>
        <stp/>
        <stp>BDH|13833651019871224226</stp>
        <tr r="D48" s="2"/>
      </tp>
      <tp t="s">
        <v>#N/A N/A</v>
        <stp/>
        <stp>BDH|17393719272416490635</stp>
        <tr r="C50" s="2"/>
      </tp>
      <tp t="s">
        <v>#N/A N/A</v>
        <stp/>
        <stp>BDH|15612342037773444188</stp>
        <tr r="I28" s="2"/>
      </tp>
      <tp t="s">
        <v>#N/A N/A</v>
        <stp/>
        <stp>BDH|10208978726448815420</stp>
        <tr r="E7" s="2"/>
      </tp>
      <tp t="s">
        <v>#N/A N/A</v>
        <stp/>
        <stp>BDH|12854422455606055263</stp>
        <tr r="H7" s="2"/>
      </tp>
      <tp t="s">
        <v>#N/A N/A</v>
        <stp/>
        <stp>BDH|11850433690193776855</stp>
        <tr r="F48" s="2"/>
      </tp>
      <tp t="s">
        <v>#N/A N/A</v>
        <stp/>
        <stp>BDH|11801841972388212142</stp>
        <tr r="D11" s="2"/>
      </tp>
      <tp t="s">
        <v>#N/A N/A</v>
        <stp/>
        <stp>BDH|10001220021935273299</stp>
        <tr r="C75" s="2"/>
      </tp>
      <tp t="s">
        <v>#N/A N/A</v>
        <stp/>
        <stp>BDH|12459884246051490841</stp>
        <tr r="C64" s="2"/>
      </tp>
      <tp t="s">
        <v>#N/A N/A</v>
        <stp/>
        <stp>BDH|10375600809157263620</stp>
        <tr r="C23" s="2"/>
      </tp>
      <tp t="s">
        <v>#N/A N/A</v>
        <stp/>
        <stp>BDH|14334132779634635151</stp>
        <tr r="F11" s="2"/>
      </tp>
      <tp t="s">
        <v>#N/A N/A</v>
        <stp/>
        <stp>BDH|14379297315521719152</stp>
        <tr r="H16" s="2"/>
      </tp>
      <tp t="s">
        <v>#N/A N/A</v>
        <stp/>
        <stp>BDH|16925444485999370474</stp>
        <tr r="I12" s="2"/>
      </tp>
      <tp t="s">
        <v>#N/A N/A</v>
        <stp/>
        <stp>BDH|10864017272281349147</stp>
        <tr r="E56" s="2"/>
      </tp>
      <tp t="s">
        <v>#N/A N/A</v>
        <stp/>
        <stp>BDH|17727322138860856098</stp>
        <tr r="F76" s="2"/>
      </tp>
      <tp t="s">
        <v>#N/A N/A</v>
        <stp/>
        <stp>BDH|17718681158862135193</stp>
        <tr r="C77" s="2"/>
      </tp>
      <tp t="s">
        <v>#N/A N/A</v>
        <stp/>
        <stp>BDH|16750490954371271170</stp>
        <tr r="H75" s="2"/>
      </tp>
      <tp t="s">
        <v>#N/A N/A</v>
        <stp/>
        <stp>BDH|16712360403894895654</stp>
        <tr r="I77" s="2"/>
      </tp>
      <tp t="s">
        <v>#N/A N/A</v>
        <stp/>
        <stp>BDH|17939185688931318845</stp>
        <tr r="D35" s="2"/>
      </tp>
      <tp t="s">
        <v>#N/A N/A</v>
        <stp/>
        <stp>BDH|10444417780698144052</stp>
        <tr r="D63" s="2"/>
      </tp>
      <tp t="s">
        <v>#N/A N/A</v>
        <stp/>
        <stp>BDH|14366311061811300405</stp>
        <tr r="H38" s="2"/>
      </tp>
      <tp t="s">
        <v>#N/A N/A</v>
        <stp/>
        <stp>BDH|11691031826895526259</stp>
        <tr r="H62" s="2"/>
      </tp>
      <tp t="s">
        <v>#N/A N/A</v>
        <stp/>
        <stp>BDH|14377024832025201625</stp>
        <tr r="E32" s="2"/>
      </tp>
      <tp t="s">
        <v>#N/A N/A</v>
        <stp/>
        <stp>BDH|12618956886986598147</stp>
        <tr r="D42" s="2"/>
        <tr r="D54" s="2"/>
      </tp>
      <tp t="s">
        <v>#N/A N/A</v>
        <stp/>
        <stp>BDH|12852652519422310305</stp>
        <tr r="I58" s="2"/>
      </tp>
      <tp t="s">
        <v>#N/A N/A</v>
        <stp/>
        <stp>BDH|14550088262721204741</stp>
        <tr r="F62" s="2"/>
      </tp>
      <tp t="s">
        <v>#N/A N/A</v>
        <stp/>
        <stp>BDH|16781663841761907113</stp>
        <tr r="D26" s="2"/>
      </tp>
      <tp t="s">
        <v>#N/A N/A</v>
        <stp/>
        <stp>BDH|12131268635195829201</stp>
        <tr r="I56" s="2"/>
      </tp>
      <tp t="s">
        <v>#N/A N/A</v>
        <stp/>
        <stp>BDH|13705087100696293127</stp>
        <tr r="I33" s="2"/>
      </tp>
      <tp t="s">
        <v>#N/A N/A</v>
        <stp/>
        <stp>BDH|14139958387629851854</stp>
        <tr r="C74" s="2"/>
      </tp>
      <tp t="s">
        <v>#N/A N/A</v>
        <stp/>
        <stp>BDH|16476775918246238274</stp>
        <tr r="F22" s="2"/>
      </tp>
      <tp t="s">
        <v>#N/A N/A</v>
        <stp/>
        <stp>BDH|10374736561127567351</stp>
        <tr r="H61" s="2"/>
      </tp>
      <tp t="s">
        <v>#N/A N/A</v>
        <stp/>
        <stp>BDH|13476964143862122908</stp>
        <tr r="C73" s="2"/>
      </tp>
      <tp t="s">
        <v>#N/A N/A</v>
        <stp/>
        <stp>BDH|11056628685759553307</stp>
        <tr r="G56" s="2"/>
      </tp>
      <tp t="s">
        <v>#N/A N/A</v>
        <stp/>
        <stp>BDH|16009342713450415117</stp>
        <tr r="E33" s="2"/>
      </tp>
      <tp t="s">
        <v>#N/A N/A</v>
        <stp/>
        <stp>BDH|16017999937088918110</stp>
        <tr r="E34" s="2"/>
      </tp>
      <tp t="s">
        <v>#N/A N/A</v>
        <stp/>
        <stp>BDH|15700899164578191620</stp>
        <tr r="C27" s="2"/>
      </tp>
      <tp t="s">
        <v>#N/A N/A</v>
        <stp/>
        <stp>BDH|13683310730602727498</stp>
        <tr r="D30" s="2"/>
      </tp>
      <tp t="s">
        <v>#N/A N/A</v>
        <stp/>
        <stp>BDH|16050515007142573492</stp>
        <tr r="H41" s="2"/>
      </tp>
      <tp t="s">
        <v>#N/A N/A</v>
        <stp/>
        <stp>BDH|10208949511625396885</stp>
        <tr r="E16" s="2"/>
      </tp>
      <tp t="s">
        <v>#N/A N/A</v>
        <stp/>
        <stp>BDH|16373747909041821598</stp>
        <tr r="I75" s="2"/>
      </tp>
      <tp t="s">
        <v>#N/A N/A</v>
        <stp/>
        <stp>BDH|14850240926059719837</stp>
        <tr r="G78" s="2"/>
      </tp>
    </main>
    <main first="bofaddin.rtdserver">
      <tp t="s">
        <v>#N/A N/A</v>
        <stp/>
        <stp>BDH|8925564640816317362</stp>
        <tr r="I49" s="2"/>
      </tp>
      <tp t="s">
        <v>#N/A N/A</v>
        <stp/>
        <stp>BDH|9380336192269249681</stp>
        <tr r="H21" s="2"/>
      </tp>
      <tp t="s">
        <v>#N/A N/A</v>
        <stp/>
        <stp>BDH|6977110475294224811</stp>
        <tr r="D16" s="2"/>
      </tp>
      <tp t="s">
        <v>#N/A N/A</v>
        <stp/>
        <stp>BDH|6311336363077808849</stp>
        <tr r="C20" s="2"/>
      </tp>
      <tp t="s">
        <v>#N/A N/A</v>
        <stp/>
        <stp>BDH|5243441135998263634</stp>
        <tr r="E12" s="2"/>
      </tp>
      <tp t="s">
        <v>#N/A N/A</v>
        <stp/>
        <stp>BDH|3321602762657487856</stp>
        <tr r="H76" s="2"/>
      </tp>
      <tp t="s">
        <v>#N/A N/A</v>
        <stp/>
        <stp>BDH|4151909223740116332</stp>
        <tr r="F47" s="2"/>
      </tp>
      <tp t="s">
        <v>#N/A N/A</v>
        <stp/>
        <stp>BDH|2153118051423774962</stp>
        <tr r="G36" s="2"/>
      </tp>
      <tp t="s">
        <v>#N/A N/A</v>
        <stp/>
        <stp>BDH|6466294976406370999</stp>
        <tr r="G50" s="2"/>
      </tp>
      <tp t="s">
        <v>#N/A N/A</v>
        <stp/>
        <stp>BDH|5046260996781987387</stp>
        <tr r="G42" s="2"/>
        <tr r="G54" s="2"/>
      </tp>
      <tp t="s">
        <v>#N/A N/A</v>
        <stp/>
        <stp>BDH|9375120415864633148</stp>
        <tr r="H68" s="2"/>
      </tp>
      <tp t="s">
        <v>#N/A N/A</v>
        <stp/>
        <stp>BDH|3204839876776312625</stp>
        <tr r="F9" s="2"/>
      </tp>
      <tp t="s">
        <v>#N/A N/A</v>
        <stp/>
        <stp>BDH|5216361880632958095</stp>
        <tr r="H36" s="2"/>
      </tp>
      <tp t="s">
        <v>#N/A N/A</v>
        <stp/>
        <stp>BDH|2989502418733013953</stp>
        <tr r="E29" s="2"/>
      </tp>
      <tp t="s">
        <v>#N/A N/A</v>
        <stp/>
        <stp>BDH|1230674304158429306</stp>
        <tr r="I78" s="2"/>
      </tp>
      <tp t="s">
        <v>#N/A N/A</v>
        <stp/>
        <stp>BDH|2861229037068951712</stp>
        <tr r="I23" s="2"/>
      </tp>
      <tp t="s">
        <v>#N/A N/A</v>
        <stp/>
        <stp>BDH|2951313996681032461</stp>
        <tr r="F35" s="2"/>
      </tp>
      <tp t="s">
        <v>#N/A N/A</v>
        <stp/>
        <stp>BDH|6414054941967946860</stp>
        <tr r="F12" s="2"/>
      </tp>
      <tp t="s">
        <v>#N/A N/A</v>
        <stp/>
        <stp>BDH|6174009783044790761</stp>
        <tr r="E71" s="2"/>
      </tp>
      <tp t="s">
        <v>#N/A N/A</v>
        <stp/>
        <stp>BDH|4156924485980654861</stp>
        <tr r="H71" s="2"/>
      </tp>
      <tp t="s">
        <v>#N/A N/A</v>
        <stp/>
        <stp>BDH|3543254922637263979</stp>
        <tr r="F56" s="2"/>
      </tp>
      <tp t="s">
        <v>#N/A N/A</v>
        <stp/>
        <stp>BDH|5305448225778267671</stp>
        <tr r="I37" s="2"/>
      </tp>
      <tp t="s">
        <v>#N/A N/A</v>
        <stp/>
        <stp>BDH|4706306570324649954</stp>
        <tr r="C71" s="2"/>
      </tp>
      <tp t="s">
        <v>#N/A N/A</v>
        <stp/>
        <stp>BDH|3667905706395160251</stp>
        <tr r="E59" s="2"/>
      </tp>
      <tp t="s">
        <v>#N/A N/A</v>
        <stp/>
        <stp>BDH|1735894021085850338</stp>
        <tr r="E77" s="2"/>
      </tp>
      <tp t="s">
        <v>#N/A N/A</v>
        <stp/>
        <stp>BDH|9310712436550529045</stp>
        <tr r="F19" s="2"/>
      </tp>
      <tp t="s">
        <v>#N/A N/A</v>
        <stp/>
        <stp>BDH|8134807785442859797</stp>
        <tr r="E35" s="2"/>
      </tp>
      <tp t="s">
        <v>#N/A N/A</v>
        <stp/>
        <stp>BDH|6387011763468897631</stp>
        <tr r="C44" s="2"/>
      </tp>
      <tp t="s">
        <v>#N/A N/A</v>
        <stp/>
        <stp>BDH|2533244043448887240</stp>
        <tr r="D14" s="2"/>
      </tp>
      <tp t="s">
        <v>#N/A N/A</v>
        <stp/>
        <stp>BDH|7298881134226124439</stp>
        <tr r="C11" s="2"/>
      </tp>
      <tp t="s">
        <v>#N/A N/A</v>
        <stp/>
        <stp>BDH|5253443084365706282</stp>
        <tr r="G63" s="2"/>
      </tp>
      <tp t="s">
        <v>#N/A N/A</v>
        <stp/>
        <stp>BDH|7686686057313302989</stp>
        <tr r="E31" s="2"/>
      </tp>
      <tp t="s">
        <v>#N/A N/A</v>
        <stp/>
        <stp>BDH|2586630054436152912</stp>
        <tr r="E79" s="2"/>
      </tp>
      <tp t="s">
        <v>#N/A N/A</v>
        <stp/>
        <stp>BDH|3079625362259585461</stp>
        <tr r="I74" s="2"/>
      </tp>
      <tp t="s">
        <v>#N/A N/A</v>
        <stp/>
        <stp>BDH|4092214889310805030</stp>
        <tr r="C31" s="2"/>
      </tp>
      <tp t="s">
        <v>#N/A N/A</v>
        <stp/>
        <stp>BDH|4900989133957074747</stp>
        <tr r="F26" s="2"/>
      </tp>
      <tp t="s">
        <v>#N/A N/A</v>
        <stp/>
        <stp>BDH|8181103588488809769</stp>
        <tr r="D77" s="2"/>
      </tp>
      <tp t="s">
        <v>#N/A N/A</v>
        <stp/>
        <stp>BDH|1802385418355795882</stp>
        <tr r="I69" s="2"/>
      </tp>
      <tp t="s">
        <v>#N/A N/A</v>
        <stp/>
        <stp>BDH|7808046134922922857</stp>
        <tr r="G70" s="2"/>
      </tp>
      <tp t="s">
        <v>#N/A N/A</v>
        <stp/>
        <stp>BDH|2475273827244837896</stp>
        <tr r="D6" s="2"/>
      </tp>
      <tp t="s">
        <v>#N/A N/A</v>
        <stp/>
        <stp>BDH|9286518874382790753</stp>
        <tr r="G24" s="2"/>
      </tp>
      <tp t="s">
        <v>#N/A N/A</v>
        <stp/>
        <stp>BDH|4895021128258054074</stp>
        <tr r="F17" s="2"/>
      </tp>
      <tp t="s">
        <v>#N/A N/A</v>
        <stp/>
        <stp>BDH|6633262516232897841</stp>
        <tr r="C19" s="2"/>
      </tp>
      <tp t="s">
        <v>#N/A N/A</v>
        <stp/>
        <stp>BDH|6471865304051905045</stp>
        <tr r="D70" s="2"/>
      </tp>
      <tp t="s">
        <v>#N/A N/A</v>
        <stp/>
        <stp>BDH|9563219555547281688</stp>
        <tr r="F78" s="2"/>
      </tp>
      <tp t="s">
        <v>#N/A N/A</v>
        <stp/>
        <stp>BDH|4451478982993105497</stp>
        <tr r="D68" s="2"/>
      </tp>
      <tp t="s">
        <v>#N/A N/A</v>
        <stp/>
        <stp>BDH|4579933394293809849</stp>
        <tr r="E13" s="2"/>
      </tp>
      <tp t="s">
        <v>#N/A N/A</v>
        <stp/>
        <stp>BDH|8014451044252698595</stp>
        <tr r="F16" s="2"/>
      </tp>
      <tp t="s">
        <v>#N/A N/A</v>
        <stp/>
        <stp>BDH|2662542070206771991</stp>
        <tr r="H42" s="2"/>
        <tr r="H54" s="2"/>
      </tp>
      <tp t="s">
        <v>#N/A N/A</v>
        <stp/>
        <stp>BDH|4197432258773309955</stp>
        <tr r="H70" s="2"/>
      </tp>
      <tp t="s">
        <v>#N/A N/A</v>
        <stp/>
        <stp>BDH|6492342128821530902</stp>
        <tr r="E18" s="2"/>
      </tp>
      <tp t="s">
        <v>#N/A N/A</v>
        <stp/>
        <stp>BDH|4947841112935982740</stp>
        <tr r="F52" s="2"/>
      </tp>
      <tp t="s">
        <v>#N/A N/A</v>
        <stp/>
        <stp>BDH|6818192963417507942</stp>
        <tr r="H64" s="2"/>
      </tp>
      <tp t="s">
        <v>#N/A N/A</v>
        <stp/>
        <stp>BDH|8633074854993088158</stp>
        <tr r="E10" s="2"/>
      </tp>
      <tp t="s">
        <v>#N/A N/A</v>
        <stp/>
        <stp>BDH|7440782188630165748</stp>
        <tr r="C32" s="2"/>
      </tp>
      <tp t="s">
        <v>#N/A N/A</v>
        <stp/>
        <stp>BDH|3260357797661583732</stp>
        <tr r="G20" s="2"/>
      </tp>
      <tp t="s">
        <v>#N/A N/A</v>
        <stp/>
        <stp>BDH|4295765432428466753</stp>
        <tr r="H32" s="2"/>
      </tp>
      <tp t="s">
        <v>#N/A N/A</v>
        <stp/>
        <stp>BDH|65672823382969447</stp>
        <tr r="I24" s="2"/>
      </tp>
      <tp t="s">
        <v>#N/A N/A</v>
        <stp/>
        <stp>BDH|9940200153726897086</stp>
        <tr r="E61" s="2"/>
      </tp>
      <tp t="s">
        <v>#N/A N/A</v>
        <stp/>
        <stp>BDH|4361195248738864112</stp>
        <tr r="C48" s="2"/>
      </tp>
      <tp t="s">
        <v>#N/A N/A</v>
        <stp/>
        <stp>BDH|3938616249700844925</stp>
        <tr r="D40" s="2"/>
      </tp>
      <tp t="s">
        <v>#N/A N/A</v>
        <stp/>
        <stp>BDH|1713972208420992084</stp>
        <tr r="I39" s="2"/>
      </tp>
      <tp t="s">
        <v>#N/A N/A</v>
        <stp/>
        <stp>BDH|8564595824381391627</stp>
        <tr r="E42" s="2"/>
        <tr r="E54" s="2"/>
      </tp>
      <tp t="s">
        <v>#N/A N/A</v>
        <stp/>
        <stp>BDH|2107065112558362393</stp>
        <tr r="C56" s="2"/>
      </tp>
      <tp t="s">
        <v>#N/A N/A</v>
        <stp/>
        <stp>BDH|8269437206085318187</stp>
        <tr r="E48" s="2"/>
      </tp>
      <tp t="s">
        <v>#N/A N/A</v>
        <stp/>
        <stp>BDH|3468918001862168072</stp>
        <tr r="E49" s="2"/>
      </tp>
      <tp t="s">
        <v>#N/A N/A</v>
        <stp/>
        <stp>BDH|9809582500494587067</stp>
        <tr r="C47" s="2"/>
      </tp>
      <tp t="s">
        <v>#N/A N/A</v>
        <stp/>
        <stp>BDH|7221010344808369349</stp>
        <tr r="G26" s="2"/>
      </tp>
      <tp t="s">
        <v>#N/A N/A</v>
        <stp/>
        <stp>BDH|9832050279157253170</stp>
        <tr r="F14" s="2"/>
      </tp>
      <tp t="s">
        <v>#N/A N/A</v>
        <stp/>
        <stp>BDH|9456981205028459081</stp>
        <tr r="I53" s="2"/>
      </tp>
      <tp t="s">
        <v>#N/A N/A</v>
        <stp/>
        <stp>BDH|5566604428779070166</stp>
        <tr r="C63" s="2"/>
      </tp>
      <tp t="s">
        <v>#N/A N/A</v>
        <stp/>
        <stp>BDH|7949911272118785867</stp>
        <tr r="H34" s="2"/>
      </tp>
      <tp t="s">
        <v>#N/A N/A</v>
        <stp/>
        <stp>BDH|3380888734929773834</stp>
        <tr r="I14" s="2"/>
      </tp>
      <tp t="s">
        <v>#N/A N/A</v>
        <stp/>
        <stp>BDH|9434288883762346872</stp>
        <tr r="I15" s="2"/>
      </tp>
      <tp t="s">
        <v>#N/A N/A</v>
        <stp/>
        <stp>BDH|7362183595990795675</stp>
        <tr r="C69" s="2"/>
      </tp>
      <tp t="s">
        <v>#N/A N/A</v>
        <stp/>
        <stp>BDH|6178652329468616342</stp>
        <tr r="G59" s="2"/>
      </tp>
      <tp t="s">
        <v>#N/A N/A</v>
        <stp/>
        <stp>BDH|5536950535234979205</stp>
        <tr r="H52" s="2"/>
      </tp>
      <tp t="s">
        <v>#N/A N/A</v>
        <stp/>
        <stp>BDH|3499936420005933429</stp>
        <tr r="C53" s="2"/>
      </tp>
      <tp t="s">
        <v>#N/A N/A</v>
        <stp/>
        <stp>BDH|4622137012574370996</stp>
        <tr r="F6" s="2"/>
      </tp>
      <tp t="s">
        <v>#N/A N/A</v>
        <stp/>
        <stp>BDH|8968261933091727165</stp>
        <tr r="F13" s="2"/>
      </tp>
      <tp t="s">
        <v>#N/A N/A</v>
        <stp/>
        <stp>BDH|9211566313686216283</stp>
        <tr r="H46" s="2"/>
      </tp>
      <tp t="s">
        <v>#N/A N/A</v>
        <stp/>
        <stp>BDH|7446405840197235943</stp>
        <tr r="E76" s="2"/>
      </tp>
      <tp t="s">
        <v>#N/A N/A</v>
        <stp/>
        <stp>BDH|9502342402090822382</stp>
        <tr r="H79" s="2"/>
      </tp>
      <tp t="s">
        <v>#N/A N/A</v>
        <stp/>
        <stp>BDH|6806890942201930299</stp>
        <tr r="E17" s="2"/>
      </tp>
      <tp t="s">
        <v>#N/A N/A</v>
        <stp/>
        <stp>BDH|4232526140074836881</stp>
        <tr r="E75" s="2"/>
      </tp>
      <tp t="s">
        <v>#N/A N/A</v>
        <stp/>
        <stp>BDH|4736999811603840611</stp>
        <tr r="G74" s="2"/>
      </tp>
      <tp t="s">
        <v>#N/A N/A</v>
        <stp/>
        <stp>BDH|5006102690553748719</stp>
        <tr r="G25" s="2"/>
      </tp>
      <tp t="s">
        <v>#N/A N/A</v>
        <stp/>
        <stp>BDH|1559967854383634761</stp>
        <tr r="C15" s="2"/>
      </tp>
      <tp t="s">
        <v>#N/A N/A</v>
        <stp/>
        <stp>BDH|1509262813062629927</stp>
        <tr r="D44" s="2"/>
      </tp>
      <tp t="s">
        <v>#N/A N/A</v>
        <stp/>
        <stp>BDH|8163875992366194612</stp>
        <tr r="E72" s="2"/>
      </tp>
      <tp t="s">
        <v>#N/A N/A</v>
        <stp/>
        <stp>BDH|8030604063899607803</stp>
        <tr r="C58" s="2"/>
      </tp>
      <tp t="s">
        <v>#N/A N/A</v>
        <stp/>
        <stp>BDH|6203897951290330165</stp>
        <tr r="F25" s="2"/>
      </tp>
      <tp t="s">
        <v>#N/A N/A</v>
        <stp/>
        <stp>BDH|9020084266141943458</stp>
        <tr r="G31" s="2"/>
      </tp>
      <tp t="s">
        <v>#N/A N/A</v>
        <stp/>
        <stp>BDH|7107413292684136439</stp>
        <tr r="H25" s="2"/>
      </tp>
      <tp t="s">
        <v>#N/A N/A</v>
        <stp/>
        <stp>BDH|2276776230084532864</stp>
        <tr r="C68" s="2"/>
      </tp>
      <tp t="s">
        <v>#N/A N/A</v>
        <stp/>
        <stp>BDH|5958463867895476968</stp>
        <tr r="D71" s="2"/>
      </tp>
      <tp t="s">
        <v>#N/A N/A</v>
        <stp/>
        <stp>BDH|9955051580342018872</stp>
        <tr r="D17" s="2"/>
      </tp>
      <tp t="s">
        <v>#N/A N/A</v>
        <stp/>
        <stp>BDH|2655361200823279992</stp>
        <tr r="H31" s="2"/>
      </tp>
      <tp t="s">
        <v>#N/A N/A</v>
        <stp/>
        <stp>BDH|4581964563845876502</stp>
        <tr r="F49" s="2"/>
      </tp>
      <tp t="s">
        <v>#N/A N/A</v>
        <stp/>
        <stp>BDH|2955044290967659725</stp>
        <tr r="D64" s="2"/>
      </tp>
      <tp t="s">
        <v>#N/A N/A</v>
        <stp/>
        <stp>BDH|9903863031139084001</stp>
        <tr r="I18" s="2"/>
      </tp>
      <tp t="s">
        <v>#N/A N/A</v>
        <stp/>
        <stp>BDH|9867699247561404103</stp>
        <tr r="C22" s="2"/>
      </tp>
      <tp t="s">
        <v>#N/A N/A</v>
        <stp/>
        <stp>BDH|2134571408304837852</stp>
        <tr r="D46" s="2"/>
      </tp>
      <tp t="s">
        <v>#N/A N/A</v>
        <stp/>
        <stp>BDH|1997557431539565586</stp>
        <tr r="I63" s="2"/>
      </tp>
      <tp t="s">
        <v>#N/A N/A</v>
        <stp/>
        <stp>BDH|9079238386341778935</stp>
        <tr r="E45" s="2"/>
      </tp>
      <tp t="s">
        <v>#N/A N/A</v>
        <stp/>
        <stp>BDH|3866890293619022051</stp>
        <tr r="I64" s="2"/>
      </tp>
      <tp t="s">
        <v>#N/A N/A</v>
        <stp/>
        <stp>BDH|7990851337486929166</stp>
        <tr r="G33" s="2"/>
      </tp>
      <tp t="s">
        <v>#N/A N/A</v>
        <stp/>
        <stp>BDH|7780486981466312695</stp>
        <tr r="H23" s="2"/>
      </tp>
      <tp t="s">
        <v>#N/A N/A</v>
        <stp/>
        <stp>BDH|9591180025386913741</stp>
        <tr r="C46" s="2"/>
      </tp>
      <tp t="s">
        <v>#N/A N/A</v>
        <stp/>
        <stp>BDH|2367605707081612183</stp>
        <tr r="I45" s="2"/>
      </tp>
      <tp t="s">
        <v>#N/A N/A</v>
        <stp/>
        <stp>BDH|4131288354941392658</stp>
        <tr r="F8" s="2"/>
      </tp>
      <tp t="s">
        <v>#N/A N/A</v>
        <stp/>
        <stp>BDH|4524913309879721043</stp>
        <tr r="I22" s="2"/>
      </tp>
      <tp t="s">
        <v>#N/A N/A</v>
        <stp/>
        <stp>BDH|5611062128943050061</stp>
        <tr r="D57" s="2"/>
      </tp>
      <tp t="s">
        <v>#N/A N/A</v>
        <stp/>
        <stp>BDH|5607612590907948938</stp>
        <tr r="G16" s="2"/>
      </tp>
      <tp t="s">
        <v>#N/A N/A</v>
        <stp/>
        <stp>BDH|6845865999592366155</stp>
        <tr r="H19" s="2"/>
      </tp>
      <tp t="s">
        <v>#N/A N/A</v>
        <stp/>
        <stp>BDH|6972235407358242893</stp>
        <tr r="C72" s="2"/>
      </tp>
      <tp t="s">
        <v>#N/A N/A</v>
        <stp/>
        <stp>BDH|1576741767917029313</stp>
        <tr r="E57" s="2"/>
      </tp>
      <tp t="s">
        <v>#N/A N/A</v>
        <stp/>
        <stp>BDH|7506055788322837950</stp>
        <tr r="H72" s="2"/>
      </tp>
      <tp t="s">
        <v>#N/A N/A</v>
        <stp/>
        <stp>BDH|2161906138084244918</stp>
        <tr r="C24" s="2"/>
      </tp>
      <tp t="s">
        <v>#N/A N/A</v>
        <stp/>
        <stp>BDH|5525896094656237712</stp>
        <tr r="G69" s="2"/>
      </tp>
      <tp t="s">
        <v>#N/A N/A</v>
        <stp/>
        <stp>BDH|4655569723663908526</stp>
        <tr r="E62" s="2"/>
      </tp>
      <tp t="s">
        <v>#N/A N/A</v>
        <stp/>
        <stp>BDH|2882448694659657379</stp>
        <tr r="F45" s="2"/>
      </tp>
      <tp t="s">
        <v>#N/A N/A</v>
        <stp/>
        <stp>BDH|3309315853903704389</stp>
        <tr r="C8" s="2"/>
      </tp>
      <tp t="s">
        <v>#N/A N/A</v>
        <stp/>
        <stp>BDH|9197052480662905630</stp>
        <tr r="F23" s="2"/>
      </tp>
      <tp t="s">
        <v>#N/A N/A</v>
        <stp/>
        <stp>BDH|4899376530431564040</stp>
        <tr r="E69" s="2"/>
      </tp>
      <tp t="s">
        <v>#N/A N/A</v>
        <stp/>
        <stp>BDH|4391484164596387530</stp>
        <tr r="I26" s="2"/>
      </tp>
      <tp t="s">
        <v>#N/A N/A</v>
        <stp/>
        <stp>BDH|1845117691204396869</stp>
        <tr r="F43" s="2"/>
      </tp>
      <tp t="s">
        <v>#N/A N/A</v>
        <stp/>
        <stp>BDH|6906939771844683905</stp>
        <tr r="G14" s="2"/>
      </tp>
      <tp t="s">
        <v>#N/A N/A</v>
        <stp/>
        <stp>BDH|1428109193099186553</stp>
        <tr r="G62" s="2"/>
      </tp>
      <tp t="s">
        <v>#N/A N/A</v>
        <stp/>
        <stp>BDH|4231949186651351134</stp>
        <tr r="I46" s="2"/>
      </tp>
      <tp t="s">
        <v>#N/A N/A</v>
        <stp/>
        <stp>BDH|3388793117602837228</stp>
        <tr r="D41" s="2"/>
      </tp>
      <tp t="s">
        <v>#N/A N/A</v>
        <stp/>
        <stp>BDH|6048075943226342137</stp>
        <tr r="E38" s="2"/>
      </tp>
      <tp t="s">
        <v>#N/A N/A</v>
        <stp/>
        <stp>BDH|4883134688639643101</stp>
        <tr r="D75" s="2"/>
      </tp>
      <tp t="s">
        <v>#N/A N/A</v>
        <stp/>
        <stp>BDH|4988440338830808577</stp>
        <tr r="F74" s="2"/>
      </tp>
      <tp t="s">
        <v>#N/A N/A</v>
        <stp/>
        <stp>BDH|3314038405617740282</stp>
        <tr r="G10" s="2"/>
      </tp>
      <tp t="s">
        <v>#N/A N/A</v>
        <stp/>
        <stp>BDH|5447329416851804064</stp>
        <tr r="D29" s="2"/>
      </tp>
      <tp t="s">
        <v>#N/A N/A</v>
        <stp/>
        <stp>BDH|9053993675049449877</stp>
        <tr r="G27" s="2"/>
      </tp>
      <tp t="s">
        <v>#N/A N/A</v>
        <stp/>
        <stp>BDH|2715009416290980544</stp>
        <tr r="I13" s="2"/>
      </tp>
      <tp t="s">
        <v>#N/A N/A</v>
        <stp/>
        <stp>BDH|1602992296117058058</stp>
        <tr r="I35" s="2"/>
      </tp>
      <tp t="s">
        <v>#N/A N/A</v>
        <stp/>
        <stp>BDH|1810958806756342853</stp>
        <tr r="I42" s="2"/>
        <tr r="I54" s="2"/>
      </tp>
      <tp t="s">
        <v>#N/A N/A</v>
        <stp/>
        <stp>BDH|6609781079432332274</stp>
        <tr r="C49" s="2"/>
      </tp>
      <tp t="s">
        <v>#N/A N/A</v>
        <stp/>
        <stp>BDH|6404338534948710853</stp>
        <tr r="F44" s="2"/>
      </tp>
      <tp t="s">
        <v>#N/A N/A</v>
        <stp/>
        <stp>BDH|4987784160695373643</stp>
        <tr r="G49" s="2"/>
      </tp>
      <tp t="s">
        <v>#N/A N/A</v>
        <stp/>
        <stp>BDH|3013035448508901960</stp>
        <tr r="C10" s="2"/>
      </tp>
      <tp t="s">
        <v>#N/A N/A</v>
        <stp/>
        <stp>BDH|7965294043474194368</stp>
        <tr r="F79" s="2"/>
      </tp>
      <tp t="s">
        <v>#N/A N/A</v>
        <stp/>
        <stp>BDH|4216421943736739412</stp>
        <tr r="E21" s="2"/>
      </tp>
      <tp t="s">
        <v>#N/A N/A</v>
        <stp/>
        <stp>BDH|8612867279970555192</stp>
        <tr r="I20" s="2"/>
      </tp>
      <tp t="s">
        <v>#N/A N/A</v>
        <stp/>
        <stp>BDH|9010858332412998705</stp>
        <tr r="D56" s="2"/>
      </tp>
      <tp t="s">
        <v>#N/A N/A</v>
        <stp/>
        <stp>BDH|1132232229685463318</stp>
        <tr r="G7" s="2"/>
      </tp>
      <tp t="s">
        <v>#N/A N/A</v>
        <stp/>
        <stp>BDH|7291964802279086090</stp>
        <tr r="F57" s="2"/>
      </tp>
      <tp t="s">
        <v>#N/A N/A</v>
        <stp/>
        <stp>BDH|7875851157698350563</stp>
        <tr r="D50" s="2"/>
      </tp>
      <tp t="s">
        <v>#N/A N/A</v>
        <stp/>
        <stp>BDH|3582591402853263202</stp>
        <tr r="H15" s="2"/>
      </tp>
      <tp t="s">
        <v>#N/A N/A</v>
        <stp/>
        <stp>BDH|5720122038461509156</stp>
        <tr r="C39" s="2"/>
      </tp>
      <tp t="s">
        <v>#N/A N/A</v>
        <stp/>
        <stp>BDH|1579264533631594674</stp>
        <tr r="D72" s="2"/>
      </tp>
      <tp t="s">
        <v>#N/A N/A</v>
        <stp/>
        <stp>BDH|4333266428620857360</stp>
        <tr r="E11" s="2"/>
      </tp>
      <tp t="s">
        <v>#N/A N/A</v>
        <stp/>
        <stp>BDH|5946701422426894130</stp>
        <tr r="I38" s="2"/>
      </tp>
      <tp t="s">
        <v>#N/A N/A</v>
        <stp/>
        <stp>BDH|1180325320116594116</stp>
        <tr r="C25" s="2"/>
      </tp>
      <tp t="s">
        <v>#N/A N/A</v>
        <stp/>
        <stp>BDH|6178763136357980536</stp>
        <tr r="H69" s="2"/>
      </tp>
      <tp t="s">
        <v>#N/A N/A</v>
        <stp/>
        <stp>BDH|9152229930621967934</stp>
        <tr r="F37" s="2"/>
      </tp>
      <tp t="s">
        <v>#N/A N/A</v>
        <stp/>
        <stp>BDH|1783243964576826309</stp>
        <tr r="H35" s="2"/>
      </tp>
      <tp t="s">
        <v>#N/A N/A</v>
        <stp/>
        <stp>BDH|9382909834133960020</stp>
        <tr r="I9" s="2"/>
      </tp>
      <tp t="s">
        <v>#N/A N/A</v>
        <stp/>
        <stp>BDH|3564882988917917401</stp>
        <tr r="F27" s="2"/>
      </tp>
      <tp t="s">
        <v>#N/A N/A</v>
        <stp/>
        <stp>BDH|5028727206732536037</stp>
        <tr r="E37" s="2"/>
      </tp>
      <tp t="s">
        <v>#N/A N/A</v>
        <stp/>
        <stp>BDH|6054441949626924042</stp>
        <tr r="D73" s="2"/>
      </tp>
      <tp t="s">
        <v>#N/A N/A</v>
        <stp/>
        <stp>BDH|7716478716466178462</stp>
        <tr r="H45" s="2"/>
      </tp>
      <tp t="s">
        <v>#N/A N/A</v>
        <stp/>
        <stp>BDH|3009346577057093047</stp>
        <tr r="C21" s="2"/>
      </tp>
      <tp t="s">
        <v>#N/A N/A</v>
        <stp/>
        <stp>BDH|3730154744663735550</stp>
        <tr r="C42" s="2"/>
        <tr r="C54" s="2"/>
      </tp>
      <tp t="s">
        <v>#N/A N/A</v>
        <stp/>
        <stp>BDH|9710720334485241865</stp>
        <tr r="H22" s="2"/>
      </tp>
      <tp t="s">
        <v>#N/A N/A</v>
        <stp/>
        <stp>BDH|5023249659143854105</stp>
        <tr r="G12" s="2"/>
      </tp>
      <tp t="s">
        <v>#N/A N/A</v>
        <stp/>
        <stp>BDH|4880297111851291784</stp>
        <tr r="E73" s="2"/>
      </tp>
      <tp t="s">
        <v>#N/A N/A</v>
        <stp/>
        <stp>BDH|5009348452482975055</stp>
        <tr r="C79" s="2"/>
      </tp>
      <tp t="s">
        <v>#N/A N/A</v>
        <stp/>
        <stp>BDH|5878473503555699513</stp>
        <tr r="G37" s="2"/>
      </tp>
      <tp t="s">
        <v>#N/A N/A</v>
        <stp/>
        <stp>BDH|4502247508733562446</stp>
        <tr r="I62" s="2"/>
      </tp>
      <tp t="s">
        <v>#N/A N/A</v>
        <stp/>
        <stp>BDH|1574053048134975090</stp>
        <tr r="I72" s="2"/>
      </tp>
      <tp t="s">
        <v>#N/A N/A</v>
        <stp/>
        <stp>BDH|4430784230045662431</stp>
        <tr r="H44" s="2"/>
      </tp>
      <tp t="s">
        <v>#N/A N/A</v>
        <stp/>
        <stp>BDH|2820766720312227424</stp>
        <tr r="G19" s="2"/>
      </tp>
      <tp t="s">
        <v>#N/A N/A</v>
        <stp/>
        <stp>BDH|9522906879087227106</stp>
        <tr r="G23" s="2"/>
      </tp>
      <tp t="s">
        <v>#N/A N/A</v>
        <stp/>
        <stp>BDH|1048684729781787589</stp>
        <tr r="I30" s="2"/>
      </tp>
      <tp t="s">
        <v>#N/A N/A</v>
        <stp/>
        <stp>BDH|2186389312449539815</stp>
        <tr r="E53" s="2"/>
      </tp>
      <tp t="s">
        <v>#N/A N/A</v>
        <stp/>
        <stp>BDH|4095835068928509312</stp>
        <tr r="D28" s="2"/>
      </tp>
      <tp t="s">
        <v>#N/A N/A</v>
        <stp/>
        <stp>BDH|5358889371219086263</stp>
        <tr r="F75" s="2"/>
      </tp>
      <tp t="s">
        <v>#N/A N/A</v>
        <stp/>
        <stp>BDH|5488407146536757291</stp>
        <tr r="D36" s="2"/>
      </tp>
      <tp t="s">
        <v>#N/A N/A</v>
        <stp/>
        <stp>BDH|4086165667331885343</stp>
        <tr r="D13" s="2"/>
      </tp>
      <tp t="s">
        <v>#N/A N/A</v>
        <stp/>
        <stp>BDH|1565653451223465072</stp>
        <tr r="H8" s="2"/>
      </tp>
      <tp t="s">
        <v>#N/A N/A</v>
        <stp/>
        <stp>BDH|8460967587058349057</stp>
        <tr r="E26" s="2"/>
      </tp>
      <tp t="s">
        <v>#N/A N/A</v>
        <stp/>
        <stp>BDH|9882033004759404188</stp>
        <tr r="E39" s="2"/>
      </tp>
      <tp t="s">
        <v>#N/A N/A</v>
        <stp/>
        <stp>BDH|8105061870538482602</stp>
        <tr r="E14" s="2"/>
      </tp>
      <tp t="s">
        <v>#N/A N/A</v>
        <stp/>
        <stp>BDH|3656023372833550628</stp>
        <tr r="C43" s="2"/>
      </tp>
      <tp t="s">
        <v>#N/A N/A</v>
        <stp/>
        <stp>BDH|8546062155598734408</stp>
        <tr r="C12" s="2"/>
      </tp>
      <tp t="s">
        <v>#N/A N/A</v>
        <stp/>
        <stp>BDH|8636268601898622306</stp>
        <tr r="E24" s="2"/>
      </tp>
      <tp t="s">
        <v>#N/A N/A</v>
        <stp/>
        <stp>BDH|6930023138333488702</stp>
        <tr r="I34" s="2"/>
      </tp>
      <tp t="s">
        <v>#N/A N/A</v>
        <stp/>
        <stp>BDH|4629760102906104446</stp>
        <tr r="G32" s="2"/>
      </tp>
      <tp t="s">
        <v>#N/A N/A</v>
        <stp/>
        <stp>BDH|8124658935259717516</stp>
        <tr r="G41" s="2"/>
      </tp>
      <tp t="s">
        <v>#N/A N/A</v>
        <stp/>
        <stp>BDH|5755123930323841594</stp>
        <tr r="E6" s="2"/>
      </tp>
      <tp t="s">
        <v>#N/A N/A</v>
        <stp/>
        <stp>BDH|1237914413633366893</stp>
        <tr r="H29" s="2"/>
      </tp>
      <tp t="s">
        <v>#N/A N/A</v>
        <stp/>
        <stp>BDH|3799760470765134489</stp>
        <tr r="D37" s="2"/>
      </tp>
      <tp t="s">
        <v>#N/A N/A</v>
        <stp/>
        <stp>BDH|9364692892545921189</stp>
        <tr r="I79" s="2"/>
      </tp>
      <tp t="s">
        <v>#N/A N/A</v>
        <stp/>
        <stp>BDH|1946783219715442023</stp>
        <tr r="H9" s="2"/>
      </tp>
      <tp t="s">
        <v>#N/A N/A</v>
        <stp/>
        <stp>BDH|7769899212384511866</stp>
        <tr r="I61" s="2"/>
      </tp>
      <tp t="s">
        <v>#N/A N/A</v>
        <stp/>
        <stp>BDH|8495922034022434295</stp>
        <tr r="F41" s="2"/>
      </tp>
      <tp t="s">
        <v>#N/A N/A</v>
        <stp/>
        <stp>BDH|3277681074158322817</stp>
        <tr r="C78" s="2"/>
      </tp>
      <tp t="s">
        <v>#N/A N/A</v>
        <stp/>
        <stp>BDH|9090770924359878769</stp>
        <tr r="I36" s="2"/>
      </tp>
      <tp t="s">
        <v>#N/A N/A</v>
        <stp/>
        <stp>BDH|3247803850374365831</stp>
        <tr r="H6" s="2"/>
      </tp>
      <tp t="s">
        <v>#N/A N/A</v>
        <stp/>
        <stp>BDH|2214402234917435004</stp>
        <tr r="C14" s="2"/>
      </tp>
      <tp t="s">
        <v>#N/A N/A</v>
        <stp/>
        <stp>BDH|5184682379444070214</stp>
        <tr r="H13" s="2"/>
      </tp>
      <tp t="s">
        <v>#N/A N/A</v>
        <stp/>
        <stp>BDH|7673367271905709401</stp>
        <tr r="C17" s="2"/>
      </tp>
      <tp t="s">
        <v>#N/A N/A</v>
        <stp/>
        <stp>BDH|9231214000240735929</stp>
        <tr r="I76" s="2"/>
      </tp>
      <tp t="s">
        <v>#N/A N/A</v>
        <stp/>
        <stp>BDH|9224858535448650836</stp>
        <tr r="F38" s="2"/>
      </tp>
      <tp t="s">
        <v>#N/A N/A</v>
        <stp/>
        <stp>BDH|4662675330721872333</stp>
        <tr r="H27" s="2"/>
      </tp>
      <tp t="s">
        <v>#N/A N/A</v>
        <stp/>
        <stp>BDH|7260810230598995718</stp>
        <tr r="I71" s="2"/>
      </tp>
      <tp t="s">
        <v>#N/A N/A</v>
        <stp/>
        <stp>BDH|7536038406792280691</stp>
        <tr r="I59" s="2"/>
      </tp>
      <tp t="s">
        <v>#N/A N/A</v>
        <stp/>
        <stp>BDH|8453694616559266525</stp>
        <tr r="E9" s="2"/>
      </tp>
      <tp t="s">
        <v>#N/A N/A</v>
        <stp/>
        <stp>BDH|9106475423775983954</stp>
        <tr r="D19" s="2"/>
      </tp>
      <tp t="s">
        <v>#N/A N/A</v>
        <stp/>
        <stp>BDH|1209870056738912765</stp>
        <tr r="C52" s="2"/>
      </tp>
      <tp t="s">
        <v>#N/A N/A</v>
        <stp/>
        <stp>BDH|5756787999339670127</stp>
        <tr r="F68" s="2"/>
      </tp>
      <tp t="s">
        <v>#N/A N/A</v>
        <stp/>
        <stp>BDH|6246595967324890269</stp>
        <tr r="C35" s="2"/>
      </tp>
      <tp t="s">
        <v>#N/A N/A</v>
        <stp/>
        <stp>BDH|7536223571474711532</stp>
        <tr r="G29" s="2"/>
      </tp>
      <tp t="s">
        <v>#N/A N/A</v>
        <stp/>
        <stp>BDH|4542456345390252742</stp>
        <tr r="D74" s="2"/>
      </tp>
      <tp t="s">
        <v>#N/A N/A</v>
        <stp/>
        <stp>BDH|9659039900772441813</stp>
        <tr r="C57" s="2"/>
      </tp>
      <tp t="s">
        <v>#N/A N/A</v>
        <stp/>
        <stp>BDH|9666722567113579821</stp>
        <tr r="E64" s="2"/>
      </tp>
      <tp t="s">
        <v>#N/A N/A</v>
        <stp/>
        <stp>BDH|3677305537099132951</stp>
        <tr r="F46" s="2"/>
      </tp>
      <tp t="s">
        <v>#N/A N/A</v>
        <stp/>
        <stp>BDH|7685224940275455759</stp>
        <tr r="I70" s="2"/>
      </tp>
      <tp t="s">
        <v>#N/A N/A</v>
        <stp/>
        <stp>BDH|965654776733577790</stp>
        <tr r="D49" s="2"/>
      </tp>
      <tp t="s">
        <v>#N/A N/A</v>
        <stp/>
        <stp>BDH|124263556206184477</stp>
        <tr r="I57" s="2"/>
      </tp>
      <tp t="s">
        <v>#N/A N/A</v>
        <stp/>
        <stp>BDH|818202757724849652</stp>
        <tr r="G73" s="2"/>
      </tp>
      <tp t="s">
        <v>#N/A N/A</v>
        <stp/>
        <stp>BDH|544287637414254277</stp>
        <tr r="H73" s="2"/>
      </tp>
      <tp t="s">
        <v>#N/A N/A</v>
        <stp/>
        <stp>BDH|376579327988942810</stp>
        <tr r="H57" s="2"/>
      </tp>
      <tp t="s">
        <v>#N/A N/A</v>
        <stp/>
        <stp>BDH|829896791580145621</stp>
        <tr r="H56" s="2"/>
      </tp>
      <tp t="s">
        <v>#N/A N/A</v>
        <stp/>
        <stp>BDH|250111035151675545</stp>
        <tr r="E43" s="2"/>
      </tp>
      <tp t="s">
        <v>#N/A N/A</v>
        <stp/>
        <stp>BDH|146681346105654188</stp>
        <tr r="I68" s="2"/>
      </tp>
      <tp t="s">
        <v>#N/A N/A</v>
        <stp/>
        <stp>BDH|510627571640364091</stp>
        <tr r="G15" s="2"/>
      </tp>
      <tp t="s">
        <v>#N/A N/A</v>
        <stp/>
        <stp>BDH|880155574027300006</stp>
        <tr r="F42" s="2"/>
        <tr r="F54" s="2"/>
      </tp>
      <tp t="s">
        <v>#N/A N/A</v>
        <stp/>
        <stp>BDH|229768309241149760</stp>
        <tr r="F64" s="2"/>
      </tp>
      <tp t="s">
        <v>#N/A N/A</v>
        <stp/>
        <stp>BDH|787459653817381722</stp>
        <tr r="H58" s="2"/>
      </tp>
      <tp t="s">
        <v>#N/A N/A</v>
        <stp/>
        <stp>BDH|376238450951940622</stp>
        <tr r="F63" s="2"/>
      </tp>
      <tp t="s">
        <v>#N/A N/A</v>
        <stp/>
        <stp>BDH|123258844484851116</stp>
        <tr r="F30" s="2"/>
      </tp>
      <tp t="s">
        <v>#N/A N/A</v>
        <stp/>
        <stp>BDH|920708049899938932</stp>
        <tr r="C13" s="2"/>
      </tp>
      <tp t="s">
        <v>#N/A N/A</v>
        <stp/>
        <stp>BDH|866190353555027239</stp>
        <tr r="F29" s="2"/>
      </tp>
      <tp t="s">
        <v>#N/A N/A</v>
        <stp/>
        <stp>BDH|253762831385389320</stp>
        <tr r="C30" s="2"/>
      </tp>
      <tp t="s">
        <v>#N/A N/A</v>
        <stp/>
        <stp>BDH|917540824249566377</stp>
        <tr r="G8" s="2"/>
      </tp>
      <tp t="s">
        <v>#N/A N/A</v>
        <stp/>
        <stp>BDH|346158709355737859</stp>
        <tr r="G71" s="2"/>
      </tp>
      <tp t="s">
        <v>#N/A N/A</v>
        <stp/>
        <stp>BDH|475283412368238478</stp>
        <tr r="H26" s="2"/>
      </tp>
      <tp t="s">
        <v>#N/A N/A</v>
        <stp/>
        <stp>BDH|751133405046271837</stp>
        <tr r="E23" s="2"/>
      </tp>
      <tp t="s">
        <v>#N/A N/A</v>
        <stp/>
        <stp>BDH|853122400078716754</stp>
        <tr r="H33" s="2"/>
      </tp>
      <tp t="s">
        <v>#N/A N/A</v>
        <stp/>
        <stp>BDH|718942109969294995</stp>
        <tr r="G43" s="2"/>
      </tp>
      <tp t="s">
        <v>#N/A N/A</v>
        <stp/>
        <stp>BDH|382221558187349872</stp>
        <tr r="F73" s="2"/>
      </tp>
      <tp t="s">
        <v>#N/A N/A</v>
        <stp/>
        <stp>BDH|242969621643362055</stp>
        <tr r="G44" s="2"/>
      </tp>
      <tp t="s">
        <v>#N/A N/A</v>
        <stp/>
        <stp>BDH|248455150632179898</stp>
        <tr r="H77" s="2"/>
      </tp>
      <tp t="s">
        <v>#N/A N/A</v>
        <stp/>
        <stp>BDH|567779593406601387</stp>
        <tr r="E36" s="2"/>
      </tp>
      <tp t="s">
        <v>#N/A N/A</v>
        <stp/>
        <stp>BDH|515976208196231405</stp>
        <tr r="D39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C6" sqref="C6"/>
    </sheetView>
  </sheetViews>
  <sheetFormatPr defaultRowHeight="14.25" x14ac:dyDescent="0.45"/>
  <cols>
    <col min="1" max="1" width="35.19921875" customWidth="1"/>
    <col min="2" max="2" width="0" hidden="1" customWidth="1"/>
    <col min="3" max="12" width="11.796875" customWidth="1"/>
  </cols>
  <sheetData>
    <row r="1" spans="1:12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65" x14ac:dyDescent="0.4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4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45">
      <c r="A6" s="6" t="s">
        <v>0</v>
      </c>
      <c r="B6" s="6" t="s">
        <v>27</v>
      </c>
      <c r="C6" s="19">
        <f>_xll.BDH("MCHP US Equity","SALES_REV_TURN","FY 2014","FY 2014","Currency=USD","Period=FY","BEST_FPERIOD_OVERRIDE=FY","FILING_STATUS=MR","SCALING_FORMAT=MLN","FA_ADJUSTED=Adjusted","Sort=A","Dates=H","DateFormat=P","Fill=—","Direction=H","UseDPDF=Y")</f>
        <v>1931.2170000000001</v>
      </c>
      <c r="D6" s="19">
        <f>_xll.BDH("MCHP US Equity","SALES_REV_TURN","FY 2015","FY 2015","Currency=USD","Period=FY","BEST_FPERIOD_OVERRIDE=FY","FILING_STATUS=MR","SCALING_FORMAT=MLN","FA_ADJUSTED=Adjusted","Sort=A","Dates=H","DateFormat=P","Fill=—","Direction=H","UseDPDF=Y")</f>
        <v>2147.0360000000001</v>
      </c>
      <c r="E6" s="19">
        <f>_xll.BDH("MCHP US Equity","SALES_REV_TURN","FY 2016","FY 2016","Currency=USD","Period=FY","BEST_FPERIOD_OVERRIDE=FY","FILING_STATUS=MR","SCALING_FORMAT=MLN","FA_ADJUSTED=Adjusted","Sort=A","Dates=H","DateFormat=P","Fill=—","Direction=H","UseDPDF=Y")</f>
        <v>2173.3000000000002</v>
      </c>
      <c r="F6" s="19">
        <f>_xll.BDH("MCHP US Equity","SALES_REV_TURN","FY 2017","FY 2017","Currency=USD","Period=FY","BEST_FPERIOD_OVERRIDE=FY","FILING_STATUS=MR","SCALING_FORMAT=MLN","FA_ADJUSTED=Adjusted","Sort=A","Dates=H","DateFormat=P","Fill=—","Direction=H","UseDPDF=Y")</f>
        <v>3407.8</v>
      </c>
      <c r="G6" s="19">
        <f>_xll.BDH("MCHP US Equity","SALES_REV_TURN","FY 2018","FY 2018","Currency=USD","Period=FY","BEST_FPERIOD_OVERRIDE=FY","FILING_STATUS=MR","SCALING_FORMAT=MLN","FA_ADJUSTED=Adjusted","Sort=A","Dates=H","DateFormat=P","Fill=—","Direction=H","UseDPDF=Y")</f>
        <v>3980.8</v>
      </c>
      <c r="H6" s="19">
        <f>_xll.BDH("MCHP US Equity","SALES_REV_TURN","FY 2019","FY 2019","Currency=USD","Period=FY","BEST_FPERIOD_OVERRIDE=FY","FILING_STATUS=MR","SCALING_FORMAT=MLN","FA_ADJUSTED=Adjusted","Sort=A","Dates=H","DateFormat=P","Fill=—","Direction=H","UseDPDF=Y")</f>
        <v>5349.5</v>
      </c>
      <c r="I6" s="19">
        <f>_xll.BDH("MCHP US Equity","SALES_REV_TURN","FY 2020","FY 2020","Currency=USD","Period=FY","BEST_FPERIOD_OVERRIDE=FY","FILING_STATUS=MR","SCALING_FORMAT=MLN","FA_ADJUSTED=Adjusted","Sort=A","Dates=H","DateFormat=P","Fill=—","Direction=H","UseDPDF=Y")</f>
        <v>5274.2</v>
      </c>
      <c r="J6" s="22">
        <v>5233</v>
      </c>
      <c r="K6" s="19">
        <v>5356.6670000000004</v>
      </c>
      <c r="L6" s="19">
        <v>5920.0950000000003</v>
      </c>
    </row>
    <row r="7" spans="1:12" x14ac:dyDescent="0.45">
      <c r="A7" s="10" t="s">
        <v>28</v>
      </c>
      <c r="B7" s="10" t="s">
        <v>29</v>
      </c>
      <c r="C7" s="13">
        <f>_xll.BDH("MCHP US Equity","IS_SALES_AND_SERVICES_REVENUES","FY 2014","FY 2014","Currency=USD","Period=FY","BEST_FPERIOD_OVERRIDE=FY","FILING_STATUS=MR","SCALING_FORMAT=MLN","FA_ADJUSTED=Adjusted","Sort=A","Dates=H","DateFormat=P","Fill=—","Direction=H","UseDPDF=Y")</f>
        <v>1931.2170000000001</v>
      </c>
      <c r="D7" s="13">
        <f>_xll.BDH("MCHP US Equity","IS_SALES_AND_SERVICES_REVENUES","FY 2015","FY 2015","Currency=USD","Period=FY","BEST_FPERIOD_OVERRIDE=FY","FILING_STATUS=MR","SCALING_FORMAT=MLN","FA_ADJUSTED=Adjusted","Sort=A","Dates=H","DateFormat=P","Fill=—","Direction=H","UseDPDF=Y")</f>
        <v>2147.0360000000001</v>
      </c>
      <c r="E7" s="13">
        <f>_xll.BDH("MCHP US Equity","IS_SALES_AND_SERVICES_REVENUES","FY 2016","FY 2016","Currency=USD","Period=FY","BEST_FPERIOD_OVERRIDE=FY","FILING_STATUS=MR","SCALING_FORMAT=MLN","FA_ADJUSTED=Adjusted","Sort=A","Dates=H","DateFormat=P","Fill=—","Direction=H","UseDPDF=Y")</f>
        <v>2173.3000000000002</v>
      </c>
      <c r="F7" s="13">
        <f>_xll.BDH("MCHP US Equity","IS_SALES_AND_SERVICES_REVENUES","FY 2017","FY 2017","Currency=USD","Period=FY","BEST_FPERIOD_OVERRIDE=FY","FILING_STATUS=MR","SCALING_FORMAT=MLN","FA_ADJUSTED=Adjusted","Sort=A","Dates=H","DateFormat=P","Fill=—","Direction=H","UseDPDF=Y")</f>
        <v>3407.8</v>
      </c>
      <c r="G7" s="13">
        <f>_xll.BDH("MCHP US Equity","IS_SALES_AND_SERVICES_REVENUES","FY 2018","FY 2018","Currency=USD","Period=FY","BEST_FPERIOD_OVERRIDE=FY","FILING_STATUS=MR","SCALING_FORMAT=MLN","FA_ADJUSTED=Adjusted","Sort=A","Dates=H","DateFormat=P","Fill=—","Direction=H","UseDPDF=Y")</f>
        <v>3980.8</v>
      </c>
      <c r="H7" s="13">
        <f>_xll.BDH("MCHP US Equity","IS_SALES_AND_SERVICES_REVENUES","FY 2019","FY 2019","Currency=USD","Period=FY","BEST_FPERIOD_OVERRIDE=FY","FILING_STATUS=MR","SCALING_FORMAT=MLN","FA_ADJUSTED=Adjusted","Sort=A","Dates=H","DateFormat=P","Fill=—","Direction=H","UseDPDF=Y")</f>
        <v>5349.5</v>
      </c>
      <c r="I7" s="13">
        <f>_xll.BDH("MCHP US Equity","IS_SALES_AND_SERVICES_REVENUES","FY 2020","FY 2020","Currency=USD","Period=FY","BEST_FPERIOD_OVERRIDE=FY","FILING_STATUS=MR","SCALING_FORMAT=MLN","FA_ADJUSTED=Adjusted","Sort=A","Dates=H","DateFormat=P","Fill=—","Direction=H","UseDPDF=Y")</f>
        <v>5274.2</v>
      </c>
      <c r="J7" s="16">
        <v>5233</v>
      </c>
      <c r="K7" s="13"/>
      <c r="L7" s="13"/>
    </row>
    <row r="8" spans="1:12" x14ac:dyDescent="0.45">
      <c r="A8" s="10" t="s">
        <v>30</v>
      </c>
      <c r="B8" s="10" t="s">
        <v>31</v>
      </c>
      <c r="C8" s="13">
        <f>_xll.BDH("MCHP US Equity","IS_COGS_TO_FE_AND_PP_AND_G","FY 2014","FY 2014","Currency=USD","Period=FY","BEST_FPERIOD_OVERRIDE=FY","FILING_STATUS=MR","SCALING_FORMAT=MLN","FA_ADJUSTED=Adjusted","Sort=A","Dates=H","DateFormat=P","Fill=—","Direction=H","UseDPDF=Y")</f>
        <v>802.47400000000005</v>
      </c>
      <c r="D8" s="13">
        <f>_xll.BDH("MCHP US Equity","IS_COGS_TO_FE_AND_PP_AND_G","FY 2015","FY 2015","Currency=USD","Period=FY","BEST_FPERIOD_OVERRIDE=FY","FILING_STATUS=MR","SCALING_FORMAT=MLN","FA_ADJUSTED=Adjusted","Sort=A","Dates=H","DateFormat=P","Fill=—","Direction=H","UseDPDF=Y")</f>
        <v>917.47199999999998</v>
      </c>
      <c r="E8" s="13">
        <f>_xll.BDH("MCHP US Equity","IS_COGS_TO_FE_AND_PP_AND_G","FY 2016","FY 2016","Currency=USD","Period=FY","BEST_FPERIOD_OVERRIDE=FY","FILING_STATUS=MR","SCALING_FORMAT=MLN","FA_ADJUSTED=Adjusted","Sort=A","Dates=H","DateFormat=P","Fill=—","Direction=H","UseDPDF=Y")</f>
        <v>967.8</v>
      </c>
      <c r="F8" s="13">
        <f>_xll.BDH("MCHP US Equity","IS_COGS_TO_FE_AND_PP_AND_G","FY 2017","FY 2017","Currency=USD","Period=FY","BEST_FPERIOD_OVERRIDE=FY","FILING_STATUS=MR","SCALING_FORMAT=MLN","FA_ADJUSTED=Adjusted","Sort=A","Dates=H","DateFormat=P","Fill=—","Direction=H","UseDPDF=Y")</f>
        <v>1650.6</v>
      </c>
      <c r="G8" s="13">
        <f>_xll.BDH("MCHP US Equity","IS_COGS_TO_FE_AND_PP_AND_G","FY 2018","FY 2018","Currency=USD","Period=FY","BEST_FPERIOD_OVERRIDE=FY","FILING_STATUS=MR","SCALING_FORMAT=MLN","FA_ADJUSTED=Adjusted","Sort=A","Dates=H","DateFormat=P","Fill=—","Direction=H","UseDPDF=Y")</f>
        <v>1560.1</v>
      </c>
      <c r="H8" s="13">
        <f>_xll.BDH("MCHP US Equity","IS_COGS_TO_FE_AND_PP_AND_G","FY 2019","FY 2019","Currency=USD","Period=FY","BEST_FPERIOD_OVERRIDE=FY","FILING_STATUS=MR","SCALING_FORMAT=MLN","FA_ADJUSTED=Adjusted","Sort=A","Dates=H","DateFormat=P","Fill=—","Direction=H","UseDPDF=Y")</f>
        <v>2418.1999999999998</v>
      </c>
      <c r="I8" s="13">
        <f>_xll.BDH("MCHP US Equity","IS_COGS_TO_FE_AND_PP_AND_G","FY 2020","FY 2020","Currency=USD","Period=FY","BEST_FPERIOD_OVERRIDE=FY","FILING_STATUS=MR","SCALING_FORMAT=MLN","FA_ADJUSTED=Adjusted","Sort=A","Dates=H","DateFormat=P","Fill=—","Direction=H","UseDPDF=Y")</f>
        <v>2032.1</v>
      </c>
      <c r="J8" s="16">
        <v>2027.4</v>
      </c>
      <c r="K8" s="13"/>
      <c r="L8" s="13"/>
    </row>
    <row r="9" spans="1:12" x14ac:dyDescent="0.45">
      <c r="A9" s="10" t="s">
        <v>32</v>
      </c>
      <c r="B9" s="10" t="s">
        <v>33</v>
      </c>
      <c r="C9" s="13">
        <f>_xll.BDH("MCHP US Equity","IS_COG_AND_SERVICES_SOLD","FY 2014","FY 2014","Currency=USD","Period=FY","BEST_FPERIOD_OVERRIDE=FY","FILING_STATUS=MR","SCALING_FORMAT=MLN","FA_ADJUSTED=Adjusted","Sort=A","Dates=H","DateFormat=P","Fill=—","Direction=H","UseDPDF=Y")</f>
        <v>802.47400000000005</v>
      </c>
      <c r="D9" s="13">
        <f>_xll.BDH("MCHP US Equity","IS_COG_AND_SERVICES_SOLD","FY 2015","FY 2015","Currency=USD","Period=FY","BEST_FPERIOD_OVERRIDE=FY","FILING_STATUS=MR","SCALING_FORMAT=MLN","FA_ADJUSTED=Adjusted","Sort=A","Dates=H","DateFormat=P","Fill=—","Direction=H","UseDPDF=Y")</f>
        <v>917.47199999999998</v>
      </c>
      <c r="E9" s="13">
        <f>_xll.BDH("MCHP US Equity","IS_COG_AND_SERVICES_SOLD","FY 2016","FY 2016","Currency=USD","Period=FY","BEST_FPERIOD_OVERRIDE=FY","FILING_STATUS=MR","SCALING_FORMAT=MLN","FA_ADJUSTED=Adjusted","Sort=A","Dates=H","DateFormat=P","Fill=—","Direction=H","UseDPDF=Y")</f>
        <v>967.8</v>
      </c>
      <c r="F9" s="13">
        <f>_xll.BDH("MCHP US Equity","IS_COG_AND_SERVICES_SOLD","FY 2017","FY 2017","Currency=USD","Period=FY","BEST_FPERIOD_OVERRIDE=FY","FILING_STATUS=MR","SCALING_FORMAT=MLN","FA_ADJUSTED=Adjusted","Sort=A","Dates=H","DateFormat=P","Fill=—","Direction=H","UseDPDF=Y")</f>
        <v>1650.6</v>
      </c>
      <c r="G9" s="13">
        <f>_xll.BDH("MCHP US Equity","IS_COG_AND_SERVICES_SOLD","FY 2018","FY 2018","Currency=USD","Period=FY","BEST_FPERIOD_OVERRIDE=FY","FILING_STATUS=MR","SCALING_FORMAT=MLN","FA_ADJUSTED=Adjusted","Sort=A","Dates=H","DateFormat=P","Fill=—","Direction=H","UseDPDF=Y")</f>
        <v>1560.1</v>
      </c>
      <c r="H9" s="13">
        <f>_xll.BDH("MCHP US Equity","IS_COG_AND_SERVICES_SOLD","FY 2019","FY 2019","Currency=USD","Period=FY","BEST_FPERIOD_OVERRIDE=FY","FILING_STATUS=MR","SCALING_FORMAT=MLN","FA_ADJUSTED=Adjusted","Sort=A","Dates=H","DateFormat=P","Fill=—","Direction=H","UseDPDF=Y")</f>
        <v>2418.1999999999998</v>
      </c>
      <c r="I9" s="13">
        <f>_xll.BDH("MCHP US Equity","IS_COG_AND_SERVICES_SOLD","FY 2020","FY 2020","Currency=USD","Period=FY","BEST_FPERIOD_OVERRIDE=FY","FILING_STATUS=MR","SCALING_FORMAT=MLN","FA_ADJUSTED=Adjusted","Sort=A","Dates=H","DateFormat=P","Fill=—","Direction=H","UseDPDF=Y")</f>
        <v>2032.1</v>
      </c>
      <c r="J9" s="16">
        <v>2027.4</v>
      </c>
      <c r="K9" s="13"/>
      <c r="L9" s="13"/>
    </row>
    <row r="10" spans="1:12" x14ac:dyDescent="0.45">
      <c r="A10" s="6" t="s">
        <v>1</v>
      </c>
      <c r="B10" s="6" t="s">
        <v>34</v>
      </c>
      <c r="C10" s="19">
        <f>_xll.BDH("MCHP US Equity","GROSS_PROFIT","FY 2014","FY 2014","Currency=USD","Period=FY","BEST_FPERIOD_OVERRIDE=FY","FILING_STATUS=MR","SCALING_FORMAT=MLN","FA_ADJUSTED=Adjusted","Sort=A","Dates=H","DateFormat=P","Fill=—","Direction=H","UseDPDF=Y")</f>
        <v>1128.7429999999999</v>
      </c>
      <c r="D10" s="19">
        <f>_xll.BDH("MCHP US Equity","GROSS_PROFIT","FY 2015","FY 2015","Currency=USD","Period=FY","BEST_FPERIOD_OVERRIDE=FY","FILING_STATUS=MR","SCALING_FORMAT=MLN","FA_ADJUSTED=Adjusted","Sort=A","Dates=H","DateFormat=P","Fill=—","Direction=H","UseDPDF=Y")</f>
        <v>1229.5640000000001</v>
      </c>
      <c r="E10" s="19">
        <f>_xll.BDH("MCHP US Equity","GROSS_PROFIT","FY 2016","FY 2016","Currency=USD","Period=FY","BEST_FPERIOD_OVERRIDE=FY","FILING_STATUS=MR","SCALING_FORMAT=MLN","FA_ADJUSTED=Adjusted","Sort=A","Dates=H","DateFormat=P","Fill=—","Direction=H","UseDPDF=Y")</f>
        <v>1205.5</v>
      </c>
      <c r="F10" s="19">
        <f>_xll.BDH("MCHP US Equity","GROSS_PROFIT","FY 2017","FY 2017","Currency=USD","Period=FY","BEST_FPERIOD_OVERRIDE=FY","FILING_STATUS=MR","SCALING_FORMAT=MLN","FA_ADJUSTED=Adjusted","Sort=A","Dates=H","DateFormat=P","Fill=—","Direction=H","UseDPDF=Y")</f>
        <v>1757.2</v>
      </c>
      <c r="G10" s="19">
        <f>_xll.BDH("MCHP US Equity","GROSS_PROFIT","FY 2018","FY 2018","Currency=USD","Period=FY","BEST_FPERIOD_OVERRIDE=FY","FILING_STATUS=MR","SCALING_FORMAT=MLN","FA_ADJUSTED=Adjusted","Sort=A","Dates=H","DateFormat=P","Fill=—","Direction=H","UseDPDF=Y")</f>
        <v>2420.6999999999998</v>
      </c>
      <c r="H10" s="19">
        <f>_xll.BDH("MCHP US Equity","GROSS_PROFIT","FY 2019","FY 2019","Currency=USD","Period=FY","BEST_FPERIOD_OVERRIDE=FY","FILING_STATUS=MR","SCALING_FORMAT=MLN","FA_ADJUSTED=Adjusted","Sort=A","Dates=H","DateFormat=P","Fill=—","Direction=H","UseDPDF=Y")</f>
        <v>2931.3</v>
      </c>
      <c r="I10" s="19">
        <f>_xll.BDH("MCHP US Equity","GROSS_PROFIT","FY 2020","FY 2020","Currency=USD","Period=FY","BEST_FPERIOD_OVERRIDE=FY","FILING_STATUS=MR","SCALING_FORMAT=MLN","FA_ADJUSTED=Adjusted","Sort=A","Dates=H","DateFormat=P","Fill=—","Direction=H","UseDPDF=Y")</f>
        <v>3242.1</v>
      </c>
      <c r="J10" s="22">
        <v>3205.60001220703</v>
      </c>
      <c r="K10" s="19">
        <v>3339.18550779</v>
      </c>
      <c r="L10" s="19">
        <v>3739.7240115</v>
      </c>
    </row>
    <row r="11" spans="1:12" x14ac:dyDescent="0.45">
      <c r="A11" s="10" t="s">
        <v>35</v>
      </c>
      <c r="B11" s="10" t="s">
        <v>36</v>
      </c>
      <c r="C11" s="13">
        <f>_xll.BDH("MCHP US Equity","IS_OTHER_OPER_INC","FY 2014","FY 2014","Currency=USD","Period=FY","BEST_FPERIOD_OVERRIDE=FY","FILING_STATUS=MR","SCALING_FORMAT=MLN","FA_ADJUSTED=Adjusted","Sort=A","Dates=H","DateFormat=P","Fill=—","Direction=H","UseDPDF=Y")</f>
        <v>0</v>
      </c>
      <c r="D11" s="13">
        <f>_xll.BDH("MCHP US Equity","IS_OTHER_OPER_INC","FY 2015","FY 2015","Currency=USD","Period=FY","BEST_FPERIOD_OVERRIDE=FY","FILING_STATUS=MR","SCALING_FORMAT=MLN","FA_ADJUSTED=Adjusted","Sort=A","Dates=H","DateFormat=P","Fill=—","Direction=H","UseDPDF=Y")</f>
        <v>0</v>
      </c>
      <c r="E11" s="13">
        <f>_xll.BDH("MCHP US Equity","IS_OTHER_OPER_INC","FY 2016","FY 2016","Currency=USD","Period=FY","BEST_FPERIOD_OVERRIDE=FY","FILING_STATUS=MR","SCALING_FORMAT=MLN","FA_ADJUSTED=Adjusted","Sort=A","Dates=H","DateFormat=P","Fill=—","Direction=H","UseDPDF=Y")</f>
        <v>0</v>
      </c>
      <c r="F11" s="13">
        <f>_xll.BDH("MCHP US Equity","IS_OTHER_OPER_INC","FY 2017","FY 2017","Currency=USD","Period=FY","BEST_FPERIOD_OVERRIDE=FY","FILING_STATUS=MR","SCALING_FORMAT=MLN","FA_ADJUSTED=Adjusted","Sort=A","Dates=H","DateFormat=P","Fill=—","Direction=H","UseDPDF=Y")</f>
        <v>0</v>
      </c>
      <c r="G11" s="13">
        <f>_xll.BDH("MCHP US Equity","IS_OTHER_OPER_INC","FY 2018","FY 2018","Currency=USD","Period=FY","BEST_FPERIOD_OVERRIDE=FY","FILING_STATUS=MR","SCALING_FORMAT=MLN","FA_ADJUSTED=Adjusted","Sort=A","Dates=H","DateFormat=P","Fill=—","Direction=H","UseDPDF=Y")</f>
        <v>0</v>
      </c>
      <c r="H11" s="13">
        <f>_xll.BDH("MCHP US Equity","IS_OTHER_OPER_INC","FY 2019","FY 2019","Currency=USD","Period=FY","BEST_FPERIOD_OVERRIDE=FY","FILING_STATUS=MR","SCALING_FORMAT=MLN","FA_ADJUSTED=Adjusted","Sort=A","Dates=H","DateFormat=P","Fill=—","Direction=H","UseDPDF=Y")</f>
        <v>0</v>
      </c>
      <c r="I11" s="13">
        <f>_xll.BDH("MCHP US Equity","IS_OTHER_OPER_INC","FY 2020","FY 2020","Currency=USD","Period=FY","BEST_FPERIOD_OVERRIDE=FY","FILING_STATUS=MR","SCALING_FORMAT=MLN","FA_ADJUSTED=Adjusted","Sort=A","Dates=H","DateFormat=P","Fill=—","Direction=H","UseDPDF=Y")</f>
        <v>0</v>
      </c>
      <c r="J11" s="16">
        <v>0</v>
      </c>
      <c r="K11" s="13"/>
      <c r="L11" s="13"/>
    </row>
    <row r="12" spans="1:12" x14ac:dyDescent="0.45">
      <c r="A12" s="10" t="s">
        <v>37</v>
      </c>
      <c r="B12" s="10" t="s">
        <v>38</v>
      </c>
      <c r="C12" s="13">
        <f>_xll.BDH("MCHP US Equity","IS_OPERATING_EXPN","FY 2014","FY 2014","Currency=USD","Period=FY","BEST_FPERIOD_OVERRIDE=FY","FILING_STATUS=MR","SCALING_FORMAT=MLN","FA_ADJUSTED=Adjusted","Sort=A","Dates=H","DateFormat=P","Fill=—","Direction=H","UseDPDF=Y")</f>
        <v>664.20100000000002</v>
      </c>
      <c r="D12" s="13">
        <f>_xll.BDH("MCHP US Equity","IS_OPERATING_EXPN","FY 2015","FY 2015","Currency=USD","Period=FY","BEST_FPERIOD_OVERRIDE=FY","FILING_STATUS=MR","SCALING_FORMAT=MLN","FA_ADJUSTED=Adjusted","Sort=A","Dates=H","DateFormat=P","Fill=—","Direction=H","UseDPDF=Y")</f>
        <v>780.8</v>
      </c>
      <c r="E12" s="13">
        <f>_xll.BDH("MCHP US Equity","IS_OPERATING_EXPN","FY 2016","FY 2016","Currency=USD","Period=FY","BEST_FPERIOD_OVERRIDE=FY","FILING_STATUS=MR","SCALING_FORMAT=MLN","FA_ADJUSTED=Adjusted","Sort=A","Dates=H","DateFormat=P","Fill=—","Direction=H","UseDPDF=Y")</f>
        <v>818.46799999999996</v>
      </c>
      <c r="F12" s="13">
        <f>_xll.BDH("MCHP US Equity","IS_OPERATING_EXPN","FY 2017","FY 2017","Currency=USD","Period=FY","BEST_FPERIOD_OVERRIDE=FY","FILING_STATUS=MR","SCALING_FORMAT=MLN","FA_ADJUSTED=Adjusted","Sort=A","Dates=H","DateFormat=P","Fill=—","Direction=H","UseDPDF=Y")</f>
        <v>1153.8</v>
      </c>
      <c r="G12" s="13">
        <f>_xll.BDH("MCHP US Equity","IS_OPERATING_EXPN","FY 2018","FY 2018","Currency=USD","Period=FY","BEST_FPERIOD_OVERRIDE=FY","FILING_STATUS=MR","SCALING_FORMAT=MLN","FA_ADJUSTED=Adjusted","Sort=A","Dates=H","DateFormat=P","Fill=—","Direction=H","UseDPDF=Y")</f>
        <v>1462.8</v>
      </c>
      <c r="H12" s="13">
        <f>_xll.BDH("MCHP US Equity","IS_OPERATING_EXPN","FY 2019","FY 2019","Currency=USD","Period=FY","BEST_FPERIOD_OVERRIDE=FY","FILING_STATUS=MR","SCALING_FORMAT=MLN","FA_ADJUSTED=Adjusted","Sort=A","Dates=H","DateFormat=P","Fill=—","Direction=H","UseDPDF=Y")</f>
        <v>2139.1999999999998</v>
      </c>
      <c r="I12" s="13">
        <f>_xll.BDH("MCHP US Equity","IS_OPERATING_EXPN","FY 2020","FY 2020","Currency=USD","Period=FY","BEST_FPERIOD_OVERRIDE=FY","FILING_STATUS=MR","SCALING_FORMAT=MLN","FA_ADJUSTED=Adjusted","Sort=A","Dates=H","DateFormat=P","Fill=—","Direction=H","UseDPDF=Y")</f>
        <v>2512.5</v>
      </c>
      <c r="J12" s="16">
        <v>2407.1999999999998</v>
      </c>
      <c r="K12" s="13"/>
      <c r="L12" s="13"/>
    </row>
    <row r="13" spans="1:12" x14ac:dyDescent="0.45">
      <c r="A13" s="10" t="s">
        <v>39</v>
      </c>
      <c r="B13" s="10" t="s">
        <v>40</v>
      </c>
      <c r="C13" s="13">
        <f>_xll.BDH("MCHP US Equity","IS_SG&amp;A_EXPENSE","FY 2014","FY 2014","Currency=USD","Period=FY","BEST_FPERIOD_OVERRIDE=FY","FILING_STATUS=MR","SCALING_FORMAT=MLN","FA_ADJUSTED=Adjusted","Sort=A","Dates=H","DateFormat=P","Fill=—","Direction=H","UseDPDF=Y")</f>
        <v>267.27800000000002</v>
      </c>
      <c r="D13" s="13">
        <f>_xll.BDH("MCHP US Equity","IS_SG&amp;A_EXPENSE","FY 2015","FY 2015","Currency=USD","Period=FY","BEST_FPERIOD_OVERRIDE=FY","FILING_STATUS=MR","SCALING_FORMAT=MLN","FA_ADJUSTED=Adjusted","Sort=A","Dates=H","DateFormat=P","Fill=—","Direction=H","UseDPDF=Y")</f>
        <v>270.81400000000002</v>
      </c>
      <c r="E13" s="13">
        <f>_xll.BDH("MCHP US Equity","IS_SG&amp;A_EXPENSE","FY 2016","FY 2016","Currency=USD","Period=FY","BEST_FPERIOD_OVERRIDE=FY","FILING_STATUS=MR","SCALING_FORMAT=MLN","FA_ADJUSTED=Adjusted","Sort=A","Dates=H","DateFormat=P","Fill=—","Direction=H","UseDPDF=Y")</f>
        <v>301.7</v>
      </c>
      <c r="F13" s="13">
        <f>_xll.BDH("MCHP US Equity","IS_SG&amp;A_EXPENSE","FY 2017","FY 2017","Currency=USD","Period=FY","BEST_FPERIOD_OVERRIDE=FY","FILING_STATUS=MR","SCALING_FORMAT=MLN","FA_ADJUSTED=Adjusted","Sort=A","Dates=H","DateFormat=P","Fill=—","Direction=H","UseDPDF=Y")</f>
        <v>472.6</v>
      </c>
      <c r="G13" s="13">
        <f>_xll.BDH("MCHP US Equity","IS_SG&amp;A_EXPENSE","FY 2018","FY 2018","Currency=USD","Period=FY","BEST_FPERIOD_OVERRIDE=FY","FILING_STATUS=MR","SCALING_FORMAT=MLN","FA_ADJUSTED=Adjusted","Sort=A","Dates=H","DateFormat=P","Fill=—","Direction=H","UseDPDF=Y")</f>
        <v>442</v>
      </c>
      <c r="H13" s="13">
        <f>_xll.BDH("MCHP US Equity","IS_SG&amp;A_EXPENSE","FY 2019","FY 2019","Currency=USD","Period=FY","BEST_FPERIOD_OVERRIDE=FY","FILING_STATUS=MR","SCALING_FORMAT=MLN","FA_ADJUSTED=Adjusted","Sort=A","Dates=H","DateFormat=P","Fill=—","Direction=H","UseDPDF=Y")</f>
        <v>641</v>
      </c>
      <c r="I13" s="13">
        <f>_xll.BDH("MCHP US Equity","IS_SG&amp;A_EXPENSE","FY 2020","FY 2020","Currency=USD","Period=FY","BEST_FPERIOD_OVERRIDE=FY","FILING_STATUS=MR","SCALING_FORMAT=MLN","FA_ADJUSTED=Adjusted","Sort=A","Dates=H","DateFormat=P","Fill=—","Direction=H","UseDPDF=Y")</f>
        <v>640.9</v>
      </c>
      <c r="J13" s="16">
        <v>605.70000000000005</v>
      </c>
      <c r="K13" s="13"/>
      <c r="L13" s="13"/>
    </row>
    <row r="14" spans="1:12" x14ac:dyDescent="0.45">
      <c r="A14" s="10" t="s">
        <v>41</v>
      </c>
      <c r="B14" s="10" t="s">
        <v>42</v>
      </c>
      <c r="C14" s="13">
        <f>_xll.BDH("MCHP US Equity","IS_OPEX_R&amp;D","FY 2014","FY 2014","Currency=USD","Period=FY","BEST_FPERIOD_OVERRIDE=FY","FILING_STATUS=MR","SCALING_FORMAT=MLN","Sort=A","Dates=H","DateFormat=P","Fill=—","Direction=H","UseDPDF=Y")</f>
        <v>305.04300000000001</v>
      </c>
      <c r="D14" s="13">
        <f>_xll.BDH("MCHP US Equity","IS_OPEX_R&amp;D","FY 2015","FY 2015","Currency=USD","Period=FY","BEST_FPERIOD_OVERRIDE=FY","FILING_STATUS=MR","SCALING_FORMAT=MLN","Sort=A","Dates=H","DateFormat=P","Fill=—","Direction=H","UseDPDF=Y")</f>
        <v>349.54300000000001</v>
      </c>
      <c r="E14" s="13">
        <f>_xll.BDH("MCHP US Equity","IS_OPEX_R&amp;D","FY 2016","FY 2016","Currency=USD","Period=FY","BEST_FPERIOD_OVERRIDE=FY","FILING_STATUS=MR","SCALING_FORMAT=MLN","Sort=A","Dates=H","DateFormat=P","Fill=—","Direction=H","UseDPDF=Y")</f>
        <v>372.6</v>
      </c>
      <c r="F14" s="13">
        <f>_xll.BDH("MCHP US Equity","IS_OPEX_R&amp;D","FY 2017","FY 2017","Currency=USD","Period=FY","BEST_FPERIOD_OVERRIDE=FY","FILING_STATUS=MR","SCALING_FORMAT=MLN","Sort=A","Dates=H","DateFormat=P","Fill=—","Direction=H","UseDPDF=Y")</f>
        <v>545.29999999999995</v>
      </c>
      <c r="G14" s="13">
        <f>_xll.BDH("MCHP US Equity","IS_OPEX_R&amp;D","FY 2018","FY 2018","Currency=USD","Period=FY","BEST_FPERIOD_OVERRIDE=FY","FILING_STATUS=MR","SCALING_FORMAT=MLN","Sort=A","Dates=H","DateFormat=P","Fill=—","Direction=H","UseDPDF=Y")</f>
        <v>529.29999999999995</v>
      </c>
      <c r="H14" s="13">
        <f>_xll.BDH("MCHP US Equity","IS_OPEX_R&amp;D","FY 2019","FY 2019","Currency=USD","Period=FY","BEST_FPERIOD_OVERRIDE=FY","FILING_STATUS=MR","SCALING_FORMAT=MLN","Sort=A","Dates=H","DateFormat=P","Fill=—","Direction=H","UseDPDF=Y")</f>
        <v>824.9</v>
      </c>
      <c r="I14" s="13">
        <f>_xll.BDH("MCHP US Equity","IS_OPEX_R&amp;D","FY 2020","FY 2020","Currency=USD","Period=FY","BEST_FPERIOD_OVERRIDE=FY","FILING_STATUS=MR","SCALING_FORMAT=MLN","Sort=A","Dates=H","DateFormat=P","Fill=—","Direction=H","UseDPDF=Y")</f>
        <v>877.7</v>
      </c>
      <c r="J14" s="16">
        <v>836.7</v>
      </c>
      <c r="K14" s="13"/>
      <c r="L14" s="13"/>
    </row>
    <row r="15" spans="1:12" x14ac:dyDescent="0.45">
      <c r="A15" s="10" t="s">
        <v>43</v>
      </c>
      <c r="B15" s="10" t="s">
        <v>44</v>
      </c>
      <c r="C15" s="13">
        <f>_xll.BDH("MCHP US Equity","IS_OTHER_OPERATING_EXPENSES","FY 2014","FY 2014","Currency=USD","Period=FY","BEST_FPERIOD_OVERRIDE=FY","FILING_STATUS=MR","SCALING_FORMAT=MLN","FA_ADJUSTED=Adjusted","Sort=A","Dates=H","DateFormat=P","Fill=—","Direction=H","UseDPDF=Y")</f>
        <v>91.88</v>
      </c>
      <c r="D15" s="13">
        <f>_xll.BDH("MCHP US Equity","IS_OTHER_OPERATING_EXPENSES","FY 2015","FY 2015","Currency=USD","Period=FY","BEST_FPERIOD_OVERRIDE=FY","FILING_STATUS=MR","SCALING_FORMAT=MLN","FA_ADJUSTED=Adjusted","Sort=A","Dates=H","DateFormat=P","Fill=—","Direction=H","UseDPDF=Y")</f>
        <v>160.44300000000001</v>
      </c>
      <c r="E15" s="13">
        <f>_xll.BDH("MCHP US Equity","IS_OTHER_OPERATING_EXPENSES","FY 2016","FY 2016","Currency=USD","Period=FY","BEST_FPERIOD_OVERRIDE=FY","FILING_STATUS=MR","SCALING_FORMAT=MLN","FA_ADJUSTED=Adjusted","Sort=A","Dates=H","DateFormat=P","Fill=—","Direction=H","UseDPDF=Y")</f>
        <v>144.16800000000001</v>
      </c>
      <c r="F15" s="13">
        <f>_xll.BDH("MCHP US Equity","IS_OTHER_OPERATING_EXPENSES","FY 2017","FY 2017","Currency=USD","Period=FY","BEST_FPERIOD_OVERRIDE=FY","FILING_STATUS=MR","SCALING_FORMAT=MLN","FA_ADJUSTED=Adjusted","Sort=A","Dates=H","DateFormat=P","Fill=—","Direction=H","UseDPDF=Y")</f>
        <v>135.9</v>
      </c>
      <c r="G15" s="13">
        <f>_xll.BDH("MCHP US Equity","IS_OTHER_OPERATING_EXPENSES","FY 2018","FY 2018","Currency=USD","Period=FY","BEST_FPERIOD_OVERRIDE=FY","FILING_STATUS=MR","SCALING_FORMAT=MLN","FA_ADJUSTED=Adjusted","Sort=A","Dates=H","DateFormat=P","Fill=—","Direction=H","UseDPDF=Y")</f>
        <v>491.5</v>
      </c>
      <c r="H15" s="13">
        <f>_xll.BDH("MCHP US Equity","IS_OTHER_OPERATING_EXPENSES","FY 2019","FY 2019","Currency=USD","Period=FY","BEST_FPERIOD_OVERRIDE=FY","FILING_STATUS=MR","SCALING_FORMAT=MLN","FA_ADJUSTED=Adjusted","Sort=A","Dates=H","DateFormat=P","Fill=—","Direction=H","UseDPDF=Y")</f>
        <v>673.3</v>
      </c>
      <c r="I15" s="13">
        <f>_xll.BDH("MCHP US Equity","IS_OTHER_OPERATING_EXPENSES","FY 2020","FY 2020","Currency=USD","Period=FY","BEST_FPERIOD_OVERRIDE=FY","FILING_STATUS=MR","SCALING_FORMAT=MLN","FA_ADJUSTED=Adjusted","Sort=A","Dates=H","DateFormat=P","Fill=—","Direction=H","UseDPDF=Y")</f>
        <v>993.9</v>
      </c>
      <c r="J15" s="16">
        <v>964.8</v>
      </c>
      <c r="K15" s="13"/>
      <c r="L15" s="13"/>
    </row>
    <row r="16" spans="1:12" x14ac:dyDescent="0.45">
      <c r="A16" s="6" t="s">
        <v>45</v>
      </c>
      <c r="B16" s="6" t="s">
        <v>46</v>
      </c>
      <c r="C16" s="19">
        <f>_xll.BDH("MCHP US Equity","IS_OPER_INC","FY 2014","FY 2014","Currency=USD","Period=FY","BEST_FPERIOD_OVERRIDE=FY","FILING_STATUS=MR","SCALING_FORMAT=MLN","FA_ADJUSTED=Adjusted","Sort=A","Dates=H","DateFormat=P","Fill=—","Direction=H","UseDPDF=Y")</f>
        <v>464.54199999999997</v>
      </c>
      <c r="D16" s="19">
        <f>_xll.BDH("MCHP US Equity","IS_OPER_INC","FY 2015","FY 2015","Currency=USD","Period=FY","BEST_FPERIOD_OVERRIDE=FY","FILING_STATUS=MR","SCALING_FORMAT=MLN","FA_ADJUSTED=Adjusted","Sort=A","Dates=H","DateFormat=P","Fill=—","Direction=H","UseDPDF=Y")</f>
        <v>448.76400000000001</v>
      </c>
      <c r="E16" s="19">
        <f>_xll.BDH("MCHP US Equity","IS_OPER_INC","FY 2016","FY 2016","Currency=USD","Period=FY","BEST_FPERIOD_OVERRIDE=FY","FILING_STATUS=MR","SCALING_FORMAT=MLN","FA_ADJUSTED=Adjusted","Sort=A","Dates=H","DateFormat=P","Fill=—","Direction=H","UseDPDF=Y")</f>
        <v>387.03199999999998</v>
      </c>
      <c r="F16" s="19">
        <f>_xll.BDH("MCHP US Equity","IS_OPER_INC","FY 2017","FY 2017","Currency=USD","Period=FY","BEST_FPERIOD_OVERRIDE=FY","FILING_STATUS=MR","SCALING_FORMAT=MLN","FA_ADJUSTED=Adjusted","Sort=A","Dates=H","DateFormat=P","Fill=—","Direction=H","UseDPDF=Y")</f>
        <v>603.4</v>
      </c>
      <c r="G16" s="19">
        <f>_xll.BDH("MCHP US Equity","IS_OPER_INC","FY 2018","FY 2018","Currency=USD","Period=FY","BEST_FPERIOD_OVERRIDE=FY","FILING_STATUS=MR","SCALING_FORMAT=MLN","FA_ADJUSTED=Adjusted","Sort=A","Dates=H","DateFormat=P","Fill=—","Direction=H","UseDPDF=Y")</f>
        <v>957.9</v>
      </c>
      <c r="H16" s="19">
        <f>_xll.BDH("MCHP US Equity","IS_OPER_INC","FY 2019","FY 2019","Currency=USD","Period=FY","BEST_FPERIOD_OVERRIDE=FY","FILING_STATUS=MR","SCALING_FORMAT=MLN","FA_ADJUSTED=Adjusted","Sort=A","Dates=H","DateFormat=P","Fill=—","Direction=H","UseDPDF=Y")</f>
        <v>792.1</v>
      </c>
      <c r="I16" s="19">
        <f>_xll.BDH("MCHP US Equity","IS_OPER_INC","FY 2020","FY 2020","Currency=USD","Period=FY","BEST_FPERIOD_OVERRIDE=FY","FILING_STATUS=MR","SCALING_FORMAT=MLN","FA_ADJUSTED=Adjusted","Sort=A","Dates=H","DateFormat=P","Fill=—","Direction=H","UseDPDF=Y")</f>
        <v>729.6</v>
      </c>
      <c r="J16" s="22">
        <v>798.4</v>
      </c>
      <c r="K16" s="19">
        <v>2093.6880000000001</v>
      </c>
      <c r="L16" s="19">
        <v>2392.625</v>
      </c>
    </row>
    <row r="17" spans="1:12" x14ac:dyDescent="0.45">
      <c r="A17" s="10" t="s">
        <v>47</v>
      </c>
      <c r="B17" s="10" t="s">
        <v>48</v>
      </c>
      <c r="C17" s="13">
        <f>_xll.BDH("MCHP US Equity","IS_NONOP_INCOME_LOSS","FY 2014","FY 2014","Currency=USD","Period=FY","BEST_FPERIOD_OVERRIDE=FY","FILING_STATUS=MR","SCALING_FORMAT=MLN","FA_ADJUSTED=Adjusted","Sort=A","Dates=H","DateFormat=P","Fill=—","Direction=H","UseDPDF=Y")</f>
        <v>28.202000000000002</v>
      </c>
      <c r="D17" s="13">
        <f>_xll.BDH("MCHP US Equity","IS_NONOP_INCOME_LOSS","FY 2015","FY 2015","Currency=USD","Period=FY","BEST_FPERIOD_OVERRIDE=FY","FILING_STATUS=MR","SCALING_FORMAT=MLN","FA_ADJUSTED=Adjusted","Sort=A","Dates=H","DateFormat=P","Fill=—","Direction=H","UseDPDF=Y")</f>
        <v>47.551000000000002</v>
      </c>
      <c r="E17" s="13">
        <f>_xll.BDH("MCHP US Equity","IS_NONOP_INCOME_LOSS","FY 2016","FY 2016","Currency=USD","Period=FY","BEST_FPERIOD_OVERRIDE=FY","FILING_STATUS=MR","SCALING_FORMAT=MLN","FA_ADJUSTED=Adjusted","Sort=A","Dates=H","DateFormat=P","Fill=—","Direction=H","UseDPDF=Y")</f>
        <v>82.956999999999994</v>
      </c>
      <c r="F17" s="13">
        <f>_xll.BDH("MCHP US Equity","IS_NONOP_INCOME_LOSS","FY 2017","FY 2017","Currency=USD","Period=FY","BEST_FPERIOD_OVERRIDE=FY","FILING_STATUS=MR","SCALING_FORMAT=MLN","FA_ADJUSTED=Adjusted","Sort=A","Dates=H","DateFormat=P","Fill=—","Direction=H","UseDPDF=Y")</f>
        <v>140.69999999999999</v>
      </c>
      <c r="G17" s="13">
        <f>_xll.BDH("MCHP US Equity","IS_NONOP_INCOME_LOSS","FY 2018","FY 2018","Currency=USD","Period=FY","BEST_FPERIOD_OVERRIDE=FY","FILING_STATUS=MR","SCALING_FORMAT=MLN","FA_ADJUSTED=Adjusted","Sort=A","Dates=H","DateFormat=P","Fill=—","Direction=H","UseDPDF=Y")</f>
        <v>167.5</v>
      </c>
      <c r="H17" s="13">
        <f>_xll.BDH("MCHP US Equity","IS_NONOP_INCOME_LOSS","FY 2019","FY 2019","Currency=USD","Period=FY","BEST_FPERIOD_OVERRIDE=FY","FILING_STATUS=MR","SCALING_FORMAT=MLN","FA_ADJUSTED=Adjusted","Sort=A","Dates=H","DateFormat=P","Fill=—","Direction=H","UseDPDF=Y")</f>
        <v>491.2</v>
      </c>
      <c r="I17" s="13">
        <f>_xll.BDH("MCHP US Equity","IS_NONOP_INCOME_LOSS","FY 2020","FY 2020","Currency=USD","Period=FY","BEST_FPERIOD_OVERRIDE=FY","FILING_STATUS=MR","SCALING_FORMAT=MLN","FA_ADJUSTED=Adjusted","Sort=A","Dates=H","DateFormat=P","Fill=—","Direction=H","UseDPDF=Y")</f>
        <v>493.9</v>
      </c>
      <c r="J17" s="16">
        <v>428.1</v>
      </c>
      <c r="K17" s="13"/>
      <c r="L17" s="13"/>
    </row>
    <row r="18" spans="1:12" x14ac:dyDescent="0.45">
      <c r="A18" s="10" t="s">
        <v>49</v>
      </c>
      <c r="B18" s="10" t="s">
        <v>50</v>
      </c>
      <c r="C18" s="13">
        <f>_xll.BDH("MCHP US Equity","IS_NET_INTEREST_EXPENSE","FY 2014","FY 2014","Currency=USD","Period=FY","BEST_FPERIOD_OVERRIDE=FY","FILING_STATUS=MR","SCALING_FORMAT=MLN","FA_ADJUSTED=Adjusted","Sort=A","Dates=H","DateFormat=P","Fill=—","Direction=H","UseDPDF=Y")</f>
        <v>32.231000000000002</v>
      </c>
      <c r="D18" s="13">
        <f>_xll.BDH("MCHP US Equity","IS_NET_INTEREST_EXPENSE","FY 2015","FY 2015","Currency=USD","Period=FY","BEST_FPERIOD_OVERRIDE=FY","FILING_STATUS=MR","SCALING_FORMAT=MLN","FA_ADJUSTED=Adjusted","Sort=A","Dates=H","DateFormat=P","Fill=—","Direction=H","UseDPDF=Y")</f>
        <v>42.506999999999998</v>
      </c>
      <c r="E18" s="13">
        <f>_xll.BDH("MCHP US Equity","IS_NET_INTEREST_EXPENSE","FY 2016","FY 2016","Currency=USD","Period=FY","BEST_FPERIOD_OVERRIDE=FY","FILING_STATUS=MR","SCALING_FORMAT=MLN","FA_ADJUSTED=Adjusted","Sort=A","Dates=H","DateFormat=P","Fill=—","Direction=H","UseDPDF=Y")</f>
        <v>79.599999999999994</v>
      </c>
      <c r="F18" s="13">
        <f>_xll.BDH("MCHP US Equity","IS_NET_INTEREST_EXPENSE","FY 2017","FY 2017","Currency=USD","Period=FY","BEST_FPERIOD_OVERRIDE=FY","FILING_STATUS=MR","SCALING_FORMAT=MLN","FA_ADJUSTED=Adjusted","Sort=A","Dates=H","DateFormat=P","Fill=—","Direction=H","UseDPDF=Y")</f>
        <v>143.19999999999999</v>
      </c>
      <c r="G18" s="13">
        <f>_xll.BDH("MCHP US Equity","IS_NET_INTEREST_EXPENSE","FY 2018","FY 2018","Currency=USD","Period=FY","BEST_FPERIOD_OVERRIDE=FY","FILING_STATUS=MR","SCALING_FORMAT=MLN","FA_ADJUSTED=Adjusted","Sort=A","Dates=H","DateFormat=P","Fill=—","Direction=H","UseDPDF=Y")</f>
        <v>177</v>
      </c>
      <c r="H18" s="13">
        <f>_xll.BDH("MCHP US Equity","IS_NET_INTEREST_EXPENSE","FY 2019","FY 2019","Currency=USD","Period=FY","BEST_FPERIOD_OVERRIDE=FY","FILING_STATUS=MR","SCALING_FORMAT=MLN","FA_ADJUSTED=Adjusted","Sort=A","Dates=H","DateFormat=P","Fill=—","Direction=H","UseDPDF=Y")</f>
        <v>494.8</v>
      </c>
      <c r="I18" s="13">
        <f>_xll.BDH("MCHP US Equity","IS_NET_INTEREST_EXPENSE","FY 2020","FY 2020","Currency=USD","Period=FY","BEST_FPERIOD_OVERRIDE=FY","FILING_STATUS=MR","SCALING_FORMAT=MLN","FA_ADJUSTED=Adjusted","Sort=A","Dates=H","DateFormat=P","Fill=—","Direction=H","UseDPDF=Y")</f>
        <v>494.5</v>
      </c>
      <c r="J18" s="16">
        <v>425.8</v>
      </c>
      <c r="K18" s="13"/>
      <c r="L18" s="13"/>
    </row>
    <row r="19" spans="1:12" x14ac:dyDescent="0.45">
      <c r="A19" s="11" t="s">
        <v>51</v>
      </c>
      <c r="B19" s="11" t="s">
        <v>52</v>
      </c>
      <c r="C19" s="24">
        <f>_xll.BDH("MCHP US Equity","IS_INT_EXPENSE","FY 2014","FY 2014","Currency=USD","Period=FY","BEST_FPERIOD_OVERRIDE=FY","FILING_STATUS=MR","SCALING_FORMAT=MLN","FA_ADJUSTED=Adjusted","Sort=A","Dates=H","DateFormat=P","Fill=—","Direction=H","UseDPDF=Y")</f>
        <v>48.716000000000001</v>
      </c>
      <c r="D19" s="24">
        <f>_xll.BDH("MCHP US Equity","IS_INT_EXPENSE","FY 2015","FY 2015","Currency=USD","Period=FY","BEST_FPERIOD_OVERRIDE=FY","FILING_STATUS=MR","SCALING_FORMAT=MLN","FA_ADJUSTED=Adjusted","Sort=A","Dates=H","DateFormat=P","Fill=—","Direction=H","UseDPDF=Y")</f>
        <v>62.033999999999999</v>
      </c>
      <c r="E19" s="24">
        <f>_xll.BDH("MCHP US Equity","IS_INT_EXPENSE","FY 2016","FY 2016","Currency=USD","Period=FY","BEST_FPERIOD_OVERRIDE=FY","FILING_STATUS=MR","SCALING_FORMAT=MLN","FA_ADJUSTED=Adjusted","Sort=A","Dates=H","DateFormat=P","Fill=—","Direction=H","UseDPDF=Y")</f>
        <v>104</v>
      </c>
      <c r="F19" s="24">
        <f>_xll.BDH("MCHP US Equity","IS_INT_EXPENSE","FY 2017","FY 2017","Currency=USD","Period=FY","BEST_FPERIOD_OVERRIDE=FY","FILING_STATUS=MR","SCALING_FORMAT=MLN","FA_ADJUSTED=Adjusted","Sort=A","Dates=H","DateFormat=P","Fill=—","Direction=H","UseDPDF=Y")</f>
        <v>146.30000000000001</v>
      </c>
      <c r="G19" s="24">
        <f>_xll.BDH("MCHP US Equity","IS_INT_EXPENSE","FY 2018","FY 2018","Currency=USD","Period=FY","BEST_FPERIOD_OVERRIDE=FY","FILING_STATUS=MR","SCALING_FORMAT=MLN","FA_ADJUSTED=Adjusted","Sort=A","Dates=H","DateFormat=P","Fill=—","Direction=H","UseDPDF=Y")</f>
        <v>199</v>
      </c>
      <c r="H19" s="24">
        <f>_xll.BDH("MCHP US Equity","IS_INT_EXPENSE","FY 2019","FY 2019","Currency=USD","Period=FY","BEST_FPERIOD_OVERRIDE=FY","FILING_STATUS=MR","SCALING_FORMAT=MLN","FA_ADJUSTED=Adjusted","Sort=A","Dates=H","DateFormat=P","Fill=—","Direction=H","UseDPDF=Y")</f>
        <v>502.9</v>
      </c>
      <c r="I19" s="24">
        <f>_xll.BDH("MCHP US Equity","IS_INT_EXPENSE","FY 2020","FY 2020","Currency=USD","Period=FY","BEST_FPERIOD_OVERRIDE=FY","FILING_STATUS=MR","SCALING_FORMAT=MLN","FA_ADJUSTED=Adjusted","Sort=A","Dates=H","DateFormat=P","Fill=—","Direction=H","UseDPDF=Y")</f>
        <v>497.3</v>
      </c>
      <c r="J19" s="25">
        <v>427.5</v>
      </c>
      <c r="K19" s="24"/>
      <c r="L19" s="24"/>
    </row>
    <row r="20" spans="1:12" x14ac:dyDescent="0.45">
      <c r="A20" s="11" t="s">
        <v>53</v>
      </c>
      <c r="B20" s="11" t="s">
        <v>54</v>
      </c>
      <c r="C20" s="24">
        <f>_xll.BDH("MCHP US Equity","IS_INT_INC","FY 2014","FY 2014","Currency=USD","Period=FY","BEST_FPERIOD_OVERRIDE=FY","FILING_STATUS=MR","SCALING_FORMAT=MLN","FA_ADJUSTED=Adjusted","Sort=A","Dates=H","DateFormat=P","Fill=—","Direction=H","UseDPDF=Y")</f>
        <v>16.484999999999999</v>
      </c>
      <c r="D20" s="24">
        <f>_xll.BDH("MCHP US Equity","IS_INT_INC","FY 2015","FY 2015","Currency=USD","Period=FY","BEST_FPERIOD_OVERRIDE=FY","FILING_STATUS=MR","SCALING_FORMAT=MLN","FA_ADJUSTED=Adjusted","Sort=A","Dates=H","DateFormat=P","Fill=—","Direction=H","UseDPDF=Y")</f>
        <v>19.527000000000001</v>
      </c>
      <c r="E20" s="24">
        <f>_xll.BDH("MCHP US Equity","IS_INT_INC","FY 2016","FY 2016","Currency=USD","Period=FY","BEST_FPERIOD_OVERRIDE=FY","FILING_STATUS=MR","SCALING_FORMAT=MLN","FA_ADJUSTED=Adjusted","Sort=A","Dates=H","DateFormat=P","Fill=—","Direction=H","UseDPDF=Y")</f>
        <v>24.4</v>
      </c>
      <c r="F20" s="24">
        <f>_xll.BDH("MCHP US Equity","IS_INT_INC","FY 2017","FY 2017","Currency=USD","Period=FY","BEST_FPERIOD_OVERRIDE=FY","FILING_STATUS=MR","SCALING_FORMAT=MLN","FA_ADJUSTED=Adjusted","Sort=A","Dates=H","DateFormat=P","Fill=—","Direction=H","UseDPDF=Y")</f>
        <v>3.1</v>
      </c>
      <c r="G20" s="24">
        <f>_xll.BDH("MCHP US Equity","IS_INT_INC","FY 2018","FY 2018","Currency=USD","Period=FY","BEST_FPERIOD_OVERRIDE=FY","FILING_STATUS=MR","SCALING_FORMAT=MLN","FA_ADJUSTED=Adjusted","Sort=A","Dates=H","DateFormat=P","Fill=—","Direction=H","UseDPDF=Y")</f>
        <v>22</v>
      </c>
      <c r="H20" s="24">
        <f>_xll.BDH("MCHP US Equity","IS_INT_INC","FY 2019","FY 2019","Currency=USD","Period=FY","BEST_FPERIOD_OVERRIDE=FY","FILING_STATUS=MR","SCALING_FORMAT=MLN","FA_ADJUSTED=Adjusted","Sort=A","Dates=H","DateFormat=P","Fill=—","Direction=H","UseDPDF=Y")</f>
        <v>8.1</v>
      </c>
      <c r="I20" s="24">
        <f>_xll.BDH("MCHP US Equity","IS_INT_INC","FY 2020","FY 2020","Currency=USD","Period=FY","BEST_FPERIOD_OVERRIDE=FY","FILING_STATUS=MR","SCALING_FORMAT=MLN","FA_ADJUSTED=Adjusted","Sort=A","Dates=H","DateFormat=P","Fill=—","Direction=H","UseDPDF=Y")</f>
        <v>2.8</v>
      </c>
      <c r="J20" s="25">
        <v>1.7</v>
      </c>
      <c r="K20" s="24"/>
      <c r="L20" s="24"/>
    </row>
    <row r="21" spans="1:12" x14ac:dyDescent="0.45">
      <c r="A21" s="10" t="s">
        <v>55</v>
      </c>
      <c r="B21" s="10" t="s">
        <v>56</v>
      </c>
      <c r="C21" s="13">
        <f>_xll.BDH("MCHP US Equity","IS_FOREIGN_EXCH_LOSS","FY 2014","FY 2014","Currency=USD","Period=FY","BEST_FPERIOD_OVERRIDE=FY","FILING_STATUS=MR","SCALING_FORMAT=MLN","FA_ADJUSTED=Adjusted","Sort=A","Dates=H","DateFormat=P","Fill=—","Direction=H","UseDPDF=Y")</f>
        <v>0</v>
      </c>
      <c r="D21" s="13">
        <f>_xll.BDH("MCHP US Equity","IS_FOREIGN_EXCH_LOSS","FY 2015","FY 2015","Currency=USD","Period=FY","BEST_FPERIOD_OVERRIDE=FY","FILING_STATUS=MR","SCALING_FORMAT=MLN","FA_ADJUSTED=Adjusted","Sort=A","Dates=H","DateFormat=P","Fill=—","Direction=H","UseDPDF=Y")</f>
        <v>0</v>
      </c>
      <c r="E21" s="13">
        <f>_xll.BDH("MCHP US Equity","IS_FOREIGN_EXCH_LOSS","FY 2016","FY 2016","Currency=USD","Period=FY","BEST_FPERIOD_OVERRIDE=FY","FILING_STATUS=MR","SCALING_FORMAT=MLN","FA_ADJUSTED=Adjusted","Sort=A","Dates=H","DateFormat=P","Fill=—","Direction=H","UseDPDF=Y")</f>
        <v>0</v>
      </c>
      <c r="F21" s="13">
        <f>_xll.BDH("MCHP US Equity","IS_FOREIGN_EXCH_LOSS","FY 2017","FY 2017","Currency=USD","Period=FY","BEST_FPERIOD_OVERRIDE=FY","FILING_STATUS=MR","SCALING_FORMAT=MLN","FA_ADJUSTED=Adjusted","Sort=A","Dates=H","DateFormat=P","Fill=—","Direction=H","UseDPDF=Y")</f>
        <v>0</v>
      </c>
      <c r="G21" s="13">
        <f>_xll.BDH("MCHP US Equity","IS_FOREIGN_EXCH_LOSS","FY 2018","FY 2018","Currency=USD","Period=FY","BEST_FPERIOD_OVERRIDE=FY","FILING_STATUS=MR","SCALING_FORMAT=MLN","FA_ADJUSTED=Adjusted","Sort=A","Dates=H","DateFormat=P","Fill=—","Direction=H","UseDPDF=Y")</f>
        <v>0</v>
      </c>
      <c r="H21" s="13">
        <f>_xll.BDH("MCHP US Equity","IS_FOREIGN_EXCH_LOSS","FY 2019","FY 2019","Currency=USD","Period=FY","BEST_FPERIOD_OVERRIDE=FY","FILING_STATUS=MR","SCALING_FORMAT=MLN","FA_ADJUSTED=Adjusted","Sort=A","Dates=H","DateFormat=P","Fill=—","Direction=H","UseDPDF=Y")</f>
        <v>0</v>
      </c>
      <c r="I21" s="13">
        <f>_xll.BDH("MCHP US Equity","IS_FOREIGN_EXCH_LOSS","FY 2020","FY 2020","Currency=USD","Period=FY","BEST_FPERIOD_OVERRIDE=FY","FILING_STATUS=MR","SCALING_FORMAT=MLN","FA_ADJUSTED=Adjusted","Sort=A","Dates=H","DateFormat=P","Fill=—","Direction=H","UseDPDF=Y")</f>
        <v>0</v>
      </c>
      <c r="J21" s="16"/>
      <c r="K21" s="13"/>
      <c r="L21" s="13"/>
    </row>
    <row r="22" spans="1:12" x14ac:dyDescent="0.45">
      <c r="A22" s="10" t="s">
        <v>57</v>
      </c>
      <c r="B22" s="10" t="s">
        <v>58</v>
      </c>
      <c r="C22" s="13">
        <f>_xll.BDH("MCHP US Equity","INCOME_LOSS_FROM_AFFILIATES","FY 2014","FY 2014","Currency=USD","Period=FY","BEST_FPERIOD_OVERRIDE=FY","FILING_STATUS=MR","SCALING_FORMAT=MLN","FA_ADJUSTED=Adjusted","Sort=A","Dates=H","DateFormat=P","Fill=—","Direction=H","UseDPDF=Y")</f>
        <v>0.17699999999999999</v>
      </c>
      <c r="D22" s="13">
        <f>_xll.BDH("MCHP US Equity","INCOME_LOSS_FROM_AFFILIATES","FY 2015","FY 2015","Currency=USD","Period=FY","BEST_FPERIOD_OVERRIDE=FY","FILING_STATUS=MR","SCALING_FORMAT=MLN","FA_ADJUSTED=Adjusted","Sort=A","Dates=H","DateFormat=P","Fill=—","Direction=H","UseDPDF=Y")</f>
        <v>0.317</v>
      </c>
      <c r="E22" s="13">
        <f>_xll.BDH("MCHP US Equity","INCOME_LOSS_FROM_AFFILIATES","FY 2016","FY 2016","Currency=USD","Period=FY","BEST_FPERIOD_OVERRIDE=FY","FILING_STATUS=MR","SCALING_FORMAT=MLN","FA_ADJUSTED=Adjusted","Sort=A","Dates=H","DateFormat=P","Fill=—","Direction=H","UseDPDF=Y")</f>
        <v>0.3</v>
      </c>
      <c r="F22" s="13">
        <f>_xll.BDH("MCHP US Equity","INCOME_LOSS_FROM_AFFILIATES","FY 2017","FY 2017","Currency=USD","Period=FY","BEST_FPERIOD_OVERRIDE=FY","FILING_STATUS=MR","SCALING_FORMAT=MLN","FA_ADJUSTED=Adjusted","Sort=A","Dates=H","DateFormat=P","Fill=—","Direction=H","UseDPDF=Y")</f>
        <v>0.2</v>
      </c>
      <c r="G22" s="13">
        <f>_xll.BDH("MCHP US Equity","INCOME_LOSS_FROM_AFFILIATES","FY 2018","FY 2018","Currency=USD","Period=FY","BEST_FPERIOD_OVERRIDE=FY","FILING_STATUS=MR","SCALING_FORMAT=MLN","FA_ADJUSTED=Adjusted","Sort=A","Dates=H","DateFormat=P","Fill=—","Direction=H","UseDPDF=Y")</f>
        <v>0.2</v>
      </c>
      <c r="H22" s="13">
        <f>_xll.BDH("MCHP US Equity","INCOME_LOSS_FROM_AFFILIATES","FY 2019","FY 2019","Currency=USD","Period=FY","BEST_FPERIOD_OVERRIDE=FY","FILING_STATUS=MR","SCALING_FORMAT=MLN","FA_ADJUSTED=Adjusted","Sort=A","Dates=H","DateFormat=P","Fill=—","Direction=H","UseDPDF=Y")</f>
        <v>0.2</v>
      </c>
      <c r="I22" s="13">
        <f>_xll.BDH("MCHP US Equity","INCOME_LOSS_FROM_AFFILIATES","FY 2020","FY 2020","Currency=USD","Period=FY","BEST_FPERIOD_OVERRIDE=FY","FILING_STATUS=MR","SCALING_FORMAT=MLN","FA_ADJUSTED=Adjusted","Sort=A","Dates=H","DateFormat=P","Fill=—","Direction=H","UseDPDF=Y")</f>
        <v>0</v>
      </c>
      <c r="J22" s="16"/>
      <c r="K22" s="13"/>
      <c r="L22" s="13"/>
    </row>
    <row r="23" spans="1:12" x14ac:dyDescent="0.45">
      <c r="A23" s="10" t="s">
        <v>59</v>
      </c>
      <c r="B23" s="10" t="s">
        <v>60</v>
      </c>
      <c r="C23" s="13">
        <f>_xll.BDH("MCHP US Equity","IS_OTHER_NON_OPERATING_INC_LOSS","FY 2014","FY 2014","Currency=USD","Period=FY","BEST_FPERIOD_OVERRIDE=FY","FILING_STATUS=MR","SCALING_FORMAT=MLN","FA_ADJUSTED=Adjusted","Sort=A","Dates=H","DateFormat=P","Fill=—","Direction=H","UseDPDF=Y")</f>
        <v>-4.2060000000000004</v>
      </c>
      <c r="D23" s="13">
        <f>_xll.BDH("MCHP US Equity","IS_OTHER_NON_OPERATING_INC_LOSS","FY 2015","FY 2015","Currency=USD","Period=FY","BEST_FPERIOD_OVERRIDE=FY","FILING_STATUS=MR","SCALING_FORMAT=MLN","FA_ADJUSTED=Adjusted","Sort=A","Dates=H","DateFormat=P","Fill=—","Direction=H","UseDPDF=Y")</f>
        <v>4.7270000000000003</v>
      </c>
      <c r="E23" s="13">
        <f>_xll.BDH("MCHP US Equity","IS_OTHER_NON_OPERATING_INC_LOSS","FY 2016","FY 2016","Currency=USD","Period=FY","BEST_FPERIOD_OVERRIDE=FY","FILING_STATUS=MR","SCALING_FORMAT=MLN","FA_ADJUSTED=Adjusted","Sort=A","Dates=H","DateFormat=P","Fill=—","Direction=H","UseDPDF=Y")</f>
        <v>3.0569999999999999</v>
      </c>
      <c r="F23" s="13">
        <f>_xll.BDH("MCHP US Equity","IS_OTHER_NON_OPERATING_INC_LOSS","FY 2017","FY 2017","Currency=USD","Period=FY","BEST_FPERIOD_OVERRIDE=FY","FILING_STATUS=MR","SCALING_FORMAT=MLN","FA_ADJUSTED=Adjusted","Sort=A","Dates=H","DateFormat=P","Fill=—","Direction=H","UseDPDF=Y")</f>
        <v>-2.7</v>
      </c>
      <c r="G23" s="13">
        <f>_xll.BDH("MCHP US Equity","IS_OTHER_NON_OPERATING_INC_LOSS","FY 2018","FY 2018","Currency=USD","Period=FY","BEST_FPERIOD_OVERRIDE=FY","FILING_STATUS=MR","SCALING_FORMAT=MLN","FA_ADJUSTED=Adjusted","Sort=A","Dates=H","DateFormat=P","Fill=—","Direction=H","UseDPDF=Y")</f>
        <v>-9.6999999999999993</v>
      </c>
      <c r="H23" s="13">
        <f>_xll.BDH("MCHP US Equity","IS_OTHER_NON_OPERATING_INC_LOSS","FY 2019","FY 2019","Currency=USD","Period=FY","BEST_FPERIOD_OVERRIDE=FY","FILING_STATUS=MR","SCALING_FORMAT=MLN","FA_ADJUSTED=Adjusted","Sort=A","Dates=H","DateFormat=P","Fill=—","Direction=H","UseDPDF=Y")</f>
        <v>-3.8</v>
      </c>
      <c r="I23" s="13">
        <f>_xll.BDH("MCHP US Equity","IS_OTHER_NON_OPERATING_INC_LOSS","FY 2020","FY 2020","Currency=USD","Period=FY","BEST_FPERIOD_OVERRIDE=FY","FILING_STATUS=MR","SCALING_FORMAT=MLN","FA_ADJUSTED=Adjusted","Sort=A","Dates=H","DateFormat=P","Fill=—","Direction=H","UseDPDF=Y")</f>
        <v>-0.6</v>
      </c>
      <c r="J23" s="16">
        <v>2.2999999999999998</v>
      </c>
      <c r="K23" s="13"/>
      <c r="L23" s="13"/>
    </row>
    <row r="24" spans="1:12" x14ac:dyDescent="0.45">
      <c r="A24" s="6" t="s">
        <v>61</v>
      </c>
      <c r="B24" s="6" t="s">
        <v>62</v>
      </c>
      <c r="C24" s="19">
        <f>_xll.BDH("MCHP US Equity","PRETAX_INC","FY 2014","FY 2014","Currency=USD","Period=FY","BEST_FPERIOD_OVERRIDE=FY","FILING_STATUS=MR","SCALING_FORMAT=MLN","FA_ADJUSTED=Adjusted","Sort=A","Dates=H","DateFormat=P","Fill=—","Direction=H","UseDPDF=Y")</f>
        <v>436.34</v>
      </c>
      <c r="D24" s="19">
        <f>_xll.BDH("MCHP US Equity","PRETAX_INC","FY 2015","FY 2015","Currency=USD","Period=FY","BEST_FPERIOD_OVERRIDE=FY","FILING_STATUS=MR","SCALING_FORMAT=MLN","FA_ADJUSTED=Adjusted","Sort=A","Dates=H","DateFormat=P","Fill=—","Direction=H","UseDPDF=Y")</f>
        <v>401.21300000000002</v>
      </c>
      <c r="E24" s="19">
        <f>_xll.BDH("MCHP US Equity","PRETAX_INC","FY 2016","FY 2016","Currency=USD","Period=FY","BEST_FPERIOD_OVERRIDE=FY","FILING_STATUS=MR","SCALING_FORMAT=MLN","FA_ADJUSTED=Adjusted","Sort=A","Dates=H","DateFormat=P","Fill=—","Direction=H","UseDPDF=Y")</f>
        <v>304.07499999999999</v>
      </c>
      <c r="F24" s="19">
        <f>_xll.BDH("MCHP US Equity","PRETAX_INC","FY 2017","FY 2017","Currency=USD","Period=FY","BEST_FPERIOD_OVERRIDE=FY","FILING_STATUS=MR","SCALING_FORMAT=MLN","FA_ADJUSTED=Adjusted","Sort=A","Dates=H","DateFormat=P","Fill=—","Direction=H","UseDPDF=Y")</f>
        <v>462.7</v>
      </c>
      <c r="G24" s="19">
        <f>_xll.BDH("MCHP US Equity","PRETAX_INC","FY 2018","FY 2018","Currency=USD","Period=FY","BEST_FPERIOD_OVERRIDE=FY","FILING_STATUS=MR","SCALING_FORMAT=MLN","FA_ADJUSTED=Adjusted","Sort=A","Dates=H","DateFormat=P","Fill=—","Direction=H","UseDPDF=Y")</f>
        <v>790.4</v>
      </c>
      <c r="H24" s="19">
        <f>_xll.BDH("MCHP US Equity","PRETAX_INC","FY 2019","FY 2019","Currency=USD","Period=FY","BEST_FPERIOD_OVERRIDE=FY","FILING_STATUS=MR","SCALING_FORMAT=MLN","FA_ADJUSTED=Adjusted","Sort=A","Dates=H","DateFormat=P","Fill=—","Direction=H","UseDPDF=Y")</f>
        <v>300.89999999999998</v>
      </c>
      <c r="I24" s="19">
        <f>_xll.BDH("MCHP US Equity","PRETAX_INC","FY 2020","FY 2020","Currency=USD","Period=FY","BEST_FPERIOD_OVERRIDE=FY","FILING_STATUS=MR","SCALING_FORMAT=MLN","FA_ADJUSTED=Adjusted","Sort=A","Dates=H","DateFormat=P","Fill=—","Direction=H","UseDPDF=Y")</f>
        <v>235.7</v>
      </c>
      <c r="J24" s="22">
        <v>370.30000381469699</v>
      </c>
      <c r="K24" s="19">
        <v>1793.4</v>
      </c>
      <c r="L24" s="19">
        <v>2117.5880000000002</v>
      </c>
    </row>
    <row r="25" spans="1:12" x14ac:dyDescent="0.45">
      <c r="A25" s="10" t="s">
        <v>63</v>
      </c>
      <c r="B25" s="10" t="s">
        <v>64</v>
      </c>
      <c r="C25" s="13">
        <f>_xll.BDH("MCHP US Equity","IS_ABNORMAL_ITEM","FY 2014","FY 2014","Currency=USD","Period=FY","BEST_FPERIOD_OVERRIDE=FY","FILING_STATUS=MR","SCALING_FORMAT=MLN","Sort=A","Dates=H","DateFormat=P","Fill=—","Direction=H","UseDPDF=Y")</f>
        <v>3.9859999999999998</v>
      </c>
      <c r="D25" s="13">
        <f>_xll.BDH("MCHP US Equity","IS_ABNORMAL_ITEM","FY 2015","FY 2015","Currency=USD","Period=FY","BEST_FPERIOD_OVERRIDE=FY","FILING_STATUS=MR","SCALING_FORMAT=MLN","Sort=A","Dates=H","DateFormat=P","Fill=—","Direction=H","UseDPDF=Y")</f>
        <v>55.305999999999997</v>
      </c>
      <c r="E25" s="13">
        <f>_xll.BDH("MCHP US Equity","IS_ABNORMAL_ITEM","FY 2016","FY 2016","Currency=USD","Period=FY","BEST_FPERIOD_OVERRIDE=FY","FILING_STATUS=MR","SCALING_FORMAT=MLN","Sort=A","Dates=H","DateFormat=P","Fill=—","Direction=H","UseDPDF=Y")</f>
        <v>22.774999999999999</v>
      </c>
      <c r="F25" s="13">
        <f>_xll.BDH("MCHP US Equity","IS_ABNORMAL_ITEM","FY 2017","FY 2017","Currency=USD","Period=FY","BEST_FPERIOD_OVERRIDE=FY","FILING_STATUS=MR","SCALING_FORMAT=MLN","Sort=A","Dates=H","DateFormat=P","Fill=—","Direction=H","UseDPDF=Y")</f>
        <v>372.9</v>
      </c>
      <c r="G25" s="13">
        <f>_xll.BDH("MCHP US Equity","IS_ABNORMAL_ITEM","FY 2018","FY 2018","Currency=USD","Period=FY","BEST_FPERIOD_OVERRIDE=FY","FILING_STATUS=MR","SCALING_FORMAT=MLN","Sort=A","Dates=H","DateFormat=P","Fill=—","Direction=H","UseDPDF=Y")</f>
        <v>53.1</v>
      </c>
      <c r="H25" s="13">
        <f>_xll.BDH("MCHP US Equity","IS_ABNORMAL_ITEM","FY 2019","FY 2019","Currency=USD","Period=FY","BEST_FPERIOD_OVERRIDE=FY","FILING_STATUS=MR","SCALING_FORMAT=MLN","Sort=A","Dates=H","DateFormat=P","Fill=—","Direction=H","UseDPDF=Y")</f>
        <v>96.4</v>
      </c>
      <c r="I25" s="13">
        <f>_xll.BDH("MCHP US Equity","IS_ABNORMAL_ITEM","FY 2020","FY 2020","Currency=USD","Period=FY","BEST_FPERIOD_OVERRIDE=FY","FILING_STATUS=MR","SCALING_FORMAT=MLN","Sort=A","Dates=H","DateFormat=P","Fill=—","Direction=H","UseDPDF=Y")</f>
        <v>85.3</v>
      </c>
      <c r="J25" s="16">
        <v>135.60000038147001</v>
      </c>
      <c r="K25" s="13"/>
      <c r="L25" s="13"/>
    </row>
    <row r="26" spans="1:12" x14ac:dyDescent="0.45">
      <c r="A26" s="10" t="s">
        <v>65</v>
      </c>
      <c r="B26" s="10" t="s">
        <v>66</v>
      </c>
      <c r="C26" s="13">
        <f>_xll.BDH("MCHP US Equity","IS_MERGER_ACQUISITION_EXPENSE","FY 2014","FY 2014","Currency=USD","Period=FY","BEST_FPERIOD_OVERRIDE=FY","FILING_STATUS=MR","SCALING_FORMAT=MLN","Sort=A","Dates=H","DateFormat=P","Fill=—","Direction=H","UseDPDF=Y")</f>
        <v>2.6539999999999999</v>
      </c>
      <c r="D26" s="13">
        <f>_xll.BDH("MCHP US Equity","IS_MERGER_ACQUISITION_EXPENSE","FY 2015","FY 2015","Currency=USD","Period=FY","BEST_FPERIOD_OVERRIDE=FY","FILING_STATUS=MR","SCALING_FORMAT=MLN","Sort=A","Dates=H","DateFormat=P","Fill=—","Direction=H","UseDPDF=Y")</f>
        <v>18.061</v>
      </c>
      <c r="E26" s="13">
        <f>_xll.BDH("MCHP US Equity","IS_MERGER_ACQUISITION_EXPENSE","FY 2016","FY 2016","Currency=USD","Period=FY","BEST_FPERIOD_OVERRIDE=FY","FILING_STATUS=MR","SCALING_FORMAT=MLN","Sort=A","Dates=H","DateFormat=P","Fill=—","Direction=H","UseDPDF=Y")</f>
        <v>34.798999999999999</v>
      </c>
      <c r="F26" s="13">
        <f>_xll.BDH("MCHP US Equity","IS_MERGER_ACQUISITION_EXPENSE","FY 2017","FY 2017","Currency=USD","Period=FY","BEST_FPERIOD_OVERRIDE=FY","FILING_STATUS=MR","SCALING_FORMAT=MLN","Sort=A","Dates=H","DateFormat=P","Fill=—","Direction=H","UseDPDF=Y")</f>
        <v>217.7</v>
      </c>
      <c r="G26" s="13">
        <f>_xll.BDH("MCHP US Equity","IS_MERGER_ACQUISITION_EXPENSE","FY 2018","FY 2018","Currency=USD","Period=FY","BEST_FPERIOD_OVERRIDE=FY","FILING_STATUS=MR","SCALING_FORMAT=MLN","Sort=A","Dates=H","DateFormat=P","Fill=—","Direction=H","UseDPDF=Y")</f>
        <v>10.1</v>
      </c>
      <c r="H26" s="13">
        <f>_xll.BDH("MCHP US Equity","IS_MERGER_ACQUISITION_EXPENSE","FY 2019","FY 2019","Currency=USD","Period=FY","BEST_FPERIOD_OVERRIDE=FY","FILING_STATUS=MR","SCALING_FORMAT=MLN","Sort=A","Dates=H","DateFormat=P","Fill=—","Direction=H","UseDPDF=Y")</f>
        <v>44.1</v>
      </c>
      <c r="I26" s="13">
        <f>_xll.BDH("MCHP US Equity","IS_MERGER_ACQUISITION_EXPENSE","FY 2020","FY 2020","Currency=USD","Period=FY","BEST_FPERIOD_OVERRIDE=FY","FILING_STATUS=MR","SCALING_FORMAT=MLN","Sort=A","Dates=H","DateFormat=P","Fill=—","Direction=H","UseDPDF=Y")</f>
        <v>35.799999999999997</v>
      </c>
      <c r="J26" s="16">
        <v>21.7</v>
      </c>
      <c r="K26" s="13"/>
      <c r="L26" s="13"/>
    </row>
    <row r="27" spans="1:12" x14ac:dyDescent="0.45">
      <c r="A27" s="10" t="s">
        <v>67</v>
      </c>
      <c r="B27" s="10" t="s">
        <v>68</v>
      </c>
      <c r="C27" s="13" t="str">
        <f>_xll.BDH("MCHP US Equity","IS_GAIN_LOSS_DISPOSAL_ASSETS","FY 2014","FY 2014","Currency=USD","Period=FY","BEST_FPERIOD_OVERRIDE=FY","FILING_STATUS=MR","SCALING_FORMAT=MLN","Sort=A","Dates=H","DateFormat=P","Fill=—","Direction=H","UseDPDF=Y")</f>
        <v>—</v>
      </c>
      <c r="D27" s="13" t="str">
        <f>_xll.BDH("MCHP US Equity","IS_GAIN_LOSS_DISPOSAL_ASSETS","FY 2015","FY 2015","Currency=USD","Period=FY","BEST_FPERIOD_OVERRIDE=FY","FILING_STATUS=MR","SCALING_FORMAT=MLN","Sort=A","Dates=H","DateFormat=P","Fill=—","Direction=H","UseDPDF=Y")</f>
        <v>—</v>
      </c>
      <c r="E27" s="13">
        <f>_xll.BDH("MCHP US Equity","IS_GAIN_LOSS_DISPOSAL_ASSETS","FY 2016","FY 2016","Currency=USD","Period=FY","BEST_FPERIOD_OVERRIDE=FY","FILING_STATUS=MR","SCALING_FORMAT=MLN","Sort=A","Dates=H","DateFormat=P","Fill=—","Direction=H","UseDPDF=Y")</f>
        <v>-1</v>
      </c>
      <c r="F27" s="13">
        <f>_xll.BDH("MCHP US Equity","IS_GAIN_LOSS_DISPOSAL_ASSETS","FY 2017","FY 2017","Currency=USD","Period=FY","BEST_FPERIOD_OVERRIDE=FY","FILING_STATUS=MR","SCALING_FORMAT=MLN","Sort=A","Dates=H","DateFormat=P","Fill=—","Direction=H","UseDPDF=Y")</f>
        <v>-0.1</v>
      </c>
      <c r="G27" s="13">
        <f>_xll.BDH("MCHP US Equity","IS_GAIN_LOSS_DISPOSAL_ASSETS","FY 2018","FY 2018","Currency=USD","Period=FY","BEST_FPERIOD_OVERRIDE=FY","FILING_STATUS=MR","SCALING_FORMAT=MLN","Sort=A","Dates=H","DateFormat=P","Fill=—","Direction=H","UseDPDF=Y")</f>
        <v>-5.9</v>
      </c>
      <c r="H27" s="13" t="str">
        <f>_xll.BDH("MCHP US Equity","IS_GAIN_LOSS_DISPOSAL_ASSETS","FY 2019","FY 2019","Currency=USD","Period=FY","BEST_FPERIOD_OVERRIDE=FY","FILING_STATUS=MR","SCALING_FORMAT=MLN","Sort=A","Dates=H","DateFormat=P","Fill=—","Direction=H","UseDPDF=Y")</f>
        <v>—</v>
      </c>
      <c r="I27" s="13" t="str">
        <f>_xll.BDH("MCHP US Equity","IS_GAIN_LOSS_DISPOSAL_ASSETS","FY 2020","FY 2020","Currency=USD","Period=FY","BEST_FPERIOD_OVERRIDE=FY","FILING_STATUS=MR","SCALING_FORMAT=MLN","Sort=A","Dates=H","DateFormat=P","Fill=—","Direction=H","UseDPDF=Y")</f>
        <v>—</v>
      </c>
      <c r="J27" s="16"/>
      <c r="K27" s="13"/>
      <c r="L27" s="13"/>
    </row>
    <row r="28" spans="1:12" x14ac:dyDescent="0.45">
      <c r="A28" s="10" t="s">
        <v>69</v>
      </c>
      <c r="B28" s="10" t="s">
        <v>70</v>
      </c>
      <c r="C28" s="13" t="str">
        <f>_xll.BDH("MCHP US Equity","IS_G_L_ON_EXT_DBT_OR_SETTLE_DBT","FY 2014","FY 2014","Currency=USD","Period=FY","BEST_FPERIOD_OVERRIDE=FY","FILING_STATUS=MR","SCALING_FORMAT=MLN","Sort=A","Dates=H","DateFormat=P","Fill=—","Direction=H","UseDPDF=Y")</f>
        <v>—</v>
      </c>
      <c r="D28" s="13">
        <f>_xll.BDH("MCHP US Equity","IS_G_L_ON_EXT_DBT_OR_SETTLE_DBT","FY 2015","FY 2015","Currency=USD","Period=FY","BEST_FPERIOD_OVERRIDE=FY","FILING_STATUS=MR","SCALING_FORMAT=MLN","Sort=A","Dates=H","DateFormat=P","Fill=—","Direction=H","UseDPDF=Y")</f>
        <v>50.631</v>
      </c>
      <c r="E28" s="13" t="str">
        <f>_xll.BDH("MCHP US Equity","IS_G_L_ON_EXT_DBT_OR_SETTLE_DBT","FY 2016","FY 2016","Currency=USD","Period=FY","BEST_FPERIOD_OVERRIDE=FY","FILING_STATUS=MR","SCALING_FORMAT=MLN","Sort=A","Dates=H","DateFormat=P","Fill=—","Direction=H","UseDPDF=Y")</f>
        <v>—</v>
      </c>
      <c r="F28" s="13">
        <f>_xll.BDH("MCHP US Equity","IS_G_L_ON_EXT_DBT_OR_SETTLE_DBT","FY 2017","FY 2017","Currency=USD","Period=FY","BEST_FPERIOD_OVERRIDE=FY","FILING_STATUS=MR","SCALING_FORMAT=MLN","Sort=A","Dates=H","DateFormat=P","Fill=—","Direction=H","UseDPDF=Y")</f>
        <v>43.9</v>
      </c>
      <c r="G28" s="13">
        <f>_xll.BDH("MCHP US Equity","IS_G_L_ON_EXT_DBT_OR_SETTLE_DBT","FY 2018","FY 2018","Currency=USD","Period=FY","BEST_FPERIOD_OVERRIDE=FY","FILING_STATUS=MR","SCALING_FORMAT=MLN","Sort=A","Dates=H","DateFormat=P","Fill=—","Direction=H","UseDPDF=Y")</f>
        <v>16</v>
      </c>
      <c r="H28" s="13">
        <f>_xll.BDH("MCHP US Equity","IS_G_L_ON_EXT_DBT_OR_SETTLE_DBT","FY 2019","FY 2019","Currency=USD","Period=FY","BEST_FPERIOD_OVERRIDE=FY","FILING_STATUS=MR","SCALING_FORMAT=MLN","Sort=A","Dates=H","DateFormat=P","Fill=—","Direction=H","UseDPDF=Y")</f>
        <v>12.6</v>
      </c>
      <c r="I28" s="13">
        <f>_xll.BDH("MCHP US Equity","IS_G_L_ON_EXT_DBT_OR_SETTLE_DBT","FY 2020","FY 2020","Currency=USD","Period=FY","BEST_FPERIOD_OVERRIDE=FY","FILING_STATUS=MR","SCALING_FORMAT=MLN","Sort=A","Dates=H","DateFormat=P","Fill=—","Direction=H","UseDPDF=Y")</f>
        <v>5.4</v>
      </c>
      <c r="J28" s="16">
        <v>75.400000000000006</v>
      </c>
      <c r="K28" s="13"/>
      <c r="L28" s="13"/>
    </row>
    <row r="29" spans="1:12" x14ac:dyDescent="0.45">
      <c r="A29" s="10" t="s">
        <v>71</v>
      </c>
      <c r="B29" s="10" t="s">
        <v>72</v>
      </c>
      <c r="C29" s="13" t="str">
        <f>_xll.BDH("MCHP US Equity","IS_IMPAIRMENT_ASSETS","FY 2014","FY 2014","Currency=USD","Period=FY","BEST_FPERIOD_OVERRIDE=FY","FILING_STATUS=MR","SCALING_FORMAT=MLN","Sort=A","Dates=H","DateFormat=P","Fill=—","Direction=H","UseDPDF=Y")</f>
        <v>—</v>
      </c>
      <c r="D29" s="13">
        <f>_xll.BDH("MCHP US Equity","IS_IMPAIRMENT_ASSETS","FY 2015","FY 2015","Currency=USD","Period=FY","BEST_FPERIOD_OVERRIDE=FY","FILING_STATUS=MR","SCALING_FORMAT=MLN","Sort=A","Dates=H","DateFormat=P","Fill=—","Direction=H","UseDPDF=Y")</f>
        <v>0.36199999999999999</v>
      </c>
      <c r="E29" s="13" t="str">
        <f>_xll.BDH("MCHP US Equity","IS_IMPAIRMENT_ASSETS","FY 2016","FY 2016","Currency=USD","Period=FY","BEST_FPERIOD_OVERRIDE=FY","FILING_STATUS=MR","SCALING_FORMAT=MLN","Sort=A","Dates=H","DateFormat=P","Fill=—","Direction=H","UseDPDF=Y")</f>
        <v>—</v>
      </c>
      <c r="F29" s="13" t="str">
        <f>_xll.BDH("MCHP US Equity","IS_IMPAIRMENT_ASSETS","FY 2017","FY 2017","Currency=USD","Period=FY","BEST_FPERIOD_OVERRIDE=FY","FILING_STATUS=MR","SCALING_FORMAT=MLN","Sort=A","Dates=H","DateFormat=P","Fill=—","Direction=H","UseDPDF=Y")</f>
        <v>—</v>
      </c>
      <c r="G29" s="13" t="str">
        <f>_xll.BDH("MCHP US Equity","IS_IMPAIRMENT_ASSETS","FY 2018","FY 2018","Currency=USD","Period=FY","BEST_FPERIOD_OVERRIDE=FY","FILING_STATUS=MR","SCALING_FORMAT=MLN","Sort=A","Dates=H","DateFormat=P","Fill=—","Direction=H","UseDPDF=Y")</f>
        <v>—</v>
      </c>
      <c r="H29" s="13" t="str">
        <f>_xll.BDH("MCHP US Equity","IS_IMPAIRMENT_ASSETS","FY 2019","FY 2019","Currency=USD","Period=FY","BEST_FPERIOD_OVERRIDE=FY","FILING_STATUS=MR","SCALING_FORMAT=MLN","Sort=A","Dates=H","DateFormat=P","Fill=—","Direction=H","UseDPDF=Y")</f>
        <v>—</v>
      </c>
      <c r="I29" s="13" t="str">
        <f>_xll.BDH("MCHP US Equity","IS_IMPAIRMENT_ASSETS","FY 2020","FY 2020","Currency=USD","Period=FY","BEST_FPERIOD_OVERRIDE=FY","FILING_STATUS=MR","SCALING_FORMAT=MLN","Sort=A","Dates=H","DateFormat=P","Fill=—","Direction=H","UseDPDF=Y")</f>
        <v>—</v>
      </c>
      <c r="J29" s="16"/>
      <c r="K29" s="13"/>
      <c r="L29" s="13"/>
    </row>
    <row r="30" spans="1:12" x14ac:dyDescent="0.45">
      <c r="A30" s="10" t="s">
        <v>73</v>
      </c>
      <c r="B30" s="10" t="s">
        <v>74</v>
      </c>
      <c r="C30" s="13" t="str">
        <f>_xll.BDH("MCHP US Equity","IS_IMPAIR_OF_INTANG_ASSETS","FY 2014","FY 2014","Currency=USD","Period=FY","BEST_FPERIOD_OVERRIDE=FY","FILING_STATUS=MR","SCALING_FORMAT=MLN","Sort=A","Dates=H","DateFormat=P","Fill=—","Direction=H","UseDPDF=Y")</f>
        <v>—</v>
      </c>
      <c r="D30" s="13">
        <f>_xll.BDH("MCHP US Equity","IS_IMPAIR_OF_INTANG_ASSETS","FY 2015","FY 2015","Currency=USD","Period=FY","BEST_FPERIOD_OVERRIDE=FY","FILING_STATUS=MR","SCALING_FORMAT=MLN","Sort=A","Dates=H","DateFormat=P","Fill=—","Direction=H","UseDPDF=Y")</f>
        <v>1.881</v>
      </c>
      <c r="E30" s="13">
        <f>_xll.BDH("MCHP US Equity","IS_IMPAIR_OF_INTANG_ASSETS","FY 2016","FY 2016","Currency=USD","Period=FY","BEST_FPERIOD_OVERRIDE=FY","FILING_STATUS=MR","SCALING_FORMAT=MLN","Sort=A","Dates=H","DateFormat=P","Fill=—","Direction=H","UseDPDF=Y")</f>
        <v>0.6</v>
      </c>
      <c r="F30" s="13">
        <f>_xll.BDH("MCHP US Equity","IS_IMPAIR_OF_INTANG_ASSETS","FY 2017","FY 2017","Currency=USD","Period=FY","BEST_FPERIOD_OVERRIDE=FY","FILING_STATUS=MR","SCALING_FORMAT=MLN","Sort=A","Dates=H","DateFormat=P","Fill=—","Direction=H","UseDPDF=Y")</f>
        <v>11.9</v>
      </c>
      <c r="G30" s="13">
        <f>_xll.BDH("MCHP US Equity","IS_IMPAIR_OF_INTANG_ASSETS","FY 2018","FY 2018","Currency=USD","Period=FY","BEST_FPERIOD_OVERRIDE=FY","FILING_STATUS=MR","SCALING_FORMAT=MLN","Sort=A","Dates=H","DateFormat=P","Fill=—","Direction=H","UseDPDF=Y")</f>
        <v>0.5</v>
      </c>
      <c r="H30" s="13" t="str">
        <f>_xll.BDH("MCHP US Equity","IS_IMPAIR_OF_INTANG_ASSETS","FY 2019","FY 2019","Currency=USD","Period=FY","BEST_FPERIOD_OVERRIDE=FY","FILING_STATUS=MR","SCALING_FORMAT=MLN","Sort=A","Dates=H","DateFormat=P","Fill=—","Direction=H","UseDPDF=Y")</f>
        <v>—</v>
      </c>
      <c r="I30" s="13" t="str">
        <f>_xll.BDH("MCHP US Equity","IS_IMPAIR_OF_INTANG_ASSETS","FY 2020","FY 2020","Currency=USD","Period=FY","BEST_FPERIOD_OVERRIDE=FY","FILING_STATUS=MR","SCALING_FORMAT=MLN","Sort=A","Dates=H","DateFormat=P","Fill=—","Direction=H","UseDPDF=Y")</f>
        <v>—</v>
      </c>
      <c r="J30" s="16"/>
      <c r="K30" s="13"/>
      <c r="L30" s="13"/>
    </row>
    <row r="31" spans="1:12" x14ac:dyDescent="0.45">
      <c r="A31" s="10" t="s">
        <v>75</v>
      </c>
      <c r="B31" s="10" t="s">
        <v>76</v>
      </c>
      <c r="C31" s="13" t="str">
        <f>_xll.BDH("MCHP US Equity","IS_LEGAL_LITIGATION_SETTLEMENT","FY 2014","FY 2014","Currency=USD","Period=FY","BEST_FPERIOD_OVERRIDE=FY","FILING_STATUS=MR","SCALING_FORMAT=MLN","Sort=A","Dates=H","DateFormat=P","Fill=—","Direction=H","UseDPDF=Y")</f>
        <v>—</v>
      </c>
      <c r="D31" s="13" t="str">
        <f>_xll.BDH("MCHP US Equity","IS_LEGAL_LITIGATION_SETTLEMENT","FY 2015","FY 2015","Currency=USD","Period=FY","BEST_FPERIOD_OVERRIDE=FY","FILING_STATUS=MR","SCALING_FORMAT=MLN","Sort=A","Dates=H","DateFormat=P","Fill=—","Direction=H","UseDPDF=Y")</f>
        <v>—</v>
      </c>
      <c r="E31" s="13" t="str">
        <f>_xll.BDH("MCHP US Equity","IS_LEGAL_LITIGATION_SETTLEMENT","FY 2016","FY 2016","Currency=USD","Period=FY","BEST_FPERIOD_OVERRIDE=FY","FILING_STATUS=MR","SCALING_FORMAT=MLN","Sort=A","Dates=H","DateFormat=P","Fill=—","Direction=H","UseDPDF=Y")</f>
        <v>—</v>
      </c>
      <c r="F31" s="13" t="str">
        <f>_xll.BDH("MCHP US Equity","IS_LEGAL_LITIGATION_SETTLEMENT","FY 2017","FY 2017","Currency=USD","Period=FY","BEST_FPERIOD_OVERRIDE=FY","FILING_STATUS=MR","SCALING_FORMAT=MLN","Sort=A","Dates=H","DateFormat=P","Fill=—","Direction=H","UseDPDF=Y")</f>
        <v>—</v>
      </c>
      <c r="G31" s="13" t="str">
        <f>_xll.BDH("MCHP US Equity","IS_LEGAL_LITIGATION_SETTLEMENT","FY 2018","FY 2018","Currency=USD","Period=FY","BEST_FPERIOD_OVERRIDE=FY","FILING_STATUS=MR","SCALING_FORMAT=MLN","Sort=A","Dates=H","DateFormat=P","Fill=—","Direction=H","UseDPDF=Y")</f>
        <v>—</v>
      </c>
      <c r="H31" s="13" t="str">
        <f>_xll.BDH("MCHP US Equity","IS_LEGAL_LITIGATION_SETTLEMENT","FY 2019","FY 2019","Currency=USD","Period=FY","BEST_FPERIOD_OVERRIDE=FY","FILING_STATUS=MR","SCALING_FORMAT=MLN","Sort=A","Dates=H","DateFormat=P","Fill=—","Direction=H","UseDPDF=Y")</f>
        <v>—</v>
      </c>
      <c r="I31" s="13" t="str">
        <f>_xll.BDH("MCHP US Equity","IS_LEGAL_LITIGATION_SETTLEMENT","FY 2020","FY 2020","Currency=USD","Period=FY","BEST_FPERIOD_OVERRIDE=FY","FILING_STATUS=MR","SCALING_FORMAT=MLN","Sort=A","Dates=H","DateFormat=P","Fill=—","Direction=H","UseDPDF=Y")</f>
        <v>—</v>
      </c>
      <c r="J31" s="16"/>
      <c r="K31" s="13"/>
      <c r="L31" s="13"/>
    </row>
    <row r="32" spans="1:12" x14ac:dyDescent="0.45">
      <c r="A32" s="10" t="s">
        <v>77</v>
      </c>
      <c r="B32" s="10" t="s">
        <v>78</v>
      </c>
      <c r="C32" s="13">
        <f>_xll.BDH("MCHP US Equity","IS_RESTRUCTURING_EXPENSES","FY 2014","FY 2014","Currency=USD","Period=FY","BEST_FPERIOD_OVERRIDE=FY","FILING_STATUS=MR","SCALING_FORMAT=MLN","Sort=A","Dates=H","DateFormat=P","Fill=—","Direction=H","UseDPDF=Y")</f>
        <v>3.024</v>
      </c>
      <c r="D32" s="13">
        <f>_xll.BDH("MCHP US Equity","IS_RESTRUCTURING_EXPENSES","FY 2015","FY 2015","Currency=USD","Period=FY","BEST_FPERIOD_OVERRIDE=FY","FILING_STATUS=MR","SCALING_FORMAT=MLN","Sort=A","Dates=H","DateFormat=P","Fill=—","Direction=H","UseDPDF=Y")</f>
        <v>2.84</v>
      </c>
      <c r="E32" s="13">
        <f>_xll.BDH("MCHP US Equity","IS_RESTRUCTURING_EXPENSES","FY 2016","FY 2016","Currency=USD","Period=FY","BEST_FPERIOD_OVERRIDE=FY","FILING_STATUS=MR","SCALING_FORMAT=MLN","Sort=A","Dates=H","DateFormat=P","Fill=—","Direction=H","UseDPDF=Y")</f>
        <v>3.9569999999999999</v>
      </c>
      <c r="F32" s="13" t="str">
        <f>_xll.BDH("MCHP US Equity","IS_RESTRUCTURING_EXPENSES","FY 2017","FY 2017","Currency=USD","Period=FY","BEST_FPERIOD_OVERRIDE=FY","FILING_STATUS=MR","SCALING_FORMAT=MLN","Sort=A","Dates=H","DateFormat=P","Fill=—","Direction=H","UseDPDF=Y")</f>
        <v>—</v>
      </c>
      <c r="G32" s="13" t="str">
        <f>_xll.BDH("MCHP US Equity","IS_RESTRUCTURING_EXPENSES","FY 2018","FY 2018","Currency=USD","Period=FY","BEST_FPERIOD_OVERRIDE=FY","FILING_STATUS=MR","SCALING_FORMAT=MLN","Sort=A","Dates=H","DateFormat=P","Fill=—","Direction=H","UseDPDF=Y")</f>
        <v>—</v>
      </c>
      <c r="H32" s="13" t="str">
        <f>_xll.BDH("MCHP US Equity","IS_RESTRUCTURING_EXPENSES","FY 2019","FY 2019","Currency=USD","Period=FY","BEST_FPERIOD_OVERRIDE=FY","FILING_STATUS=MR","SCALING_FORMAT=MLN","Sort=A","Dates=H","DateFormat=P","Fill=—","Direction=H","UseDPDF=Y")</f>
        <v>—</v>
      </c>
      <c r="I32" s="13" t="str">
        <f>_xll.BDH("MCHP US Equity","IS_RESTRUCTURING_EXPENSES","FY 2020","FY 2020","Currency=USD","Period=FY","BEST_FPERIOD_OVERRIDE=FY","FILING_STATUS=MR","SCALING_FORMAT=MLN","Sort=A","Dates=H","DateFormat=P","Fill=—","Direction=H","UseDPDF=Y")</f>
        <v>—</v>
      </c>
      <c r="J32" s="16"/>
      <c r="K32" s="13"/>
      <c r="L32" s="13"/>
    </row>
    <row r="33" spans="1:12" x14ac:dyDescent="0.45">
      <c r="A33" s="10" t="s">
        <v>79</v>
      </c>
      <c r="B33" s="10" t="s">
        <v>80</v>
      </c>
      <c r="C33" s="13">
        <f>_xll.BDH("MCHP US Equity","IS_GAIN_LOSS_ON_INVESTMENTS","FY 2014","FY 2014","Currency=USD","Period=FY","BEST_FPERIOD_OVERRIDE=FY","FILING_STATUS=MR","SCALING_FORMAT=MLN","Sort=A","Dates=H","DateFormat=P","Fill=—","Direction=H","UseDPDF=Y")</f>
        <v>-2.4380000000000002</v>
      </c>
      <c r="D33" s="13">
        <f>_xll.BDH("MCHP US Equity","IS_GAIN_LOSS_ON_INVESTMENTS","FY 2015","FY 2015","Currency=USD","Period=FY","BEST_FPERIOD_OVERRIDE=FY","FILING_STATUS=MR","SCALING_FORMAT=MLN","Sort=A","Dates=H","DateFormat=P","Fill=—","Direction=H","UseDPDF=Y")</f>
        <v>-18.469000000000001</v>
      </c>
      <c r="E33" s="13">
        <f>_xll.BDH("MCHP US Equity","IS_GAIN_LOSS_ON_INVESTMENTS","FY 2016","FY 2016","Currency=USD","Period=FY","BEST_FPERIOD_OVERRIDE=FY","FILING_STATUS=MR","SCALING_FORMAT=MLN","Sort=A","Dates=H","DateFormat=P","Fill=—","Direction=H","UseDPDF=Y")</f>
        <v>-15.952</v>
      </c>
      <c r="F33" s="13" t="str">
        <f>_xll.BDH("MCHP US Equity","IS_GAIN_LOSS_ON_INVESTMENTS","FY 2017","FY 2017","Currency=USD","Period=FY","BEST_FPERIOD_OVERRIDE=FY","FILING_STATUS=MR","SCALING_FORMAT=MLN","Sort=A","Dates=H","DateFormat=P","Fill=—","Direction=H","UseDPDF=Y")</f>
        <v>—</v>
      </c>
      <c r="G33" s="13" t="str">
        <f>_xll.BDH("MCHP US Equity","IS_GAIN_LOSS_ON_INVESTMENTS","FY 2018","FY 2018","Currency=USD","Period=FY","BEST_FPERIOD_OVERRIDE=FY","FILING_STATUS=MR","SCALING_FORMAT=MLN","Sort=A","Dates=H","DateFormat=P","Fill=—","Direction=H","UseDPDF=Y")</f>
        <v>—</v>
      </c>
      <c r="H33" s="13">
        <f>_xll.BDH("MCHP US Equity","IS_GAIN_LOSS_ON_INVESTMENTS","FY 2019","FY 2019","Currency=USD","Period=FY","BEST_FPERIOD_OVERRIDE=FY","FILING_STATUS=MR","SCALING_FORMAT=MLN","Sort=A","Dates=H","DateFormat=P","Fill=—","Direction=H","UseDPDF=Y")</f>
        <v>6</v>
      </c>
      <c r="I33" s="13">
        <f>_xll.BDH("MCHP US Equity","IS_GAIN_LOSS_ON_INVESTMENTS","FY 2020","FY 2020","Currency=USD","Period=FY","BEST_FPERIOD_OVERRIDE=FY","FILING_STATUS=MR","SCALING_FORMAT=MLN","Sort=A","Dates=H","DateFormat=P","Fill=—","Direction=H","UseDPDF=Y")</f>
        <v>-2.6</v>
      </c>
      <c r="J33" s="16"/>
      <c r="K33" s="13"/>
      <c r="L33" s="13"/>
    </row>
    <row r="34" spans="1:12" x14ac:dyDescent="0.45">
      <c r="A34" s="10" t="s">
        <v>81</v>
      </c>
      <c r="B34" s="10" t="s">
        <v>82</v>
      </c>
      <c r="C34" s="13" t="str">
        <f>_xll.BDH("MCHP US Equity","IS_UNREALIZED_INVESTMENTS","FY 2014","FY 2014","Currency=USD","Period=FY","BEST_FPERIOD_OVERRIDE=FY","FILING_STATUS=MR","SCALING_FORMAT=MLN","Sort=A","Dates=H","DateFormat=P","Fill=—","Direction=H","UseDPDF=Y")</f>
        <v>—</v>
      </c>
      <c r="D34" s="13" t="str">
        <f>_xll.BDH("MCHP US Equity","IS_UNREALIZED_INVESTMENTS","FY 2015","FY 2015","Currency=USD","Period=FY","BEST_FPERIOD_OVERRIDE=FY","FILING_STATUS=MR","SCALING_FORMAT=MLN","Sort=A","Dates=H","DateFormat=P","Fill=—","Direction=H","UseDPDF=Y")</f>
        <v>—</v>
      </c>
      <c r="E34" s="13">
        <f>_xll.BDH("MCHP US Equity","IS_UNREALIZED_INVESTMENTS","FY 2016","FY 2016","Currency=USD","Period=FY","BEST_FPERIOD_OVERRIDE=FY","FILING_STATUS=MR","SCALING_FORMAT=MLN","Sort=A","Dates=H","DateFormat=P","Fill=—","Direction=H","UseDPDF=Y")</f>
        <v>3.9950000000000001</v>
      </c>
      <c r="F34" s="13">
        <f>_xll.BDH("MCHP US Equity","IS_UNREALIZED_INVESTMENTS","FY 2017","FY 2017","Currency=USD","Period=FY","BEST_FPERIOD_OVERRIDE=FY","FILING_STATUS=MR","SCALING_FORMAT=MLN","Sort=A","Dates=H","DateFormat=P","Fill=—","Direction=H","UseDPDF=Y")</f>
        <v>1.4</v>
      </c>
      <c r="G34" s="13">
        <f>_xll.BDH("MCHP US Equity","IS_UNREALIZED_INVESTMENTS","FY 2018","FY 2018","Currency=USD","Period=FY","BEST_FPERIOD_OVERRIDE=FY","FILING_STATUS=MR","SCALING_FORMAT=MLN","Sort=A","Dates=H","DateFormat=P","Fill=—","Direction=H","UseDPDF=Y")</f>
        <v>15.5</v>
      </c>
      <c r="H34" s="13" t="str">
        <f>_xll.BDH("MCHP US Equity","IS_UNREALIZED_INVESTMENTS","FY 2019","FY 2019","Currency=USD","Period=FY","BEST_FPERIOD_OVERRIDE=FY","FILING_STATUS=MR","SCALING_FORMAT=MLN","Sort=A","Dates=H","DateFormat=P","Fill=—","Direction=H","UseDPDF=Y")</f>
        <v>—</v>
      </c>
      <c r="I34" s="13" t="str">
        <f>_xll.BDH("MCHP US Equity","IS_UNREALIZED_INVESTMENTS","FY 2020","FY 2020","Currency=USD","Period=FY","BEST_FPERIOD_OVERRIDE=FY","FILING_STATUS=MR","SCALING_FORMAT=MLN","Sort=A","Dates=H","DateFormat=P","Fill=—","Direction=H","UseDPDF=Y")</f>
        <v>—</v>
      </c>
      <c r="J34" s="16"/>
      <c r="K34" s="13"/>
      <c r="L34" s="13"/>
    </row>
    <row r="35" spans="1:12" x14ac:dyDescent="0.45">
      <c r="A35" s="10" t="s">
        <v>83</v>
      </c>
      <c r="B35" s="10" t="s">
        <v>84</v>
      </c>
      <c r="C35" s="13">
        <f>_xll.BDH("MCHP US Equity","IS_OTHER_ONE_TIME_ITEMS","FY 2014","FY 2014","Currency=USD","Period=FY","BEST_FPERIOD_OVERRIDE=FY","FILING_STATUS=MR","SCALING_FORMAT=MLN","Sort=A","Dates=H","DateFormat=P","Fill=—","Direction=H","UseDPDF=Y")</f>
        <v>0.746</v>
      </c>
      <c r="D35" s="13" t="str">
        <f>_xll.BDH("MCHP US Equity","IS_OTHER_ONE_TIME_ITEMS","FY 2015","FY 2015","Currency=USD","Period=FY","BEST_FPERIOD_OVERRIDE=FY","FILING_STATUS=MR","SCALING_FORMAT=MLN","Sort=A","Dates=H","DateFormat=P","Fill=—","Direction=H","UseDPDF=Y")</f>
        <v>—</v>
      </c>
      <c r="E35" s="13">
        <f>_xll.BDH("MCHP US Equity","IS_OTHER_ONE_TIME_ITEMS","FY 2016","FY 2016","Currency=USD","Period=FY","BEST_FPERIOD_OVERRIDE=FY","FILING_STATUS=MR","SCALING_FORMAT=MLN","Sort=A","Dates=H","DateFormat=P","Fill=—","Direction=H","UseDPDF=Y")</f>
        <v>-3.6240000000000001</v>
      </c>
      <c r="F35" s="13">
        <f>_xll.BDH("MCHP US Equity","IS_OTHER_ONE_TIME_ITEMS","FY 2017","FY 2017","Currency=USD","Period=FY","BEST_FPERIOD_OVERRIDE=FY","FILING_STATUS=MR","SCALING_FORMAT=MLN","Sort=A","Dates=H","DateFormat=P","Fill=—","Direction=H","UseDPDF=Y")</f>
        <v>98.1</v>
      </c>
      <c r="G35" s="13">
        <f>_xll.BDH("MCHP US Equity","IS_OTHER_ONE_TIME_ITEMS","FY 2018","FY 2018","Currency=USD","Period=FY","BEST_FPERIOD_OVERRIDE=FY","FILING_STATUS=MR","SCALING_FORMAT=MLN","Sort=A","Dates=H","DateFormat=P","Fill=—","Direction=H","UseDPDF=Y")</f>
        <v>16.899999999999999</v>
      </c>
      <c r="H35" s="13">
        <f>_xll.BDH("MCHP US Equity","IS_OTHER_ONE_TIME_ITEMS","FY 2019","FY 2019","Currency=USD","Period=FY","BEST_FPERIOD_OVERRIDE=FY","FILING_STATUS=MR","SCALING_FORMAT=MLN","Sort=A","Dates=H","DateFormat=P","Fill=—","Direction=H","UseDPDF=Y")</f>
        <v>33.700000000000003</v>
      </c>
      <c r="I35" s="13">
        <f>_xll.BDH("MCHP US Equity","IS_OTHER_ONE_TIME_ITEMS","FY 2020","FY 2020","Currency=USD","Period=FY","BEST_FPERIOD_OVERRIDE=FY","FILING_STATUS=MR","SCALING_FORMAT=MLN","Sort=A","Dates=H","DateFormat=P","Fill=—","Direction=H","UseDPDF=Y")</f>
        <v>46.7</v>
      </c>
      <c r="J35" s="16">
        <v>23.9</v>
      </c>
      <c r="K35" s="13"/>
      <c r="L35" s="13"/>
    </row>
    <row r="36" spans="1:12" x14ac:dyDescent="0.45">
      <c r="A36" s="6" t="s">
        <v>85</v>
      </c>
      <c r="B36" s="6" t="s">
        <v>62</v>
      </c>
      <c r="C36" s="19">
        <f>_xll.BDH("MCHP US Equity","PRETAX_INC","FY 2014","FY 2014","Currency=USD","Period=FY","BEST_FPERIOD_OVERRIDE=FY","FILING_STATUS=MR","SCALING_FORMAT=MLN","FA_ADJUSTED=GAAP","Sort=A","Dates=H","DateFormat=P","Fill=—","Direction=H","UseDPDF=Y")</f>
        <v>432.35399999999998</v>
      </c>
      <c r="D36" s="19">
        <f>_xll.BDH("MCHP US Equity","PRETAX_INC","FY 2015","FY 2015","Currency=USD","Period=FY","BEST_FPERIOD_OVERRIDE=FY","FILING_STATUS=MR","SCALING_FORMAT=MLN","FA_ADJUSTED=GAAP","Sort=A","Dates=H","DateFormat=P","Fill=—","Direction=H","UseDPDF=Y")</f>
        <v>345.90699999999998</v>
      </c>
      <c r="E36" s="19">
        <f>_xll.BDH("MCHP US Equity","PRETAX_INC","FY 2016","FY 2016","Currency=USD","Period=FY","BEST_FPERIOD_OVERRIDE=FY","FILING_STATUS=MR","SCALING_FORMAT=MLN","FA_ADJUSTED=GAAP","Sort=A","Dates=H","DateFormat=P","Fill=—","Direction=H","UseDPDF=Y")</f>
        <v>281.3</v>
      </c>
      <c r="F36" s="19">
        <f>_xll.BDH("MCHP US Equity","PRETAX_INC","FY 2017","FY 2017","Currency=USD","Period=FY","BEST_FPERIOD_OVERRIDE=FY","FILING_STATUS=MR","SCALING_FORMAT=MLN","FA_ADJUSTED=GAAP","Sort=A","Dates=H","DateFormat=P","Fill=—","Direction=H","UseDPDF=Y")</f>
        <v>89.8</v>
      </c>
      <c r="G36" s="19">
        <f>_xll.BDH("MCHP US Equity","PRETAX_INC","FY 2018","FY 2018","Currency=USD","Period=FY","BEST_FPERIOD_OVERRIDE=FY","FILING_STATUS=MR","SCALING_FORMAT=MLN","FA_ADJUSTED=GAAP","Sort=A","Dates=H","DateFormat=P","Fill=—","Direction=H","UseDPDF=Y")</f>
        <v>737.3</v>
      </c>
      <c r="H36" s="19">
        <f>_xll.BDH("MCHP US Equity","PRETAX_INC","FY 2019","FY 2019","Currency=USD","Period=FY","BEST_FPERIOD_OVERRIDE=FY","FILING_STATUS=MR","SCALING_FORMAT=MLN","FA_ADJUSTED=GAAP","Sort=A","Dates=H","DateFormat=P","Fill=—","Direction=H","UseDPDF=Y")</f>
        <v>204.5</v>
      </c>
      <c r="I36" s="19">
        <f>_xll.BDH("MCHP US Equity","PRETAX_INC","FY 2020","FY 2020","Currency=USD","Period=FY","BEST_FPERIOD_OVERRIDE=FY","FILING_STATUS=MR","SCALING_FORMAT=MLN","FA_ADJUSTED=GAAP","Sort=A","Dates=H","DateFormat=P","Fill=—","Direction=H","UseDPDF=Y")</f>
        <v>150.4</v>
      </c>
      <c r="J36" s="22">
        <v>234.69999961853</v>
      </c>
      <c r="K36" s="19">
        <v>1793.4</v>
      </c>
      <c r="L36" s="19">
        <v>2117.5880000000002</v>
      </c>
    </row>
    <row r="37" spans="1:12" x14ac:dyDescent="0.45">
      <c r="A37" s="10" t="s">
        <v>86</v>
      </c>
      <c r="B37" s="10" t="s">
        <v>87</v>
      </c>
      <c r="C37" s="13">
        <f>_xll.BDH("MCHP US Equity","IS_INC_TAX_EXP","FY 2014","FY 2014","Currency=USD","Period=FY","BEST_FPERIOD_OVERRIDE=FY","FILING_STATUS=MR","SCALING_FORMAT=MLN","FA_ADJUSTED=GAAP","Sort=A","Dates=H","DateFormat=P","Fill=—","Direction=H","UseDPDF=Y")</f>
        <v>37.073</v>
      </c>
      <c r="D37" s="13">
        <f>_xll.BDH("MCHP US Equity","IS_INC_TAX_EXP","FY 2015","FY 2015","Currency=USD","Period=FY","BEST_FPERIOD_OVERRIDE=FY","FILING_STATUS=MR","SCALING_FORMAT=MLN","FA_ADJUSTED=GAAP","Sort=A","Dates=H","DateFormat=P","Fill=—","Direction=H","UseDPDF=Y")</f>
        <v>-19.417999999999999</v>
      </c>
      <c r="E37" s="13">
        <f>_xll.BDH("MCHP US Equity","IS_INC_TAX_EXP","FY 2016","FY 2016","Currency=USD","Period=FY","BEST_FPERIOD_OVERRIDE=FY","FILING_STATUS=MR","SCALING_FORMAT=MLN","FA_ADJUSTED=GAAP","Sort=A","Dates=H","DateFormat=P","Fill=—","Direction=H","UseDPDF=Y")</f>
        <v>-42.6</v>
      </c>
      <c r="F37" s="13">
        <f>_xll.BDH("MCHP US Equity","IS_INC_TAX_EXP","FY 2017","FY 2017","Currency=USD","Period=FY","BEST_FPERIOD_OVERRIDE=FY","FILING_STATUS=MR","SCALING_FORMAT=MLN","FA_ADJUSTED=GAAP","Sort=A","Dates=H","DateFormat=P","Fill=—","Direction=H","UseDPDF=Y")</f>
        <v>-80.8</v>
      </c>
      <c r="G37" s="13">
        <f>_xll.BDH("MCHP US Equity","IS_INC_TAX_EXP","FY 2018","FY 2018","Currency=USD","Period=FY","BEST_FPERIOD_OVERRIDE=FY","FILING_STATUS=MR","SCALING_FORMAT=MLN","FA_ADJUSTED=GAAP","Sort=A","Dates=H","DateFormat=P","Fill=—","Direction=H","UseDPDF=Y")</f>
        <v>481.9</v>
      </c>
      <c r="H37" s="13">
        <f>_xll.BDH("MCHP US Equity","IS_INC_TAX_EXP","FY 2019","FY 2019","Currency=USD","Period=FY","BEST_FPERIOD_OVERRIDE=FY","FILING_STATUS=MR","SCALING_FORMAT=MLN","FA_ADJUSTED=GAAP","Sort=A","Dates=H","DateFormat=P","Fill=—","Direction=H","UseDPDF=Y")</f>
        <v>-151.4</v>
      </c>
      <c r="I37" s="13">
        <f>_xll.BDH("MCHP US Equity","IS_INC_TAX_EXP","FY 2020","FY 2020","Currency=USD","Period=FY","BEST_FPERIOD_OVERRIDE=FY","FILING_STATUS=MR","SCALING_FORMAT=MLN","FA_ADJUSTED=GAAP","Sort=A","Dates=H","DateFormat=P","Fill=—","Direction=H","UseDPDF=Y")</f>
        <v>-420.2</v>
      </c>
      <c r="J37" s="16">
        <v>-373.5</v>
      </c>
      <c r="K37" s="13"/>
      <c r="L37" s="13"/>
    </row>
    <row r="38" spans="1:12" x14ac:dyDescent="0.45">
      <c r="A38" s="10" t="s">
        <v>88</v>
      </c>
      <c r="B38" s="10" t="s">
        <v>89</v>
      </c>
      <c r="C38" s="13">
        <f>_xll.BDH("MCHP US Equity","IS_CURRENT_INCOME_TAX_BENEFIT","FY 2014","FY 2014","Currency=USD","Period=FY","BEST_FPERIOD_OVERRIDE=FY","FILING_STATUS=MR","SCALING_FORMAT=MLN","Sort=A","Dates=H","DateFormat=P","Fill=—","Direction=H","UseDPDF=Y")</f>
        <v>31.753</v>
      </c>
      <c r="D38" s="13">
        <f>_xll.BDH("MCHP US Equity","IS_CURRENT_INCOME_TAX_BENEFIT","FY 2015","FY 2015","Currency=USD","Period=FY","BEST_FPERIOD_OVERRIDE=FY","FILING_STATUS=MR","SCALING_FORMAT=MLN","Sort=A","Dates=H","DateFormat=P","Fill=—","Direction=H","UseDPDF=Y")</f>
        <v>13.393000000000001</v>
      </c>
      <c r="E38" s="13">
        <f>_xll.BDH("MCHP US Equity","IS_CURRENT_INCOME_TAX_BENEFIT","FY 2016","FY 2016","Currency=USD","Period=FY","BEST_FPERIOD_OVERRIDE=FY","FILING_STATUS=MR","SCALING_FORMAT=MLN","Sort=A","Dates=H","DateFormat=P","Fill=—","Direction=H","UseDPDF=Y")</f>
        <v>17.8</v>
      </c>
      <c r="F38" s="13">
        <f>_xll.BDH("MCHP US Equity","IS_CURRENT_INCOME_TAX_BENEFIT","FY 2017","FY 2017","Currency=USD","Period=FY","BEST_FPERIOD_OVERRIDE=FY","FILING_STATUS=MR","SCALING_FORMAT=MLN","Sort=A","Dates=H","DateFormat=P","Fill=—","Direction=H","UseDPDF=Y")</f>
        <v>46.1</v>
      </c>
      <c r="G38" s="13">
        <f>_xll.BDH("MCHP US Equity","IS_CURRENT_INCOME_TAX_BENEFIT","FY 2018","FY 2018","Currency=USD","Period=FY","BEST_FPERIOD_OVERRIDE=FY","FILING_STATUS=MR","SCALING_FORMAT=MLN","Sort=A","Dates=H","DateFormat=P","Fill=—","Direction=H","UseDPDF=Y")</f>
        <v>430.7</v>
      </c>
      <c r="H38" s="13">
        <f>_xll.BDH("MCHP US Equity","IS_CURRENT_INCOME_TAX_BENEFIT","FY 2019","FY 2019","Currency=USD","Period=FY","BEST_FPERIOD_OVERRIDE=FY","FILING_STATUS=MR","SCALING_FORMAT=MLN","Sort=A","Dates=H","DateFormat=P","Fill=—","Direction=H","UseDPDF=Y")</f>
        <v>-89.2</v>
      </c>
      <c r="I38" s="13">
        <f>_xll.BDH("MCHP US Equity","IS_CURRENT_INCOME_TAX_BENEFIT","FY 2020","FY 2020","Currency=USD","Period=FY","BEST_FPERIOD_OVERRIDE=FY","FILING_STATUS=MR","SCALING_FORMAT=MLN","Sort=A","Dates=H","DateFormat=P","Fill=—","Direction=H","UseDPDF=Y")</f>
        <v>70.099999999999994</v>
      </c>
      <c r="J38" s="16"/>
      <c r="K38" s="13"/>
      <c r="L38" s="13"/>
    </row>
    <row r="39" spans="1:12" x14ac:dyDescent="0.45">
      <c r="A39" s="10" t="s">
        <v>90</v>
      </c>
      <c r="B39" s="10" t="s">
        <v>91</v>
      </c>
      <c r="C39" s="13">
        <f>_xll.BDH("MCHP US Equity","IS_DEFERRED_INCOME_TAX_BENEFIT","FY 2014","FY 2014","Currency=USD","Period=FY","BEST_FPERIOD_OVERRIDE=FY","FILING_STATUS=MR","SCALING_FORMAT=MLN","Sort=A","Dates=H","DateFormat=P","Fill=—","Direction=H","UseDPDF=Y")</f>
        <v>5.32</v>
      </c>
      <c r="D39" s="13">
        <f>_xll.BDH("MCHP US Equity","IS_DEFERRED_INCOME_TAX_BENEFIT","FY 2015","FY 2015","Currency=USD","Period=FY","BEST_FPERIOD_OVERRIDE=FY","FILING_STATUS=MR","SCALING_FORMAT=MLN","Sort=A","Dates=H","DateFormat=P","Fill=—","Direction=H","UseDPDF=Y")</f>
        <v>-32.811</v>
      </c>
      <c r="E39" s="13">
        <f>_xll.BDH("MCHP US Equity","IS_DEFERRED_INCOME_TAX_BENEFIT","FY 2016","FY 2016","Currency=USD","Period=FY","BEST_FPERIOD_OVERRIDE=FY","FILING_STATUS=MR","SCALING_FORMAT=MLN","Sort=A","Dates=H","DateFormat=P","Fill=—","Direction=H","UseDPDF=Y")</f>
        <v>-60.4</v>
      </c>
      <c r="F39" s="13">
        <f>_xll.BDH("MCHP US Equity","IS_DEFERRED_INCOME_TAX_BENEFIT","FY 2017","FY 2017","Currency=USD","Period=FY","BEST_FPERIOD_OVERRIDE=FY","FILING_STATUS=MR","SCALING_FORMAT=MLN","Sort=A","Dates=H","DateFormat=P","Fill=—","Direction=H","UseDPDF=Y")</f>
        <v>-126.9</v>
      </c>
      <c r="G39" s="13">
        <f>_xll.BDH("MCHP US Equity","IS_DEFERRED_INCOME_TAX_BENEFIT","FY 2018","FY 2018","Currency=USD","Period=FY","BEST_FPERIOD_OVERRIDE=FY","FILING_STATUS=MR","SCALING_FORMAT=MLN","Sort=A","Dates=H","DateFormat=P","Fill=—","Direction=H","UseDPDF=Y")</f>
        <v>51.2</v>
      </c>
      <c r="H39" s="13">
        <f>_xll.BDH("MCHP US Equity","IS_DEFERRED_INCOME_TAX_BENEFIT","FY 2019","FY 2019","Currency=USD","Period=FY","BEST_FPERIOD_OVERRIDE=FY","FILING_STATUS=MR","SCALING_FORMAT=MLN","Sort=A","Dates=H","DateFormat=P","Fill=—","Direction=H","UseDPDF=Y")</f>
        <v>-62.2</v>
      </c>
      <c r="I39" s="13">
        <f>_xll.BDH("MCHP US Equity","IS_DEFERRED_INCOME_TAX_BENEFIT","FY 2020","FY 2020","Currency=USD","Period=FY","BEST_FPERIOD_OVERRIDE=FY","FILING_STATUS=MR","SCALING_FORMAT=MLN","Sort=A","Dates=H","DateFormat=P","Fill=—","Direction=H","UseDPDF=Y")</f>
        <v>-490.3</v>
      </c>
      <c r="J39" s="16"/>
      <c r="K39" s="13"/>
      <c r="L39" s="13"/>
    </row>
    <row r="40" spans="1:12" x14ac:dyDescent="0.45">
      <c r="A40" s="10" t="s">
        <v>92</v>
      </c>
      <c r="B40" s="10" t="s">
        <v>93</v>
      </c>
      <c r="C40" s="13" t="str">
        <f>_xll.BDH("MCHP US Equity","IS_TAX_VALN_ALLOWNCE_CREDITS","FY 2014","FY 2014","Currency=USD","Period=FY","BEST_FPERIOD_OVERRIDE=FY","FILING_STATUS=MR","SCALING_FORMAT=MLN","Sort=A","Dates=H","DateFormat=P","Fill=—","Direction=H","UseDPDF=Y")</f>
        <v>—</v>
      </c>
      <c r="D40" s="13" t="str">
        <f>_xll.BDH("MCHP US Equity","IS_TAX_VALN_ALLOWNCE_CREDITS","FY 2015","FY 2015","Currency=USD","Period=FY","BEST_FPERIOD_OVERRIDE=FY","FILING_STATUS=MR","SCALING_FORMAT=MLN","Sort=A","Dates=H","DateFormat=P","Fill=—","Direction=H","UseDPDF=Y")</f>
        <v>—</v>
      </c>
      <c r="E40" s="13" t="str">
        <f>_xll.BDH("MCHP US Equity","IS_TAX_VALN_ALLOWNCE_CREDITS","FY 2016","FY 2016","Currency=USD","Period=FY","BEST_FPERIOD_OVERRIDE=FY","FILING_STATUS=MR","SCALING_FORMAT=MLN","Sort=A","Dates=H","DateFormat=P","Fill=—","Direction=H","UseDPDF=Y")</f>
        <v>—</v>
      </c>
      <c r="F40" s="13" t="str">
        <f>_xll.BDH("MCHP US Equity","IS_TAX_VALN_ALLOWNCE_CREDITS","FY 2017","FY 2017","Currency=USD","Period=FY","BEST_FPERIOD_OVERRIDE=FY","FILING_STATUS=MR","SCALING_FORMAT=MLN","Sort=A","Dates=H","DateFormat=P","Fill=—","Direction=H","UseDPDF=Y")</f>
        <v>—</v>
      </c>
      <c r="G40" s="13" t="str">
        <f>_xll.BDH("MCHP US Equity","IS_TAX_VALN_ALLOWNCE_CREDITS","FY 2018","FY 2018","Currency=USD","Period=FY","BEST_FPERIOD_OVERRIDE=FY","FILING_STATUS=MR","SCALING_FORMAT=MLN","Sort=A","Dates=H","DateFormat=P","Fill=—","Direction=H","UseDPDF=Y")</f>
        <v>—</v>
      </c>
      <c r="H40" s="13" t="str">
        <f>_xll.BDH("MCHP US Equity","IS_TAX_VALN_ALLOWNCE_CREDITS","FY 2019","FY 2019","Currency=USD","Period=FY","BEST_FPERIOD_OVERRIDE=FY","FILING_STATUS=MR","SCALING_FORMAT=MLN","Sort=A","Dates=H","DateFormat=P","Fill=—","Direction=H","UseDPDF=Y")</f>
        <v>—</v>
      </c>
      <c r="I40" s="13" t="str">
        <f>_xll.BDH("MCHP US Equity","IS_TAX_VALN_ALLOWNCE_CREDITS","FY 2020","FY 2020","Currency=USD","Period=FY","BEST_FPERIOD_OVERRIDE=FY","FILING_STATUS=MR","SCALING_FORMAT=MLN","Sort=A","Dates=H","DateFormat=P","Fill=—","Direction=H","UseDPDF=Y")</f>
        <v>—</v>
      </c>
      <c r="J40" s="16"/>
      <c r="K40" s="13"/>
      <c r="L40" s="13"/>
    </row>
    <row r="41" spans="1:12" x14ac:dyDescent="0.45">
      <c r="A41" s="6" t="s">
        <v>94</v>
      </c>
      <c r="B41" s="6" t="s">
        <v>95</v>
      </c>
      <c r="C41" s="19">
        <f>_xll.BDH("MCHP US Equity","IS_INC_BEF_XO_ITEM","FY 2014","FY 2014","Currency=USD","Period=FY","BEST_FPERIOD_OVERRIDE=FY","FILING_STATUS=MR","SCALING_FORMAT=MLN","Sort=A","Dates=H","DateFormat=P","Fill=—","Direction=H","UseDPDF=Y")</f>
        <v>395.28100000000001</v>
      </c>
      <c r="D41" s="19">
        <f>_xll.BDH("MCHP US Equity","IS_INC_BEF_XO_ITEM","FY 2015","FY 2015","Currency=USD","Period=FY","BEST_FPERIOD_OVERRIDE=FY","FILING_STATUS=MR","SCALING_FORMAT=MLN","Sort=A","Dates=H","DateFormat=P","Fill=—","Direction=H","UseDPDF=Y")</f>
        <v>365.32499999999999</v>
      </c>
      <c r="E41" s="19">
        <f>_xll.BDH("MCHP US Equity","IS_INC_BEF_XO_ITEM","FY 2016","FY 2016","Currency=USD","Period=FY","BEST_FPERIOD_OVERRIDE=FY","FILING_STATUS=MR","SCALING_FORMAT=MLN","Sort=A","Dates=H","DateFormat=P","Fill=—","Direction=H","UseDPDF=Y")</f>
        <v>323.89999999999998</v>
      </c>
      <c r="F41" s="19">
        <f>_xll.BDH("MCHP US Equity","IS_INC_BEF_XO_ITEM","FY 2017","FY 2017","Currency=USD","Period=FY","BEST_FPERIOD_OVERRIDE=FY","FILING_STATUS=MR","SCALING_FORMAT=MLN","Sort=A","Dates=H","DateFormat=P","Fill=—","Direction=H","UseDPDF=Y")</f>
        <v>170.6</v>
      </c>
      <c r="G41" s="19">
        <f>_xll.BDH("MCHP US Equity","IS_INC_BEF_XO_ITEM","FY 2018","FY 2018","Currency=USD","Period=FY","BEST_FPERIOD_OVERRIDE=FY","FILING_STATUS=MR","SCALING_FORMAT=MLN","Sort=A","Dates=H","DateFormat=P","Fill=—","Direction=H","UseDPDF=Y")</f>
        <v>255.4</v>
      </c>
      <c r="H41" s="19">
        <f>_xll.BDH("MCHP US Equity","IS_INC_BEF_XO_ITEM","FY 2019","FY 2019","Currency=USD","Period=FY","BEST_FPERIOD_OVERRIDE=FY","FILING_STATUS=MR","SCALING_FORMAT=MLN","Sort=A","Dates=H","DateFormat=P","Fill=—","Direction=H","UseDPDF=Y")</f>
        <v>355.9</v>
      </c>
      <c r="I41" s="19">
        <f>_xll.BDH("MCHP US Equity","IS_INC_BEF_XO_ITEM","FY 2020","FY 2020","Currency=USD","Period=FY","BEST_FPERIOD_OVERRIDE=FY","FILING_STATUS=MR","SCALING_FORMAT=MLN","Sort=A","Dates=H","DateFormat=P","Fill=—","Direction=H","UseDPDF=Y")</f>
        <v>570.6</v>
      </c>
      <c r="J41" s="22">
        <v>608.20000000000005</v>
      </c>
      <c r="K41" s="19">
        <v>458.35700000000003</v>
      </c>
      <c r="L41" s="19">
        <v>762.07100000000003</v>
      </c>
    </row>
    <row r="42" spans="1:12" x14ac:dyDescent="0.45">
      <c r="A42" s="10" t="s">
        <v>96</v>
      </c>
      <c r="B42" s="10" t="s">
        <v>97</v>
      </c>
      <c r="C42" s="13">
        <f>_xll.BDH("MCHP US Equity","XO_GL_NET_OF_TAX","FY 2014","FY 2014","Currency=USD","Period=FY","BEST_FPERIOD_OVERRIDE=FY","FILING_STATUS=MR","SCALING_FORMAT=MLN","Sort=A","Dates=H","DateFormat=P","Fill=—","Direction=H","UseDPDF=Y")</f>
        <v>0</v>
      </c>
      <c r="D42" s="13">
        <f>_xll.BDH("MCHP US Equity","XO_GL_NET_OF_TAX","FY 2015","FY 2015","Currency=USD","Period=FY","BEST_FPERIOD_OVERRIDE=FY","FILING_STATUS=MR","SCALING_FORMAT=MLN","Sort=A","Dates=H","DateFormat=P","Fill=—","Direction=H","UseDPDF=Y")</f>
        <v>0</v>
      </c>
      <c r="E42" s="13">
        <f>_xll.BDH("MCHP US Equity","XO_GL_NET_OF_TAX","FY 2016","FY 2016","Currency=USD","Period=FY","BEST_FPERIOD_OVERRIDE=FY","FILING_STATUS=MR","SCALING_FORMAT=MLN","Sort=A","Dates=H","DateFormat=P","Fill=—","Direction=H","UseDPDF=Y")</f>
        <v>0</v>
      </c>
      <c r="F42" s="13">
        <f>_xll.BDH("MCHP US Equity","XO_GL_NET_OF_TAX","FY 2017","FY 2017","Currency=USD","Period=FY","BEST_FPERIOD_OVERRIDE=FY","FILING_STATUS=MR","SCALING_FORMAT=MLN","Sort=A","Dates=H","DateFormat=P","Fill=—","Direction=H","UseDPDF=Y")</f>
        <v>6</v>
      </c>
      <c r="G42" s="13">
        <f>_xll.BDH("MCHP US Equity","XO_GL_NET_OF_TAX","FY 2018","FY 2018","Currency=USD","Period=FY","BEST_FPERIOD_OVERRIDE=FY","FILING_STATUS=MR","SCALING_FORMAT=MLN","Sort=A","Dates=H","DateFormat=P","Fill=—","Direction=H","UseDPDF=Y")</f>
        <v>0</v>
      </c>
      <c r="H42" s="13">
        <f>_xll.BDH("MCHP US Equity","XO_GL_NET_OF_TAX","FY 2019","FY 2019","Currency=USD","Period=FY","BEST_FPERIOD_OVERRIDE=FY","FILING_STATUS=MR","SCALING_FORMAT=MLN","Sort=A","Dates=H","DateFormat=P","Fill=—","Direction=H","UseDPDF=Y")</f>
        <v>0</v>
      </c>
      <c r="I42" s="13">
        <f>_xll.BDH("MCHP US Equity","XO_GL_NET_OF_TAX","FY 2020","FY 2020","Currency=USD","Period=FY","BEST_FPERIOD_OVERRIDE=FY","FILING_STATUS=MR","SCALING_FORMAT=MLN","Sort=A","Dates=H","DateFormat=P","Fill=—","Direction=H","UseDPDF=Y")</f>
        <v>0</v>
      </c>
      <c r="J42" s="16">
        <v>0</v>
      </c>
      <c r="K42" s="13"/>
      <c r="L42" s="13"/>
    </row>
    <row r="43" spans="1:12" x14ac:dyDescent="0.45">
      <c r="A43" s="10" t="s">
        <v>98</v>
      </c>
      <c r="B43" s="10" t="s">
        <v>99</v>
      </c>
      <c r="C43" s="13">
        <f>_xll.BDH("MCHP US Equity","IS_DISCONTINUED_OPERATIONS","FY 2014","FY 2014","Currency=USD","Period=FY","BEST_FPERIOD_OVERRIDE=FY","FILING_STATUS=MR","SCALING_FORMAT=MLN","Sort=A","Dates=H","DateFormat=P","Fill=—","Direction=H","UseDPDF=Y")</f>
        <v>0</v>
      </c>
      <c r="D43" s="13">
        <f>_xll.BDH("MCHP US Equity","IS_DISCONTINUED_OPERATIONS","FY 2015","FY 2015","Currency=USD","Period=FY","BEST_FPERIOD_OVERRIDE=FY","FILING_STATUS=MR","SCALING_FORMAT=MLN","Sort=A","Dates=H","DateFormat=P","Fill=—","Direction=H","UseDPDF=Y")</f>
        <v>0</v>
      </c>
      <c r="E43" s="13">
        <f>_xll.BDH("MCHP US Equity","IS_DISCONTINUED_OPERATIONS","FY 2016","FY 2016","Currency=USD","Period=FY","BEST_FPERIOD_OVERRIDE=FY","FILING_STATUS=MR","SCALING_FORMAT=MLN","Sort=A","Dates=H","DateFormat=P","Fill=—","Direction=H","UseDPDF=Y")</f>
        <v>0</v>
      </c>
      <c r="F43" s="13">
        <f>_xll.BDH("MCHP US Equity","IS_DISCONTINUED_OPERATIONS","FY 2017","FY 2017","Currency=USD","Period=FY","BEST_FPERIOD_OVERRIDE=FY","FILING_STATUS=MR","SCALING_FORMAT=MLN","Sort=A","Dates=H","DateFormat=P","Fill=—","Direction=H","UseDPDF=Y")</f>
        <v>6</v>
      </c>
      <c r="G43" s="13">
        <f>_xll.BDH("MCHP US Equity","IS_DISCONTINUED_OPERATIONS","FY 2018","FY 2018","Currency=USD","Period=FY","BEST_FPERIOD_OVERRIDE=FY","FILING_STATUS=MR","SCALING_FORMAT=MLN","Sort=A","Dates=H","DateFormat=P","Fill=—","Direction=H","UseDPDF=Y")</f>
        <v>0</v>
      </c>
      <c r="H43" s="13">
        <f>_xll.BDH("MCHP US Equity","IS_DISCONTINUED_OPERATIONS","FY 2019","FY 2019","Currency=USD","Period=FY","BEST_FPERIOD_OVERRIDE=FY","FILING_STATUS=MR","SCALING_FORMAT=MLN","Sort=A","Dates=H","DateFormat=P","Fill=—","Direction=H","UseDPDF=Y")</f>
        <v>0</v>
      </c>
      <c r="I43" s="13">
        <f>_xll.BDH("MCHP US Equity","IS_DISCONTINUED_OPERATIONS","FY 2020","FY 2020","Currency=USD","Period=FY","BEST_FPERIOD_OVERRIDE=FY","FILING_STATUS=MR","SCALING_FORMAT=MLN","Sort=A","Dates=H","DateFormat=P","Fill=—","Direction=H","UseDPDF=Y")</f>
        <v>0</v>
      </c>
      <c r="J43" s="16">
        <v>0</v>
      </c>
      <c r="K43" s="13"/>
      <c r="L43" s="13"/>
    </row>
    <row r="44" spans="1:12" x14ac:dyDescent="0.45">
      <c r="A44" s="10" t="s">
        <v>100</v>
      </c>
      <c r="B44" s="10" t="s">
        <v>101</v>
      </c>
      <c r="C44" s="13">
        <f>_xll.BDH("MCHP US Equity","IS_EXTRAORD_ITEMS_&amp;_ACCTG_CHNG","FY 2014","FY 2014","Currency=USD","Period=FY","BEST_FPERIOD_OVERRIDE=FY","FILING_STATUS=MR","SCALING_FORMAT=MLN","Sort=A","Dates=H","DateFormat=P","Fill=—","Direction=H","UseDPDF=Y")</f>
        <v>0</v>
      </c>
      <c r="D44" s="13">
        <f>_xll.BDH("MCHP US Equity","IS_EXTRAORD_ITEMS_&amp;_ACCTG_CHNG","FY 2015","FY 2015","Currency=USD","Period=FY","BEST_FPERIOD_OVERRIDE=FY","FILING_STATUS=MR","SCALING_FORMAT=MLN","Sort=A","Dates=H","DateFormat=P","Fill=—","Direction=H","UseDPDF=Y")</f>
        <v>0</v>
      </c>
      <c r="E44" s="13">
        <f>_xll.BDH("MCHP US Equity","IS_EXTRAORD_ITEMS_&amp;_ACCTG_CHNG","FY 2016","FY 2016","Currency=USD","Period=FY","BEST_FPERIOD_OVERRIDE=FY","FILING_STATUS=MR","SCALING_FORMAT=MLN","Sort=A","Dates=H","DateFormat=P","Fill=—","Direction=H","UseDPDF=Y")</f>
        <v>0</v>
      </c>
      <c r="F44" s="13">
        <f>_xll.BDH("MCHP US Equity","IS_EXTRAORD_ITEMS_&amp;_ACCTG_CHNG","FY 2017","FY 2017","Currency=USD","Period=FY","BEST_FPERIOD_OVERRIDE=FY","FILING_STATUS=MR","SCALING_FORMAT=MLN","Sort=A","Dates=H","DateFormat=P","Fill=—","Direction=H","UseDPDF=Y")</f>
        <v>0</v>
      </c>
      <c r="G44" s="13">
        <f>_xll.BDH("MCHP US Equity","IS_EXTRAORD_ITEMS_&amp;_ACCTG_CHNG","FY 2018","FY 2018","Currency=USD","Period=FY","BEST_FPERIOD_OVERRIDE=FY","FILING_STATUS=MR","SCALING_FORMAT=MLN","Sort=A","Dates=H","DateFormat=P","Fill=—","Direction=H","UseDPDF=Y")</f>
        <v>0</v>
      </c>
      <c r="H44" s="13">
        <f>_xll.BDH("MCHP US Equity","IS_EXTRAORD_ITEMS_&amp;_ACCTG_CHNG","FY 2019","FY 2019","Currency=USD","Period=FY","BEST_FPERIOD_OVERRIDE=FY","FILING_STATUS=MR","SCALING_FORMAT=MLN","Sort=A","Dates=H","DateFormat=P","Fill=—","Direction=H","UseDPDF=Y")</f>
        <v>0</v>
      </c>
      <c r="I44" s="13">
        <f>_xll.BDH("MCHP US Equity","IS_EXTRAORD_ITEMS_&amp;_ACCTG_CHNG","FY 2020","FY 2020","Currency=USD","Period=FY","BEST_FPERIOD_OVERRIDE=FY","FILING_STATUS=MR","SCALING_FORMAT=MLN","Sort=A","Dates=H","DateFormat=P","Fill=—","Direction=H","UseDPDF=Y")</f>
        <v>0</v>
      </c>
      <c r="J44" s="16">
        <v>0</v>
      </c>
      <c r="K44" s="13"/>
      <c r="L44" s="13"/>
    </row>
    <row r="45" spans="1:12" x14ac:dyDescent="0.45">
      <c r="A45" s="6" t="s">
        <v>102</v>
      </c>
      <c r="B45" s="6" t="s">
        <v>103</v>
      </c>
      <c r="C45" s="19">
        <f>_xll.BDH("MCHP US Equity","NI_INCLUDING_MINORITY_INT_RATIO","FY 2014","FY 2014","Currency=USD","Period=FY","BEST_FPERIOD_OVERRIDE=FY","FILING_STATUS=MR","SCALING_FORMAT=MLN","FA_ADJUSTED=GAAP","Sort=A","Dates=H","DateFormat=P","Fill=—","Direction=H","UseDPDF=Y")</f>
        <v>395.28100000000001</v>
      </c>
      <c r="D45" s="19">
        <f>_xll.BDH("MCHP US Equity","NI_INCLUDING_MINORITY_INT_RATIO","FY 2015","FY 2015","Currency=USD","Period=FY","BEST_FPERIOD_OVERRIDE=FY","FILING_STATUS=MR","SCALING_FORMAT=MLN","FA_ADJUSTED=GAAP","Sort=A","Dates=H","DateFormat=P","Fill=—","Direction=H","UseDPDF=Y")</f>
        <v>365.32499999999999</v>
      </c>
      <c r="E45" s="19">
        <f>_xll.BDH("MCHP US Equity","NI_INCLUDING_MINORITY_INT_RATIO","FY 2016","FY 2016","Currency=USD","Period=FY","BEST_FPERIOD_OVERRIDE=FY","FILING_STATUS=MR","SCALING_FORMAT=MLN","FA_ADJUSTED=GAAP","Sort=A","Dates=H","DateFormat=P","Fill=—","Direction=H","UseDPDF=Y")</f>
        <v>323.89999999999998</v>
      </c>
      <c r="F45" s="19">
        <f>_xll.BDH("MCHP US Equity","NI_INCLUDING_MINORITY_INT_RATIO","FY 2017","FY 2017","Currency=USD","Period=FY","BEST_FPERIOD_OVERRIDE=FY","FILING_STATUS=MR","SCALING_FORMAT=MLN","FA_ADJUSTED=GAAP","Sort=A","Dates=H","DateFormat=P","Fill=—","Direction=H","UseDPDF=Y")</f>
        <v>164.6</v>
      </c>
      <c r="G45" s="19">
        <f>_xll.BDH("MCHP US Equity","NI_INCLUDING_MINORITY_INT_RATIO","FY 2018","FY 2018","Currency=USD","Period=FY","BEST_FPERIOD_OVERRIDE=FY","FILING_STATUS=MR","SCALING_FORMAT=MLN","FA_ADJUSTED=GAAP","Sort=A","Dates=H","DateFormat=P","Fill=—","Direction=H","UseDPDF=Y")</f>
        <v>255.4</v>
      </c>
      <c r="H45" s="19">
        <f>_xll.BDH("MCHP US Equity","NI_INCLUDING_MINORITY_INT_RATIO","FY 2019","FY 2019","Currency=USD","Period=FY","BEST_FPERIOD_OVERRIDE=FY","FILING_STATUS=MR","SCALING_FORMAT=MLN","FA_ADJUSTED=GAAP","Sort=A","Dates=H","DateFormat=P","Fill=—","Direction=H","UseDPDF=Y")</f>
        <v>355.9</v>
      </c>
      <c r="I45" s="19">
        <f>_xll.BDH("MCHP US Equity","NI_INCLUDING_MINORITY_INT_RATIO","FY 2020","FY 2020","Currency=USD","Period=FY","BEST_FPERIOD_OVERRIDE=FY","FILING_STATUS=MR","SCALING_FORMAT=MLN","FA_ADJUSTED=GAAP","Sort=A","Dates=H","DateFormat=P","Fill=—","Direction=H","UseDPDF=Y")</f>
        <v>570.6</v>
      </c>
      <c r="J45" s="22">
        <v>608.20000000000005</v>
      </c>
      <c r="K45" s="19"/>
      <c r="L45" s="19"/>
    </row>
    <row r="46" spans="1:12" x14ac:dyDescent="0.45">
      <c r="A46" s="10" t="s">
        <v>104</v>
      </c>
      <c r="B46" s="10" t="s">
        <v>105</v>
      </c>
      <c r="C46" s="13">
        <f>_xll.BDH("MCHP US Equity","MIN_NONCONTROL_INTEREST_CREDITS","FY 2014","FY 2014","Currency=USD","Period=FY","BEST_FPERIOD_OVERRIDE=FY","FILING_STATUS=MR","SCALING_FORMAT=MLN","FA_ADJUSTED=GAAP","Sort=A","Dates=H","DateFormat=P","Fill=—","Direction=H","UseDPDF=Y")</f>
        <v>0</v>
      </c>
      <c r="D46" s="13">
        <f>_xll.BDH("MCHP US Equity","MIN_NONCONTROL_INTEREST_CREDITS","FY 2015","FY 2015","Currency=USD","Period=FY","BEST_FPERIOD_OVERRIDE=FY","FILING_STATUS=MR","SCALING_FORMAT=MLN","FA_ADJUSTED=GAAP","Sort=A","Dates=H","DateFormat=P","Fill=—","Direction=H","UseDPDF=Y")</f>
        <v>-3.6840000000000002</v>
      </c>
      <c r="E46" s="13">
        <f>_xll.BDH("MCHP US Equity","MIN_NONCONTROL_INTEREST_CREDITS","FY 2016","FY 2016","Currency=USD","Period=FY","BEST_FPERIOD_OVERRIDE=FY","FILING_STATUS=MR","SCALING_FORMAT=MLN","FA_ADJUSTED=GAAP","Sort=A","Dates=H","DateFormat=P","Fill=—","Direction=H","UseDPDF=Y")</f>
        <v>-0.2</v>
      </c>
      <c r="F46" s="13">
        <f>_xll.BDH("MCHP US Equity","MIN_NONCONTROL_INTEREST_CREDITS","FY 2017","FY 2017","Currency=USD","Period=FY","BEST_FPERIOD_OVERRIDE=FY","FILING_STATUS=MR","SCALING_FORMAT=MLN","FA_ADJUSTED=GAAP","Sort=A","Dates=H","DateFormat=P","Fill=—","Direction=H","UseDPDF=Y")</f>
        <v>0</v>
      </c>
      <c r="G46" s="13">
        <f>_xll.BDH("MCHP US Equity","MIN_NONCONTROL_INTEREST_CREDITS","FY 2018","FY 2018","Currency=USD","Period=FY","BEST_FPERIOD_OVERRIDE=FY","FILING_STATUS=MR","SCALING_FORMAT=MLN","FA_ADJUSTED=GAAP","Sort=A","Dates=H","DateFormat=P","Fill=—","Direction=H","UseDPDF=Y")</f>
        <v>0</v>
      </c>
      <c r="H46" s="13">
        <f>_xll.BDH("MCHP US Equity","MIN_NONCONTROL_INTEREST_CREDITS","FY 2019","FY 2019","Currency=USD","Period=FY","BEST_FPERIOD_OVERRIDE=FY","FILING_STATUS=MR","SCALING_FORMAT=MLN","FA_ADJUSTED=GAAP","Sort=A","Dates=H","DateFormat=P","Fill=—","Direction=H","UseDPDF=Y")</f>
        <v>0</v>
      </c>
      <c r="I46" s="13">
        <f>_xll.BDH("MCHP US Equity","MIN_NONCONTROL_INTEREST_CREDITS","FY 2020","FY 2020","Currency=USD","Period=FY","BEST_FPERIOD_OVERRIDE=FY","FILING_STATUS=MR","SCALING_FORMAT=MLN","FA_ADJUSTED=GAAP","Sort=A","Dates=H","DateFormat=P","Fill=—","Direction=H","UseDPDF=Y")</f>
        <v>0</v>
      </c>
      <c r="J46" s="16">
        <v>0</v>
      </c>
      <c r="K46" s="13"/>
      <c r="L46" s="13"/>
    </row>
    <row r="47" spans="1:12" x14ac:dyDescent="0.45">
      <c r="A47" s="6" t="s">
        <v>106</v>
      </c>
      <c r="B47" s="6" t="s">
        <v>107</v>
      </c>
      <c r="C47" s="19">
        <f>_xll.BDH("MCHP US Equity","NET_INCOME","FY 2014","FY 2014","Currency=USD","Period=FY","BEST_FPERIOD_OVERRIDE=FY","FILING_STATUS=MR","SCALING_FORMAT=MLN","FA_ADJUSTED=GAAP","Sort=A","Dates=H","DateFormat=P","Fill=—","Direction=H","UseDPDF=Y")</f>
        <v>395.28100000000001</v>
      </c>
      <c r="D47" s="19">
        <f>_xll.BDH("MCHP US Equity","NET_INCOME","FY 2015","FY 2015","Currency=USD","Period=FY","BEST_FPERIOD_OVERRIDE=FY","FILING_STATUS=MR","SCALING_FORMAT=MLN","FA_ADJUSTED=GAAP","Sort=A","Dates=H","DateFormat=P","Fill=—","Direction=H","UseDPDF=Y")</f>
        <v>369.00900000000001</v>
      </c>
      <c r="E47" s="19">
        <f>_xll.BDH("MCHP US Equity","NET_INCOME","FY 2016","FY 2016","Currency=USD","Period=FY","BEST_FPERIOD_OVERRIDE=FY","FILING_STATUS=MR","SCALING_FORMAT=MLN","FA_ADJUSTED=GAAP","Sort=A","Dates=H","DateFormat=P","Fill=—","Direction=H","UseDPDF=Y")</f>
        <v>324.10000000000002</v>
      </c>
      <c r="F47" s="19">
        <f>_xll.BDH("MCHP US Equity","NET_INCOME","FY 2017","FY 2017","Currency=USD","Period=FY","BEST_FPERIOD_OVERRIDE=FY","FILING_STATUS=MR","SCALING_FORMAT=MLN","FA_ADJUSTED=GAAP","Sort=A","Dates=H","DateFormat=P","Fill=—","Direction=H","UseDPDF=Y")</f>
        <v>164.6</v>
      </c>
      <c r="G47" s="19">
        <f>_xll.BDH("MCHP US Equity","NET_INCOME","FY 2018","FY 2018","Currency=USD","Period=FY","BEST_FPERIOD_OVERRIDE=FY","FILING_STATUS=MR","SCALING_FORMAT=MLN","FA_ADJUSTED=GAAP","Sort=A","Dates=H","DateFormat=P","Fill=—","Direction=H","UseDPDF=Y")</f>
        <v>255.4</v>
      </c>
      <c r="H47" s="19">
        <f>_xll.BDH("MCHP US Equity","NET_INCOME","FY 2019","FY 2019","Currency=USD","Period=FY","BEST_FPERIOD_OVERRIDE=FY","FILING_STATUS=MR","SCALING_FORMAT=MLN","FA_ADJUSTED=GAAP","Sort=A","Dates=H","DateFormat=P","Fill=—","Direction=H","UseDPDF=Y")</f>
        <v>355.9</v>
      </c>
      <c r="I47" s="19">
        <f>_xll.BDH("MCHP US Equity","NET_INCOME","FY 2020","FY 2020","Currency=USD","Period=FY","BEST_FPERIOD_OVERRIDE=FY","FILING_STATUS=MR","SCALING_FORMAT=MLN","FA_ADJUSTED=GAAP","Sort=A","Dates=H","DateFormat=P","Fill=—","Direction=H","UseDPDF=Y")</f>
        <v>570.6</v>
      </c>
      <c r="J47" s="22">
        <v>608.20000000000005</v>
      </c>
      <c r="K47" s="19">
        <v>458.35700000000003</v>
      </c>
      <c r="L47" s="19">
        <v>762.07100000000003</v>
      </c>
    </row>
    <row r="48" spans="1:12" x14ac:dyDescent="0.45">
      <c r="A48" s="10" t="s">
        <v>108</v>
      </c>
      <c r="B48" s="10" t="s">
        <v>109</v>
      </c>
      <c r="C48" s="13">
        <f>_xll.BDH("MCHP US Equity","IS_TOT_CASH_PFD_DVD","FY 2014","FY 2014","Currency=USD","Period=FY","BEST_FPERIOD_OVERRIDE=FY","FILING_STATUS=MR","SCALING_FORMAT=MLN","Sort=A","Dates=H","DateFormat=P","Fill=—","Direction=H","UseDPDF=Y")</f>
        <v>0</v>
      </c>
      <c r="D48" s="13">
        <f>_xll.BDH("MCHP US Equity","IS_TOT_CASH_PFD_DVD","FY 2015","FY 2015","Currency=USD","Period=FY","BEST_FPERIOD_OVERRIDE=FY","FILING_STATUS=MR","SCALING_FORMAT=MLN","Sort=A","Dates=H","DateFormat=P","Fill=—","Direction=H","UseDPDF=Y")</f>
        <v>0</v>
      </c>
      <c r="E48" s="13">
        <f>_xll.BDH("MCHP US Equity","IS_TOT_CASH_PFD_DVD","FY 2016","FY 2016","Currency=USD","Period=FY","BEST_FPERIOD_OVERRIDE=FY","FILING_STATUS=MR","SCALING_FORMAT=MLN","Sort=A","Dates=H","DateFormat=P","Fill=—","Direction=H","UseDPDF=Y")</f>
        <v>0</v>
      </c>
      <c r="F48" s="13">
        <f>_xll.BDH("MCHP US Equity","IS_TOT_CASH_PFD_DVD","FY 2017","FY 2017","Currency=USD","Period=FY","BEST_FPERIOD_OVERRIDE=FY","FILING_STATUS=MR","SCALING_FORMAT=MLN","Sort=A","Dates=H","DateFormat=P","Fill=—","Direction=H","UseDPDF=Y")</f>
        <v>0</v>
      </c>
      <c r="G48" s="13">
        <f>_xll.BDH("MCHP US Equity","IS_TOT_CASH_PFD_DVD","FY 2018","FY 2018","Currency=USD","Period=FY","BEST_FPERIOD_OVERRIDE=FY","FILING_STATUS=MR","SCALING_FORMAT=MLN","Sort=A","Dates=H","DateFormat=P","Fill=—","Direction=H","UseDPDF=Y")</f>
        <v>0</v>
      </c>
      <c r="H48" s="13">
        <f>_xll.BDH("MCHP US Equity","IS_TOT_CASH_PFD_DVD","FY 2019","FY 2019","Currency=USD","Period=FY","BEST_FPERIOD_OVERRIDE=FY","FILING_STATUS=MR","SCALING_FORMAT=MLN","Sort=A","Dates=H","DateFormat=P","Fill=—","Direction=H","UseDPDF=Y")</f>
        <v>0</v>
      </c>
      <c r="I48" s="13">
        <f>_xll.BDH("MCHP US Equity","IS_TOT_CASH_PFD_DVD","FY 2020","FY 2020","Currency=USD","Period=FY","BEST_FPERIOD_OVERRIDE=FY","FILING_STATUS=MR","SCALING_FORMAT=MLN","Sort=A","Dates=H","DateFormat=P","Fill=—","Direction=H","UseDPDF=Y")</f>
        <v>0</v>
      </c>
      <c r="J48" s="16">
        <v>0</v>
      </c>
      <c r="K48" s="13"/>
      <c r="L48" s="13"/>
    </row>
    <row r="49" spans="1:12" x14ac:dyDescent="0.45">
      <c r="A49" s="10" t="s">
        <v>110</v>
      </c>
      <c r="B49" s="10" t="s">
        <v>111</v>
      </c>
      <c r="C49" s="13">
        <f>_xll.BDH("MCHP US Equity","OTHER_ADJUSTMENTS","FY 2014","FY 2014","Currency=USD","Period=FY","BEST_FPERIOD_OVERRIDE=FY","FILING_STATUS=MR","SCALING_FORMAT=MLN","Sort=A","Dates=H","DateFormat=P","Fill=—","Direction=H","UseDPDF=Y")</f>
        <v>0</v>
      </c>
      <c r="D49" s="13">
        <f>_xll.BDH("MCHP US Equity","OTHER_ADJUSTMENTS","FY 2015","FY 2015","Currency=USD","Period=FY","BEST_FPERIOD_OVERRIDE=FY","FILING_STATUS=MR","SCALING_FORMAT=MLN","Sort=A","Dates=H","DateFormat=P","Fill=—","Direction=H","UseDPDF=Y")</f>
        <v>0</v>
      </c>
      <c r="E49" s="13">
        <f>_xll.BDH("MCHP US Equity","OTHER_ADJUSTMENTS","FY 2016","FY 2016","Currency=USD","Period=FY","BEST_FPERIOD_OVERRIDE=FY","FILING_STATUS=MR","SCALING_FORMAT=MLN","Sort=A","Dates=H","DateFormat=P","Fill=—","Direction=H","UseDPDF=Y")</f>
        <v>0</v>
      </c>
      <c r="F49" s="13">
        <f>_xll.BDH("MCHP US Equity","OTHER_ADJUSTMENTS","FY 2017","FY 2017","Currency=USD","Period=FY","BEST_FPERIOD_OVERRIDE=FY","FILING_STATUS=MR","SCALING_FORMAT=MLN","Sort=A","Dates=H","DateFormat=P","Fill=—","Direction=H","UseDPDF=Y")</f>
        <v>0</v>
      </c>
      <c r="G49" s="13">
        <f>_xll.BDH("MCHP US Equity","OTHER_ADJUSTMENTS","FY 2018","FY 2018","Currency=USD","Period=FY","BEST_FPERIOD_OVERRIDE=FY","FILING_STATUS=MR","SCALING_FORMAT=MLN","Sort=A","Dates=H","DateFormat=P","Fill=—","Direction=H","UseDPDF=Y")</f>
        <v>0</v>
      </c>
      <c r="H49" s="13">
        <f>_xll.BDH("MCHP US Equity","OTHER_ADJUSTMENTS","FY 2019","FY 2019","Currency=USD","Period=FY","BEST_FPERIOD_OVERRIDE=FY","FILING_STATUS=MR","SCALING_FORMAT=MLN","Sort=A","Dates=H","DateFormat=P","Fill=—","Direction=H","UseDPDF=Y")</f>
        <v>0</v>
      </c>
      <c r="I49" s="13">
        <f>_xll.BDH("MCHP US Equity","OTHER_ADJUSTMENTS","FY 2020","FY 2020","Currency=USD","Period=FY","BEST_FPERIOD_OVERRIDE=FY","FILING_STATUS=MR","SCALING_FORMAT=MLN","Sort=A","Dates=H","DateFormat=P","Fill=—","Direction=H","UseDPDF=Y")</f>
        <v>0</v>
      </c>
      <c r="J49" s="16">
        <v>0</v>
      </c>
      <c r="K49" s="13"/>
      <c r="L49" s="13"/>
    </row>
    <row r="50" spans="1:12" x14ac:dyDescent="0.45">
      <c r="A50" s="6" t="s">
        <v>112</v>
      </c>
      <c r="B50" s="6" t="s">
        <v>113</v>
      </c>
      <c r="C50" s="19">
        <f>_xll.BDH("MCHP US Equity","EARN_FOR_COMMON","FY 2014","FY 2014","Currency=USD","Period=FY","BEST_FPERIOD_OVERRIDE=FY","FILING_STATUS=MR","SCALING_FORMAT=MLN","FA_ADJUSTED=GAAP","Sort=A","Dates=H","DateFormat=P","Fill=—","Direction=H","UseDPDF=Y")</f>
        <v>395.28100000000001</v>
      </c>
      <c r="D50" s="19">
        <f>_xll.BDH("MCHP US Equity","EARN_FOR_COMMON","FY 2015","FY 2015","Currency=USD","Period=FY","BEST_FPERIOD_OVERRIDE=FY","FILING_STATUS=MR","SCALING_FORMAT=MLN","FA_ADJUSTED=GAAP","Sort=A","Dates=H","DateFormat=P","Fill=—","Direction=H","UseDPDF=Y")</f>
        <v>369.00900000000001</v>
      </c>
      <c r="E50" s="19">
        <f>_xll.BDH("MCHP US Equity","EARN_FOR_COMMON","FY 2016","FY 2016","Currency=USD","Period=FY","BEST_FPERIOD_OVERRIDE=FY","FILING_STATUS=MR","SCALING_FORMAT=MLN","FA_ADJUSTED=GAAP","Sort=A","Dates=H","DateFormat=P","Fill=—","Direction=H","UseDPDF=Y")</f>
        <v>324.10000000000002</v>
      </c>
      <c r="F50" s="19">
        <f>_xll.BDH("MCHP US Equity","EARN_FOR_COMMON","FY 2017","FY 2017","Currency=USD","Period=FY","BEST_FPERIOD_OVERRIDE=FY","FILING_STATUS=MR","SCALING_FORMAT=MLN","FA_ADJUSTED=GAAP","Sort=A","Dates=H","DateFormat=P","Fill=—","Direction=H","UseDPDF=Y")</f>
        <v>164.6</v>
      </c>
      <c r="G50" s="19">
        <f>_xll.BDH("MCHP US Equity","EARN_FOR_COMMON","FY 2018","FY 2018","Currency=USD","Period=FY","BEST_FPERIOD_OVERRIDE=FY","FILING_STATUS=MR","SCALING_FORMAT=MLN","FA_ADJUSTED=GAAP","Sort=A","Dates=H","DateFormat=P","Fill=—","Direction=H","UseDPDF=Y")</f>
        <v>255.4</v>
      </c>
      <c r="H50" s="19">
        <f>_xll.BDH("MCHP US Equity","EARN_FOR_COMMON","FY 2019","FY 2019","Currency=USD","Period=FY","BEST_FPERIOD_OVERRIDE=FY","FILING_STATUS=MR","SCALING_FORMAT=MLN","FA_ADJUSTED=GAAP","Sort=A","Dates=H","DateFormat=P","Fill=—","Direction=H","UseDPDF=Y")</f>
        <v>355.9</v>
      </c>
      <c r="I50" s="19">
        <f>_xll.BDH("MCHP US Equity","EARN_FOR_COMMON","FY 2020","FY 2020","Currency=USD","Period=FY","BEST_FPERIOD_OVERRIDE=FY","FILING_STATUS=MR","SCALING_FORMAT=MLN","FA_ADJUSTED=GAAP","Sort=A","Dates=H","DateFormat=P","Fill=—","Direction=H","UseDPDF=Y")</f>
        <v>570.6</v>
      </c>
      <c r="J50" s="22">
        <v>608.20000610351599</v>
      </c>
      <c r="K50" s="19">
        <v>458.35700000000003</v>
      </c>
      <c r="L50" s="19">
        <v>762.07100000000003</v>
      </c>
    </row>
    <row r="51" spans="1:12" x14ac:dyDescent="0.45">
      <c r="A51" s="6"/>
      <c r="B51" s="18"/>
      <c r="C51" s="18"/>
      <c r="D51" s="18"/>
      <c r="E51" s="18"/>
      <c r="F51" s="18"/>
      <c r="G51" s="18"/>
      <c r="H51" s="18"/>
      <c r="I51" s="18"/>
      <c r="J51" s="21"/>
      <c r="K51" s="18"/>
      <c r="L51" s="18"/>
    </row>
    <row r="52" spans="1:12" x14ac:dyDescent="0.45">
      <c r="A52" s="6" t="s">
        <v>114</v>
      </c>
      <c r="B52" s="6" t="s">
        <v>113</v>
      </c>
      <c r="C52" s="19">
        <f>_xll.BDH("MCHP US Equity","EARN_FOR_COMMON","FY 2014","FY 2014","Currency=USD","Period=FY","BEST_FPERIOD_OVERRIDE=FY","FILING_STATUS=MR","SCALING_FORMAT=MLN","FA_ADJUSTED=Adjusted","Sort=A","Dates=H","DateFormat=P","Fill=—","Direction=H","UseDPDF=Y")</f>
        <v>382.99009999999998</v>
      </c>
      <c r="D52" s="19">
        <f>_xll.BDH("MCHP US Equity","EARN_FOR_COMMON","FY 2015","FY 2015","Currency=USD","Period=FY","BEST_FPERIOD_OVERRIDE=FY","FILING_STATUS=MR","SCALING_FORMAT=MLN","FA_ADJUSTED=Adjusted","Sort=A","Dates=H","DateFormat=P","Fill=—","Direction=H","UseDPDF=Y")</f>
        <v>360.71960000000001</v>
      </c>
      <c r="E52" s="19">
        <f>_xll.BDH("MCHP US Equity","EARN_FOR_COMMON","FY 2016","FY 2016","Currency=USD","Period=FY","BEST_FPERIOD_OVERRIDE=FY","FILING_STATUS=MR","SCALING_FORMAT=MLN","FA_ADJUSTED=Adjusted","Sort=A","Dates=H","DateFormat=P","Fill=—","Direction=H","UseDPDF=Y")</f>
        <v>308.3723</v>
      </c>
      <c r="F52" s="19">
        <f>_xll.BDH("MCHP US Equity","EARN_FOR_COMMON","FY 2017","FY 2017","Currency=USD","Period=FY","BEST_FPERIOD_OVERRIDE=FY","FILING_STATUS=MR","SCALING_FORMAT=MLN","FA_ADJUSTED=Adjusted","Sort=A","Dates=H","DateFormat=P","Fill=—","Direction=H","UseDPDF=Y")</f>
        <v>401.57499999999999</v>
      </c>
      <c r="G52" s="19">
        <f>_xll.BDH("MCHP US Equity","EARN_FOR_COMMON","FY 2018","FY 2018","Currency=USD","Period=FY","BEST_FPERIOD_OVERRIDE=FY","FILING_STATUS=MR","SCALING_FORMAT=MLN","FA_ADJUSTED=Adjusted","Sort=A","Dates=H","DateFormat=P","Fill=—","Direction=H","UseDPDF=Y")</f>
        <v>763.31949999999995</v>
      </c>
      <c r="H52" s="19">
        <f>_xll.BDH("MCHP US Equity","EARN_FOR_COMMON","FY 2019","FY 2019","Currency=USD","Period=FY","BEST_FPERIOD_OVERRIDE=FY","FILING_STATUS=MR","SCALING_FORMAT=MLN","FA_ADJUSTED=Adjusted","Sort=A","Dates=H","DateFormat=P","Fill=—","Direction=H","UseDPDF=Y")</f>
        <v>433.60169999999999</v>
      </c>
      <c r="I52" s="19">
        <f>_xll.BDH("MCHP US Equity","EARN_FOR_COMMON","FY 2020","FY 2020","Currency=USD","Period=FY","BEST_FPERIOD_OVERRIDE=FY","FILING_STATUS=MR","SCALING_FORMAT=MLN","FA_ADJUSTED=Adjusted","Sort=A","Dates=H","DateFormat=P","Fill=—","Direction=H","UseDPDF=Y")</f>
        <v>624.10490000000004</v>
      </c>
      <c r="J52" s="22">
        <v>476.541535318836</v>
      </c>
      <c r="K52" s="19">
        <v>1695.2349999999999</v>
      </c>
      <c r="L52" s="19">
        <v>1993.056</v>
      </c>
    </row>
    <row r="53" spans="1:12" x14ac:dyDescent="0.45">
      <c r="A53" s="10" t="s">
        <v>115</v>
      </c>
      <c r="B53" s="10" t="s">
        <v>116</v>
      </c>
      <c r="C53" s="13">
        <f>_xll.BDH("MCHP US Equity","IS_NET_ABNORMAL_ITEMS","FY 2014","FY 2014","Currency=USD","Period=FY","BEST_FPERIOD_OVERRIDE=FY","FILING_STATUS=MR","SCALING_FORMAT=MLN","Sort=A","Dates=H","DateFormat=P","Fill=—","Direction=H","UseDPDF=Y")</f>
        <v>-12.290900000000001</v>
      </c>
      <c r="D53" s="13">
        <f>_xll.BDH("MCHP US Equity","IS_NET_ABNORMAL_ITEMS","FY 2015","FY 2015","Currency=USD","Period=FY","BEST_FPERIOD_OVERRIDE=FY","FILING_STATUS=MR","SCALING_FORMAT=MLN","Sort=A","Dates=H","DateFormat=P","Fill=—","Direction=H","UseDPDF=Y")</f>
        <v>-8.2894000000000005</v>
      </c>
      <c r="E53" s="13">
        <f>_xll.BDH("MCHP US Equity","IS_NET_ABNORMAL_ITEMS","FY 2016","FY 2016","Currency=USD","Period=FY","BEST_FPERIOD_OVERRIDE=FY","FILING_STATUS=MR","SCALING_FORMAT=MLN","Sort=A","Dates=H","DateFormat=P","Fill=—","Direction=H","UseDPDF=Y")</f>
        <v>-15.7277</v>
      </c>
      <c r="F53" s="13">
        <f>_xll.BDH("MCHP US Equity","IS_NET_ABNORMAL_ITEMS","FY 2017","FY 2017","Currency=USD","Period=FY","BEST_FPERIOD_OVERRIDE=FY","FILING_STATUS=MR","SCALING_FORMAT=MLN","Sort=A","Dates=H","DateFormat=P","Fill=—","Direction=H","UseDPDF=Y")</f>
        <v>230.97499999999999</v>
      </c>
      <c r="G53" s="13">
        <f>_xll.BDH("MCHP US Equity","IS_NET_ABNORMAL_ITEMS","FY 2018","FY 2018","Currency=USD","Period=FY","BEST_FPERIOD_OVERRIDE=FY","FILING_STATUS=MR","SCALING_FORMAT=MLN","Sort=A","Dates=H","DateFormat=P","Fill=—","Direction=H","UseDPDF=Y")</f>
        <v>507.91950000000003</v>
      </c>
      <c r="H53" s="13">
        <f>_xll.BDH("MCHP US Equity","IS_NET_ABNORMAL_ITEMS","FY 2019","FY 2019","Currency=USD","Period=FY","BEST_FPERIOD_OVERRIDE=FY","FILING_STATUS=MR","SCALING_FORMAT=MLN","Sort=A","Dates=H","DateFormat=P","Fill=—","Direction=H","UseDPDF=Y")</f>
        <v>77.701700000000002</v>
      </c>
      <c r="I53" s="13">
        <f>_xll.BDH("MCHP US Equity","IS_NET_ABNORMAL_ITEMS","FY 2020","FY 2020","Currency=USD","Period=FY","BEST_FPERIOD_OVERRIDE=FY","FILING_STATUS=MR","SCALING_FORMAT=MLN","Sort=A","Dates=H","DateFormat=P","Fill=—","Direction=H","UseDPDF=Y")</f>
        <v>53.504899999999999</v>
      </c>
      <c r="J53" s="16">
        <v>-131.65846106807899</v>
      </c>
      <c r="K53" s="13"/>
      <c r="L53" s="13"/>
    </row>
    <row r="54" spans="1:12" x14ac:dyDescent="0.45">
      <c r="A54" s="10" t="s">
        <v>117</v>
      </c>
      <c r="B54" s="10" t="s">
        <v>97</v>
      </c>
      <c r="C54" s="13">
        <f>_xll.BDH("MCHP US Equity","XO_GL_NET_OF_TAX","FY 2014","FY 2014","Currency=USD","Period=FY","BEST_FPERIOD_OVERRIDE=FY","FILING_STATUS=MR","SCALING_FORMAT=MLN","Sort=A","Dates=H","DateFormat=P","Fill=—","Direction=H","UseDPDF=Y")</f>
        <v>0</v>
      </c>
      <c r="D54" s="13">
        <f>_xll.BDH("MCHP US Equity","XO_GL_NET_OF_TAX","FY 2015","FY 2015","Currency=USD","Period=FY","BEST_FPERIOD_OVERRIDE=FY","FILING_STATUS=MR","SCALING_FORMAT=MLN","Sort=A","Dates=H","DateFormat=P","Fill=—","Direction=H","UseDPDF=Y")</f>
        <v>0</v>
      </c>
      <c r="E54" s="13">
        <f>_xll.BDH("MCHP US Equity","XO_GL_NET_OF_TAX","FY 2016","FY 2016","Currency=USD","Period=FY","BEST_FPERIOD_OVERRIDE=FY","FILING_STATUS=MR","SCALING_FORMAT=MLN","Sort=A","Dates=H","DateFormat=P","Fill=—","Direction=H","UseDPDF=Y")</f>
        <v>0</v>
      </c>
      <c r="F54" s="13">
        <f>_xll.BDH("MCHP US Equity","XO_GL_NET_OF_TAX","FY 2017","FY 2017","Currency=USD","Period=FY","BEST_FPERIOD_OVERRIDE=FY","FILING_STATUS=MR","SCALING_FORMAT=MLN","Sort=A","Dates=H","DateFormat=P","Fill=—","Direction=H","UseDPDF=Y")</f>
        <v>6</v>
      </c>
      <c r="G54" s="13">
        <f>_xll.BDH("MCHP US Equity","XO_GL_NET_OF_TAX","FY 2018","FY 2018","Currency=USD","Period=FY","BEST_FPERIOD_OVERRIDE=FY","FILING_STATUS=MR","SCALING_FORMAT=MLN","Sort=A","Dates=H","DateFormat=P","Fill=—","Direction=H","UseDPDF=Y")</f>
        <v>0</v>
      </c>
      <c r="H54" s="13">
        <f>_xll.BDH("MCHP US Equity","XO_GL_NET_OF_TAX","FY 2019","FY 2019","Currency=USD","Period=FY","BEST_FPERIOD_OVERRIDE=FY","FILING_STATUS=MR","SCALING_FORMAT=MLN","Sort=A","Dates=H","DateFormat=P","Fill=—","Direction=H","UseDPDF=Y")</f>
        <v>0</v>
      </c>
      <c r="I54" s="13">
        <f>_xll.BDH("MCHP US Equity","XO_GL_NET_OF_TAX","FY 2020","FY 2020","Currency=USD","Period=FY","BEST_FPERIOD_OVERRIDE=FY","FILING_STATUS=MR","SCALING_FORMAT=MLN","Sort=A","Dates=H","DateFormat=P","Fill=—","Direction=H","UseDPDF=Y")</f>
        <v>0</v>
      </c>
      <c r="J54" s="16">
        <v>0</v>
      </c>
      <c r="K54" s="13"/>
      <c r="L54" s="13"/>
    </row>
    <row r="55" spans="1:12" x14ac:dyDescent="0.45">
      <c r="A55" s="6"/>
      <c r="B55" s="18"/>
      <c r="C55" s="18"/>
      <c r="D55" s="18"/>
      <c r="E55" s="18"/>
      <c r="F55" s="18"/>
      <c r="G55" s="18"/>
      <c r="H55" s="18"/>
      <c r="I55" s="18"/>
      <c r="J55" s="21"/>
      <c r="K55" s="18"/>
      <c r="L55" s="18"/>
    </row>
    <row r="56" spans="1:12" x14ac:dyDescent="0.45">
      <c r="A56" s="10" t="s">
        <v>118</v>
      </c>
      <c r="B56" s="10" t="s">
        <v>119</v>
      </c>
      <c r="C56" s="13">
        <f>_xll.BDH("MCHP US Equity","IS_AVG_NUM_SH_FOR_EPS","FY 2014","FY 2014","Currency=USD","Period=FY","BEST_FPERIOD_OVERRIDE=FY","FILING_STATUS=MR","Sort=A","Dates=H","DateFormat=P","Fill=—","Direction=H","UseDPDF=Y")</f>
        <v>198.291</v>
      </c>
      <c r="D56" s="13">
        <f>_xll.BDH("MCHP US Equity","IS_AVG_NUM_SH_FOR_EPS","FY 2015","FY 2015","Currency=USD","Period=FY","BEST_FPERIOD_OVERRIDE=FY","FILING_STATUS=MR","Sort=A","Dates=H","DateFormat=P","Fill=—","Direction=H","UseDPDF=Y")</f>
        <v>200.93700000000001</v>
      </c>
      <c r="E56" s="13">
        <f>_xll.BDH("MCHP US Equity","IS_AVG_NUM_SH_FOR_EPS","FY 2016","FY 2016","Currency=USD","Period=FY","BEST_FPERIOD_OVERRIDE=FY","FILING_STATUS=MR","Sort=A","Dates=H","DateFormat=P","Fill=—","Direction=H","UseDPDF=Y")</f>
        <v>203.4</v>
      </c>
      <c r="F56" s="13">
        <f>_xll.BDH("MCHP US Equity","IS_AVG_NUM_SH_FOR_EPS","FY 2017","FY 2017","Currency=USD","Period=FY","BEST_FPERIOD_OVERRIDE=FY","FILING_STATUS=MR","Sort=A","Dates=H","DateFormat=P","Fill=—","Direction=H","UseDPDF=Y")</f>
        <v>217.2</v>
      </c>
      <c r="G56" s="13">
        <f>_xll.BDH("MCHP US Equity","IS_AVG_NUM_SH_FOR_EPS","FY 2018","FY 2018","Currency=USD","Period=FY","BEST_FPERIOD_OVERRIDE=FY","FILING_STATUS=MR","Sort=A","Dates=H","DateFormat=P","Fill=—","Direction=H","UseDPDF=Y")</f>
        <v>232.9</v>
      </c>
      <c r="H56" s="13">
        <f>_xll.BDH("MCHP US Equity","IS_AVG_NUM_SH_FOR_EPS","FY 2019","FY 2019","Currency=USD","Period=FY","BEST_FPERIOD_OVERRIDE=FY","FILING_STATUS=MR","Sort=A","Dates=H","DateFormat=P","Fill=—","Direction=H","UseDPDF=Y")</f>
        <v>236.2</v>
      </c>
      <c r="I56" s="13">
        <f>_xll.BDH("MCHP US Equity","IS_AVG_NUM_SH_FOR_EPS","FY 2020","FY 2020","Currency=USD","Period=FY","BEST_FPERIOD_OVERRIDE=FY","FILING_STATUS=MR","Sort=A","Dates=H","DateFormat=P","Fill=—","Direction=H","UseDPDF=Y")</f>
        <v>238.9</v>
      </c>
      <c r="J56" s="16">
        <v>256</v>
      </c>
      <c r="K56" s="13"/>
      <c r="L56" s="13"/>
    </row>
    <row r="57" spans="1:12" x14ac:dyDescent="0.45">
      <c r="A57" s="6" t="s">
        <v>120</v>
      </c>
      <c r="B57" s="6" t="s">
        <v>121</v>
      </c>
      <c r="C57" s="20">
        <f>_xll.BDH("MCHP US Equity","IS_EPS","FY 2014","FY 2014","Currency=USD","Period=FY","BEST_FPERIOD_OVERRIDE=FY","FILING_STATUS=MR","FA_ADJUSTED=GAAP","Sort=A","Dates=H","DateFormat=P","Fill=—","Direction=H","UseDPDF=Y")</f>
        <v>1.99</v>
      </c>
      <c r="D57" s="20">
        <f>_xll.BDH("MCHP US Equity","IS_EPS","FY 2015","FY 2015","Currency=USD","Period=FY","BEST_FPERIOD_OVERRIDE=FY","FILING_STATUS=MR","FA_ADJUSTED=GAAP","Sort=A","Dates=H","DateFormat=P","Fill=—","Direction=H","UseDPDF=Y")</f>
        <v>1.8399999999999999</v>
      </c>
      <c r="E57" s="20">
        <f>_xll.BDH("MCHP US Equity","IS_EPS","FY 2016","FY 2016","Currency=USD","Period=FY","BEST_FPERIOD_OVERRIDE=FY","FILING_STATUS=MR","FA_ADJUSTED=GAAP","Sort=A","Dates=H","DateFormat=P","Fill=—","Direction=H","UseDPDF=Y")</f>
        <v>1.5899999999999999</v>
      </c>
      <c r="F57" s="20">
        <f>_xll.BDH("MCHP US Equity","IS_EPS","FY 2017","FY 2017","Currency=USD","Period=FY","BEST_FPERIOD_OVERRIDE=FY","FILING_STATUS=MR","FA_ADJUSTED=GAAP","Sort=A","Dates=H","DateFormat=P","Fill=—","Direction=H","UseDPDF=Y")</f>
        <v>0.76</v>
      </c>
      <c r="G57" s="20">
        <f>_xll.BDH("MCHP US Equity","IS_EPS","FY 2018","FY 2018","Currency=USD","Period=FY","BEST_FPERIOD_OVERRIDE=FY","FILING_STATUS=MR","FA_ADJUSTED=GAAP","Sort=A","Dates=H","DateFormat=P","Fill=—","Direction=H","UseDPDF=Y")</f>
        <v>1.1000000000000001</v>
      </c>
      <c r="H57" s="20">
        <f>_xll.BDH("MCHP US Equity","IS_EPS","FY 2019","FY 2019","Currency=USD","Period=FY","BEST_FPERIOD_OVERRIDE=FY","FILING_STATUS=MR","FA_ADJUSTED=GAAP","Sort=A","Dates=H","DateFormat=P","Fill=—","Direction=H","UseDPDF=Y")</f>
        <v>1.51</v>
      </c>
      <c r="I57" s="20">
        <f>_xll.BDH("MCHP US Equity","IS_EPS","FY 2020","FY 2020","Currency=USD","Period=FY","BEST_FPERIOD_OVERRIDE=FY","FILING_STATUS=MR","FA_ADJUSTED=GAAP","Sort=A","Dates=H","DateFormat=P","Fill=—","Direction=H","UseDPDF=Y")</f>
        <v>2.39</v>
      </c>
      <c r="J57" s="23">
        <v>2.5099999999999998</v>
      </c>
      <c r="K57" s="20">
        <v>1.673</v>
      </c>
      <c r="L57" s="20">
        <v>2.722</v>
      </c>
    </row>
    <row r="58" spans="1:12" x14ac:dyDescent="0.45">
      <c r="A58" s="6" t="s">
        <v>122</v>
      </c>
      <c r="B58" s="6" t="s">
        <v>123</v>
      </c>
      <c r="C58" s="20">
        <f>_xll.BDH("MCHP US Equity","IS_EARN_BEF_XO_ITEMS_PER_SH","FY 2014","FY 2014","Currency=USD","Period=FY","BEST_FPERIOD_OVERRIDE=FY","FILING_STATUS=MR","Sort=A","Dates=H","DateFormat=P","Fill=—","Direction=H","UseDPDF=Y")</f>
        <v>1.99</v>
      </c>
      <c r="D58" s="20">
        <f>_xll.BDH("MCHP US Equity","IS_EARN_BEF_XO_ITEMS_PER_SH","FY 2015","FY 2015","Currency=USD","Period=FY","BEST_FPERIOD_OVERRIDE=FY","FILING_STATUS=MR","Sort=A","Dates=H","DateFormat=P","Fill=—","Direction=H","UseDPDF=Y")</f>
        <v>1.8399999999999999</v>
      </c>
      <c r="E58" s="20">
        <f>_xll.BDH("MCHP US Equity","IS_EARN_BEF_XO_ITEMS_PER_SH","FY 2016","FY 2016","Currency=USD","Period=FY","BEST_FPERIOD_OVERRIDE=FY","FILING_STATUS=MR","Sort=A","Dates=H","DateFormat=P","Fill=—","Direction=H","UseDPDF=Y")</f>
        <v>1.5899999999999999</v>
      </c>
      <c r="F58" s="20">
        <f>_xll.BDH("MCHP US Equity","IS_EARN_BEF_XO_ITEMS_PER_SH","FY 2017","FY 2017","Currency=USD","Period=FY","BEST_FPERIOD_OVERRIDE=FY","FILING_STATUS=MR","Sort=A","Dates=H","DateFormat=P","Fill=—","Direction=H","UseDPDF=Y")</f>
        <v>0.79</v>
      </c>
      <c r="G58" s="20">
        <f>_xll.BDH("MCHP US Equity","IS_EARN_BEF_XO_ITEMS_PER_SH","FY 2018","FY 2018","Currency=USD","Period=FY","BEST_FPERIOD_OVERRIDE=FY","FILING_STATUS=MR","Sort=A","Dates=H","DateFormat=P","Fill=—","Direction=H","UseDPDF=Y")</f>
        <v>1.1000000000000001</v>
      </c>
      <c r="H58" s="20">
        <f>_xll.BDH("MCHP US Equity","IS_EARN_BEF_XO_ITEMS_PER_SH","FY 2019","FY 2019","Currency=USD","Period=FY","BEST_FPERIOD_OVERRIDE=FY","FILING_STATUS=MR","Sort=A","Dates=H","DateFormat=P","Fill=—","Direction=H","UseDPDF=Y")</f>
        <v>1.51</v>
      </c>
      <c r="I58" s="20">
        <f>_xll.BDH("MCHP US Equity","IS_EARN_BEF_XO_ITEMS_PER_SH","FY 2020","FY 2020","Currency=USD","Period=FY","BEST_FPERIOD_OVERRIDE=FY","FILING_STATUS=MR","Sort=A","Dates=H","DateFormat=P","Fill=—","Direction=H","UseDPDF=Y")</f>
        <v>2.39</v>
      </c>
      <c r="J58" s="23">
        <v>2.5099999999999998</v>
      </c>
      <c r="K58" s="20">
        <v>1.673</v>
      </c>
      <c r="L58" s="20">
        <v>2.722</v>
      </c>
    </row>
    <row r="59" spans="1:12" x14ac:dyDescent="0.45">
      <c r="A59" s="6" t="s">
        <v>124</v>
      </c>
      <c r="B59" s="6" t="s">
        <v>125</v>
      </c>
      <c r="C59" s="20">
        <f>_xll.BDH("MCHP US Equity","IS_BASIC_EPS_CONT_OPS","FY 2014","FY 2014","Currency=USD","Period=FY","BEST_FPERIOD_OVERRIDE=FY","FILING_STATUS=MR","Sort=A","Dates=H","DateFormat=P","Fill=—","Direction=H","UseDPDF=Y")</f>
        <v>1.9315</v>
      </c>
      <c r="D59" s="20">
        <f>_xll.BDH("MCHP US Equity","IS_BASIC_EPS_CONT_OPS","FY 2015","FY 2015","Currency=USD","Period=FY","BEST_FPERIOD_OVERRIDE=FY","FILING_STATUS=MR","Sort=A","Dates=H","DateFormat=P","Fill=—","Direction=H","UseDPDF=Y")</f>
        <v>1.7951999999999999</v>
      </c>
      <c r="E59" s="20">
        <f>_xll.BDH("MCHP US Equity","IS_BASIC_EPS_CONT_OPS","FY 2016","FY 2016","Currency=USD","Period=FY","BEST_FPERIOD_OVERRIDE=FY","FILING_STATUS=MR","Sort=A","Dates=H","DateFormat=P","Fill=—","Direction=H","UseDPDF=Y")</f>
        <v>1.5161</v>
      </c>
      <c r="F59" s="20">
        <f>_xll.BDH("MCHP US Equity","IS_BASIC_EPS_CONT_OPS","FY 2017","FY 2017","Currency=USD","Period=FY","BEST_FPERIOD_OVERRIDE=FY","FILING_STATUS=MR","Sort=A","Dates=H","DateFormat=P","Fill=—","Direction=H","UseDPDF=Y")</f>
        <v>1.8489</v>
      </c>
      <c r="G59" s="20">
        <f>_xll.BDH("MCHP US Equity","IS_BASIC_EPS_CONT_OPS","FY 2018","FY 2018","Currency=USD","Period=FY","BEST_FPERIOD_OVERRIDE=FY","FILING_STATUS=MR","Sort=A","Dates=H","DateFormat=P","Fill=—","Direction=H","UseDPDF=Y")</f>
        <v>3.2774999999999999</v>
      </c>
      <c r="H59" s="20">
        <f>_xll.BDH("MCHP US Equity","IS_BASIC_EPS_CONT_OPS","FY 2019","FY 2019","Currency=USD","Period=FY","BEST_FPERIOD_OVERRIDE=FY","FILING_STATUS=MR","Sort=A","Dates=H","DateFormat=P","Fill=—","Direction=H","UseDPDF=Y")</f>
        <v>1.8357000000000001</v>
      </c>
      <c r="I59" s="20">
        <f>_xll.BDH("MCHP US Equity","IS_BASIC_EPS_CONT_OPS","FY 2020","FY 2020","Currency=USD","Period=FY","BEST_FPERIOD_OVERRIDE=FY","FILING_STATUS=MR","Sort=A","Dates=H","DateFormat=P","Fill=—","Direction=H","UseDPDF=Y")</f>
        <v>2.6124000000000001</v>
      </c>
      <c r="J59" s="23">
        <v>1.9359729999999999</v>
      </c>
      <c r="K59" s="20">
        <v>6.3440000000000003</v>
      </c>
      <c r="L59" s="20">
        <v>7.2149999999999999</v>
      </c>
    </row>
    <row r="60" spans="1:12" x14ac:dyDescent="0.45">
      <c r="A60" s="6"/>
      <c r="B60" s="18"/>
      <c r="C60" s="18"/>
      <c r="D60" s="18"/>
      <c r="E60" s="18"/>
      <c r="F60" s="18"/>
      <c r="G60" s="18"/>
      <c r="H60" s="18"/>
      <c r="I60" s="18"/>
      <c r="J60" s="21"/>
      <c r="K60" s="18"/>
      <c r="L60" s="18"/>
    </row>
    <row r="61" spans="1:12" x14ac:dyDescent="0.45">
      <c r="A61" s="10" t="s">
        <v>126</v>
      </c>
      <c r="B61" s="10" t="s">
        <v>127</v>
      </c>
      <c r="C61" s="13">
        <f>_xll.BDH("MCHP US Equity","IS_SH_FOR_DILUTED_EPS","FY 2014","FY 2014","Currency=USD","Period=FY","BEST_FPERIOD_OVERRIDE=FY","FILING_STATUS=MR","Sort=A","Dates=H","DateFormat=P","Fill=—","Direction=H","UseDPDF=Y")</f>
        <v>217.63</v>
      </c>
      <c r="D61" s="13">
        <f>_xll.BDH("MCHP US Equity","IS_SH_FOR_DILUTED_EPS","FY 2015","FY 2015","Currency=USD","Period=FY","BEST_FPERIOD_OVERRIDE=FY","FILING_STATUS=MR","Sort=A","Dates=H","DateFormat=P","Fill=—","Direction=H","UseDPDF=Y")</f>
        <v>223.56100000000001</v>
      </c>
      <c r="E61" s="13">
        <f>_xll.BDH("MCHP US Equity","IS_SH_FOR_DILUTED_EPS","FY 2016","FY 2016","Currency=USD","Period=FY","BEST_FPERIOD_OVERRIDE=FY","FILING_STATUS=MR","Sort=A","Dates=H","DateFormat=P","Fill=—","Direction=H","UseDPDF=Y")</f>
        <v>217.4</v>
      </c>
      <c r="F61" s="13">
        <f>_xll.BDH("MCHP US Equity","IS_SH_FOR_DILUTED_EPS","FY 2017","FY 2017","Currency=USD","Period=FY","BEST_FPERIOD_OVERRIDE=FY","FILING_STATUS=MR","Sort=A","Dates=H","DateFormat=P","Fill=—","Direction=H","UseDPDF=Y")</f>
        <v>234.8</v>
      </c>
      <c r="G61" s="13">
        <f>_xll.BDH("MCHP US Equity","IS_SH_FOR_DILUTED_EPS","FY 2018","FY 2018","Currency=USD","Period=FY","BEST_FPERIOD_OVERRIDE=FY","FILING_STATUS=MR","Sort=A","Dates=H","DateFormat=P","Fill=—","Direction=H","UseDPDF=Y")</f>
        <v>248.9</v>
      </c>
      <c r="H61" s="13">
        <f>_xll.BDH("MCHP US Equity","IS_SH_FOR_DILUTED_EPS","FY 2019","FY 2019","Currency=USD","Period=FY","BEST_FPERIOD_OVERRIDE=FY","FILING_STATUS=MR","Sort=A","Dates=H","DateFormat=P","Fill=—","Direction=H","UseDPDF=Y")</f>
        <v>249.9</v>
      </c>
      <c r="I61" s="13">
        <f>_xll.BDH("MCHP US Equity","IS_SH_FOR_DILUTED_EPS","FY 2020","FY 2020","Currency=USD","Period=FY","BEST_FPERIOD_OVERRIDE=FY","FILING_STATUS=MR","Sort=A","Dates=H","DateFormat=P","Fill=—","Direction=H","UseDPDF=Y")</f>
        <v>256.2</v>
      </c>
      <c r="J61" s="16">
        <v>267.7</v>
      </c>
      <c r="K61" s="13"/>
      <c r="L61" s="13"/>
    </row>
    <row r="62" spans="1:12" x14ac:dyDescent="0.45">
      <c r="A62" s="6" t="s">
        <v>128</v>
      </c>
      <c r="B62" s="6" t="s">
        <v>129</v>
      </c>
      <c r="C62" s="20">
        <f>_xll.BDH("MCHP US Equity","IS_DILUTED_EPS","FY 2014","FY 2014","Currency=USD","Period=FY","BEST_FPERIOD_OVERRIDE=FY","FILING_STATUS=MR","FA_ADJUSTED=GAAP","Sort=A","Dates=H","DateFormat=P","Fill=—","Direction=H","UseDPDF=Y")</f>
        <v>1.8199999999999998</v>
      </c>
      <c r="D62" s="20">
        <f>_xll.BDH("MCHP US Equity","IS_DILUTED_EPS","FY 2015","FY 2015","Currency=USD","Period=FY","BEST_FPERIOD_OVERRIDE=FY","FILING_STATUS=MR","FA_ADJUSTED=GAAP","Sort=A","Dates=H","DateFormat=P","Fill=—","Direction=H","UseDPDF=Y")</f>
        <v>1.65</v>
      </c>
      <c r="E62" s="20">
        <f>_xll.BDH("MCHP US Equity","IS_DILUTED_EPS","FY 2016","FY 2016","Currency=USD","Period=FY","BEST_FPERIOD_OVERRIDE=FY","FILING_STATUS=MR","FA_ADJUSTED=GAAP","Sort=A","Dates=H","DateFormat=P","Fill=—","Direction=H","UseDPDF=Y")</f>
        <v>1.49</v>
      </c>
      <c r="F62" s="20">
        <f>_xll.BDH("MCHP US Equity","IS_DILUTED_EPS","FY 2017","FY 2017","Currency=USD","Period=FY","BEST_FPERIOD_OVERRIDE=FY","FILING_STATUS=MR","FA_ADJUSTED=GAAP","Sort=A","Dates=H","DateFormat=P","Fill=—","Direction=H","UseDPDF=Y")</f>
        <v>0.71</v>
      </c>
      <c r="G62" s="20">
        <f>_xll.BDH("MCHP US Equity","IS_DILUTED_EPS","FY 2018","FY 2018","Currency=USD","Period=FY","BEST_FPERIOD_OVERRIDE=FY","FILING_STATUS=MR","FA_ADJUSTED=GAAP","Sort=A","Dates=H","DateFormat=P","Fill=—","Direction=H","UseDPDF=Y")</f>
        <v>1.03</v>
      </c>
      <c r="H62" s="20">
        <f>_xll.BDH("MCHP US Equity","IS_DILUTED_EPS","FY 2019","FY 2019","Currency=USD","Period=FY","BEST_FPERIOD_OVERRIDE=FY","FILING_STATUS=MR","FA_ADJUSTED=GAAP","Sort=A","Dates=H","DateFormat=P","Fill=—","Direction=H","UseDPDF=Y")</f>
        <v>1.42</v>
      </c>
      <c r="I62" s="20">
        <f>_xll.BDH("MCHP US Equity","IS_DILUTED_EPS","FY 2020","FY 2020","Currency=USD","Period=FY","BEST_FPERIOD_OVERRIDE=FY","FILING_STATUS=MR","FA_ADJUSTED=GAAP","Sort=A","Dates=H","DateFormat=P","Fill=—","Direction=H","UseDPDF=Y")</f>
        <v>2.23</v>
      </c>
      <c r="J62" s="23">
        <v>2.34</v>
      </c>
      <c r="K62" s="20">
        <v>1.673</v>
      </c>
      <c r="L62" s="20">
        <v>2.722</v>
      </c>
    </row>
    <row r="63" spans="1:12" x14ac:dyDescent="0.45">
      <c r="A63" s="6" t="s">
        <v>130</v>
      </c>
      <c r="B63" s="6" t="s">
        <v>131</v>
      </c>
      <c r="C63" s="20">
        <f>_xll.BDH("MCHP US Equity","IS_DIL_EPS_BEF_XO","FY 2014","FY 2014","Currency=USD","Period=FY","BEST_FPERIOD_OVERRIDE=FY","FILING_STATUS=MR","Sort=A","Dates=H","DateFormat=P","Fill=—","Direction=H","UseDPDF=Y")</f>
        <v>1.8199999999999998</v>
      </c>
      <c r="D63" s="20">
        <f>_xll.BDH("MCHP US Equity","IS_DIL_EPS_BEF_XO","FY 2015","FY 2015","Currency=USD","Period=FY","BEST_FPERIOD_OVERRIDE=FY","FILING_STATUS=MR","Sort=A","Dates=H","DateFormat=P","Fill=—","Direction=H","UseDPDF=Y")</f>
        <v>1.65</v>
      </c>
      <c r="E63" s="20">
        <f>_xll.BDH("MCHP US Equity","IS_DIL_EPS_BEF_XO","FY 2016","FY 2016","Currency=USD","Period=FY","BEST_FPERIOD_OVERRIDE=FY","FILING_STATUS=MR","Sort=A","Dates=H","DateFormat=P","Fill=—","Direction=H","UseDPDF=Y")</f>
        <v>1.49</v>
      </c>
      <c r="F63" s="20">
        <f>_xll.BDH("MCHP US Equity","IS_DIL_EPS_BEF_XO","FY 2017","FY 2017","Currency=USD","Period=FY","BEST_FPERIOD_OVERRIDE=FY","FILING_STATUS=MR","Sort=A","Dates=H","DateFormat=P","Fill=—","Direction=H","UseDPDF=Y")</f>
        <v>0.73</v>
      </c>
      <c r="G63" s="20">
        <f>_xll.BDH("MCHP US Equity","IS_DIL_EPS_BEF_XO","FY 2018","FY 2018","Currency=USD","Period=FY","BEST_FPERIOD_OVERRIDE=FY","FILING_STATUS=MR","Sort=A","Dates=H","DateFormat=P","Fill=—","Direction=H","UseDPDF=Y")</f>
        <v>1.03</v>
      </c>
      <c r="H63" s="20">
        <f>_xll.BDH("MCHP US Equity","IS_DIL_EPS_BEF_XO","FY 2019","FY 2019","Currency=USD","Period=FY","BEST_FPERIOD_OVERRIDE=FY","FILING_STATUS=MR","Sort=A","Dates=H","DateFormat=P","Fill=—","Direction=H","UseDPDF=Y")</f>
        <v>1.42</v>
      </c>
      <c r="I63" s="20">
        <f>_xll.BDH("MCHP US Equity","IS_DIL_EPS_BEF_XO","FY 2020","FY 2020","Currency=USD","Period=FY","BEST_FPERIOD_OVERRIDE=FY","FILING_STATUS=MR","Sort=A","Dates=H","DateFormat=P","Fill=—","Direction=H","UseDPDF=Y")</f>
        <v>2.23</v>
      </c>
      <c r="J63" s="23">
        <v>2.34</v>
      </c>
      <c r="K63" s="20">
        <v>1.673</v>
      </c>
      <c r="L63" s="20">
        <v>2.722</v>
      </c>
    </row>
    <row r="64" spans="1:12" x14ac:dyDescent="0.45">
      <c r="A64" s="6" t="s">
        <v>132</v>
      </c>
      <c r="B64" s="6" t="s">
        <v>133</v>
      </c>
      <c r="C64" s="20">
        <f>_xll.BDH("MCHP US Equity","IS_DIL_EPS_CONT_OPS","FY 2014","FY 2014","Currency=USD","Period=FY","BEST_FPERIOD_OVERRIDE=FY","FILING_STATUS=MR","Sort=A","Dates=H","DateFormat=P","Fill=—","Direction=H","UseDPDF=Y")</f>
        <v>1.7635000000000001</v>
      </c>
      <c r="D64" s="20">
        <f>_xll.BDH("MCHP US Equity","IS_DIL_EPS_CONT_OPS","FY 2015","FY 2015","Currency=USD","Period=FY","BEST_FPERIOD_OVERRIDE=FY","FILING_STATUS=MR","Sort=A","Dates=H","DateFormat=P","Fill=—","Direction=H","UseDPDF=Y")</f>
        <v>1.6129</v>
      </c>
      <c r="E64" s="20">
        <f>_xll.BDH("MCHP US Equity","IS_DIL_EPS_CONT_OPS","FY 2016","FY 2016","Currency=USD","Period=FY","BEST_FPERIOD_OVERRIDE=FY","FILING_STATUS=MR","Sort=A","Dates=H","DateFormat=P","Fill=—","Direction=H","UseDPDF=Y")</f>
        <v>1.4177</v>
      </c>
      <c r="F64" s="20">
        <f>_xll.BDH("MCHP US Equity","IS_DIL_EPS_CONT_OPS","FY 2017","FY 2017","Currency=USD","Period=FY","BEST_FPERIOD_OVERRIDE=FY","FILING_STATUS=MR","Sort=A","Dates=H","DateFormat=P","Fill=—","Direction=H","UseDPDF=Y")</f>
        <v>1.7137</v>
      </c>
      <c r="G64" s="20">
        <f>_xll.BDH("MCHP US Equity","IS_DIL_EPS_CONT_OPS","FY 2018","FY 2018","Currency=USD","Period=FY","BEST_FPERIOD_OVERRIDE=FY","FILING_STATUS=MR","Sort=A","Dates=H","DateFormat=P","Fill=—","Direction=H","UseDPDF=Y")</f>
        <v>3.0707</v>
      </c>
      <c r="H64" s="20">
        <f>_xll.BDH("MCHP US Equity","IS_DIL_EPS_CONT_OPS","FY 2019","FY 2019","Currency=USD","Period=FY","BEST_FPERIOD_OVERRIDE=FY","FILING_STATUS=MR","Sort=A","Dates=H","DateFormat=P","Fill=—","Direction=H","UseDPDF=Y")</f>
        <v>1.7309000000000001</v>
      </c>
      <c r="I64" s="20">
        <f>_xll.BDH("MCHP US Equity","IS_DIL_EPS_CONT_OPS","FY 2020","FY 2020","Currency=USD","Period=FY","BEST_FPERIOD_OVERRIDE=FY","FILING_STATUS=MR","Sort=A","Dates=H","DateFormat=P","Fill=—","Direction=H","UseDPDF=Y")</f>
        <v>2.4388000000000001</v>
      </c>
      <c r="J64" s="23">
        <v>1.8243450000000001</v>
      </c>
      <c r="K64" s="20">
        <v>6.3440000000000003</v>
      </c>
      <c r="L64" s="20">
        <v>7.2149999999999999</v>
      </c>
    </row>
    <row r="65" spans="1:12" x14ac:dyDescent="0.45">
      <c r="A65" s="6"/>
      <c r="B65" s="18"/>
      <c r="C65" s="18"/>
      <c r="D65" s="18"/>
      <c r="E65" s="18"/>
      <c r="F65" s="18"/>
      <c r="G65" s="18"/>
      <c r="H65" s="18"/>
      <c r="I65" s="18"/>
      <c r="J65" s="21"/>
      <c r="K65" s="18"/>
      <c r="L65" s="18"/>
    </row>
    <row r="66" spans="1:12" x14ac:dyDescent="0.45">
      <c r="A66" s="6" t="s">
        <v>2</v>
      </c>
      <c r="B66" s="18"/>
      <c r="C66" s="18"/>
      <c r="D66" s="18"/>
      <c r="E66" s="18"/>
      <c r="F66" s="18"/>
      <c r="G66" s="18"/>
      <c r="H66" s="18"/>
      <c r="I66" s="18"/>
      <c r="J66" s="21"/>
      <c r="K66" s="18"/>
      <c r="L66" s="18"/>
    </row>
    <row r="67" spans="1:12" x14ac:dyDescent="0.45">
      <c r="A67" s="10" t="s">
        <v>134</v>
      </c>
      <c r="B67" s="10" t="s">
        <v>135</v>
      </c>
      <c r="C67" s="12" t="s">
        <v>136</v>
      </c>
      <c r="D67" s="12" t="s">
        <v>136</v>
      </c>
      <c r="E67" s="12" t="s">
        <v>136</v>
      </c>
      <c r="F67" s="12" t="s">
        <v>136</v>
      </c>
      <c r="G67" s="12" t="s">
        <v>136</v>
      </c>
      <c r="H67" s="12" t="s">
        <v>136</v>
      </c>
      <c r="I67" s="12" t="s">
        <v>136</v>
      </c>
      <c r="J67" s="15"/>
      <c r="K67" s="12"/>
      <c r="L67" s="12"/>
    </row>
    <row r="68" spans="1:12" x14ac:dyDescent="0.45">
      <c r="A68" s="10" t="s">
        <v>137</v>
      </c>
      <c r="B68" s="10" t="s">
        <v>137</v>
      </c>
      <c r="C68" s="13">
        <f>_xll.BDH("MCHP US Equity","EBITDA","FY 2014","FY 2014","Currency=USD","Period=FY","BEST_FPERIOD_OVERRIDE=FY","FILING_STATUS=MR","SCALING_FORMAT=MLN","FA_ADJUSTED=Adjusted","Sort=A","Dates=H","DateFormat=P","Fill=—","Direction=H","UseDPDF=Y")</f>
        <v>653.68100000000004</v>
      </c>
      <c r="D68" s="13">
        <f>_xll.BDH("MCHP US Equity","EBITDA","FY 2015","FY 2015","Currency=USD","Period=FY","BEST_FPERIOD_OVERRIDE=FY","FILING_STATUS=MR","SCALING_FORMAT=MLN","FA_ADJUSTED=Adjusted","Sort=A","Dates=H","DateFormat=P","Fill=—","Direction=H","UseDPDF=Y")</f>
        <v>727.06200000000001</v>
      </c>
      <c r="E68" s="13">
        <f>_xll.BDH("MCHP US Equity","EBITDA","FY 2016","FY 2016","Currency=USD","Period=FY","BEST_FPERIOD_OVERRIDE=FY","FILING_STATUS=MR","SCALING_FORMAT=MLN","FA_ADJUSTED=Adjusted","Sort=A","Dates=H","DateFormat=P","Fill=—","Direction=H","UseDPDF=Y")</f>
        <v>670.23199999999997</v>
      </c>
      <c r="F68" s="13">
        <f>_xll.BDH("MCHP US Equity","EBITDA","FY 2017","FY 2017","Currency=USD","Period=FY","BEST_FPERIOD_OVERRIDE=FY","FILING_STATUS=MR","SCALING_FORMAT=MLN","FA_ADJUSTED=Adjusted","Sort=A","Dates=H","DateFormat=P","Fill=—","Direction=H","UseDPDF=Y")</f>
        <v>1072.5999999999999</v>
      </c>
      <c r="G68" s="13">
        <f>_xll.BDH("MCHP US Equity","EBITDA","FY 2018","FY 2018","Currency=USD","Period=FY","BEST_FPERIOD_OVERRIDE=FY","FILING_STATUS=MR","SCALING_FORMAT=MLN","FA_ADJUSTED=Adjusted","Sort=A","Dates=H","DateFormat=P","Fill=—","Direction=H","UseDPDF=Y")</f>
        <v>1573.8</v>
      </c>
      <c r="H68" s="13">
        <f>_xll.BDH("MCHP US Equity","EBITDA","FY 2019","FY 2019","Currency=USD","Period=FY","BEST_FPERIOD_OVERRIDE=FY","FILING_STATUS=MR","SCALING_FORMAT=MLN","FA_ADJUSTED=Adjusted","Sort=A","Dates=H","DateFormat=P","Fill=—","Direction=H","UseDPDF=Y")</f>
        <v>1668.5</v>
      </c>
      <c r="I68" s="13">
        <f>_xll.BDH("MCHP US Equity","EBITDA","FY 2020","FY 2020","Currency=USD","Period=FY","BEST_FPERIOD_OVERRIDE=FY","FILING_STATUS=MR","SCALING_FORMAT=MLN","FA_ADJUSTED=Adjusted","Sort=A","Dates=H","DateFormat=P","Fill=—","Direction=H","UseDPDF=Y")</f>
        <v>1996</v>
      </c>
      <c r="J68" s="16">
        <v>2014.2</v>
      </c>
      <c r="K68" s="13">
        <v>2252.2220000000002</v>
      </c>
      <c r="L68" s="13">
        <v>2520.8890000000001</v>
      </c>
    </row>
    <row r="69" spans="1:12" x14ac:dyDescent="0.45">
      <c r="A69" s="10" t="s">
        <v>138</v>
      </c>
      <c r="B69" s="10" t="s">
        <v>139</v>
      </c>
      <c r="C69" s="14">
        <f>_xll.BDH("MCHP US Equity","EBITDA_MARGIN","FY 2014","FY 2014","Currency=USD","Period=FY","BEST_FPERIOD_OVERRIDE=FY","FILING_STATUS=MR","FA_ADJUSTED=Adjusted","Sort=A","Dates=H","DateFormat=P","Fill=—","Direction=H","UseDPDF=Y")</f>
        <v>33.848100000000002</v>
      </c>
      <c r="D69" s="14">
        <f>_xll.BDH("MCHP US Equity","EBITDA_MARGIN","FY 2015","FY 2015","Currency=USD","Period=FY","BEST_FPERIOD_OVERRIDE=FY","FILING_STATUS=MR","FA_ADJUSTED=Adjusted","Sort=A","Dates=H","DateFormat=P","Fill=—","Direction=H","UseDPDF=Y")</f>
        <v>33.863500000000002</v>
      </c>
      <c r="E69" s="14">
        <f>_xll.BDH("MCHP US Equity","EBITDA_MARGIN","FY 2016","FY 2016","Currency=USD","Period=FY","BEST_FPERIOD_OVERRIDE=FY","FILING_STATUS=MR","FA_ADJUSTED=Adjusted","Sort=A","Dates=H","DateFormat=P","Fill=—","Direction=H","UseDPDF=Y")</f>
        <v>30.839400000000001</v>
      </c>
      <c r="F69" s="14">
        <f>_xll.BDH("MCHP US Equity","EBITDA_MARGIN","FY 2017","FY 2017","Currency=USD","Period=FY","BEST_FPERIOD_OVERRIDE=FY","FILING_STATUS=MR","FA_ADJUSTED=Adjusted","Sort=A","Dates=H","DateFormat=P","Fill=—","Direction=H","UseDPDF=Y")</f>
        <v>31.474900000000002</v>
      </c>
      <c r="G69" s="14">
        <f>_xll.BDH("MCHP US Equity","EBITDA_MARGIN","FY 2018","FY 2018","Currency=USD","Period=FY","BEST_FPERIOD_OVERRIDE=FY","FILING_STATUS=MR","FA_ADJUSTED=Adjusted","Sort=A","Dates=H","DateFormat=P","Fill=—","Direction=H","UseDPDF=Y")</f>
        <v>39.534799999999997</v>
      </c>
      <c r="H69" s="14">
        <f>_xll.BDH("MCHP US Equity","EBITDA_MARGIN","FY 2019","FY 2019","Currency=USD","Period=FY","BEST_FPERIOD_OVERRIDE=FY","FILING_STATUS=MR","FA_ADJUSTED=Adjusted","Sort=A","Dates=H","DateFormat=P","Fill=—","Direction=H","UseDPDF=Y")</f>
        <v>31.189800000000002</v>
      </c>
      <c r="I69" s="14">
        <f>_xll.BDH("MCHP US Equity","EBITDA_MARGIN","FY 2020","FY 2020","Currency=USD","Period=FY","BEST_FPERIOD_OVERRIDE=FY","FILING_STATUS=MR","FA_ADJUSTED=Adjusted","Sort=A","Dates=H","DateFormat=P","Fill=—","Direction=H","UseDPDF=Y")</f>
        <v>37.8446</v>
      </c>
      <c r="J69" s="17">
        <v>38.490349703802799</v>
      </c>
      <c r="K69" s="14">
        <v>42.045212069370699</v>
      </c>
      <c r="L69" s="14">
        <v>42.581901135032503</v>
      </c>
    </row>
    <row r="70" spans="1:12" x14ac:dyDescent="0.45">
      <c r="A70" s="10" t="s">
        <v>140</v>
      </c>
      <c r="B70" s="10" t="s">
        <v>140</v>
      </c>
      <c r="C70" s="13">
        <f>_xll.BDH("MCHP US Equity","EBITA","FY 2014","FY 2014","Currency=USD","Period=FY","BEST_FPERIOD_OVERRIDE=FY","FILING_STATUS=MR","SCALING_FORMAT=MLN","FA_ADJUSTED=Adjusted","Sort=A","Dates=H","DateFormat=P","Fill=—","Direction=H","UseDPDF=Y")</f>
        <v>563.98099999999999</v>
      </c>
      <c r="D70" s="13">
        <f>_xll.BDH("MCHP US Equity","EBITA","FY 2015","FY 2015","Currency=USD","Period=FY","BEST_FPERIOD_OVERRIDE=FY","FILING_STATUS=MR","SCALING_FORMAT=MLN","FA_ADJUSTED=Adjusted","Sort=A","Dates=H","DateFormat=P","Fill=—","Direction=H","UseDPDF=Y")</f>
        <v>629.76199999999994</v>
      </c>
      <c r="E70" s="13">
        <f>_xll.BDH("MCHP US Equity","EBITA","FY 2016","FY 2016","Currency=USD","Period=FY","BEST_FPERIOD_OVERRIDE=FY","FILING_STATUS=MR","SCALING_FORMAT=MLN","FA_ADJUSTED=Adjusted","Sort=A","Dates=H","DateFormat=P","Fill=—","Direction=H","UseDPDF=Y")</f>
        <v>566.33199999999999</v>
      </c>
      <c r="F70" s="13">
        <f>_xll.BDH("MCHP US Equity","EBITA","FY 2017","FY 2017","Currency=USD","Period=FY","BEST_FPERIOD_OVERRIDE=FY","FILING_STATUS=MR","SCALING_FORMAT=MLN","FA_ADJUSTED=Adjusted","Sort=A","Dates=H","DateFormat=P","Fill=—","Direction=H","UseDPDF=Y")</f>
        <v>949.7</v>
      </c>
      <c r="G70" s="13">
        <f>_xll.BDH("MCHP US Equity","EBITA","FY 2018","FY 2018","Currency=USD","Period=FY","BEST_FPERIOD_OVERRIDE=FY","FILING_STATUS=MR","SCALING_FORMAT=MLN","FA_ADJUSTED=Adjusted","Sort=A","Dates=H","DateFormat=P","Fill=—","Direction=H","UseDPDF=Y")</f>
        <v>1450.1</v>
      </c>
      <c r="H70" s="13">
        <f>_xll.BDH("MCHP US Equity","EBITA","FY 2019","FY 2019","Currency=USD","Period=FY","BEST_FPERIOD_OVERRIDE=FY","FILING_STATUS=MR","SCALING_FORMAT=MLN","FA_ADJUSTED=Adjusted","Sort=A","Dates=H","DateFormat=P","Fill=—","Direction=H","UseDPDF=Y")</f>
        <v>1487.9</v>
      </c>
      <c r="I70" s="13">
        <f>_xll.BDH("MCHP US Equity","EBITA","FY 2020","FY 2020","Currency=USD","Period=FY","BEST_FPERIOD_OVERRIDE=FY","FILING_STATUS=MR","SCALING_FORMAT=MLN","FA_ADJUSTED=Adjusted","Sort=A","Dates=H","DateFormat=P","Fill=—","Direction=H","UseDPDF=Y")</f>
        <v>1827.1</v>
      </c>
      <c r="J70" s="16">
        <v>1850.9</v>
      </c>
      <c r="K70" s="13"/>
      <c r="L70" s="13"/>
    </row>
    <row r="71" spans="1:12" x14ac:dyDescent="0.45">
      <c r="A71" s="10" t="s">
        <v>141</v>
      </c>
      <c r="B71" s="10" t="s">
        <v>141</v>
      </c>
      <c r="C71" s="13">
        <f>_xll.BDH("MCHP US Equity","EBIT","FY 2014","FY 2014","Currency=USD","Period=FY","BEST_FPERIOD_OVERRIDE=FY","FILING_STATUS=MR","SCALING_FORMAT=MLN","FA_ADJUSTED=Adjusted","Sort=A","Dates=H","DateFormat=P","Fill=—","Direction=H","UseDPDF=Y")</f>
        <v>464.54199999999997</v>
      </c>
      <c r="D71" s="13">
        <f>_xll.BDH("MCHP US Equity","EBIT","FY 2015","FY 2015","Currency=USD","Period=FY","BEST_FPERIOD_OVERRIDE=FY","FILING_STATUS=MR","SCALING_FORMAT=MLN","FA_ADJUSTED=Adjusted","Sort=A","Dates=H","DateFormat=P","Fill=—","Direction=H","UseDPDF=Y")</f>
        <v>448.76400000000001</v>
      </c>
      <c r="E71" s="13">
        <f>_xll.BDH("MCHP US Equity","EBIT","FY 2016","FY 2016","Currency=USD","Period=FY","BEST_FPERIOD_OVERRIDE=FY","FILING_STATUS=MR","SCALING_FORMAT=MLN","FA_ADJUSTED=Adjusted","Sort=A","Dates=H","DateFormat=P","Fill=—","Direction=H","UseDPDF=Y")</f>
        <v>387.03199999999998</v>
      </c>
      <c r="F71" s="13">
        <f>_xll.BDH("MCHP US Equity","EBIT","FY 2017","FY 2017","Currency=USD","Period=FY","BEST_FPERIOD_OVERRIDE=FY","FILING_STATUS=MR","SCALING_FORMAT=MLN","FA_ADJUSTED=Adjusted","Sort=A","Dates=H","DateFormat=P","Fill=—","Direction=H","UseDPDF=Y")</f>
        <v>603.4</v>
      </c>
      <c r="G71" s="13">
        <f>_xll.BDH("MCHP US Equity","EBIT","FY 2018","FY 2018","Currency=USD","Period=FY","BEST_FPERIOD_OVERRIDE=FY","FILING_STATUS=MR","SCALING_FORMAT=MLN","FA_ADJUSTED=Adjusted","Sort=A","Dates=H","DateFormat=P","Fill=—","Direction=H","UseDPDF=Y")</f>
        <v>957.9</v>
      </c>
      <c r="H71" s="13">
        <f>_xll.BDH("MCHP US Equity","EBIT","FY 2019","FY 2019","Currency=USD","Period=FY","BEST_FPERIOD_OVERRIDE=FY","FILING_STATUS=MR","SCALING_FORMAT=MLN","FA_ADJUSTED=Adjusted","Sort=A","Dates=H","DateFormat=P","Fill=—","Direction=H","UseDPDF=Y")</f>
        <v>792.1</v>
      </c>
      <c r="I71" s="13">
        <f>_xll.BDH("MCHP US Equity","EBIT","FY 2020","FY 2020","Currency=USD","Period=FY","BEST_FPERIOD_OVERRIDE=FY","FILING_STATUS=MR","SCALING_FORMAT=MLN","FA_ADJUSTED=Adjusted","Sort=A","Dates=H","DateFormat=P","Fill=—","Direction=H","UseDPDF=Y")</f>
        <v>729.6</v>
      </c>
      <c r="J71" s="16">
        <v>798.4</v>
      </c>
      <c r="K71" s="13">
        <v>2093.6880000000001</v>
      </c>
      <c r="L71" s="13">
        <v>2392.625</v>
      </c>
    </row>
    <row r="72" spans="1:12" x14ac:dyDescent="0.45">
      <c r="A72" s="10" t="s">
        <v>142</v>
      </c>
      <c r="B72" s="10" t="s">
        <v>143</v>
      </c>
      <c r="C72" s="14">
        <f>_xll.BDH("MCHP US Equity","GROSS_MARGIN","FY 2014","FY 2014","Currency=USD","Period=FY","BEST_FPERIOD_OVERRIDE=FY","FILING_STATUS=MR","FA_ADJUSTED=Adjusted","Sort=A","Dates=H","DateFormat=P","Fill=—","Direction=H","UseDPDF=Y")</f>
        <v>58.447200000000002</v>
      </c>
      <c r="D72" s="14">
        <f>_xll.BDH("MCHP US Equity","GROSS_MARGIN","FY 2015","FY 2015","Currency=USD","Period=FY","BEST_FPERIOD_OVERRIDE=FY","FILING_STATUS=MR","FA_ADJUSTED=Adjusted","Sort=A","Dates=H","DateFormat=P","Fill=—","Direction=H","UseDPDF=Y")</f>
        <v>57.268000000000001</v>
      </c>
      <c r="E72" s="14">
        <f>_xll.BDH("MCHP US Equity","GROSS_MARGIN","FY 2016","FY 2016","Currency=USD","Period=FY","BEST_FPERIOD_OVERRIDE=FY","FILING_STATUS=MR","FA_ADJUSTED=Adjusted","Sort=A","Dates=H","DateFormat=P","Fill=—","Direction=H","UseDPDF=Y")</f>
        <v>55.468600000000002</v>
      </c>
      <c r="F72" s="14">
        <f>_xll.BDH("MCHP US Equity","GROSS_MARGIN","FY 2017","FY 2017","Currency=USD","Period=FY","BEST_FPERIOD_OVERRIDE=FY","FILING_STATUS=MR","FA_ADJUSTED=Adjusted","Sort=A","Dates=H","DateFormat=P","Fill=—","Direction=H","UseDPDF=Y")</f>
        <v>51.564100000000003</v>
      </c>
      <c r="G72" s="14">
        <f>_xll.BDH("MCHP US Equity","GROSS_MARGIN","FY 2018","FY 2018","Currency=USD","Period=FY","BEST_FPERIOD_OVERRIDE=FY","FILING_STATUS=MR","FA_ADJUSTED=Adjusted","Sort=A","Dates=H","DateFormat=P","Fill=—","Direction=H","UseDPDF=Y")</f>
        <v>60.809399999999997</v>
      </c>
      <c r="H72" s="14">
        <f>_xll.BDH("MCHP US Equity","GROSS_MARGIN","FY 2019","FY 2019","Currency=USD","Period=FY","BEST_FPERIOD_OVERRIDE=FY","FILING_STATUS=MR","FA_ADJUSTED=Adjusted","Sort=A","Dates=H","DateFormat=P","Fill=—","Direction=H","UseDPDF=Y")</f>
        <v>54.7958</v>
      </c>
      <c r="I72" s="14">
        <f>_xll.BDH("MCHP US Equity","GROSS_MARGIN","FY 2020","FY 2020","Currency=USD","Period=FY","BEST_FPERIOD_OVERRIDE=FY","FILING_STATUS=MR","FA_ADJUSTED=Adjusted","Sort=A","Dates=H","DateFormat=P","Fill=—","Direction=H","UseDPDF=Y")</f>
        <v>61.4709</v>
      </c>
      <c r="J72" s="17">
        <v>61.257404930250303</v>
      </c>
      <c r="K72" s="14">
        <v>62.337000000000003</v>
      </c>
      <c r="L72" s="14">
        <v>63.17</v>
      </c>
    </row>
    <row r="73" spans="1:12" x14ac:dyDescent="0.45">
      <c r="A73" s="10" t="s">
        <v>144</v>
      </c>
      <c r="B73" s="10" t="s">
        <v>145</v>
      </c>
      <c r="C73" s="14">
        <f>_xll.BDH("MCHP US Equity","OPER_MARGIN","FY 2014","FY 2014","Currency=USD","Period=FY","BEST_FPERIOD_OVERRIDE=FY","FILING_STATUS=MR","FA_ADJUSTED=Adjusted","Sort=A","Dates=H","DateFormat=P","Fill=—","Direction=H","UseDPDF=Y")</f>
        <v>24.054400000000001</v>
      </c>
      <c r="D73" s="14">
        <f>_xll.BDH("MCHP US Equity","OPER_MARGIN","FY 2015","FY 2015","Currency=USD","Period=FY","BEST_FPERIOD_OVERRIDE=FY","FILING_STATUS=MR","FA_ADJUSTED=Adjusted","Sort=A","Dates=H","DateFormat=P","Fill=—","Direction=H","UseDPDF=Y")</f>
        <v>20.901599999999998</v>
      </c>
      <c r="E73" s="14">
        <f>_xll.BDH("MCHP US Equity","OPER_MARGIN","FY 2016","FY 2016","Currency=USD","Period=FY","BEST_FPERIOD_OVERRIDE=FY","FILING_STATUS=MR","FA_ADJUSTED=Adjusted","Sort=A","Dates=H","DateFormat=P","Fill=—","Direction=H","UseDPDF=Y")</f>
        <v>17.808499999999999</v>
      </c>
      <c r="F73" s="14">
        <f>_xll.BDH("MCHP US Equity","OPER_MARGIN","FY 2017","FY 2017","Currency=USD","Period=FY","BEST_FPERIOD_OVERRIDE=FY","FILING_STATUS=MR","FA_ADJUSTED=Adjusted","Sort=A","Dates=H","DateFormat=P","Fill=—","Direction=H","UseDPDF=Y")</f>
        <v>17.706399999999999</v>
      </c>
      <c r="G73" s="14">
        <f>_xll.BDH("MCHP US Equity","OPER_MARGIN","FY 2018","FY 2018","Currency=USD","Period=FY","BEST_FPERIOD_OVERRIDE=FY","FILING_STATUS=MR","FA_ADJUSTED=Adjusted","Sort=A","Dates=H","DateFormat=P","Fill=—","Direction=H","UseDPDF=Y")</f>
        <v>24.062999999999999</v>
      </c>
      <c r="H73" s="14">
        <f>_xll.BDH("MCHP US Equity","OPER_MARGIN","FY 2019","FY 2019","Currency=USD","Period=FY","BEST_FPERIOD_OVERRIDE=FY","FILING_STATUS=MR","FA_ADJUSTED=Adjusted","Sort=A","Dates=H","DateFormat=P","Fill=—","Direction=H","UseDPDF=Y")</f>
        <v>14.807</v>
      </c>
      <c r="I73" s="14">
        <f>_xll.BDH("MCHP US Equity","OPER_MARGIN","FY 2020","FY 2020","Currency=USD","Period=FY","BEST_FPERIOD_OVERRIDE=FY","FILING_STATUS=MR","FA_ADJUSTED=Adjusted","Sort=A","Dates=H","DateFormat=P","Fill=—","Direction=H","UseDPDF=Y")</f>
        <v>13.833399999999999</v>
      </c>
      <c r="J73" s="17">
        <v>15.257022740301901</v>
      </c>
      <c r="K73" s="14">
        <v>39.085647847812801</v>
      </c>
      <c r="L73" s="14">
        <v>40.415314281274199</v>
      </c>
    </row>
    <row r="74" spans="1:12" x14ac:dyDescent="0.45">
      <c r="A74" s="10" t="s">
        <v>146</v>
      </c>
      <c r="B74" s="10" t="s">
        <v>147</v>
      </c>
      <c r="C74" s="14">
        <f>_xll.BDH("MCHP US Equity","PROF_MARGIN","FY 2014","FY 2014","Currency=USD","Period=FY","BEST_FPERIOD_OVERRIDE=FY","FILING_STATUS=MR","FA_ADJUSTED=Adjusted","Sort=A","Dates=H","DateFormat=P","Fill=—","Direction=H","UseDPDF=Y")</f>
        <v>19.831499999999998</v>
      </c>
      <c r="D74" s="14">
        <f>_xll.BDH("MCHP US Equity","PROF_MARGIN","FY 2015","FY 2015","Currency=USD","Period=FY","BEST_FPERIOD_OVERRIDE=FY","FILING_STATUS=MR","FA_ADJUSTED=Adjusted","Sort=A","Dates=H","DateFormat=P","Fill=—","Direction=H","UseDPDF=Y")</f>
        <v>16.800799999999999</v>
      </c>
      <c r="E74" s="14">
        <f>_xll.BDH("MCHP US Equity","PROF_MARGIN","FY 2016","FY 2016","Currency=USD","Period=FY","BEST_FPERIOD_OVERRIDE=FY","FILING_STATUS=MR","FA_ADJUSTED=Adjusted","Sort=A","Dates=H","DateFormat=P","Fill=—","Direction=H","UseDPDF=Y")</f>
        <v>14.1891</v>
      </c>
      <c r="F74" s="14">
        <f>_xll.BDH("MCHP US Equity","PROF_MARGIN","FY 2017","FY 2017","Currency=USD","Period=FY","BEST_FPERIOD_OVERRIDE=FY","FILING_STATUS=MR","FA_ADJUSTED=Adjusted","Sort=A","Dates=H","DateFormat=P","Fill=—","Direction=H","UseDPDF=Y")</f>
        <v>11.784000000000001</v>
      </c>
      <c r="G74" s="14">
        <f>_xll.BDH("MCHP US Equity","PROF_MARGIN","FY 2018","FY 2018","Currency=USD","Period=FY","BEST_FPERIOD_OVERRIDE=FY","FILING_STATUS=MR","FA_ADJUSTED=Adjusted","Sort=A","Dates=H","DateFormat=P","Fill=—","Direction=H","UseDPDF=Y")</f>
        <v>19.175000000000001</v>
      </c>
      <c r="H74" s="14">
        <f>_xll.BDH("MCHP US Equity","PROF_MARGIN","FY 2019","FY 2019","Currency=USD","Period=FY","BEST_FPERIOD_OVERRIDE=FY","FILING_STATUS=MR","FA_ADJUSTED=Adjusted","Sort=A","Dates=H","DateFormat=P","Fill=—","Direction=H","UseDPDF=Y")</f>
        <v>8.1054999999999993</v>
      </c>
      <c r="I74" s="14">
        <f>_xll.BDH("MCHP US Equity","PROF_MARGIN","FY 2020","FY 2020","Currency=USD","Period=FY","BEST_FPERIOD_OVERRIDE=FY","FILING_STATUS=MR","FA_ADJUSTED=Adjusted","Sort=A","Dates=H","DateFormat=P","Fill=—","Direction=H","UseDPDF=Y")</f>
        <v>11.8332</v>
      </c>
      <c r="J74" s="17">
        <v>9.1064693088461901</v>
      </c>
      <c r="K74" s="14">
        <v>31.647197781755001</v>
      </c>
      <c r="L74" s="14">
        <v>33.665946239038398</v>
      </c>
    </row>
    <row r="75" spans="1:12" x14ac:dyDescent="0.45">
      <c r="A75" s="10" t="s">
        <v>148</v>
      </c>
      <c r="B75" s="10" t="s">
        <v>149</v>
      </c>
      <c r="C75" s="14">
        <f>_xll.BDH("MCHP US Equity","ACTUAL_SALES_PER_EMPL","FY 2014","FY 2014","Currency=USD","Period=FY","BEST_FPERIOD_OVERRIDE=FY","FILING_STATUS=MR","FA_ADJUSTED=Adjusted","Sort=A","Dates=H","DateFormat=P","Fill=—","Direction=H","UseDPDF=Y")</f>
        <v>223520.48610000001</v>
      </c>
      <c r="D75" s="14">
        <f>_xll.BDH("MCHP US Equity","ACTUAL_SALES_PER_EMPL","FY 2015","FY 2015","Currency=USD","Period=FY","BEST_FPERIOD_OVERRIDE=FY","FILING_STATUS=MR","FA_ADJUSTED=Adjusted","Sort=A","Dates=H","DateFormat=P","Fill=—","Direction=H","UseDPDF=Y")</f>
        <v>227223.62150000001</v>
      </c>
      <c r="E75" s="14">
        <f>_xll.BDH("MCHP US Equity","ACTUAL_SALES_PER_EMPL","FY 2016","FY 2016","Currency=USD","Period=FY","BEST_FPERIOD_OVERRIDE=FY","FILING_STATUS=MR","FA_ADJUSTED=Adjusted","Sort=A","Dates=H","DateFormat=P","Fill=—","Direction=H","UseDPDF=Y")</f>
        <v>222537.37460000001</v>
      </c>
      <c r="F75" s="14">
        <f>_xll.BDH("MCHP US Equity","ACTUAL_SALES_PER_EMPL","FY 2017","FY 2017","Currency=USD","Period=FY","BEST_FPERIOD_OVERRIDE=FY","FILING_STATUS=MR","FA_ADJUSTED=Adjusted","Sort=A","Dates=H","DateFormat=P","Fill=—","Direction=H","UseDPDF=Y")</f>
        <v>269263.59039999999</v>
      </c>
      <c r="G75" s="14">
        <f>_xll.BDH("MCHP US Equity","ACTUAL_SALES_PER_EMPL","FY 2018","FY 2018","Currency=USD","Period=FY","BEST_FPERIOD_OVERRIDE=FY","FILING_STATUS=MR","FA_ADJUSTED=Adjusted","Sort=A","Dates=H","DateFormat=P","Fill=—","Direction=H","UseDPDF=Y")</f>
        <v>279668.3996</v>
      </c>
      <c r="H75" s="14">
        <f>_xll.BDH("MCHP US Equity","ACTUAL_SALES_PER_EMPL","FY 2019","FY 2019","Currency=USD","Period=FY","BEST_FPERIOD_OVERRIDE=FY","FILING_STATUS=MR","FA_ADJUSTED=Adjusted","Sort=A","Dates=H","DateFormat=P","Fill=—","Direction=H","UseDPDF=Y")</f>
        <v>292546.21019999997</v>
      </c>
      <c r="I75" s="14">
        <f>_xll.BDH("MCHP US Equity","ACTUAL_SALES_PER_EMPL","FY 2020","FY 2020","Currency=USD","Period=FY","BEST_FPERIOD_OVERRIDE=FY","FILING_STATUS=MR","FA_ADJUSTED=Adjusted","Sort=A","Dates=H","DateFormat=P","Fill=—","Direction=H","UseDPDF=Y")</f>
        <v>293011.11109999998</v>
      </c>
      <c r="J75" s="17"/>
      <c r="K75" s="14"/>
      <c r="L75" s="14"/>
    </row>
    <row r="76" spans="1:12" x14ac:dyDescent="0.45">
      <c r="A76" s="10" t="s">
        <v>150</v>
      </c>
      <c r="B76" s="10" t="s">
        <v>151</v>
      </c>
      <c r="C76" s="14">
        <f>_xll.BDH("MCHP US Equity","EQY_DPS","FY 2014","FY 2014","Currency=USD","Period=FY","BEST_FPERIOD_OVERRIDE=FY","FILING_STATUS=MR","Sort=A","Dates=H","DateFormat=P","Fill=—","Direction=H","UseDPDF=Y")</f>
        <v>1.417</v>
      </c>
      <c r="D76" s="14">
        <f>_xll.BDH("MCHP US Equity","EQY_DPS","FY 2015","FY 2015","Currency=USD","Period=FY","BEST_FPERIOD_OVERRIDE=FY","FILING_STATUS=MR","Sort=A","Dates=H","DateFormat=P","Fill=—","Direction=H","UseDPDF=Y")</f>
        <v>1.425</v>
      </c>
      <c r="E76" s="14">
        <f>_xll.BDH("MCHP US Equity","EQY_DPS","FY 2016","FY 2016","Currency=USD","Period=FY","BEST_FPERIOD_OVERRIDE=FY","FILING_STATUS=MR","Sort=A","Dates=H","DateFormat=P","Fill=—","Direction=H","UseDPDF=Y")</f>
        <v>1.4330000000000001</v>
      </c>
      <c r="F76" s="14">
        <f>_xll.BDH("MCHP US Equity","EQY_DPS","FY 2017","FY 2017","Currency=USD","Period=FY","BEST_FPERIOD_OVERRIDE=FY","FILING_STATUS=MR","Sort=A","Dates=H","DateFormat=P","Fill=—","Direction=H","UseDPDF=Y")</f>
        <v>1.4410000000000001</v>
      </c>
      <c r="G76" s="14">
        <f>_xll.BDH("MCHP US Equity","EQY_DPS","FY 2018","FY 2018","Currency=USD","Period=FY","BEST_FPERIOD_OVERRIDE=FY","FILING_STATUS=MR","Sort=A","Dates=H","DateFormat=P","Fill=—","Direction=H","UseDPDF=Y")</f>
        <v>1.4490000000000001</v>
      </c>
      <c r="H76" s="14">
        <f>_xll.BDH("MCHP US Equity","EQY_DPS","FY 2019","FY 2019","Currency=USD","Period=FY","BEST_FPERIOD_OVERRIDE=FY","FILING_STATUS=MR","Sort=A","Dates=H","DateFormat=P","Fill=—","Direction=H","UseDPDF=Y")</f>
        <v>1.4570000000000001</v>
      </c>
      <c r="I76" s="14">
        <f>_xll.BDH("MCHP US Equity","EQY_DPS","FY 2020","FY 2020","Currency=USD","Period=FY","BEST_FPERIOD_OVERRIDE=FY","FILING_STATUS=MR","Sort=A","Dates=H","DateFormat=P","Fill=—","Direction=H","UseDPDF=Y")</f>
        <v>1.4650000000000001</v>
      </c>
      <c r="J76" s="17">
        <v>1.4695</v>
      </c>
      <c r="K76" s="14">
        <v>1.466</v>
      </c>
      <c r="L76" s="14">
        <v>1.478</v>
      </c>
    </row>
    <row r="77" spans="1:12" x14ac:dyDescent="0.45">
      <c r="A77" s="10" t="s">
        <v>152</v>
      </c>
      <c r="B77" s="10" t="s">
        <v>153</v>
      </c>
      <c r="C77" s="13">
        <f>_xll.BDH("MCHP US Equity","IS_TOT_CASH_COM_DVD","FY 2014","FY 2014","Currency=USD","Period=FY","BEST_FPERIOD_OVERRIDE=FY","FILING_STATUS=MR","SCALING_FORMAT=MLN","Sort=A","Dates=H","DateFormat=P","Fill=—","Direction=H","UseDPDF=Y")</f>
        <v>281.20400000000001</v>
      </c>
      <c r="D77" s="13">
        <f>_xll.BDH("MCHP US Equity","IS_TOT_CASH_COM_DVD","FY 2015","FY 2015","Currency=USD","Period=FY","BEST_FPERIOD_OVERRIDE=FY","FILING_STATUS=MR","SCALING_FORMAT=MLN","Sort=A","Dates=H","DateFormat=P","Fill=—","Direction=H","UseDPDF=Y")</f>
        <v>286.47800000000001</v>
      </c>
      <c r="E77" s="13">
        <f>_xll.BDH("MCHP US Equity","IS_TOT_CASH_COM_DVD","FY 2016","FY 2016","Currency=USD","Period=FY","BEST_FPERIOD_OVERRIDE=FY","FILING_STATUS=MR","SCALING_FORMAT=MLN","Sort=A","Dates=H","DateFormat=P","Fill=—","Direction=H","UseDPDF=Y")</f>
        <v>291.10000000000002</v>
      </c>
      <c r="F77" s="13">
        <f>_xll.BDH("MCHP US Equity","IS_TOT_CASH_COM_DVD","FY 2017","FY 2017","Currency=USD","Period=FY","BEST_FPERIOD_OVERRIDE=FY","FILING_STATUS=MR","SCALING_FORMAT=MLN","Sort=A","Dates=H","DateFormat=P","Fill=—","Direction=H","UseDPDF=Y")</f>
        <v>315.39999999999998</v>
      </c>
      <c r="G77" s="13">
        <f>_xll.BDH("MCHP US Equity","IS_TOT_CASH_COM_DVD","FY 2018","FY 2018","Currency=USD","Period=FY","BEST_FPERIOD_OVERRIDE=FY","FILING_STATUS=MR","SCALING_FORMAT=MLN","Sort=A","Dates=H","DateFormat=P","Fill=—","Direction=H","UseDPDF=Y")</f>
        <v>337.5</v>
      </c>
      <c r="H77" s="13">
        <f>_xll.BDH("MCHP US Equity","IS_TOT_CASH_COM_DVD","FY 2019","FY 2019","Currency=USD","Period=FY","BEST_FPERIOD_OVERRIDE=FY","FILING_STATUS=MR","SCALING_FORMAT=MLN","Sort=A","Dates=H","DateFormat=P","Fill=—","Direction=H","UseDPDF=Y")</f>
        <v>344.4</v>
      </c>
      <c r="I77" s="13">
        <f>_xll.BDH("MCHP US Equity","IS_TOT_CASH_COM_DVD","FY 2020","FY 2020","Currency=USD","Period=FY","BEST_FPERIOD_OVERRIDE=FY","FILING_STATUS=MR","SCALING_FORMAT=MLN","Sort=A","Dates=H","DateFormat=P","Fill=—","Direction=H","UseDPDF=Y")</f>
        <v>350.1</v>
      </c>
      <c r="J77" s="16">
        <v>361.63675000000001</v>
      </c>
      <c r="K77" s="13"/>
      <c r="L77" s="13"/>
    </row>
    <row r="78" spans="1:12" x14ac:dyDescent="0.45">
      <c r="A78" s="10" t="s">
        <v>154</v>
      </c>
      <c r="B78" s="10" t="s">
        <v>155</v>
      </c>
      <c r="C78" s="13">
        <f>_xll.BDH("MCHP US Equity","IS_DEPR_EXP","FY 2014","FY 2014","Currency=USD","Period=FY","BEST_FPERIOD_OVERRIDE=FY","FILING_STATUS=MR","SCALING_FORMAT=MLN","Sort=A","Dates=H","DateFormat=P","Fill=—","Direction=H","UseDPDF=Y")</f>
        <v>89.7</v>
      </c>
      <c r="D78" s="13">
        <f>_xll.BDH("MCHP US Equity","IS_DEPR_EXP","FY 2015","FY 2015","Currency=USD","Period=FY","BEST_FPERIOD_OVERRIDE=FY","FILING_STATUS=MR","SCALING_FORMAT=MLN","Sort=A","Dates=H","DateFormat=P","Fill=—","Direction=H","UseDPDF=Y")</f>
        <v>97.3</v>
      </c>
      <c r="E78" s="13">
        <f>_xll.BDH("MCHP US Equity","IS_DEPR_EXP","FY 2016","FY 2016","Currency=USD","Period=FY","BEST_FPERIOD_OVERRIDE=FY","FILING_STATUS=MR","SCALING_FORMAT=MLN","Sort=A","Dates=H","DateFormat=P","Fill=—","Direction=H","UseDPDF=Y")</f>
        <v>103.9</v>
      </c>
      <c r="F78" s="13">
        <f>_xll.BDH("MCHP US Equity","IS_DEPR_EXP","FY 2017","FY 2017","Currency=USD","Period=FY","BEST_FPERIOD_OVERRIDE=FY","FILING_STATUS=MR","SCALING_FORMAT=MLN","Sort=A","Dates=H","DateFormat=P","Fill=—","Direction=H","UseDPDF=Y")</f>
        <v>122.9</v>
      </c>
      <c r="G78" s="13">
        <f>_xll.BDH("MCHP US Equity","IS_DEPR_EXP","FY 2018","FY 2018","Currency=USD","Period=FY","BEST_FPERIOD_OVERRIDE=FY","FILING_STATUS=MR","SCALING_FORMAT=MLN","Sort=A","Dates=H","DateFormat=P","Fill=—","Direction=H","UseDPDF=Y")</f>
        <v>123.7</v>
      </c>
      <c r="H78" s="13">
        <f>_xll.BDH("MCHP US Equity","IS_DEPR_EXP","FY 2019","FY 2019","Currency=USD","Period=FY","BEST_FPERIOD_OVERRIDE=FY","FILING_STATUS=MR","SCALING_FORMAT=MLN","Sort=A","Dates=H","DateFormat=P","Fill=—","Direction=H","UseDPDF=Y")</f>
        <v>180.6</v>
      </c>
      <c r="I78" s="13">
        <f>_xll.BDH("MCHP US Equity","IS_DEPR_EXP","FY 2020","FY 2020","Currency=USD","Period=FY","BEST_FPERIOD_OVERRIDE=FY","FILING_STATUS=MR","SCALING_FORMAT=MLN","Sort=A","Dates=H","DateFormat=P","Fill=—","Direction=H","UseDPDF=Y")</f>
        <v>168.9</v>
      </c>
      <c r="J78" s="16">
        <v>163.30000000000001</v>
      </c>
      <c r="K78" s="13"/>
      <c r="L78" s="13"/>
    </row>
    <row r="79" spans="1:12" x14ac:dyDescent="0.45">
      <c r="A79" s="10" t="s">
        <v>156</v>
      </c>
      <c r="B79" s="10" t="s">
        <v>157</v>
      </c>
      <c r="C79" s="13">
        <f>_xll.BDH("MCHP US Equity","BS_CURR_RENTAL_EXPENSE","FY 2014","FY 2014","Currency=USD","Period=FY","BEST_FPERIOD_OVERRIDE=FY","FILING_STATUS=MR","SCALING_FORMAT=MLN","Sort=A","Dates=H","DateFormat=P","Fill=—","Direction=H","UseDPDF=Y")</f>
        <v>21.5</v>
      </c>
      <c r="D79" s="13">
        <f>_xll.BDH("MCHP US Equity","BS_CURR_RENTAL_EXPENSE","FY 2015","FY 2015","Currency=USD","Period=FY","BEST_FPERIOD_OVERRIDE=FY","FILING_STATUS=MR","SCALING_FORMAT=MLN","Sort=A","Dates=H","DateFormat=P","Fill=—","Direction=H","UseDPDF=Y")</f>
        <v>23.8</v>
      </c>
      <c r="E79" s="13">
        <f>_xll.BDH("MCHP US Equity","BS_CURR_RENTAL_EXPENSE","FY 2016","FY 2016","Currency=USD","Period=FY","BEST_FPERIOD_OVERRIDE=FY","FILING_STATUS=MR","SCALING_FORMAT=MLN","Sort=A","Dates=H","DateFormat=P","Fill=—","Direction=H","UseDPDF=Y")</f>
        <v>23.3</v>
      </c>
      <c r="F79" s="13">
        <f>_xll.BDH("MCHP US Equity","BS_CURR_RENTAL_EXPENSE","FY 2017","FY 2017","Currency=USD","Period=FY","BEST_FPERIOD_OVERRIDE=FY","FILING_STATUS=MR","SCALING_FORMAT=MLN","Sort=A","Dates=H","DateFormat=P","Fill=—","Direction=H","UseDPDF=Y")</f>
        <v>35.4</v>
      </c>
      <c r="G79" s="13">
        <f>_xll.BDH("MCHP US Equity","BS_CURR_RENTAL_EXPENSE","FY 2018","FY 2018","Currency=USD","Period=FY","BEST_FPERIOD_OVERRIDE=FY","FILING_STATUS=MR","SCALING_FORMAT=MLN","Sort=A","Dates=H","DateFormat=P","Fill=—","Direction=H","UseDPDF=Y")</f>
        <v>30</v>
      </c>
      <c r="H79" s="13">
        <f>_xll.BDH("MCHP US Equity","BS_CURR_RENTAL_EXPENSE","FY 2019","FY 2019","Currency=USD","Period=FY","BEST_FPERIOD_OVERRIDE=FY","FILING_STATUS=MR","SCALING_FORMAT=MLN","Sort=A","Dates=H","DateFormat=P","Fill=—","Direction=H","UseDPDF=Y")</f>
        <v>50.9</v>
      </c>
      <c r="I79" s="13">
        <f>_xll.BDH("MCHP US Equity","BS_CURR_RENTAL_EXPENSE","FY 2020","FY 2020","Currency=USD","Period=FY","BEST_FPERIOD_OVERRIDE=FY","FILING_STATUS=MR","SCALING_FORMAT=MLN","Sort=A","Dates=H","DateFormat=P","Fill=—","Direction=H","UseDPDF=Y")</f>
        <v>70.400000000000006</v>
      </c>
      <c r="J79" s="16"/>
      <c r="K79" s="13"/>
      <c r="L79" s="13"/>
    </row>
    <row r="80" spans="1:12" x14ac:dyDescent="0.45">
      <c r="A80" s="7" t="s">
        <v>158</v>
      </c>
      <c r="B80" s="7"/>
      <c r="C80" s="7" t="s">
        <v>3</v>
      </c>
      <c r="D80" s="7"/>
      <c r="E80" s="7"/>
      <c r="F80" s="7"/>
      <c r="G80" s="7"/>
      <c r="H80" s="7"/>
      <c r="I80" s="7"/>
      <c r="J80" s="7"/>
      <c r="K80" s="7"/>
      <c r="L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- 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Ryan Malloy</cp:lastModifiedBy>
  <dcterms:created xsi:type="dcterms:W3CDTF">2013-04-03T15:49:21Z</dcterms:created>
  <dcterms:modified xsi:type="dcterms:W3CDTF">2021-01-29T20:17:50Z</dcterms:modified>
</cp:coreProperties>
</file>